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pivotTables/pivotTable3.xml" ContentType="application/vnd.openxmlformats-officedocument.spreadsheetml.pivotTable+xml"/>
  <Override PartName="/xl/worksheets/sheet2.xml" ContentType="application/vnd.openxmlformats-officedocument.spreadsheetml.worksheet+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theme/theme1.xml" ContentType="application/vnd.openxmlformats-officedocument.theme+xml"/>
  <Override PartName="/xl/pivotTables/pivotTable1.xml" ContentType="application/vnd.openxmlformats-officedocument.spreadsheetml.pivotTable+xml"/>
  <Override PartName="/xl/worksheets/sheet1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2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externalLinks/externalLink28.xml" ContentType="application/vnd.openxmlformats-officedocument.spreadsheetml.externalLink+xml"/>
  <Override PartName="/xl/externalLinks/externalLink2.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9.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omments1.xml" ContentType="application/vnd.openxmlformats-officedocument.spreadsheetml.comments+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comments2.xml" ContentType="application/vnd.openxmlformats-officedocument.spreadsheetml.comments+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pivotCache/pivotCacheRecords3.xml" ContentType="application/vnd.openxmlformats-officedocument.spreadsheetml.pivotCacheRecord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39.xml" ContentType="application/vnd.openxmlformats-officedocument.spreadsheetml.externalLink+xml"/>
  <Override PartName="/xl/comments3.xml" ContentType="application/vnd.openxmlformats-officedocument.spreadsheetml.comments+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comments9.xml" ContentType="application/vnd.openxmlformats-officedocument.spreadsheetml.comments+xml"/>
  <Override PartName="/xl/externalLinks/externalLink14.xml" ContentType="application/vnd.openxmlformats-officedocument.spreadsheetml.externalLink+xml"/>
  <Override PartName="/xl/externalLinks/externalLink12.xml" ContentType="application/vnd.openxmlformats-officedocument.spreadsheetml.externalLink+xml"/>
  <Override PartName="/xl/comments10.xml" ContentType="application/vnd.openxmlformats-officedocument.spreadsheetml.comments+xml"/>
  <Override PartName="/xl/calcChain.xml" ContentType="application/vnd.openxmlformats-officedocument.spreadsheetml.calcChain+xml"/>
  <Override PartName="/xl/comments11.xml" ContentType="application/vnd.openxmlformats-officedocument.spreadsheetml.comment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8.xml" ContentType="application/vnd.openxmlformats-officedocument.spreadsheetml.comments+xml"/>
  <Override PartName="/xl/comments5.xml" ContentType="application/vnd.openxmlformats-officedocument.spreadsheetml.comments+xml"/>
  <Override PartName="/xl/externalLinks/externalLink19.xml" ContentType="application/vnd.openxmlformats-officedocument.spreadsheetml.externalLink+xml"/>
  <Override PartName="/xl/comments4.xml" ContentType="application/vnd.openxmlformats-officedocument.spreadsheetml.comments+xml"/>
  <Override PartName="/xl/externalLinks/externalLink18.xml" ContentType="application/vnd.openxmlformats-officedocument.spreadsheetml.externalLink+xml"/>
  <Override PartName="/xl/comments6.xml" ContentType="application/vnd.openxmlformats-officedocument.spreadsheetml.comments+xml"/>
  <Override PartName="/xl/externalLinks/externalLink15.xml" ContentType="application/vnd.openxmlformats-officedocument.spreadsheetml.externalLink+xml"/>
  <Override PartName="/xl/comments7.xml" ContentType="application/vnd.openxmlformats-officedocument.spreadsheetml.comments+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20730" windowHeight="11565" tabRatio="895"/>
  </bookViews>
  <sheets>
    <sheet name="2120 BS" sheetId="22" r:id="rId1"/>
    <sheet name="2120 IS" sheetId="2" r:id="rId2"/>
    <sheet name="Consolidated IS" sheetId="1" r:id="rId3"/>
    <sheet name="Restating Adj's" sheetId="3" r:id="rId4"/>
    <sheet name="Pro Forma Adj's" sheetId="17" r:id="rId5"/>
    <sheet name="Ratios" sheetId="6" r:id="rId6"/>
    <sheet name="LG" sheetId="11" r:id="rId7"/>
    <sheet name="LG - Packer,RO" sheetId="18" r:id="rId8"/>
    <sheet name="LG - Recycle" sheetId="19" r:id="rId9"/>
    <sheet name="Spokane Reg - Price out" sheetId="4" r:id="rId10"/>
    <sheet name="Whitman Reg - Price Out" sheetId="5" r:id="rId11"/>
    <sheet name="Rate Sheet" sheetId="25" r:id="rId12"/>
    <sheet name="References" sheetId="26" r:id="rId13"/>
    <sheet name="2120 Depr Summary" sheetId="9" r:id="rId14"/>
    <sheet name="2120 Depr" sheetId="10" r:id="rId15"/>
    <sheet name="Disposal" sheetId="7" r:id="rId16"/>
    <sheet name="40131 Disposal" sheetId="14" r:id="rId17"/>
    <sheet name="Empire Payroll" sheetId="16" r:id="rId18"/>
    <sheet name="DivCon-DVP Alloc In" sheetId="27" r:id="rId19"/>
    <sheet name="Corp-OH" sheetId="8" r:id="rId20"/>
    <sheet name="Region OH Calc" sheetId="15" r:id="rId21"/>
    <sheet name="Corp-BS" sheetId="20" r:id="rId22"/>
    <sheet name="Corp-IS" sheetId="21" r:id="rId23"/>
    <sheet name="B&amp;O Taxes" sheetId="28" r:id="rId24"/>
    <sheet name="70095 Detail" sheetId="12" r:id="rId25"/>
    <sheet name="70195 Detail" sheetId="13" r:id="rId26"/>
    <sheet name="Empire BS 6-30-15" sheetId="24"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19" hidden="1">#REF!</definedName>
    <definedName name="_132Graph_h" localSheetId="18" hidden="1">#REF!</definedName>
    <definedName name="_132Graph_h" localSheetId="7" hidden="1">#REF!</definedName>
    <definedName name="_132Graph_h" localSheetId="8" hidden="1">#REF!</definedName>
    <definedName name="_132Graph_h" hidden="1">#REF!</definedName>
    <definedName name="_ACT1" localSheetId="19">[4]Hidden!#REF!</definedName>
    <definedName name="_ACT1" localSheetId="18">[4]Hidden!#REF!</definedName>
    <definedName name="_ACT1" localSheetId="6">[4]Hidden!#REF!</definedName>
    <definedName name="_ACT1" localSheetId="7">[4]Hidden!#REF!</definedName>
    <definedName name="_ACT1" localSheetId="8">[4]Hidden!#REF!</definedName>
    <definedName name="_ACT1" localSheetId="11">[5]Hidden!#REF!</definedName>
    <definedName name="_ACT1" localSheetId="12">[6]Hidden!#REF!</definedName>
    <definedName name="_ACT1" localSheetId="10">[6]Hidden!#REF!</definedName>
    <definedName name="_ACT1">[7]Hidden!#REF!</definedName>
    <definedName name="_ACT2" localSheetId="19">[4]Hidden!#REF!</definedName>
    <definedName name="_ACT2" localSheetId="18">[4]Hidden!#REF!</definedName>
    <definedName name="_ACT2" localSheetId="6">[4]Hidden!#REF!</definedName>
    <definedName name="_ACT2" localSheetId="7">[4]Hidden!#REF!</definedName>
    <definedName name="_ACT2" localSheetId="8">[4]Hidden!#REF!</definedName>
    <definedName name="_ACT2" localSheetId="11">[5]Hidden!#REF!</definedName>
    <definedName name="_ACT2" localSheetId="12">[6]Hidden!#REF!</definedName>
    <definedName name="_ACT2" localSheetId="10">[6]Hidden!#REF!</definedName>
    <definedName name="_ACT2">[7]Hidden!#REF!</definedName>
    <definedName name="_ACT3" localSheetId="19">[4]Hidden!#REF!</definedName>
    <definedName name="_ACT3" localSheetId="18">[4]Hidden!#REF!</definedName>
    <definedName name="_ACT3" localSheetId="6">[4]Hidden!#REF!</definedName>
    <definedName name="_ACT3" localSheetId="7">[4]Hidden!#REF!</definedName>
    <definedName name="_ACT3" localSheetId="8">[4]Hidden!#REF!</definedName>
    <definedName name="_ACT3" localSheetId="11">[5]Hidden!#REF!</definedName>
    <definedName name="_ACT3" localSheetId="12">[6]Hidden!#REF!</definedName>
    <definedName name="_ACT3" localSheetId="10">[6]Hidden!#REF!</definedName>
    <definedName name="_ACT3">[7]Hidden!#REF!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19" hidden="1">#REF!</definedName>
    <definedName name="_Fill" localSheetId="18" hidden="1">#REF!</definedName>
    <definedName name="_Fill" localSheetId="7" hidden="1">#REF!</definedName>
    <definedName name="_Fill" localSheetId="8" hidden="1">#REF!</definedName>
    <definedName name="_Fill" hidden="1">#REF!</definedName>
    <definedName name="_xlnm._FilterDatabase" localSheetId="16" hidden="1">'40131 Disposal'!$B$19:$AN$19</definedName>
    <definedName name="_xlnm._FilterDatabase" localSheetId="24" hidden="1">'70095 Detail'!$B$19:$AM$19</definedName>
    <definedName name="_xlnm._FilterDatabase" localSheetId="25" hidden="1">'70195 Detail'!$B$19:$AM$19</definedName>
    <definedName name="_xlnm._FilterDatabase" localSheetId="23" hidden="1">'B&amp;O Taxes'!$B$19:$AN$19</definedName>
    <definedName name="_Key1" localSheetId="19" hidden="1">#REF!</definedName>
    <definedName name="_Key1" localSheetId="18" hidden="1">#REF!</definedName>
    <definedName name="_Key1" localSheetId="6" hidden="1">#REF!</definedName>
    <definedName name="_Key1" localSheetId="7" hidden="1">#REF!</definedName>
    <definedName name="_Key1" localSheetId="8" hidden="1">#REF!</definedName>
    <definedName name="_Key1" hidden="1">#REF!</definedName>
    <definedName name="_Key2" hidden="1">'[2]#REF'!$D$12</definedName>
    <definedName name="_key5" hidden="1">[3]XXXXXX!$H$10</definedName>
    <definedName name="_LYA12">[1]Hidden!$O$11</definedName>
    <definedName name="_max" localSheetId="19" hidden="1">#REF!</definedName>
    <definedName name="_max" localSheetId="18" hidden="1">#REF!</definedName>
    <definedName name="_max" localSheetId="7" hidden="1">#REF!</definedName>
    <definedName name="_max" localSheetId="8" hidden="1">#REF!</definedName>
    <definedName name="_max" hidden="1">#REF!</definedName>
    <definedName name="_Mon" localSheetId="19" hidden="1">#REF!</definedName>
    <definedName name="_Mon" localSheetId="7" hidden="1">#REF!</definedName>
    <definedName name="_Mon" localSheetId="8" hidden="1">#REF!</definedName>
    <definedName name="_Mon" hidden="1">#REF!</definedName>
    <definedName name="_Order1" hidden="1">255</definedName>
    <definedName name="_Order2" hidden="1">255</definedName>
    <definedName name="_Order3" hidden="1">0</definedName>
    <definedName name="_Sort" localSheetId="19" hidden="1">#REF!</definedName>
    <definedName name="_Sort" localSheetId="18" hidden="1">#REF!</definedName>
    <definedName name="_Sort" localSheetId="6" hidden="1">#REF!</definedName>
    <definedName name="_Sort" localSheetId="7" hidden="1">#REF!</definedName>
    <definedName name="_Sort" localSheetId="8" hidden="1">#REF!</definedName>
    <definedName name="_Sort" hidden="1">#REF!</definedName>
    <definedName name="_Sort1" hidden="1">'[2]#REF'!$A$10:$Z$281</definedName>
    <definedName name="_sort3" hidden="1">[3]XXXXXX!$G$10:$J$11</definedName>
    <definedName name="Accounts" localSheetId="16">'40131 Disposal'!$M$13</definedName>
    <definedName name="Accounts" localSheetId="25">'70195 Detail'!$L$13</definedName>
    <definedName name="Accounts" localSheetId="23">'B&amp;O Taxes'!$M$13</definedName>
    <definedName name="Accounts">'70095 Detail'!$L$13</definedName>
    <definedName name="ACCT" localSheetId="19">[4]Hidden!#REF!</definedName>
    <definedName name="ACCT" localSheetId="18">[4]Hidden!#REF!</definedName>
    <definedName name="ACCT" localSheetId="6">[4]Hidden!#REF!</definedName>
    <definedName name="ACCT" localSheetId="7">[4]Hidden!#REF!</definedName>
    <definedName name="ACCT" localSheetId="8">[4]Hidden!#REF!</definedName>
    <definedName name="ACCT" localSheetId="11">[1]Hidden!$D$11</definedName>
    <definedName name="ACCT" localSheetId="12">[6]Hidden!#REF!</definedName>
    <definedName name="ACCT" localSheetId="10">[6]Hidden!#REF!</definedName>
    <definedName name="ACCT">[7]Hidden!#REF!</definedName>
    <definedName name="ACCT.ConsolSum">[1]Hidden!$Q$11</definedName>
    <definedName name="ACT_CUR" localSheetId="19">[4]Hidden!#REF!</definedName>
    <definedName name="ACT_CUR" localSheetId="18">[4]Hidden!#REF!</definedName>
    <definedName name="ACT_CUR" localSheetId="6">[4]Hidden!#REF!</definedName>
    <definedName name="ACT_CUR" localSheetId="7">[4]Hidden!#REF!</definedName>
    <definedName name="ACT_CUR" localSheetId="8">[4]Hidden!#REF!</definedName>
    <definedName name="ACT_CUR" localSheetId="11">[5]Hidden!#REF!</definedName>
    <definedName name="ACT_CUR" localSheetId="12">[6]Hidden!#REF!</definedName>
    <definedName name="ACT_CUR" localSheetId="10">[6]Hidden!#REF!</definedName>
    <definedName name="ACT_CUR">[7]Hidden!#REF!</definedName>
    <definedName name="ACT_YTD" localSheetId="19">[4]Hidden!#REF!</definedName>
    <definedName name="ACT_YTD" localSheetId="18">[4]Hidden!#REF!</definedName>
    <definedName name="ACT_YTD" localSheetId="6">[4]Hidden!#REF!</definedName>
    <definedName name="ACT_YTD" localSheetId="7">[4]Hidden!#REF!</definedName>
    <definedName name="ACT_YTD" localSheetId="8">[4]Hidden!#REF!</definedName>
    <definedName name="ACT_YTD" localSheetId="11">[5]Hidden!#REF!</definedName>
    <definedName name="ACT_YTD" localSheetId="12">[6]Hidden!#REF!</definedName>
    <definedName name="ACT_YTD" localSheetId="10">[6]Hidden!#REF!</definedName>
    <definedName name="ACT_YTD">[7]Hidden!#REF!</definedName>
    <definedName name="AmountCount" localSheetId="19">#REF!</definedName>
    <definedName name="AmountCount" localSheetId="6">#REF!</definedName>
    <definedName name="AmountCount" localSheetId="7">#REF!</definedName>
    <definedName name="AmountCount" localSheetId="8">#REF!</definedName>
    <definedName name="AmountCount" localSheetId="11">#REF!</definedName>
    <definedName name="AmountCount" localSheetId="10">#REF!</definedName>
    <definedName name="AmountCount">#REF!</definedName>
    <definedName name="AmountCount1" localSheetId="19">#REF!</definedName>
    <definedName name="AmountCount1" localSheetId="7">#REF!</definedName>
    <definedName name="AmountCount1" localSheetId="8">#REF!</definedName>
    <definedName name="AmountCount1">#REF!</definedName>
    <definedName name="AmountFrom" localSheetId="16">'40131 Disposal'!$P$13</definedName>
    <definedName name="AmountFrom" localSheetId="25">'70195 Detail'!$O$13</definedName>
    <definedName name="AmountFrom" localSheetId="23">'B&amp;O Taxes'!$P$13</definedName>
    <definedName name="AmountFrom">'70095 Detail'!$O$13</definedName>
    <definedName name="AmountTo" localSheetId="16">'40131 Disposal'!$P$14</definedName>
    <definedName name="AmountTo" localSheetId="25">'70195 Detail'!$O$14</definedName>
    <definedName name="AmountTo" localSheetId="23">'B&amp;O Taxes'!$P$14</definedName>
    <definedName name="AmountTo">'70095 Detail'!$O$14</definedName>
    <definedName name="AmountTotal" localSheetId="6">#REF!</definedName>
    <definedName name="AmountTotal" localSheetId="7">#REF!</definedName>
    <definedName name="AmountTotal" localSheetId="8">#REF!</definedName>
    <definedName name="AmountTotal" localSheetId="11">#REF!</definedName>
    <definedName name="AmountTotal" localSheetId="10">#REF!</definedName>
    <definedName name="AmountTotal">#REF!</definedName>
    <definedName name="AmountTotal1" localSheetId="7">#REF!</definedName>
    <definedName name="AmountTotal1" localSheetId="8">#REF!</definedName>
    <definedName name="AmountTotal1">#REF!</definedName>
    <definedName name="BookRev" localSheetId="19">'[8]Pacific Regulated - Price Out'!$F$50</definedName>
    <definedName name="BookRev" localSheetId="18">'[8]Pacific Regulated - Price Out'!$F$50</definedName>
    <definedName name="BookRev" localSheetId="6">'[8]Pacific Regulated - Price Out'!$F$50</definedName>
    <definedName name="BookRev" localSheetId="7">'[8]Pacific Regulated - Price Out'!$F$50</definedName>
    <definedName name="BookRev" localSheetId="8">'[8]Pacific Regulated - Price Out'!$F$50</definedName>
    <definedName name="BookRev" localSheetId="11">'[9]Pacific Regulated - Price Out'!$F$50</definedName>
    <definedName name="BookRev" localSheetId="12">'[9]Pacific Regulated - Price Out'!$F$50</definedName>
    <definedName name="BookRev">'[10]Pacific Regulated - Price Out'!$F$50</definedName>
    <definedName name="BookRev_com" localSheetId="19">'[8]Pacific Regulated - Price Out'!$F$214</definedName>
    <definedName name="BookRev_com" localSheetId="18">'[8]Pacific Regulated - Price Out'!$F$214</definedName>
    <definedName name="BookRev_com" localSheetId="6">'[8]Pacific Regulated - Price Out'!$F$214</definedName>
    <definedName name="BookRev_com" localSheetId="7">'[8]Pacific Regulated - Price Out'!$F$214</definedName>
    <definedName name="BookRev_com" localSheetId="8">'[8]Pacific Regulated - Price Out'!$F$214</definedName>
    <definedName name="BookRev_com" localSheetId="11">'[9]Pacific Regulated - Price Out'!$F$214</definedName>
    <definedName name="BookRev_com" localSheetId="12">'[9]Pacific Regulated - Price Out'!$F$214</definedName>
    <definedName name="BookRev_com">'[10]Pacific Regulated - Price Out'!$F$214</definedName>
    <definedName name="BookRev_mfr" localSheetId="19">'[8]Pacific Regulated - Price Out'!$F$222</definedName>
    <definedName name="BookRev_mfr" localSheetId="18">'[8]Pacific Regulated - Price Out'!$F$222</definedName>
    <definedName name="BookRev_mfr" localSheetId="6">'[8]Pacific Regulated - Price Out'!$F$222</definedName>
    <definedName name="BookRev_mfr" localSheetId="7">'[8]Pacific Regulated - Price Out'!$F$222</definedName>
    <definedName name="BookRev_mfr" localSheetId="8">'[8]Pacific Regulated - Price Out'!$F$222</definedName>
    <definedName name="BookRev_mfr" localSheetId="11">'[9]Pacific Regulated - Price Out'!$F$222</definedName>
    <definedName name="BookRev_mfr" localSheetId="12">'[9]Pacific Regulated - Price Out'!$F$222</definedName>
    <definedName name="BookRev_mfr">'[10]Pacific Regulated - Price Out'!$F$222</definedName>
    <definedName name="BookRev_ro" localSheetId="19">'[8]Pacific Regulated - Price Out'!$F$282</definedName>
    <definedName name="BookRev_ro" localSheetId="18">'[8]Pacific Regulated - Price Out'!$F$282</definedName>
    <definedName name="BookRev_ro" localSheetId="6">'[8]Pacific Regulated - Price Out'!$F$282</definedName>
    <definedName name="BookRev_ro" localSheetId="7">'[8]Pacific Regulated - Price Out'!$F$282</definedName>
    <definedName name="BookRev_ro" localSheetId="8">'[8]Pacific Regulated - Price Out'!$F$282</definedName>
    <definedName name="BookRev_ro" localSheetId="11">'[9]Pacific Regulated - Price Out'!$F$282</definedName>
    <definedName name="BookRev_ro" localSheetId="12">'[9]Pacific Regulated - Price Out'!$F$282</definedName>
    <definedName name="BookRev_ro">'[10]Pacific Regulated - Price Out'!$F$282</definedName>
    <definedName name="BookRev_rr" localSheetId="19">'[8]Pacific Regulated - Price Out'!$F$59</definedName>
    <definedName name="BookRev_rr" localSheetId="18">'[8]Pacific Regulated - Price Out'!$F$59</definedName>
    <definedName name="BookRev_rr" localSheetId="6">'[8]Pacific Regulated - Price Out'!$F$59</definedName>
    <definedName name="BookRev_rr" localSheetId="7">'[8]Pacific Regulated - Price Out'!$F$59</definedName>
    <definedName name="BookRev_rr" localSheetId="8">'[8]Pacific Regulated - Price Out'!$F$59</definedName>
    <definedName name="BookRev_rr" localSheetId="11">'[9]Pacific Regulated - Price Out'!$F$59</definedName>
    <definedName name="BookRev_rr" localSheetId="12">'[9]Pacific Regulated - Price Out'!$F$59</definedName>
    <definedName name="BookRev_rr">'[10]Pacific Regulated - Price Out'!$F$59</definedName>
    <definedName name="BookRev_yw" localSheetId="19">'[8]Pacific Regulated - Price Out'!$F$70</definedName>
    <definedName name="BookRev_yw" localSheetId="18">'[8]Pacific Regulated - Price Out'!$F$70</definedName>
    <definedName name="BookRev_yw" localSheetId="6">'[8]Pacific Regulated - Price Out'!$F$70</definedName>
    <definedName name="BookRev_yw" localSheetId="7">'[8]Pacific Regulated - Price Out'!$F$70</definedName>
    <definedName name="BookRev_yw" localSheetId="8">'[8]Pacific Regulated - Price Out'!$F$70</definedName>
    <definedName name="BookRev_yw" localSheetId="11">'[9]Pacific Regulated - Price Out'!$F$70</definedName>
    <definedName name="BookRev_yw" localSheetId="12">'[9]Pacific Regulated - Price Out'!$F$70</definedName>
    <definedName name="BookRev_yw">'[10]Pacific Regulated - Price Out'!$F$70</definedName>
    <definedName name="BREMAIR_COST_of_SERVICE_STUDY" localSheetId="19">#REF!</definedName>
    <definedName name="BREMAIR_COST_of_SERVICE_STUDY" localSheetId="6">#REF!</definedName>
    <definedName name="BREMAIR_COST_of_SERVICE_STUDY" localSheetId="7">#REF!</definedName>
    <definedName name="BREMAIR_COST_of_SERVICE_STUDY" localSheetId="8">#REF!</definedName>
    <definedName name="BREMAIR_COST_of_SERVICE_STUDY" localSheetId="11">#REF!</definedName>
    <definedName name="BREMAIR_COST_of_SERVICE_STUDY" localSheetId="10">#REF!</definedName>
    <definedName name="BREMAIR_COST_of_SERVICE_STUDY">#REF!</definedName>
    <definedName name="BUD_CUR" localSheetId="19">[4]Hidden!#REF!</definedName>
    <definedName name="BUD_CUR" localSheetId="18">[4]Hidden!#REF!</definedName>
    <definedName name="BUD_CUR" localSheetId="6">[4]Hidden!#REF!</definedName>
    <definedName name="BUD_CUR" localSheetId="7">[4]Hidden!#REF!</definedName>
    <definedName name="BUD_CUR" localSheetId="8">[4]Hidden!#REF!</definedName>
    <definedName name="BUD_CUR" localSheetId="11">[5]Hidden!#REF!</definedName>
    <definedName name="BUD_CUR" localSheetId="12">[6]Hidden!#REF!</definedName>
    <definedName name="BUD_CUR" localSheetId="10">[6]Hidden!#REF!</definedName>
    <definedName name="BUD_CUR">[7]Hidden!#REF!</definedName>
    <definedName name="BUD_YTD" localSheetId="19">[4]Hidden!#REF!</definedName>
    <definedName name="BUD_YTD" localSheetId="18">[4]Hidden!#REF!</definedName>
    <definedName name="BUD_YTD" localSheetId="6">[4]Hidden!#REF!</definedName>
    <definedName name="BUD_YTD" localSheetId="7">[4]Hidden!#REF!</definedName>
    <definedName name="BUD_YTD" localSheetId="8">[4]Hidden!#REF!</definedName>
    <definedName name="BUD_YTD" localSheetId="11">[5]Hidden!#REF!</definedName>
    <definedName name="BUD_YTD" localSheetId="12">[6]Hidden!#REF!</definedName>
    <definedName name="BUD_YTD" localSheetId="10">[6]Hidden!#REF!</definedName>
    <definedName name="BUD_YTD">[7]Hidden!#REF!</definedName>
    <definedName name="CalRecyTons" localSheetId="19">'[11]Recycl Tons, Commodity Value'!$L$23</definedName>
    <definedName name="CalRecyTons" localSheetId="18">'[11]Recycl Tons, Commodity Value'!$L$23</definedName>
    <definedName name="CalRecyTons" localSheetId="6">'[11]Recycl Tons, Commodity Value'!$L$23</definedName>
    <definedName name="CalRecyTons" localSheetId="7">'[11]Recycl Tons, Commodity Value'!$L$23</definedName>
    <definedName name="CalRecyTons" localSheetId="8">'[11]Recycl Tons, Commodity Value'!$L$23</definedName>
    <definedName name="CalRecyTons" localSheetId="11">'[12]Recycl Tons, Commodity Value'!$L$23</definedName>
    <definedName name="CalRecyTons" localSheetId="12">'[12]Recycl Tons, Commodity Value'!$L$23</definedName>
    <definedName name="CalRecyTons">'[13]Recycl Tons, Commodity Value'!$L$23</definedName>
    <definedName name="CheckTotals" localSheetId="19">#REF!</definedName>
    <definedName name="CheckTotals" localSheetId="6">#REF!</definedName>
    <definedName name="CheckTotals" localSheetId="7">#REF!</definedName>
    <definedName name="CheckTotals" localSheetId="8">#REF!</definedName>
    <definedName name="CheckTotals" localSheetId="11">#REF!</definedName>
    <definedName name="CheckTotals" localSheetId="10">#REF!</definedName>
    <definedName name="CheckTotals">#REF!</definedName>
    <definedName name="colgroup">[1]Orientation!$G$6</definedName>
    <definedName name="colsegment">[1]Orientation!$F$6</definedName>
    <definedName name="CRCTable" localSheetId="19">#REF!</definedName>
    <definedName name="CRCTable" localSheetId="17">#REF!</definedName>
    <definedName name="CRCTable" localSheetId="6">#REF!</definedName>
    <definedName name="CRCTable" localSheetId="7">#REF!</definedName>
    <definedName name="CRCTable" localSheetId="8">#REF!</definedName>
    <definedName name="CRCTable" localSheetId="11">#REF!</definedName>
    <definedName name="CRCTable" localSheetId="10">#REF!</definedName>
    <definedName name="CRCTable">#REF!</definedName>
    <definedName name="CRCTableOLD" localSheetId="17">#REF!</definedName>
    <definedName name="CRCTableOLD" localSheetId="6">#REF!</definedName>
    <definedName name="CRCTableOLD" localSheetId="7">#REF!</definedName>
    <definedName name="CRCTableOLD" localSheetId="8">#REF!</definedName>
    <definedName name="CRCTableOLD" localSheetId="11">#REF!</definedName>
    <definedName name="CRCTableOLD" localSheetId="10">#REF!</definedName>
    <definedName name="CRCTableOLD">#REF!</definedName>
    <definedName name="CriteriaType">[14]ControlPanel!$Z$2:$Z$5</definedName>
    <definedName name="CurrentMonth" localSheetId="16">'40131 Disposal'!$J$8</definedName>
    <definedName name="CurrentMonth" localSheetId="24">'70095 Detail'!$I$8</definedName>
    <definedName name="CurrentMonth" localSheetId="25">'70195 Detail'!$I$8</definedName>
    <definedName name="CurrentMonth" localSheetId="23">'B&amp;O Taxes'!$J$8</definedName>
    <definedName name="CurrentMonth" localSheetId="19">'[15]38000 Other Rev'!$H$8</definedName>
    <definedName name="CurrentMonth" localSheetId="18">'[15]38000 Other Rev'!$H$8</definedName>
    <definedName name="CurrentMonth" localSheetId="17">'[16]Driver GL Detail 2016'!$J$8</definedName>
    <definedName name="CurrentMonth" localSheetId="6">'[15]38000 Other Rev'!$H$8</definedName>
    <definedName name="CurrentMonth" localSheetId="7">'[15]38000 Other Rev'!$H$8</definedName>
    <definedName name="CurrentMonth" localSheetId="8">'[15]38000 Other Rev'!$H$8</definedName>
    <definedName name="CurrentMonth">'[17]38000 Other Rev'!$H$8</definedName>
    <definedName name="Cutomers" localSheetId="19">#REF!</definedName>
    <definedName name="Cutomers" localSheetId="6">#REF!</definedName>
    <definedName name="Cutomers" localSheetId="7">#REF!</definedName>
    <definedName name="Cutomers" localSheetId="8">#REF!</definedName>
    <definedName name="Cutomers" localSheetId="11">#REF!</definedName>
    <definedName name="Cutomers" localSheetId="10">#REF!</definedName>
    <definedName name="Cutomers">#REF!</definedName>
    <definedName name="_xlnm.Database" localSheetId="17">#REF!</definedName>
    <definedName name="_xlnm.Database" localSheetId="6">#REF!</definedName>
    <definedName name="_xlnm.Database" localSheetId="7">#REF!</definedName>
    <definedName name="_xlnm.Database" localSheetId="8">#REF!</definedName>
    <definedName name="_xlnm.Database" localSheetId="11">#REF!</definedName>
    <definedName name="_xlnm.Database" localSheetId="10">#REF!</definedName>
    <definedName name="_xlnm.Database">#REF!</definedName>
    <definedName name="Database1" localSheetId="6">#REF!</definedName>
    <definedName name="Database1" localSheetId="7">#REF!</definedName>
    <definedName name="Database1" localSheetId="8">#REF!</definedName>
    <definedName name="Database1" localSheetId="11">#REF!</definedName>
    <definedName name="Database1" localSheetId="10">#REF!</definedName>
    <definedName name="Database1">#REF!</definedName>
    <definedName name="DateFrom" localSheetId="16">'40131 Disposal'!$I$12</definedName>
    <definedName name="DateFrom" localSheetId="24">'70095 Detail'!$H$12</definedName>
    <definedName name="DateFrom" localSheetId="25">'70195 Detail'!$H$12</definedName>
    <definedName name="DateFrom" localSheetId="23">'B&amp;O Taxes'!$I$12</definedName>
    <definedName name="DateFrom" localSheetId="19">'[15]38000 Other Rev'!$G$12</definedName>
    <definedName name="DateFrom" localSheetId="18">'[15]38000 Other Rev'!$G$12</definedName>
    <definedName name="DateFrom" localSheetId="17">'[16]Driver GL Detail 2016'!$I$12</definedName>
    <definedName name="DateFrom" localSheetId="6">'[15]38000 Other Rev'!$G$12</definedName>
    <definedName name="DateFrom" localSheetId="7">'[15]38000 Other Rev'!$G$12</definedName>
    <definedName name="DateFrom" localSheetId="8">'[15]38000 Other Rev'!$G$12</definedName>
    <definedName name="DateFrom">'[17]38000 Other Rev'!$G$12</definedName>
    <definedName name="DateTo" localSheetId="16">'40131 Disposal'!$I$13</definedName>
    <definedName name="DateTo" localSheetId="24">'70095 Detail'!$H$13</definedName>
    <definedName name="DateTo" localSheetId="25">'70195 Detail'!$H$13</definedName>
    <definedName name="DateTo" localSheetId="23">'B&amp;O Taxes'!$I$13</definedName>
    <definedName name="DateTo" localSheetId="19">'[15]38000 Other Rev'!$G$13</definedName>
    <definedName name="DateTo" localSheetId="18">'[15]38000 Other Rev'!$G$13</definedName>
    <definedName name="DateTo" localSheetId="17">'[16]Driver GL Detail 2016'!$I$13</definedName>
    <definedName name="DateTo" localSheetId="6">'[15]38000 Other Rev'!$G$13</definedName>
    <definedName name="DateTo" localSheetId="7">'[15]38000 Other Rev'!$G$13</definedName>
    <definedName name="DateTo" localSheetId="8">'[15]38000 Other Rev'!$G$13</definedName>
    <definedName name="DateTo">'[17]38000 Other Rev'!$G$13</definedName>
    <definedName name="DEPT" localSheetId="19">[4]Hidden!#REF!</definedName>
    <definedName name="DEPT" localSheetId="18">[4]Hidden!#REF!</definedName>
    <definedName name="DEPT" localSheetId="6">[4]Hidden!#REF!</definedName>
    <definedName name="DEPT" localSheetId="7">[4]Hidden!#REF!</definedName>
    <definedName name="DEPT" localSheetId="8">[4]Hidden!#REF!</definedName>
    <definedName name="DEPT" localSheetId="11">[5]Hidden!#REF!</definedName>
    <definedName name="DEPT" localSheetId="12">[6]Hidden!#REF!</definedName>
    <definedName name="DEPT" localSheetId="10">[6]Hidden!#REF!</definedName>
    <definedName name="DEPT">[7]Hidden!#REF!</definedName>
    <definedName name="Dist" localSheetId="19">[18]Data!$E$3</definedName>
    <definedName name="Dist" localSheetId="18">[18]Data!$E$3</definedName>
    <definedName name="Dist" localSheetId="6">[18]Data!$E$3</definedName>
    <definedName name="Dist" localSheetId="7">[18]Data!$E$3</definedName>
    <definedName name="Dist" localSheetId="8">[18]Data!$E$3</definedName>
    <definedName name="Dist">[19]Data!$E$3</definedName>
    <definedName name="District" localSheetId="0">'2120 BS'!$K$1</definedName>
    <definedName name="District" localSheetId="1">'2120 IS'!$K$1</definedName>
    <definedName name="District" localSheetId="26">'Empire BS 6-30-15'!#REF!</definedName>
    <definedName name="District" localSheetId="7">'[20]Vashon BS'!#REF!</definedName>
    <definedName name="District" localSheetId="8">'[20]Vashon BS'!#REF!</definedName>
    <definedName name="District" localSheetId="11">'[20]Vashon BS'!#REF!</definedName>
    <definedName name="District" localSheetId="12">'[20]Vashon BS'!#REF!</definedName>
    <definedName name="District" localSheetId="20">'Region OH Calc'!$K$1</definedName>
    <definedName name="District">'[20]Vashon BS'!#REF!</definedName>
    <definedName name="DistrictName" localSheetId="0">'2120 BS'!#REF!</definedName>
    <definedName name="DistrictName" localSheetId="1">'2120 IS'!$K$2</definedName>
    <definedName name="DistrictName" localSheetId="26">'Empire BS 6-30-15'!#REF!</definedName>
    <definedName name="DistrictName" localSheetId="20">'Region OH Calc'!$K$2</definedName>
    <definedName name="DistrictNum" localSheetId="19">#REF!</definedName>
    <definedName name="DistrictNum" localSheetId="6">#REF!</definedName>
    <definedName name="DistrictNum" localSheetId="7">#REF!</definedName>
    <definedName name="DistrictNum" localSheetId="8">#REF!</definedName>
    <definedName name="DistrictNum" localSheetId="11">#REF!</definedName>
    <definedName name="DistrictNum" localSheetId="10">#REF!</definedName>
    <definedName name="DistrictNum">#REF!</definedName>
    <definedName name="Districts" localSheetId="16">'40131 Disposal'!$M$12</definedName>
    <definedName name="Districts" localSheetId="25">'70195 Detail'!$L$12</definedName>
    <definedName name="Districts" localSheetId="23">'B&amp;O Taxes'!$M$12</definedName>
    <definedName name="Districts">'70095 Detail'!$L$12</definedName>
    <definedName name="dOG" localSheetId="7">#REF!</definedName>
    <definedName name="dOG" localSheetId="8">#REF!</definedName>
    <definedName name="dOG" localSheetId="11">#REF!</definedName>
    <definedName name="dOG">#REF!</definedName>
    <definedName name="drlFilter">[1]Settings!$D$27</definedName>
    <definedName name="End" localSheetId="19">#REF!</definedName>
    <definedName name="End" localSheetId="18">#REF!</definedName>
    <definedName name="End" localSheetId="6">#REF!</definedName>
    <definedName name="End" localSheetId="7">#REF!</definedName>
    <definedName name="End" localSheetId="8">#REF!</definedName>
    <definedName name="End" localSheetId="11">'[21]IS-2120'!#REF!</definedName>
    <definedName name="End" localSheetId="12">#REF!</definedName>
    <definedName name="End" localSheetId="10">#REF!</definedName>
    <definedName name="End">#REF!</definedName>
    <definedName name="EntrieShownLimit" localSheetId="16">'40131 Disposal'!$D$6</definedName>
    <definedName name="EntrieShownLimit" localSheetId="24">'70095 Detail'!$D$6</definedName>
    <definedName name="EntrieShownLimit" localSheetId="25">'70195 Detail'!$D$6</definedName>
    <definedName name="EntrieShownLimit" localSheetId="23">'B&amp;O Taxes'!$D$6</definedName>
    <definedName name="EntrieShownLimit" localSheetId="19">'[15]38000 Other Rev'!$D$6</definedName>
    <definedName name="EntrieShownLimit" localSheetId="18">'[15]38000 Other Rev'!$D$6</definedName>
    <definedName name="EntrieShownLimit" localSheetId="17">'[16]Driver GL Detail 2016'!$D$6</definedName>
    <definedName name="EntrieShownLimit" localSheetId="6">'[15]38000 Other Rev'!$D$6</definedName>
    <definedName name="EntrieShownLimit" localSheetId="7">'[15]38000 Other Rev'!$D$6</definedName>
    <definedName name="EntrieShownLimit" localSheetId="8">'[15]38000 Other Rev'!$D$6</definedName>
    <definedName name="EntrieShownLimit">'[17]38000 Other Rev'!$D$6</definedName>
    <definedName name="ExcludeIC" localSheetId="0">'2120 BS'!#REF!</definedName>
    <definedName name="ExcludeIC" localSheetId="1">'2120 IS'!$O$1</definedName>
    <definedName name="ExcludeIC" localSheetId="19">'[15]2025 BS'!#REF!</definedName>
    <definedName name="ExcludeIC" localSheetId="18">'[15]2025 BS'!#REF!</definedName>
    <definedName name="ExcludeIC" localSheetId="26">'Empire BS 6-30-15'!#REF!</definedName>
    <definedName name="ExcludeIC" localSheetId="6">'[15]2025 BS'!#REF!</definedName>
    <definedName name="ExcludeIC" localSheetId="7">'[15]2025 BS'!#REF!</definedName>
    <definedName name="ExcludeIC" localSheetId="8">'[15]2025 BS'!#REF!</definedName>
    <definedName name="ExcludeIC" localSheetId="11">'[20]Vashon BS'!#REF!</definedName>
    <definedName name="ExcludeIC" localSheetId="12">'[20]Vashon BS'!#REF!</definedName>
    <definedName name="ExcludeIC" localSheetId="20">'Region OH Calc'!$O$1</definedName>
    <definedName name="ExcludeIC">'[17]2025 BS'!#REF!</definedName>
    <definedName name="FBTable" localSheetId="19">#REF!</definedName>
    <definedName name="FBTable" localSheetId="17">#REF!</definedName>
    <definedName name="FBTable" localSheetId="6">#REF!</definedName>
    <definedName name="FBTable" localSheetId="7">#REF!</definedName>
    <definedName name="FBTable" localSheetId="8">#REF!</definedName>
    <definedName name="FBTable" localSheetId="11">#REF!</definedName>
    <definedName name="FBTable" localSheetId="10">#REF!</definedName>
    <definedName name="FBTable">#REF!</definedName>
    <definedName name="FBTableOld" localSheetId="17">#REF!</definedName>
    <definedName name="FBTableOld" localSheetId="6">#REF!</definedName>
    <definedName name="FBTableOld" localSheetId="7">#REF!</definedName>
    <definedName name="FBTableOld" localSheetId="8">#REF!</definedName>
    <definedName name="FBTableOld" localSheetId="11">#REF!</definedName>
    <definedName name="FBTableOld" localSheetId="10">#REF!</definedName>
    <definedName name="FBTableOld">#REF!</definedName>
    <definedName name="filter">[1]Settings!$B$14:$H$25</definedName>
    <definedName name="FromMonth" localSheetId="16">'40131 Disposal'!$C$8</definedName>
    <definedName name="FromMonth" localSheetId="25">'70195 Detail'!$C$8</definedName>
    <definedName name="FromMonth" localSheetId="23">'B&amp;O Taxes'!$C$8</definedName>
    <definedName name="FromMonth">'70095 Detail'!$C$8</definedName>
    <definedName name="FundsApprPend" localSheetId="19">[18]Data!#REF!</definedName>
    <definedName name="FundsApprPend" localSheetId="18">[18]Data!#REF!</definedName>
    <definedName name="FundsApprPend" localSheetId="6">[18]Data!#REF!</definedName>
    <definedName name="FundsApprPend" localSheetId="7">[18]Data!#REF!</definedName>
    <definedName name="FundsApprPend" localSheetId="8">[18]Data!#REF!</definedName>
    <definedName name="FundsApprPend">[19]Data!#REF!</definedName>
    <definedName name="FundsBudUnbud" localSheetId="19">[18]Data!#REF!</definedName>
    <definedName name="FundsBudUnbud" localSheetId="18">[18]Data!#REF!</definedName>
    <definedName name="FundsBudUnbud" localSheetId="6">[18]Data!#REF!</definedName>
    <definedName name="FundsBudUnbud" localSheetId="7">[18]Data!#REF!</definedName>
    <definedName name="FundsBudUnbud" localSheetId="8">[18]Data!#REF!</definedName>
    <definedName name="FundsBudUnbud">[19]Data!#REF!</definedName>
    <definedName name="GLMappingStart" localSheetId="19">#REF!</definedName>
    <definedName name="GLMappingStart" localSheetId="6">#REF!</definedName>
    <definedName name="GLMappingStart" localSheetId="7">#REF!</definedName>
    <definedName name="GLMappingStart" localSheetId="8">#REF!</definedName>
    <definedName name="GLMappingStart" localSheetId="11">#REF!</definedName>
    <definedName name="GLMappingStart" localSheetId="10">#REF!</definedName>
    <definedName name="GLMappingStart">#REF!</definedName>
    <definedName name="GLMappingStart1" localSheetId="19">#REF!</definedName>
    <definedName name="GLMappingStart1" localSheetId="7">#REF!</definedName>
    <definedName name="GLMappingStart1" localSheetId="8">#REF!</definedName>
    <definedName name="GLMappingStart1">#REF!</definedName>
    <definedName name="Import_Range" localSheetId="19">[18]Data!#REF!</definedName>
    <definedName name="Import_Range" localSheetId="18">[18]Data!#REF!</definedName>
    <definedName name="Import_Range" localSheetId="6">[18]Data!#REF!</definedName>
    <definedName name="Import_Range" localSheetId="7">[18]Data!#REF!</definedName>
    <definedName name="Import_Range" localSheetId="8">[18]Data!#REF!</definedName>
    <definedName name="Import_Range">[19]Data!#REF!</definedName>
    <definedName name="IncomeStmnt" localSheetId="19">#REF!</definedName>
    <definedName name="IncomeStmnt" localSheetId="6">#REF!</definedName>
    <definedName name="IncomeStmnt" localSheetId="7">#REF!</definedName>
    <definedName name="IncomeStmnt" localSheetId="8">#REF!</definedName>
    <definedName name="IncomeStmnt" localSheetId="11">#REF!</definedName>
    <definedName name="IncomeStmnt" localSheetId="10">#REF!</definedName>
    <definedName name="IncomeStmnt">#REF!</definedName>
    <definedName name="INPUT" localSheetId="19">#REF!</definedName>
    <definedName name="INPUT" localSheetId="18">#REF!</definedName>
    <definedName name="INPUT" localSheetId="6">#REF!</definedName>
    <definedName name="INPUT" localSheetId="7">#REF!</definedName>
    <definedName name="INPUT" localSheetId="8">#REF!</definedName>
    <definedName name="INPUT" localSheetId="11">#REF!</definedName>
    <definedName name="INPUT" localSheetId="10">#REF!</definedName>
    <definedName name="INPUT">#REF!</definedName>
    <definedName name="Insurance" localSheetId="6">#REF!</definedName>
    <definedName name="Insurance" localSheetId="7">#REF!</definedName>
    <definedName name="Insurance" localSheetId="8">#REF!</definedName>
    <definedName name="Insurance" localSheetId="11">#REF!</definedName>
    <definedName name="Insurance" localSheetId="10">#REF!</definedName>
    <definedName name="Insurance">#REF!</definedName>
    <definedName name="Invoice_Start" localSheetId="19">[18]Invoice_Drill!#REF!</definedName>
    <definedName name="Invoice_Start" localSheetId="18">[18]Invoice_Drill!#REF!</definedName>
    <definedName name="Invoice_Start" localSheetId="6">[18]Invoice_Drill!#REF!</definedName>
    <definedName name="Invoice_Start" localSheetId="7">[18]Invoice_Drill!#REF!</definedName>
    <definedName name="Invoice_Start" localSheetId="8">[18]Invoice_Drill!#REF!</definedName>
    <definedName name="Invoice_Start">[19]Invoice_Drill!#REF!</definedName>
    <definedName name="JEDetail" localSheetId="19">#REF!</definedName>
    <definedName name="JEDetail" localSheetId="6">#REF!</definedName>
    <definedName name="JEDetail" localSheetId="7">#REF!</definedName>
    <definedName name="JEDetail" localSheetId="8">#REF!</definedName>
    <definedName name="JEDetail" localSheetId="11">#REF!</definedName>
    <definedName name="JEDetail" localSheetId="10">#REF!</definedName>
    <definedName name="JEDetail">#REF!</definedName>
    <definedName name="JEDetail1" localSheetId="19">#REF!</definedName>
    <definedName name="JEDetail1" localSheetId="7">#REF!</definedName>
    <definedName name="JEDetail1" localSheetId="8">#REF!</definedName>
    <definedName name="JEDetail1">#REF!</definedName>
    <definedName name="JEType" localSheetId="6">#REF!</definedName>
    <definedName name="JEType" localSheetId="7">#REF!</definedName>
    <definedName name="JEType" localSheetId="8">#REF!</definedName>
    <definedName name="JEType" localSheetId="11">#REF!</definedName>
    <definedName name="JEType" localSheetId="10">#REF!</definedName>
    <definedName name="JEType">#REF!</definedName>
    <definedName name="JEType1" localSheetId="7">#REF!</definedName>
    <definedName name="JEType1" localSheetId="8">#REF!</definedName>
    <definedName name="JEType1">#REF!</definedName>
    <definedName name="lblBillAreaStatus" localSheetId="6">#REF!</definedName>
    <definedName name="lblBillAreaStatus" localSheetId="7">#REF!</definedName>
    <definedName name="lblBillAreaStatus" localSheetId="8">#REF!</definedName>
    <definedName name="lblBillAreaStatus" localSheetId="11">#REF!</definedName>
    <definedName name="lblBillAreaStatus" localSheetId="10">#REF!</definedName>
    <definedName name="lblBillAreaStatus">#REF!</definedName>
    <definedName name="lblBillCycleStatus" localSheetId="6">#REF!</definedName>
    <definedName name="lblBillCycleStatus" localSheetId="7">#REF!</definedName>
    <definedName name="lblBillCycleStatus" localSheetId="8">#REF!</definedName>
    <definedName name="lblBillCycleStatus" localSheetId="11">#REF!</definedName>
    <definedName name="lblBillCycleStatus" localSheetId="10">#REF!</definedName>
    <definedName name="lblBillCycleStatus">#REF!</definedName>
    <definedName name="lblCategoryStatus" localSheetId="6">#REF!</definedName>
    <definedName name="lblCategoryStatus" localSheetId="7">#REF!</definedName>
    <definedName name="lblCategoryStatus" localSheetId="8">#REF!</definedName>
    <definedName name="lblCategoryStatus" localSheetId="11">#REF!</definedName>
    <definedName name="lblCategoryStatus" localSheetId="10">#REF!</definedName>
    <definedName name="lblCategoryStatus">#REF!</definedName>
    <definedName name="lblCompanyStatus" localSheetId="6">#REF!</definedName>
    <definedName name="lblCompanyStatus" localSheetId="7">#REF!</definedName>
    <definedName name="lblCompanyStatus" localSheetId="8">#REF!</definedName>
    <definedName name="lblCompanyStatus" localSheetId="11">#REF!</definedName>
    <definedName name="lblCompanyStatus" localSheetId="10">#REF!</definedName>
    <definedName name="lblCompanyStatus">#REF!</definedName>
    <definedName name="lblDatabaseStatus" localSheetId="6">#REF!</definedName>
    <definedName name="lblDatabaseStatus" localSheetId="7">#REF!</definedName>
    <definedName name="lblDatabaseStatus" localSheetId="8">#REF!</definedName>
    <definedName name="lblDatabaseStatus" localSheetId="11">#REF!</definedName>
    <definedName name="lblDatabaseStatus" localSheetId="10">#REF!</definedName>
    <definedName name="lblDatabaseStatus">#REF!</definedName>
    <definedName name="lblPullStatus" localSheetId="6">#REF!</definedName>
    <definedName name="lblPullStatus" localSheetId="7">#REF!</definedName>
    <definedName name="lblPullStatus" localSheetId="8">#REF!</definedName>
    <definedName name="lblPullStatus" localSheetId="11">#REF!</definedName>
    <definedName name="lblPullStatus" localSheetId="10">#REF!</definedName>
    <definedName name="lblPullStatus">#REF!</definedName>
    <definedName name="lllllllllllllllllllll" localSheetId="6">#REF!</definedName>
    <definedName name="lllllllllllllllllllll" localSheetId="7">#REF!</definedName>
    <definedName name="lllllllllllllllllllll" localSheetId="8">#REF!</definedName>
    <definedName name="lllllllllllllllllllll" localSheetId="11">#REF!</definedName>
    <definedName name="lllllllllllllllllllll" localSheetId="10">#REF!</definedName>
    <definedName name="lllllllllllllllllllll">#REF!</definedName>
    <definedName name="MainDataEnd" localSheetId="6">#REF!</definedName>
    <definedName name="MainDataEnd" localSheetId="7">#REF!</definedName>
    <definedName name="MainDataEnd" localSheetId="8">#REF!</definedName>
    <definedName name="MainDataEnd" localSheetId="11">#REF!</definedName>
    <definedName name="MainDataEnd" localSheetId="10">#REF!</definedName>
    <definedName name="MainDataEnd">#REF!</definedName>
    <definedName name="MainDataStart" localSheetId="6">#REF!</definedName>
    <definedName name="MainDataStart" localSheetId="7">#REF!</definedName>
    <definedName name="MainDataStart" localSheetId="8">#REF!</definedName>
    <definedName name="MainDataStart" localSheetId="11">#REF!</definedName>
    <definedName name="MainDataStart" localSheetId="10">#REF!</definedName>
    <definedName name="MainDataStart">#REF!</definedName>
    <definedName name="MapKeyStart" localSheetId="6">#REF!</definedName>
    <definedName name="MapKeyStart" localSheetId="7">#REF!</definedName>
    <definedName name="MapKeyStart" localSheetId="8">#REF!</definedName>
    <definedName name="MapKeyStart" localSheetId="11">#REF!</definedName>
    <definedName name="MapKeyStart" localSheetId="10">#REF!</definedName>
    <definedName name="MapKeyStart">#REF!</definedName>
    <definedName name="master_def" localSheetId="18">#REF!</definedName>
    <definedName name="master_def" localSheetId="6">#REF!</definedName>
    <definedName name="master_def" localSheetId="7">#REF!</definedName>
    <definedName name="master_def" localSheetId="8">#REF!</definedName>
    <definedName name="master_def" localSheetId="11">'[21]IS-2120'!#REF!</definedName>
    <definedName name="master_def" localSheetId="12">#REF!</definedName>
    <definedName name="master_def" localSheetId="10">#REF!</definedName>
    <definedName name="master_def">#REF!</definedName>
    <definedName name="MemoAttachment" localSheetId="7">#REF!</definedName>
    <definedName name="MemoAttachment" localSheetId="8">#REF!</definedName>
    <definedName name="MemoAttachment" localSheetId="11">#REF!</definedName>
    <definedName name="MemoAttachment">#REF!</definedName>
    <definedName name="MetaSet">[1]Orientation!$C$22</definedName>
    <definedName name="MonthList" localSheetId="19">'[18]Lookup Tables'!$A$1:$A$13</definedName>
    <definedName name="MonthList" localSheetId="18">'[18]Lookup Tables'!$A$1:$A$13</definedName>
    <definedName name="MonthList" localSheetId="6">'[18]Lookup Tables'!$A$1:$A$13</definedName>
    <definedName name="MonthList" localSheetId="7">'[18]Lookup Tables'!$A$1:$A$13</definedName>
    <definedName name="MonthList" localSheetId="8">'[18]Lookup Tables'!$A$1:$A$13</definedName>
    <definedName name="MonthList">'[19]Lookup Tables'!$A$1:$A$13</definedName>
    <definedName name="NewOnlyOrg">#N/A</definedName>
    <definedName name="NOTES" localSheetId="19">#REF!</definedName>
    <definedName name="NOTES" localSheetId="6">#REF!</definedName>
    <definedName name="NOTES" localSheetId="7">#REF!</definedName>
    <definedName name="NOTES" localSheetId="8">#REF!</definedName>
    <definedName name="NOTES" localSheetId="11">#REF!</definedName>
    <definedName name="NOTES" localSheetId="10">#REF!</definedName>
    <definedName name="NOTES">#REF!</definedName>
    <definedName name="NR" localSheetId="19">#REF!</definedName>
    <definedName name="NR" localSheetId="7">#REF!</definedName>
    <definedName name="NR" localSheetId="8">#REF!</definedName>
    <definedName name="NR" localSheetId="11">#REF!</definedName>
    <definedName name="NR">#REF!</definedName>
    <definedName name="OfficerSalary">#N/A</definedName>
    <definedName name="OffsetAcctBil" localSheetId="11">[22]JEexport!$L$10</definedName>
    <definedName name="OffsetAcctBil">[23]JEexport!$L$10</definedName>
    <definedName name="OffsetAcctPmt" localSheetId="11">[22]JEexport!$L$9</definedName>
    <definedName name="OffsetAcctPmt">[23]JEexport!$L$9</definedName>
    <definedName name="Org11_13">#N/A</definedName>
    <definedName name="Org7_10">#N/A</definedName>
    <definedName name="p" localSheetId="19">#REF!</definedName>
    <definedName name="p" localSheetId="6">#REF!</definedName>
    <definedName name="p" localSheetId="7">#REF!</definedName>
    <definedName name="p" localSheetId="8">#REF!</definedName>
    <definedName name="p" localSheetId="11">#REF!</definedName>
    <definedName name="p" localSheetId="10">#REF!</definedName>
    <definedName name="p">#REF!</definedName>
    <definedName name="PAGE_1" localSheetId="6">#REF!</definedName>
    <definedName name="PAGE_1" localSheetId="7">#REF!</definedName>
    <definedName name="PAGE_1" localSheetId="8">#REF!</definedName>
    <definedName name="PAGE_1" localSheetId="11">#REF!</definedName>
    <definedName name="PAGE_1" localSheetId="10">#REF!</definedName>
    <definedName name="PAGE_1">#REF!</definedName>
    <definedName name="pBatchID" localSheetId="6">#REF!</definedName>
    <definedName name="pBatchID" localSheetId="7">#REF!</definedName>
    <definedName name="pBatchID" localSheetId="8">#REF!</definedName>
    <definedName name="pBatchID" localSheetId="11">#REF!</definedName>
    <definedName name="pBatchID" localSheetId="10">#REF!</definedName>
    <definedName name="pBatchID">#REF!</definedName>
    <definedName name="pBillArea" localSheetId="6">#REF!</definedName>
    <definedName name="pBillArea" localSheetId="7">#REF!</definedName>
    <definedName name="pBillArea" localSheetId="8">#REF!</definedName>
    <definedName name="pBillArea" localSheetId="11">#REF!</definedName>
    <definedName name="pBillArea" localSheetId="10">#REF!</definedName>
    <definedName name="pBillArea">#REF!</definedName>
    <definedName name="pBillCycle" localSheetId="6">#REF!</definedName>
    <definedName name="pBillCycle" localSheetId="7">#REF!</definedName>
    <definedName name="pBillCycle" localSheetId="8">#REF!</definedName>
    <definedName name="pBillCycle" localSheetId="11">#REF!</definedName>
    <definedName name="pBillCycle" localSheetId="10">#REF!</definedName>
    <definedName name="pBillCycle">#REF!</definedName>
    <definedName name="pCategory" localSheetId="6">#REF!</definedName>
    <definedName name="pCategory" localSheetId="7">#REF!</definedName>
    <definedName name="pCategory" localSheetId="8">#REF!</definedName>
    <definedName name="pCategory" localSheetId="11">#REF!</definedName>
    <definedName name="pCategory" localSheetId="10">#REF!</definedName>
    <definedName name="pCategory">#REF!</definedName>
    <definedName name="pCompany" localSheetId="6">#REF!</definedName>
    <definedName name="pCompany" localSheetId="7">#REF!</definedName>
    <definedName name="pCompany" localSheetId="8">#REF!</definedName>
    <definedName name="pCompany" localSheetId="11">#REF!</definedName>
    <definedName name="pCompany" localSheetId="10">#REF!</definedName>
    <definedName name="pCompany">#REF!</definedName>
    <definedName name="pCustomerNumber" localSheetId="6">#REF!</definedName>
    <definedName name="pCustomerNumber" localSheetId="7">#REF!</definedName>
    <definedName name="pCustomerNumber" localSheetId="8">#REF!</definedName>
    <definedName name="pCustomerNumber" localSheetId="11">#REF!</definedName>
    <definedName name="pCustomerNumber" localSheetId="10">#REF!</definedName>
    <definedName name="pCustomerNumber">#REF!</definedName>
    <definedName name="pDatabase" localSheetId="6">#REF!</definedName>
    <definedName name="pDatabase" localSheetId="7">#REF!</definedName>
    <definedName name="pDatabase" localSheetId="8">#REF!</definedName>
    <definedName name="pDatabase" localSheetId="11">#REF!</definedName>
    <definedName name="pDatabase" localSheetId="10">#REF!</definedName>
    <definedName name="pDatabase">#REF!</definedName>
    <definedName name="pEndPostDate" localSheetId="6">#REF!</definedName>
    <definedName name="pEndPostDate" localSheetId="7">#REF!</definedName>
    <definedName name="pEndPostDate" localSheetId="8">#REF!</definedName>
    <definedName name="pEndPostDate" localSheetId="11">#REF!</definedName>
    <definedName name="pEndPostDate" localSheetId="10">#REF!</definedName>
    <definedName name="pEndPostDate">#REF!</definedName>
    <definedName name="Period" localSheetId="6">#REF!</definedName>
    <definedName name="Period" localSheetId="7">#REF!</definedName>
    <definedName name="Period" localSheetId="8">#REF!</definedName>
    <definedName name="Period" localSheetId="11">#REF!</definedName>
    <definedName name="Period" localSheetId="10">#REF!</definedName>
    <definedName name="Period">#REF!</definedName>
    <definedName name="pMonth" localSheetId="6">#REF!</definedName>
    <definedName name="pMonth" localSheetId="7">#REF!</definedName>
    <definedName name="pMonth" localSheetId="8">#REF!</definedName>
    <definedName name="pMonth" localSheetId="11">#REF!</definedName>
    <definedName name="pMonth" localSheetId="10">#REF!</definedName>
    <definedName name="pMonth">#REF!</definedName>
    <definedName name="pOnlyShowLastTranx" localSheetId="6">#REF!</definedName>
    <definedName name="pOnlyShowLastTranx" localSheetId="7">#REF!</definedName>
    <definedName name="pOnlyShowLastTranx" localSheetId="8">#REF!</definedName>
    <definedName name="pOnlyShowLastTranx" localSheetId="11">#REF!</definedName>
    <definedName name="pOnlyShowLastTranx" localSheetId="10">#REF!</definedName>
    <definedName name="pOnlyShowLastTranx">#REF!</definedName>
    <definedName name="Posting" localSheetId="16">'40131 Disposal'!$P$15</definedName>
    <definedName name="Posting" localSheetId="25">'70195 Detail'!$O$15</definedName>
    <definedName name="Posting" localSheetId="23">'B&amp;O Taxes'!$P$15</definedName>
    <definedName name="Posting">'70095 Detail'!$O$15</definedName>
    <definedName name="primtbl">[1]Orientation!$C$23</definedName>
    <definedName name="_xlnm.Print_Area" localSheetId="0">'2120 BS'!$A$1:$AE$188</definedName>
    <definedName name="_xlnm.Print_Area" localSheetId="14">'2120 Depr'!$A$1:$AG$305</definedName>
    <definedName name="_xlnm.Print_Area" localSheetId="13">'2120 Depr Summary'!$A$1:$AE$46</definedName>
    <definedName name="_xlnm.Print_Area" localSheetId="1">'2120 IS'!$A$1:$AE$280</definedName>
    <definedName name="_xlnm.Print_Area" localSheetId="16">'40131 Disposal'!$B$9:$N$121</definedName>
    <definedName name="_xlnm.Print_Area" localSheetId="24">'70095 Detail'!$B$9:$M$90</definedName>
    <definedName name="_xlnm.Print_Area" localSheetId="25">'70195 Detail'!$B$9:$M$81</definedName>
    <definedName name="_xlnm.Print_Area" localSheetId="23">'B&amp;O Taxes'!$B$9:$N$63</definedName>
    <definedName name="_xlnm.Print_Area" localSheetId="2">'Consolidated IS'!$A$1:$U$204</definedName>
    <definedName name="_xlnm.Print_Area" localSheetId="19">'Corp-OH'!$A$5:$G$92</definedName>
    <definedName name="_xlnm.Print_Area" localSheetId="15">Disposal!$A$1:$R$81</definedName>
    <definedName name="_xlnm.Print_Area" localSheetId="18">#REF!</definedName>
    <definedName name="_xlnm.Print_Area" localSheetId="26">'Empire BS 6-30-15'!$A$1:$I$182</definedName>
    <definedName name="_xlnm.Print_Area" localSheetId="17">'Empire Payroll'!$A$1:$AD$152</definedName>
    <definedName name="_xlnm.Print_Area" localSheetId="6">LG!$B$1:$K$40</definedName>
    <definedName name="_xlnm.Print_Area" localSheetId="7">'LG - Packer,RO'!$B$1:$K$40</definedName>
    <definedName name="_xlnm.Print_Area" localSheetId="8">'LG - Recycle'!$B$1:$K$40</definedName>
    <definedName name="_xlnm.Print_Area" localSheetId="11">'Rate Sheet'!$A$1:$E$529</definedName>
    <definedName name="_xlnm.Print_Area" localSheetId="12">#REF!</definedName>
    <definedName name="_xlnm.Print_Area" localSheetId="20">'Region OH Calc'!$A$1:$AJ$49</definedName>
    <definedName name="_xlnm.Print_Area" localSheetId="9">'Spokane Reg - Price out'!$A$1:$T$110</definedName>
    <definedName name="_xlnm.Print_Area" localSheetId="10">'Whitman Reg - Price Out'!$A$1:$R$165</definedName>
    <definedName name="_xlnm.Print_Area">#REF!</definedName>
    <definedName name="Print_Area_MI" localSheetId="14">'2120 Depr'!$B$1:$AB$57</definedName>
    <definedName name="Print_Area_MI" localSheetId="19">#REF!</definedName>
    <definedName name="Print_Area_MI" localSheetId="18">#REF!</definedName>
    <definedName name="Print_Area_MI" localSheetId="6">#REF!</definedName>
    <definedName name="Print_Area_MI" localSheetId="7">#REF!</definedName>
    <definedName name="Print_Area_MI" localSheetId="8">#REF!</definedName>
    <definedName name="Print_Area_MI" localSheetId="11">#REF!</definedName>
    <definedName name="Print_Area_MI" localSheetId="10">#REF!</definedName>
    <definedName name="Print_Area_MI">#REF!</definedName>
    <definedName name="Print_Area1" localSheetId="6">#REF!</definedName>
    <definedName name="Print_Area1" localSheetId="7">#REF!</definedName>
    <definedName name="Print_Area1" localSheetId="8">#REF!</definedName>
    <definedName name="Print_Area1" localSheetId="11">#REF!</definedName>
    <definedName name="Print_Area1" localSheetId="10">#REF!</definedName>
    <definedName name="Print_Area1">#REF!</definedName>
    <definedName name="Print_Area2" localSheetId="6">#REF!</definedName>
    <definedName name="Print_Area2" localSheetId="7">#REF!</definedName>
    <definedName name="Print_Area2" localSheetId="8">#REF!</definedName>
    <definedName name="Print_Area2" localSheetId="11">#REF!</definedName>
    <definedName name="Print_Area2" localSheetId="10">#REF!</definedName>
    <definedName name="Print_Area2">#REF!</definedName>
    <definedName name="Print_Area3" localSheetId="6">#REF!</definedName>
    <definedName name="Print_Area3" localSheetId="7">#REF!</definedName>
    <definedName name="Print_Area3" localSheetId="8">#REF!</definedName>
    <definedName name="Print_Area3" localSheetId="11">#REF!</definedName>
    <definedName name="Print_Area3" localSheetId="10">#REF!</definedName>
    <definedName name="Print_Area3">#REF!</definedName>
    <definedName name="Print_Area5" localSheetId="6">#REF!</definedName>
    <definedName name="Print_Area5" localSheetId="7">#REF!</definedName>
    <definedName name="Print_Area5" localSheetId="8">#REF!</definedName>
    <definedName name="Print_Area5" localSheetId="11">#REF!</definedName>
    <definedName name="Print_Area5" localSheetId="10">#REF!</definedName>
    <definedName name="Print_Area5">#REF!</definedName>
    <definedName name="_xlnm.Print_Titles" localSheetId="0">'2120 BS'!$1:$6</definedName>
    <definedName name="_xlnm.Print_Titles" localSheetId="14">'2120 Depr'!$1:$11</definedName>
    <definedName name="_xlnm.Print_Titles" localSheetId="13">'2120 Depr Summary'!$A:$A</definedName>
    <definedName name="_xlnm.Print_Titles" localSheetId="1">'2120 IS'!$A:$E,'2120 IS'!$1:$6</definedName>
    <definedName name="_xlnm.Print_Titles" localSheetId="16">'40131 Disposal'!$B:$B,'40131 Disposal'!$9:$20</definedName>
    <definedName name="_xlnm.Print_Titles" localSheetId="24">'70095 Detail'!$B:$B,'70095 Detail'!$9:$20</definedName>
    <definedName name="_xlnm.Print_Titles" localSheetId="25">'70195 Detail'!$B:$B,'70195 Detail'!$9:$20</definedName>
    <definedName name="_xlnm.Print_Titles" localSheetId="23">'B&amp;O Taxes'!$B:$B,'B&amp;O Taxes'!$9:$20</definedName>
    <definedName name="_xlnm.Print_Titles" localSheetId="2">'Consolidated IS'!$1:$6</definedName>
    <definedName name="_xlnm.Print_Titles" localSheetId="26">'Empire BS 6-30-15'!$1:$5</definedName>
    <definedName name="_xlnm.Print_Titles" localSheetId="17">'Empire Payroll'!$1:$7</definedName>
    <definedName name="_xlnm.Print_Titles" localSheetId="11">'Rate Sheet'!$A:$A,'Rate Sheet'!$1:$7</definedName>
    <definedName name="_xlnm.Print_Titles" localSheetId="5">Ratios!$1:$3</definedName>
    <definedName name="_xlnm.Print_Titles" localSheetId="20">'Region OH Calc'!$A:$E,'Region OH Calc'!$1:$6</definedName>
    <definedName name="_xlnm.Print_Titles" localSheetId="3">'Restating Adj''s'!$1:$3</definedName>
    <definedName name="_xlnm.Print_Titles" localSheetId="9">'Spokane Reg - Price out'!$1:$5</definedName>
    <definedName name="_xlnm.Print_Titles" localSheetId="10">'Whitman Reg - Price Out'!$1:$5</definedName>
    <definedName name="Print1" localSheetId="19">#REF!</definedName>
    <definedName name="Print1" localSheetId="6">#REF!</definedName>
    <definedName name="Print1" localSheetId="7">#REF!</definedName>
    <definedName name="Print1" localSheetId="8">#REF!</definedName>
    <definedName name="Print1" localSheetId="11">#REF!</definedName>
    <definedName name="Print1" localSheetId="10">#REF!</definedName>
    <definedName name="Print1">#REF!</definedName>
    <definedName name="Print2" localSheetId="6">#REF!</definedName>
    <definedName name="Print2" localSheetId="7">#REF!</definedName>
    <definedName name="Print2" localSheetId="8">#REF!</definedName>
    <definedName name="Print2" localSheetId="11">#REF!</definedName>
    <definedName name="Print2" localSheetId="10">#REF!</definedName>
    <definedName name="Print2">#REF!</definedName>
    <definedName name="Print5" localSheetId="6">#REF!</definedName>
    <definedName name="Print5" localSheetId="7">#REF!</definedName>
    <definedName name="Print5" localSheetId="8">#REF!</definedName>
    <definedName name="Print5" localSheetId="11">#REF!</definedName>
    <definedName name="Print5" localSheetId="10">#REF!</definedName>
    <definedName name="Print5">#REF!</definedName>
    <definedName name="ProRev" localSheetId="19">'[8]Pacific Regulated - Price Out'!$M$49</definedName>
    <definedName name="ProRev" localSheetId="18">'[8]Pacific Regulated - Price Out'!$M$49</definedName>
    <definedName name="ProRev" localSheetId="6">'[8]Pacific Regulated - Price Out'!$M$49</definedName>
    <definedName name="ProRev" localSheetId="7">'[8]Pacific Regulated - Price Out'!$M$49</definedName>
    <definedName name="ProRev" localSheetId="8">'[8]Pacific Regulated - Price Out'!$M$49</definedName>
    <definedName name="ProRev" localSheetId="11">'[9]Pacific Regulated - Price Out'!$M$49</definedName>
    <definedName name="ProRev" localSheetId="12">'[9]Pacific Regulated - Price Out'!$M$49</definedName>
    <definedName name="ProRev">'[10]Pacific Regulated - Price Out'!$M$49</definedName>
    <definedName name="ProRev_com" localSheetId="19">'[8]Pacific Regulated - Price Out'!$M$213</definedName>
    <definedName name="ProRev_com" localSheetId="18">'[8]Pacific Regulated - Price Out'!$M$213</definedName>
    <definedName name="ProRev_com" localSheetId="6">'[8]Pacific Regulated - Price Out'!$M$213</definedName>
    <definedName name="ProRev_com" localSheetId="7">'[8]Pacific Regulated - Price Out'!$M$213</definedName>
    <definedName name="ProRev_com" localSheetId="8">'[8]Pacific Regulated - Price Out'!$M$213</definedName>
    <definedName name="ProRev_com" localSheetId="11">'[9]Pacific Regulated - Price Out'!$M$213</definedName>
    <definedName name="ProRev_com" localSheetId="12">'[9]Pacific Regulated - Price Out'!$M$213</definedName>
    <definedName name="ProRev_com">'[10]Pacific Regulated - Price Out'!$M$213</definedName>
    <definedName name="ProRev_mfr" localSheetId="19">'[8]Pacific Regulated - Price Out'!$M$221</definedName>
    <definedName name="ProRev_mfr" localSheetId="18">'[8]Pacific Regulated - Price Out'!$M$221</definedName>
    <definedName name="ProRev_mfr" localSheetId="6">'[8]Pacific Regulated - Price Out'!$M$221</definedName>
    <definedName name="ProRev_mfr" localSheetId="7">'[8]Pacific Regulated - Price Out'!$M$221</definedName>
    <definedName name="ProRev_mfr" localSheetId="8">'[8]Pacific Regulated - Price Out'!$M$221</definedName>
    <definedName name="ProRev_mfr" localSheetId="11">'[9]Pacific Regulated - Price Out'!$M$221</definedName>
    <definedName name="ProRev_mfr" localSheetId="12">'[9]Pacific Regulated - Price Out'!$M$221</definedName>
    <definedName name="ProRev_mfr">'[10]Pacific Regulated - Price Out'!$M$221</definedName>
    <definedName name="ProRev_ro" localSheetId="19">'[8]Pacific Regulated - Price Out'!$M$281</definedName>
    <definedName name="ProRev_ro" localSheetId="18">'[8]Pacific Regulated - Price Out'!$M$281</definedName>
    <definedName name="ProRev_ro" localSheetId="6">'[8]Pacific Regulated - Price Out'!$M$281</definedName>
    <definedName name="ProRev_ro" localSheetId="7">'[8]Pacific Regulated - Price Out'!$M$281</definedName>
    <definedName name="ProRev_ro" localSheetId="8">'[8]Pacific Regulated - Price Out'!$M$281</definedName>
    <definedName name="ProRev_ro" localSheetId="11">'[9]Pacific Regulated - Price Out'!$M$281</definedName>
    <definedName name="ProRev_ro" localSheetId="12">'[9]Pacific Regulated - Price Out'!$M$281</definedName>
    <definedName name="ProRev_ro">'[10]Pacific Regulated - Price Out'!$M$281</definedName>
    <definedName name="ProRev_rr" localSheetId="19">'[8]Pacific Regulated - Price Out'!$M$58</definedName>
    <definedName name="ProRev_rr" localSheetId="18">'[8]Pacific Regulated - Price Out'!$M$58</definedName>
    <definedName name="ProRev_rr" localSheetId="6">'[8]Pacific Regulated - Price Out'!$M$58</definedName>
    <definedName name="ProRev_rr" localSheetId="7">'[8]Pacific Regulated - Price Out'!$M$58</definedName>
    <definedName name="ProRev_rr" localSheetId="8">'[8]Pacific Regulated - Price Out'!$M$58</definedName>
    <definedName name="ProRev_rr" localSheetId="11">'[9]Pacific Regulated - Price Out'!$M$58</definedName>
    <definedName name="ProRev_rr" localSheetId="12">'[9]Pacific Regulated - Price Out'!$M$58</definedName>
    <definedName name="ProRev_rr">'[10]Pacific Regulated - Price Out'!$M$58</definedName>
    <definedName name="ProRev_yw" localSheetId="19">'[8]Pacific Regulated - Price Out'!$M$69</definedName>
    <definedName name="ProRev_yw" localSheetId="18">'[8]Pacific Regulated - Price Out'!$M$69</definedName>
    <definedName name="ProRev_yw" localSheetId="6">'[8]Pacific Regulated - Price Out'!$M$69</definedName>
    <definedName name="ProRev_yw" localSheetId="7">'[8]Pacific Regulated - Price Out'!$M$69</definedName>
    <definedName name="ProRev_yw" localSheetId="8">'[8]Pacific Regulated - Price Out'!$M$69</definedName>
    <definedName name="ProRev_yw" localSheetId="11">'[9]Pacific Regulated - Price Out'!$M$69</definedName>
    <definedName name="ProRev_yw" localSheetId="12">'[9]Pacific Regulated - Price Out'!$M$69</definedName>
    <definedName name="ProRev_yw">'[10]Pacific Regulated - Price Out'!$M$69</definedName>
    <definedName name="pServer" localSheetId="19">#REF!</definedName>
    <definedName name="pServer" localSheetId="6">#REF!</definedName>
    <definedName name="pServer" localSheetId="7">#REF!</definedName>
    <definedName name="pServer" localSheetId="8">#REF!</definedName>
    <definedName name="pServer" localSheetId="11">#REF!</definedName>
    <definedName name="pServer" localSheetId="10">#REF!</definedName>
    <definedName name="pServer">#REF!</definedName>
    <definedName name="pServiceCode" localSheetId="6">#REF!</definedName>
    <definedName name="pServiceCode" localSheetId="7">#REF!</definedName>
    <definedName name="pServiceCode" localSheetId="8">#REF!</definedName>
    <definedName name="pServiceCode" localSheetId="11">#REF!</definedName>
    <definedName name="pServiceCode" localSheetId="10">#REF!</definedName>
    <definedName name="pServiceCode">#REF!</definedName>
    <definedName name="pShowAllUnposted" localSheetId="6">#REF!</definedName>
    <definedName name="pShowAllUnposted" localSheetId="7">#REF!</definedName>
    <definedName name="pShowAllUnposted" localSheetId="8">#REF!</definedName>
    <definedName name="pShowAllUnposted" localSheetId="11">#REF!</definedName>
    <definedName name="pShowAllUnposted" localSheetId="10">#REF!</definedName>
    <definedName name="pShowAllUnposted">#REF!</definedName>
    <definedName name="pShowCustomerDetail" localSheetId="6">#REF!</definedName>
    <definedName name="pShowCustomerDetail" localSheetId="7">#REF!</definedName>
    <definedName name="pShowCustomerDetail" localSheetId="8">#REF!</definedName>
    <definedName name="pShowCustomerDetail" localSheetId="11">#REF!</definedName>
    <definedName name="pShowCustomerDetail" localSheetId="10">#REF!</definedName>
    <definedName name="pShowCustomerDetail">#REF!</definedName>
    <definedName name="pSortOption" localSheetId="6">#REF!</definedName>
    <definedName name="pSortOption" localSheetId="7">#REF!</definedName>
    <definedName name="pSortOption" localSheetId="8">#REF!</definedName>
    <definedName name="pSortOption" localSheetId="11">#REF!</definedName>
    <definedName name="pSortOption" localSheetId="10">#REF!</definedName>
    <definedName name="pSortOption">#REF!</definedName>
    <definedName name="pStartPostDate" localSheetId="6">#REF!</definedName>
    <definedName name="pStartPostDate" localSheetId="7">#REF!</definedName>
    <definedName name="pStartPostDate" localSheetId="8">#REF!</definedName>
    <definedName name="pStartPostDate" localSheetId="11">#REF!</definedName>
    <definedName name="pStartPostDate" localSheetId="10">#REF!</definedName>
    <definedName name="pStartPostDate">#REF!</definedName>
    <definedName name="pTransType" localSheetId="6">#REF!</definedName>
    <definedName name="pTransType" localSheetId="7">#REF!</definedName>
    <definedName name="pTransType" localSheetId="8">#REF!</definedName>
    <definedName name="pTransType" localSheetId="11">#REF!</definedName>
    <definedName name="pTransType" localSheetId="10">#REF!</definedName>
    <definedName name="pTransType">#REF!</definedName>
    <definedName name="RCW_81.04.080">#N/A</definedName>
    <definedName name="RecyDisposal">#N/A</definedName>
    <definedName name="RelatedSalary">#N/A</definedName>
    <definedName name="report_type">[1]Orientation!$C$24</definedName>
    <definedName name="ReportNames" localSheetId="0">[24]ControlPanel!$S$2:$S$16</definedName>
    <definedName name="ReportNames" localSheetId="26">[24]ControlPanel!$S$2:$S$16</definedName>
    <definedName name="ReportNames" localSheetId="11">[14]ControlPanel!$X$2:$X$8</definedName>
    <definedName name="ReportNames" localSheetId="12">[14]ControlPanel!$X$2:$X$8</definedName>
    <definedName name="ReportNames">[25]ControlPanel!$S$2:$S$16</definedName>
    <definedName name="ReportVersion">[1]Settings!$D$5</definedName>
    <definedName name="RetainedEarnings" localSheetId="19">#REF!</definedName>
    <definedName name="RetainedEarnings" localSheetId="6">#REF!</definedName>
    <definedName name="RetainedEarnings" localSheetId="7">#REF!</definedName>
    <definedName name="RetainedEarnings" localSheetId="8">#REF!</definedName>
    <definedName name="RetainedEarnings" localSheetId="11">#REF!</definedName>
    <definedName name="RetainedEarnings" localSheetId="10">#REF!</definedName>
    <definedName name="RetainedEarnings">#REF!</definedName>
    <definedName name="RevCust" localSheetId="19">[26]RevenuesCust!#REF!</definedName>
    <definedName name="RevCust" localSheetId="18">[26]RevenuesCust!#REF!</definedName>
    <definedName name="RevCust" localSheetId="6">'[27]RevenuesCust, pg 8'!#REF!</definedName>
    <definedName name="RevCust" localSheetId="7">'[27]RevenuesCust, pg 8'!#REF!</definedName>
    <definedName name="RevCust" localSheetId="8">'[27]RevenuesCust, pg 8'!#REF!</definedName>
    <definedName name="RevCust" localSheetId="11">[28]RevenuesCust!#REF!</definedName>
    <definedName name="RevCust" localSheetId="12">[29]RevenuesCust!#REF!</definedName>
    <definedName name="RevCust" localSheetId="10">[29]RevenuesCust!#REF!</definedName>
    <definedName name="RevCust">[30]RevenuesCust!#REF!</definedName>
    <definedName name="RevCustomer" localSheetId="19">#REF!</definedName>
    <definedName name="RevCustomer" localSheetId="6">#REF!</definedName>
    <definedName name="RevCustomer" localSheetId="7">#REF!</definedName>
    <definedName name="RevCustomer" localSheetId="8">#REF!</definedName>
    <definedName name="RevCustomer" localSheetId="11">#REF!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19">#REF!</definedName>
    <definedName name="sortcol" localSheetId="18">#REF!</definedName>
    <definedName name="sortcol" localSheetId="6">#REF!</definedName>
    <definedName name="sortcol" localSheetId="7">#REF!</definedName>
    <definedName name="sortcol" localSheetId="8">#REF!</definedName>
    <definedName name="sortcol" localSheetId="11">'[21]IS-2120'!#REF!</definedName>
    <definedName name="sortcol" localSheetId="12">#REF!</definedName>
    <definedName name="sortcol" localSheetId="10">#REF!</definedName>
    <definedName name="sortcol">#REF!</definedName>
    <definedName name="sSRCDate" localSheetId="19">'[31]Feb''12 FAR Data'!#REF!</definedName>
    <definedName name="sSRCDate" localSheetId="6">'[32]Feb''12 FAR Data'!#REF!</definedName>
    <definedName name="sSRCDate" localSheetId="7">'[32]Feb''12 FAR Data'!#REF!</definedName>
    <definedName name="sSRCDate" localSheetId="8">'[32]Feb''12 FAR Data'!#REF!</definedName>
    <definedName name="sSRCDate" localSheetId="11">'[33]Feb''12 FAR Data'!#REF!</definedName>
    <definedName name="sSRCDate" localSheetId="10">'[31]Feb''12 FAR Data'!#REF!</definedName>
    <definedName name="sSRCDate">'[31]Feb''12 FAR Data'!#REF!</definedName>
    <definedName name="SubSystems" localSheetId="16">'40131 Disposal'!$M$15</definedName>
    <definedName name="SubSystems" localSheetId="25">'70195 Detail'!$L$15</definedName>
    <definedName name="SubSystems" localSheetId="23">'B&amp;O Taxes'!$M$15</definedName>
    <definedName name="SubSystems">'70095 Detail'!$L$15</definedName>
    <definedName name="Supplemental_filter">[1]Settings!$C$31</definedName>
    <definedName name="SWDisposal">#N/A</definedName>
    <definedName name="System" localSheetId="0">'2120 BS'!#REF!</definedName>
    <definedName name="System" localSheetId="1">'2120 IS'!$O$2</definedName>
    <definedName name="System" localSheetId="26">'Empire BS 6-30-15'!#REF!</definedName>
    <definedName name="System" localSheetId="20">'Region OH Calc'!$O$2</definedName>
    <definedName name="System">[34]BS_Close!$V$8</definedName>
    <definedName name="Systems" localSheetId="16">'40131 Disposal'!$M$14</definedName>
    <definedName name="Systems" localSheetId="25">'70195 Detail'!$L$14</definedName>
    <definedName name="Systems" localSheetId="23">'B&amp;O Taxes'!$M$14</definedName>
    <definedName name="Systems">'70095 Detail'!$L$14</definedName>
    <definedName name="TemplateEnd" localSheetId="19">#REF!</definedName>
    <definedName name="TemplateEnd" localSheetId="6">#REF!</definedName>
    <definedName name="TemplateEnd" localSheetId="7">#REF!</definedName>
    <definedName name="TemplateEnd" localSheetId="8">#REF!</definedName>
    <definedName name="TemplateEnd" localSheetId="11">#REF!</definedName>
    <definedName name="TemplateEnd" localSheetId="10">#REF!</definedName>
    <definedName name="TemplateEnd">#REF!</definedName>
    <definedName name="TemplateStart" localSheetId="6">#REF!</definedName>
    <definedName name="TemplateStart" localSheetId="7">#REF!</definedName>
    <definedName name="TemplateStart" localSheetId="8">#REF!</definedName>
    <definedName name="TemplateStart" localSheetId="11">#REF!</definedName>
    <definedName name="TemplateStart" localSheetId="10">#REF!</definedName>
    <definedName name="TemplateStart">#REF!</definedName>
    <definedName name="TheTable" localSheetId="17">#REF!</definedName>
    <definedName name="TheTable" localSheetId="6">#REF!</definedName>
    <definedName name="TheTable" localSheetId="7">#REF!</definedName>
    <definedName name="TheTable" localSheetId="8">#REF!</definedName>
    <definedName name="TheTable" localSheetId="11">#REF!</definedName>
    <definedName name="TheTable" localSheetId="10">#REF!</definedName>
    <definedName name="TheTable">#REF!</definedName>
    <definedName name="TheTableOLD" localSheetId="17">#REF!</definedName>
    <definedName name="TheTableOLD" localSheetId="6">#REF!</definedName>
    <definedName name="TheTableOLD" localSheetId="7">#REF!</definedName>
    <definedName name="TheTableOLD" localSheetId="8">#REF!</definedName>
    <definedName name="TheTableOLD" localSheetId="11">#REF!</definedName>
    <definedName name="TheTableOLD" localSheetId="10">#REF!</definedName>
    <definedName name="TheTableOLD">#REF!</definedName>
    <definedName name="timeseries">[1]Orientation!$B$6:$C$13</definedName>
    <definedName name="ToMonth" localSheetId="16">'40131 Disposal'!$G$8</definedName>
    <definedName name="ToMonth" localSheetId="25">'70195 Detail'!$F$8</definedName>
    <definedName name="ToMonth" localSheetId="23">'B&amp;O Taxes'!$G$8</definedName>
    <definedName name="ToMonth">'70095 Detail'!$F$8</definedName>
    <definedName name="Total_Comm" localSheetId="19">'[11]Tariff Rate Sheet'!$L$214</definedName>
    <definedName name="Total_Comm" localSheetId="18">'[11]Tariff Rate Sheet'!$L$214</definedName>
    <definedName name="Total_Comm" localSheetId="6">'[11]Tariff Rate Sheet'!$L$214</definedName>
    <definedName name="Total_Comm" localSheetId="7">'[11]Tariff Rate Sheet'!$L$214</definedName>
    <definedName name="Total_Comm" localSheetId="8">'[11]Tariff Rate Sheet'!$L$214</definedName>
    <definedName name="Total_Comm" localSheetId="11">'[12]Tariff Rate Sheet'!$L$214</definedName>
    <definedName name="Total_Comm" localSheetId="12">'[12]Tariff Rate Sheet'!$L$214</definedName>
    <definedName name="Total_Comm">'[13]Tariff Rate Sheet'!$L$214</definedName>
    <definedName name="Total_DB" localSheetId="19">'[11]Tariff Rate Sheet'!$L$278</definedName>
    <definedName name="Total_DB" localSheetId="18">'[11]Tariff Rate Sheet'!$L$278</definedName>
    <definedName name="Total_DB" localSheetId="6">'[11]Tariff Rate Sheet'!$L$278</definedName>
    <definedName name="Total_DB" localSheetId="7">'[11]Tariff Rate Sheet'!$L$278</definedName>
    <definedName name="Total_DB" localSheetId="8">'[11]Tariff Rate Sheet'!$L$278</definedName>
    <definedName name="Total_DB" localSheetId="11">'[12]Tariff Rate Sheet'!$L$278</definedName>
    <definedName name="Total_DB" localSheetId="12">'[12]Tariff Rate Sheet'!$L$278</definedName>
    <definedName name="Total_DB">'[13]Tariff Rate Sheet'!$L$278</definedName>
    <definedName name="Total_Resi" localSheetId="19">'[11]Tariff Rate Sheet'!$L$107</definedName>
    <definedName name="Total_Resi" localSheetId="18">'[11]Tariff Rate Sheet'!$L$107</definedName>
    <definedName name="Total_Resi" localSheetId="6">'[11]Tariff Rate Sheet'!$L$107</definedName>
    <definedName name="Total_Resi" localSheetId="7">'[11]Tariff Rate Sheet'!$L$107</definedName>
    <definedName name="Total_Resi" localSheetId="8">'[11]Tariff Rate Sheet'!$L$107</definedName>
    <definedName name="Total_Resi" localSheetId="11">'[12]Tariff Rate Sheet'!$L$107</definedName>
    <definedName name="Total_Resi" localSheetId="12">'[12]Tariff Rate Sheet'!$L$107</definedName>
    <definedName name="Total_Resi">'[13]Tariff Rate Sheet'!$L$107</definedName>
    <definedName name="Transactions" localSheetId="19">#REF!</definedName>
    <definedName name="Transactions" localSheetId="6">#REF!</definedName>
    <definedName name="Transactions" localSheetId="7">#REF!</definedName>
    <definedName name="Transactions" localSheetId="8">#REF!</definedName>
    <definedName name="Transactions" localSheetId="11">#REF!</definedName>
    <definedName name="Transactions" localSheetId="10">#REF!</definedName>
    <definedName name="Transactions">#REF!</definedName>
    <definedName name="VendorCode" localSheetId="16">'40131 Disposal'!$P$12</definedName>
    <definedName name="VendorCode" localSheetId="25">'70195 Detail'!$O$12</definedName>
    <definedName name="VendorCode" localSheetId="23">'B&amp;O Taxes'!$P$12</definedName>
    <definedName name="VendorCode">'70095 Detail'!$O$12</definedName>
    <definedName name="Version" localSheetId="19">[18]Data!#REF!</definedName>
    <definedName name="Version" localSheetId="18">[18]Data!#REF!</definedName>
    <definedName name="Version" localSheetId="6">[18]Data!#REF!</definedName>
    <definedName name="Version" localSheetId="7">[18]Data!#REF!</definedName>
    <definedName name="Version" localSheetId="8">[18]Data!#REF!</definedName>
    <definedName name="Version">[19]Data!#REF!</definedName>
    <definedName name="WTable" localSheetId="19">#REF!</definedName>
    <definedName name="WTable" localSheetId="17">#REF!</definedName>
    <definedName name="WTable" localSheetId="6">#REF!</definedName>
    <definedName name="WTable" localSheetId="7">#REF!</definedName>
    <definedName name="WTable" localSheetId="8">#REF!</definedName>
    <definedName name="WTable" localSheetId="11">#REF!</definedName>
    <definedName name="WTable" localSheetId="10">#REF!</definedName>
    <definedName name="WTable">#REF!</definedName>
    <definedName name="WTableOld" localSheetId="17">#REF!</definedName>
    <definedName name="WTableOld" localSheetId="6">#REF!</definedName>
    <definedName name="WTableOld" localSheetId="7">#REF!</definedName>
    <definedName name="WTableOld" localSheetId="8">#REF!</definedName>
    <definedName name="WTableOld" localSheetId="11">#REF!</definedName>
    <definedName name="WTableOld" localSheetId="10">#REF!</definedName>
    <definedName name="WTableOld">#REF!</definedName>
    <definedName name="ww" localSheetId="7">#REF!</definedName>
    <definedName name="ww" localSheetId="8">#REF!</definedName>
    <definedName name="ww" localSheetId="11">#REF!</definedName>
    <definedName name="ww">#REF!</definedName>
    <definedName name="xperiod">[1]Orientation!$G$15</definedName>
    <definedName name="xtabin" localSheetId="19">[4]Hidden!#REF!</definedName>
    <definedName name="xtabin" localSheetId="18">[4]Hidden!#REF!</definedName>
    <definedName name="xtabin" localSheetId="6">[4]Hidden!#REF!</definedName>
    <definedName name="xtabin" localSheetId="7">[4]Hidden!#REF!</definedName>
    <definedName name="xtabin" localSheetId="8">[4]Hidden!#REF!</definedName>
    <definedName name="xtabin" localSheetId="11">[5]Hidden!#REF!</definedName>
    <definedName name="xtabin" localSheetId="12">[6]Hidden!#REF!</definedName>
    <definedName name="xtabin" localSheetId="10">[6]Hidden!#REF!</definedName>
    <definedName name="xtabin">[7]Hidden!#REF!</definedName>
    <definedName name="xx" localSheetId="19">#REF!</definedName>
    <definedName name="xx" localSheetId="6">#REF!</definedName>
    <definedName name="xx" localSheetId="7">#REF!</definedName>
    <definedName name="xx" localSheetId="8">#REF!</definedName>
    <definedName name="xx" localSheetId="11">#REF!</definedName>
    <definedName name="xx" localSheetId="10">#REF!</definedName>
    <definedName name="xx">#REF!</definedName>
    <definedName name="xxx" localSheetId="19">#REF!</definedName>
    <definedName name="xxx" localSheetId="7">#REF!</definedName>
    <definedName name="xxx" localSheetId="8">#REF!</definedName>
    <definedName name="xxx" localSheetId="11">#REF!</definedName>
    <definedName name="xxx">#REF!</definedName>
    <definedName name="xxxx" localSheetId="7">#REF!</definedName>
    <definedName name="xxxx" localSheetId="8">#REF!</definedName>
    <definedName name="xxxx" localSheetId="11">#REF!</definedName>
    <definedName name="xxxx">#REF!</definedName>
    <definedName name="YearMonth" localSheetId="0">'2120 BS'!$A$3</definedName>
    <definedName name="YearMonth" localSheetId="1">'2120 IS'!$A$3</definedName>
    <definedName name="YearMonth" localSheetId="26">'Empire BS 6-30-15'!$A$3</definedName>
    <definedName name="YearMonth" localSheetId="7">'[20]Vashon BS'!#REF!</definedName>
    <definedName name="YearMonth" localSheetId="8">'[20]Vashon BS'!#REF!</definedName>
    <definedName name="YearMonth" localSheetId="11">'[20]Vashon BS'!#REF!</definedName>
    <definedName name="YearMonth" localSheetId="20">'Region OH Calc'!$A$3</definedName>
    <definedName name="YearMonth">'[20]Vashon BS'!#REF!</definedName>
    <definedName name="YWMedWasteDisp">#N/A</definedName>
    <definedName name="yy" localSheetId="19">#REF!</definedName>
    <definedName name="yy" localSheetId="6">#REF!</definedName>
    <definedName name="yy" localSheetId="7">#REF!</definedName>
    <definedName name="yy" localSheetId="8">#REF!</definedName>
    <definedName name="yy" localSheetId="11">#REF!</definedName>
    <definedName name="yy">#REF!</definedName>
  </definedNames>
  <calcPr calcId="145621" concurrentManualCount="4"/>
  <pivotCaches>
    <pivotCache cacheId="2" r:id="rId67"/>
    <pivotCache cacheId="3" r:id="rId68"/>
    <pivotCache cacheId="4" r:id="rId69"/>
  </pivotCaches>
</workbook>
</file>

<file path=xl/calcChain.xml><?xml version="1.0" encoding="utf-8"?>
<calcChain xmlns="http://schemas.openxmlformats.org/spreadsheetml/2006/main">
  <c r="K15" i="11" l="1"/>
  <c r="K14" i="11"/>
  <c r="K13" i="11"/>
  <c r="K12" i="11"/>
  <c r="K11" i="11"/>
  <c r="K10" i="11"/>
  <c r="T63" i="5" l="1"/>
  <c r="H7" i="8" l="1"/>
  <c r="B99" i="3" l="1"/>
  <c r="B98" i="3"/>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G17" i="28"/>
  <c r="E17" i="28"/>
  <c r="D17" i="28"/>
  <c r="E16" i="28"/>
  <c r="D16" i="28"/>
  <c r="J8" i="28"/>
  <c r="G8" i="28"/>
  <c r="C8" i="28"/>
  <c r="Y4" i="28"/>
  <c r="Q4" i="28"/>
  <c r="B5" i="28"/>
  <c r="U4" i="28"/>
  <c r="B145" i="3" l="1"/>
  <c r="W57" i="3" s="1"/>
  <c r="B144" i="3"/>
  <c r="W38" i="3" s="1"/>
  <c r="D100" i="1" s="1"/>
  <c r="B19" i="27"/>
  <c r="C18" i="27" s="1"/>
  <c r="C16" i="27" l="1"/>
  <c r="C15" i="27"/>
  <c r="C12" i="27"/>
  <c r="C9" i="27"/>
  <c r="C13" i="27"/>
  <c r="C17" i="27"/>
  <c r="C11" i="27"/>
  <c r="C24" i="27" s="1"/>
  <c r="C8" i="27"/>
  <c r="C10" i="27"/>
  <c r="C14" i="27"/>
  <c r="C25" i="27" l="1"/>
  <c r="C19" i="27"/>
  <c r="E67" i="3" l="1"/>
  <c r="B67" i="3"/>
  <c r="A67" i="3"/>
  <c r="B13" i="26" l="1"/>
  <c r="G13" i="26" s="1"/>
  <c r="G12" i="26"/>
  <c r="B12" i="26"/>
  <c r="F12" i="26" s="1"/>
  <c r="B11" i="26"/>
  <c r="E11" i="26" s="1"/>
  <c r="E10" i="26"/>
  <c r="B10" i="26"/>
  <c r="H10" i="26" s="1"/>
  <c r="B9" i="26"/>
  <c r="G9" i="26" s="1"/>
  <c r="B8" i="26"/>
  <c r="F8" i="26" s="1"/>
  <c r="F7" i="26"/>
  <c r="B7" i="26"/>
  <c r="E7" i="26" s="1"/>
  <c r="D9" i="26" l="1"/>
  <c r="H9" i="26"/>
  <c r="D13" i="26"/>
  <c r="C8" i="26"/>
  <c r="G8" i="26"/>
  <c r="C12" i="26"/>
  <c r="H13" i="26"/>
  <c r="C7" i="26"/>
  <c r="G7" i="26"/>
  <c r="D8" i="26"/>
  <c r="H8" i="26"/>
  <c r="E9" i="26"/>
  <c r="F10" i="26"/>
  <c r="C11" i="26"/>
  <c r="G11" i="26"/>
  <c r="D12" i="26"/>
  <c r="H12" i="26"/>
  <c r="E13" i="26"/>
  <c r="F11" i="26"/>
  <c r="D7" i="26"/>
  <c r="H7" i="26"/>
  <c r="E8" i="26"/>
  <c r="F9" i="26"/>
  <c r="C10" i="26"/>
  <c r="G10" i="26"/>
  <c r="D11" i="26"/>
  <c r="H11" i="26"/>
  <c r="E12" i="26"/>
  <c r="F13" i="26"/>
  <c r="C9" i="26"/>
  <c r="D10" i="26"/>
  <c r="C13" i="26"/>
  <c r="B519" i="25" l="1"/>
  <c r="B520" i="25"/>
  <c r="B521" i="25"/>
  <c r="B522" i="25"/>
  <c r="B523" i="25"/>
  <c r="B518" i="25"/>
  <c r="B328" i="25" l="1"/>
  <c r="B308" i="25"/>
  <c r="B307" i="25"/>
  <c r="B300" i="25"/>
  <c r="B301" i="25"/>
  <c r="B302" i="25"/>
  <c r="B303" i="25"/>
  <c r="B304" i="25"/>
  <c r="B305" i="25"/>
  <c r="B299" i="25"/>
  <c r="B295" i="25"/>
  <c r="B296" i="25"/>
  <c r="B294" i="25"/>
  <c r="B255" i="25"/>
  <c r="B256" i="25"/>
  <c r="B257" i="25"/>
  <c r="B258" i="25"/>
  <c r="B259" i="25"/>
  <c r="B260" i="25"/>
  <c r="B254" i="25"/>
  <c r="B132" i="25"/>
  <c r="B126" i="25"/>
  <c r="B127" i="25" s="1"/>
  <c r="B128" i="25" s="1"/>
  <c r="B129" i="25" s="1"/>
  <c r="B130" i="25" s="1"/>
  <c r="B120" i="25"/>
  <c r="B114" i="25"/>
  <c r="B115" i="25" s="1"/>
  <c r="B116" i="25" s="1"/>
  <c r="B117" i="25" s="1"/>
  <c r="B118" i="25" s="1"/>
  <c r="B101" i="25"/>
  <c r="B107" i="25"/>
  <c r="B68" i="25"/>
  <c r="B67" i="25"/>
  <c r="B66" i="25"/>
  <c r="B64" i="25"/>
  <c r="B63" i="25"/>
  <c r="B58" i="25"/>
  <c r="B57" i="25"/>
  <c r="B51" i="25"/>
  <c r="B50" i="25"/>
  <c r="B35" i="25"/>
  <c r="B34" i="25"/>
  <c r="N22" i="7" l="1"/>
  <c r="M22" i="7"/>
  <c r="Q20" i="7"/>
  <c r="P20" i="7"/>
  <c r="Q19" i="7"/>
  <c r="P19" i="7"/>
  <c r="Q18" i="7"/>
  <c r="P18" i="7"/>
  <c r="Q17" i="7"/>
  <c r="P17" i="7"/>
  <c r="Q16" i="7"/>
  <c r="P16" i="7"/>
  <c r="Q15" i="7"/>
  <c r="P15" i="7"/>
  <c r="Q14" i="7"/>
  <c r="P14" i="7"/>
  <c r="Q13" i="7"/>
  <c r="P13" i="7"/>
  <c r="Q12" i="7"/>
  <c r="P12" i="7"/>
  <c r="Q11" i="7"/>
  <c r="P11" i="7"/>
  <c r="Q10" i="7"/>
  <c r="P10" i="7"/>
  <c r="P22" i="7" s="1"/>
  <c r="Q9" i="7"/>
  <c r="Q22" i="7" s="1"/>
  <c r="P9" i="7"/>
  <c r="O89" i="4" l="1"/>
  <c r="O88" i="4"/>
  <c r="O87" i="4"/>
  <c r="O86" i="4"/>
  <c r="O85" i="4"/>
  <c r="O84" i="4"/>
  <c r="O83" i="4"/>
  <c r="O82"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11" i="4"/>
  <c r="O12" i="4"/>
  <c r="O13" i="4"/>
  <c r="O14" i="4"/>
  <c r="O15" i="4"/>
  <c r="O17" i="4"/>
  <c r="O20" i="4"/>
  <c r="O21" i="4"/>
  <c r="O22" i="4"/>
  <c r="O23" i="4"/>
  <c r="O24" i="4"/>
  <c r="O25" i="4"/>
  <c r="O26" i="4"/>
  <c r="O27" i="4"/>
  <c r="O28" i="4"/>
  <c r="O29" i="4"/>
  <c r="O10" i="4"/>
  <c r="M12" i="5"/>
  <c r="B24" i="3"/>
  <c r="B130" i="3"/>
  <c r="B126" i="3"/>
  <c r="H178" i="24"/>
  <c r="H175" i="24"/>
  <c r="H172" i="24"/>
  <c r="H169" i="24"/>
  <c r="H166" i="24"/>
  <c r="H163" i="24"/>
  <c r="H160" i="24"/>
  <c r="H180" i="24" s="1"/>
  <c r="H154" i="24"/>
  <c r="H151" i="24"/>
  <c r="H148" i="24"/>
  <c r="H145" i="24"/>
  <c r="H142" i="24"/>
  <c r="H135" i="24"/>
  <c r="H127" i="24"/>
  <c r="H124" i="24"/>
  <c r="H115" i="24"/>
  <c r="H108" i="24"/>
  <c r="H104" i="24"/>
  <c r="H101" i="24"/>
  <c r="H98" i="24"/>
  <c r="H95" i="24"/>
  <c r="H92" i="24"/>
  <c r="H85" i="24"/>
  <c r="H81" i="24"/>
  <c r="H78" i="24"/>
  <c r="H43" i="24"/>
  <c r="H40" i="24"/>
  <c r="H33" i="24"/>
  <c r="H27" i="24"/>
  <c r="H18" i="24"/>
  <c r="H45" i="24" l="1"/>
  <c r="H137" i="24"/>
  <c r="H110" i="24"/>
  <c r="H156" i="24"/>
  <c r="H182" i="24" s="1"/>
  <c r="B131" i="3"/>
  <c r="B127" i="3"/>
  <c r="AC180" i="22"/>
  <c r="AA180" i="22"/>
  <c r="Y180" i="22"/>
  <c r="W180" i="22"/>
  <c r="U180" i="22"/>
  <c r="S180" i="22"/>
  <c r="Q180" i="22"/>
  <c r="O180" i="22"/>
  <c r="M180" i="22"/>
  <c r="K180" i="22"/>
  <c r="I180" i="22"/>
  <c r="G180" i="22"/>
  <c r="AC177" i="22"/>
  <c r="AA177" i="22"/>
  <c r="Y177" i="22"/>
  <c r="W177" i="22"/>
  <c r="U177" i="22"/>
  <c r="S177" i="22"/>
  <c r="Q177" i="22"/>
  <c r="O177" i="22"/>
  <c r="M177" i="22"/>
  <c r="K177" i="22"/>
  <c r="I177" i="22"/>
  <c r="G177" i="22"/>
  <c r="AC174" i="22"/>
  <c r="AA174" i="22"/>
  <c r="Y174" i="22"/>
  <c r="W174" i="22"/>
  <c r="U174" i="22"/>
  <c r="S174" i="22"/>
  <c r="Q174" i="22"/>
  <c r="O174" i="22"/>
  <c r="M174" i="22"/>
  <c r="K174" i="22"/>
  <c r="I174" i="22"/>
  <c r="G174" i="22"/>
  <c r="AC171" i="22"/>
  <c r="AA171" i="22"/>
  <c r="Y171" i="22"/>
  <c r="W171" i="22"/>
  <c r="U171" i="22"/>
  <c r="S171" i="22"/>
  <c r="Q171" i="22"/>
  <c r="O171" i="22"/>
  <c r="M171" i="22"/>
  <c r="K171" i="22"/>
  <c r="I171" i="22"/>
  <c r="G171" i="22"/>
  <c r="AC168" i="22"/>
  <c r="AA168" i="22"/>
  <c r="Y168" i="22"/>
  <c r="W168" i="22"/>
  <c r="U168" i="22"/>
  <c r="S168" i="22"/>
  <c r="Q168" i="22"/>
  <c r="O168" i="22"/>
  <c r="M168" i="22"/>
  <c r="K168" i="22"/>
  <c r="I168" i="22"/>
  <c r="G168" i="22"/>
  <c r="AC165" i="22"/>
  <c r="AA165" i="22"/>
  <c r="Y165" i="22"/>
  <c r="W165" i="22"/>
  <c r="U165" i="22"/>
  <c r="S165" i="22"/>
  <c r="Q165" i="22"/>
  <c r="O165" i="22"/>
  <c r="M165" i="22"/>
  <c r="K165" i="22"/>
  <c r="I165" i="22"/>
  <c r="G165" i="22"/>
  <c r="AC162" i="22"/>
  <c r="AC182" i="22" s="1"/>
  <c r="AA162" i="22"/>
  <c r="AA182" i="22" s="1"/>
  <c r="Y162" i="22"/>
  <c r="Y182" i="22" s="1"/>
  <c r="W162" i="22"/>
  <c r="W182" i="22" s="1"/>
  <c r="U162" i="22"/>
  <c r="U182" i="22" s="1"/>
  <c r="S162" i="22"/>
  <c r="S182" i="22" s="1"/>
  <c r="Q162" i="22"/>
  <c r="Q182" i="22" s="1"/>
  <c r="O162" i="22"/>
  <c r="O182" i="22" s="1"/>
  <c r="M162" i="22"/>
  <c r="M182" i="22" s="1"/>
  <c r="K162" i="22"/>
  <c r="K182" i="22" s="1"/>
  <c r="I162" i="22"/>
  <c r="I182" i="22" s="1"/>
  <c r="G162" i="22"/>
  <c r="G182" i="22" s="1"/>
  <c r="AC156" i="22"/>
  <c r="AA156" i="22"/>
  <c r="Y156" i="22"/>
  <c r="W156" i="22"/>
  <c r="U156" i="22"/>
  <c r="S156" i="22"/>
  <c r="Q156" i="22"/>
  <c r="O156" i="22"/>
  <c r="M156" i="22"/>
  <c r="K156" i="22"/>
  <c r="I156" i="22"/>
  <c r="G156" i="22"/>
  <c r="AC153" i="22"/>
  <c r="AA153" i="22"/>
  <c r="Y153" i="22"/>
  <c r="W153" i="22"/>
  <c r="U153" i="22"/>
  <c r="S153" i="22"/>
  <c r="Q153" i="22"/>
  <c r="O153" i="22"/>
  <c r="M153" i="22"/>
  <c r="K153" i="22"/>
  <c r="I153" i="22"/>
  <c r="G153" i="22"/>
  <c r="AC150" i="22"/>
  <c r="AA150" i="22"/>
  <c r="Y150" i="22"/>
  <c r="W150" i="22"/>
  <c r="U150" i="22"/>
  <c r="S150" i="22"/>
  <c r="Q150" i="22"/>
  <c r="O150" i="22"/>
  <c r="M150" i="22"/>
  <c r="K150" i="22"/>
  <c r="I150" i="22"/>
  <c r="G150" i="22"/>
  <c r="AC147" i="22"/>
  <c r="AA147" i="22"/>
  <c r="Y147" i="22"/>
  <c r="W147" i="22"/>
  <c r="U147" i="22"/>
  <c r="S147" i="22"/>
  <c r="Q147" i="22"/>
  <c r="O147" i="22"/>
  <c r="M147" i="22"/>
  <c r="K147" i="22"/>
  <c r="I147" i="22"/>
  <c r="G147" i="22"/>
  <c r="AC144" i="22"/>
  <c r="AA144" i="22"/>
  <c r="Y144" i="22"/>
  <c r="W144" i="22"/>
  <c r="U144" i="22"/>
  <c r="S144" i="22"/>
  <c r="Q144" i="22"/>
  <c r="O144" i="22"/>
  <c r="M144" i="22"/>
  <c r="K144" i="22"/>
  <c r="I144" i="22"/>
  <c r="G144" i="22"/>
  <c r="AC137" i="22"/>
  <c r="AA137" i="22"/>
  <c r="Y137" i="22"/>
  <c r="W137" i="22"/>
  <c r="U137" i="22"/>
  <c r="S137" i="22"/>
  <c r="Q137" i="22"/>
  <c r="O137" i="22"/>
  <c r="M137" i="22"/>
  <c r="K137" i="22"/>
  <c r="I137" i="22"/>
  <c r="G137" i="22"/>
  <c r="AC129" i="22"/>
  <c r="AA129" i="22"/>
  <c r="Y129" i="22"/>
  <c r="W129" i="22"/>
  <c r="U129" i="22"/>
  <c r="S129" i="22"/>
  <c r="Q129" i="22"/>
  <c r="O129" i="22"/>
  <c r="M129" i="22"/>
  <c r="K129" i="22"/>
  <c r="I129" i="22"/>
  <c r="G129" i="22"/>
  <c r="AC126" i="22"/>
  <c r="AA126" i="22"/>
  <c r="Y126" i="22"/>
  <c r="W126" i="22"/>
  <c r="U126" i="22"/>
  <c r="S126" i="22"/>
  <c r="Q126" i="22"/>
  <c r="O126" i="22"/>
  <c r="M126" i="22"/>
  <c r="K126" i="22"/>
  <c r="I126" i="22"/>
  <c r="G126" i="22"/>
  <c r="AC117" i="22"/>
  <c r="AC139" i="22" s="1"/>
  <c r="AA117" i="22"/>
  <c r="AA139" i="22" s="1"/>
  <c r="Y117" i="22"/>
  <c r="Y139" i="22" s="1"/>
  <c r="W117" i="22"/>
  <c r="W139" i="22" s="1"/>
  <c r="U117" i="22"/>
  <c r="U139" i="22" s="1"/>
  <c r="S117" i="22"/>
  <c r="S139" i="22" s="1"/>
  <c r="Q117" i="22"/>
  <c r="Q139" i="22" s="1"/>
  <c r="O117" i="22"/>
  <c r="O139" i="22" s="1"/>
  <c r="M117" i="22"/>
  <c r="M139" i="22" s="1"/>
  <c r="K117" i="22"/>
  <c r="K139" i="22" s="1"/>
  <c r="I117" i="22"/>
  <c r="I139" i="22" s="1"/>
  <c r="G117" i="22"/>
  <c r="G139" i="22" s="1"/>
  <c r="AC110" i="22"/>
  <c r="AA110" i="22"/>
  <c r="Y110" i="22"/>
  <c r="W110" i="22"/>
  <c r="U110" i="22"/>
  <c r="S110" i="22"/>
  <c r="Q110" i="22"/>
  <c r="O110" i="22"/>
  <c r="M110" i="22"/>
  <c r="K110" i="22"/>
  <c r="I110" i="22"/>
  <c r="G110" i="22"/>
  <c r="AC106" i="22"/>
  <c r="AA106" i="22"/>
  <c r="Y106" i="22"/>
  <c r="W106" i="22"/>
  <c r="U106" i="22"/>
  <c r="S106" i="22"/>
  <c r="Q106" i="22"/>
  <c r="O106" i="22"/>
  <c r="M106" i="22"/>
  <c r="K106" i="22"/>
  <c r="I106" i="22"/>
  <c r="G106" i="22"/>
  <c r="AC103" i="22"/>
  <c r="AA103" i="22"/>
  <c r="Y103" i="22"/>
  <c r="W103" i="22"/>
  <c r="U103" i="22"/>
  <c r="S103" i="22"/>
  <c r="Q103" i="22"/>
  <c r="O103" i="22"/>
  <c r="M103" i="22"/>
  <c r="K103" i="22"/>
  <c r="I103" i="22"/>
  <c r="G103" i="22"/>
  <c r="AC100" i="22"/>
  <c r="AA100" i="22"/>
  <c r="Y100" i="22"/>
  <c r="W100" i="22"/>
  <c r="U100" i="22"/>
  <c r="S100" i="22"/>
  <c r="Q100" i="22"/>
  <c r="O100" i="22"/>
  <c r="M100" i="22"/>
  <c r="K100" i="22"/>
  <c r="I100" i="22"/>
  <c r="G100" i="22"/>
  <c r="AC97" i="22"/>
  <c r="AA97" i="22"/>
  <c r="Y97" i="22"/>
  <c r="W97" i="22"/>
  <c r="U97" i="22"/>
  <c r="S97" i="22"/>
  <c r="Q97" i="22"/>
  <c r="O97" i="22"/>
  <c r="M97" i="22"/>
  <c r="K97" i="22"/>
  <c r="I97" i="22"/>
  <c r="G97" i="22"/>
  <c r="AC94" i="22"/>
  <c r="AA94" i="22"/>
  <c r="Y94" i="22"/>
  <c r="W94" i="22"/>
  <c r="U94" i="22"/>
  <c r="S94" i="22"/>
  <c r="Q94" i="22"/>
  <c r="O94" i="22"/>
  <c r="M94" i="22"/>
  <c r="K94" i="22"/>
  <c r="I94" i="22"/>
  <c r="G94" i="22"/>
  <c r="AC87" i="22"/>
  <c r="AA87" i="22"/>
  <c r="Y87" i="22"/>
  <c r="W87" i="22"/>
  <c r="U87" i="22"/>
  <c r="S87" i="22"/>
  <c r="Q87" i="22"/>
  <c r="O87" i="22"/>
  <c r="M87" i="22"/>
  <c r="K87" i="22"/>
  <c r="I87" i="22"/>
  <c r="G87" i="22"/>
  <c r="AC83" i="22"/>
  <c r="AA83" i="22"/>
  <c r="Y83" i="22"/>
  <c r="W83" i="22"/>
  <c r="U83" i="22"/>
  <c r="S83" i="22"/>
  <c r="Q83" i="22"/>
  <c r="O83" i="22"/>
  <c r="M83" i="22"/>
  <c r="K83" i="22"/>
  <c r="I83" i="22"/>
  <c r="G83" i="22"/>
  <c r="AC80" i="22"/>
  <c r="AA80" i="22"/>
  <c r="Y80" i="22"/>
  <c r="W80" i="22"/>
  <c r="U80" i="22"/>
  <c r="S80" i="22"/>
  <c r="Q80" i="22"/>
  <c r="O80" i="22"/>
  <c r="M80" i="22"/>
  <c r="K80" i="22"/>
  <c r="I80" i="22"/>
  <c r="G80" i="22"/>
  <c r="AC42" i="22"/>
  <c r="AA42" i="22"/>
  <c r="Y42" i="22"/>
  <c r="W42" i="22"/>
  <c r="U42" i="22"/>
  <c r="S42" i="22"/>
  <c r="Q42" i="22"/>
  <c r="O42" i="22"/>
  <c r="M42" i="22"/>
  <c r="K42" i="22"/>
  <c r="I42" i="22"/>
  <c r="G42" i="22"/>
  <c r="AC39" i="22"/>
  <c r="AA39" i="22"/>
  <c r="Y39" i="22"/>
  <c r="W39" i="22"/>
  <c r="U39" i="22"/>
  <c r="S39" i="22"/>
  <c r="Q39" i="22"/>
  <c r="O39" i="22"/>
  <c r="M39" i="22"/>
  <c r="K39" i="22"/>
  <c r="I39" i="22"/>
  <c r="G39" i="22"/>
  <c r="AC33" i="22"/>
  <c r="AA33" i="22"/>
  <c r="Y33" i="22"/>
  <c r="W33" i="22"/>
  <c r="U33" i="22"/>
  <c r="S33" i="22"/>
  <c r="Q33" i="22"/>
  <c r="O33" i="22"/>
  <c r="M33" i="22"/>
  <c r="K33" i="22"/>
  <c r="I33" i="22"/>
  <c r="G33" i="22"/>
  <c r="AC27" i="22"/>
  <c r="AA27" i="22"/>
  <c r="Y27" i="22"/>
  <c r="W27" i="22"/>
  <c r="U27" i="22"/>
  <c r="S27" i="22"/>
  <c r="Q27" i="22"/>
  <c r="O27" i="22"/>
  <c r="M27" i="22"/>
  <c r="K27" i="22"/>
  <c r="I27" i="22"/>
  <c r="G27" i="22"/>
  <c r="AC18" i="22"/>
  <c r="AC44" i="22" s="1"/>
  <c r="AA18" i="22"/>
  <c r="AA44" i="22" s="1"/>
  <c r="Y18" i="22"/>
  <c r="Y44" i="22" s="1"/>
  <c r="W18" i="22"/>
  <c r="W44" i="22" s="1"/>
  <c r="U18" i="22"/>
  <c r="U44" i="22" s="1"/>
  <c r="S18" i="22"/>
  <c r="S44" i="22" s="1"/>
  <c r="Q18" i="22"/>
  <c r="Q44" i="22" s="1"/>
  <c r="O18" i="22"/>
  <c r="O44" i="22" s="1"/>
  <c r="M18" i="22"/>
  <c r="M44" i="22" s="1"/>
  <c r="K18" i="22"/>
  <c r="K44" i="22" s="1"/>
  <c r="I18" i="22"/>
  <c r="I44" i="22" s="1"/>
  <c r="G18" i="22"/>
  <c r="G44" i="22" s="1"/>
  <c r="H184" i="24" l="1"/>
  <c r="G112" i="22"/>
  <c r="O112" i="22"/>
  <c r="W112" i="22"/>
  <c r="G158" i="22"/>
  <c r="G184" i="22" s="1"/>
  <c r="O158" i="22"/>
  <c r="O184" i="22" s="1"/>
  <c r="W158" i="22"/>
  <c r="W184" i="22" s="1"/>
  <c r="I112" i="22"/>
  <c r="Q112" i="22"/>
  <c r="Y112" i="22"/>
  <c r="I158" i="22"/>
  <c r="I184" i="22" s="1"/>
  <c r="Q158" i="22"/>
  <c r="Q184" i="22" s="1"/>
  <c r="Y158" i="22"/>
  <c r="Y184" i="22" s="1"/>
  <c r="K112" i="22"/>
  <c r="S112" i="22"/>
  <c r="AA112" i="22"/>
  <c r="AA186" i="22" s="1"/>
  <c r="K158" i="22"/>
  <c r="K184" i="22" s="1"/>
  <c r="S158" i="22"/>
  <c r="S184" i="22" s="1"/>
  <c r="AA158" i="22"/>
  <c r="AA184" i="22" s="1"/>
  <c r="M112" i="22"/>
  <c r="M186" i="22" s="1"/>
  <c r="U112" i="22"/>
  <c r="AC112" i="22"/>
  <c r="M158" i="22"/>
  <c r="M184" i="22" s="1"/>
  <c r="U158" i="22"/>
  <c r="U184" i="22" s="1"/>
  <c r="AC158" i="22"/>
  <c r="AC184" i="22" s="1"/>
  <c r="I186" i="22" l="1"/>
  <c r="W186" i="22"/>
  <c r="U186" i="22"/>
  <c r="Q186" i="22"/>
  <c r="S186" i="22"/>
  <c r="O186" i="22"/>
  <c r="AC186" i="22"/>
  <c r="K186" i="22"/>
  <c r="Y186" i="22"/>
  <c r="G186" i="22"/>
  <c r="B132" i="3"/>
  <c r="B128" i="3"/>
  <c r="B134" i="3" s="1"/>
  <c r="E19" i="19" l="1"/>
  <c r="E18" i="19"/>
  <c r="E17" i="19"/>
  <c r="E19" i="18"/>
  <c r="E18" i="18"/>
  <c r="E17" i="18"/>
  <c r="E19" i="11"/>
  <c r="E18" i="11"/>
  <c r="E17" i="11"/>
  <c r="D26" i="21"/>
  <c r="D32" i="21" s="1"/>
  <c r="D36" i="21" s="1"/>
  <c r="D40" i="21" s="1"/>
  <c r="C72" i="20"/>
  <c r="C65" i="20"/>
  <c r="C73" i="20" s="1"/>
  <c r="C56" i="20"/>
  <c r="C58" i="20" s="1"/>
  <c r="C40" i="20"/>
  <c r="C46" i="20" s="1"/>
  <c r="C20" i="20"/>
  <c r="C29" i="20" s="1"/>
  <c r="C66" i="20" l="1"/>
  <c r="C60" i="20"/>
  <c r="C62" i="20" s="1"/>
  <c r="C75" i="20"/>
  <c r="C67" i="20"/>
  <c r="D65" i="20" s="1"/>
  <c r="D66" i="20" l="1"/>
  <c r="Z56" i="19" l="1"/>
  <c r="Z55" i="19"/>
  <c r="Z54" i="19"/>
  <c r="Z53" i="19"/>
  <c r="Z50" i="19"/>
  <c r="Z49" i="19"/>
  <c r="Z48" i="19"/>
  <c r="Z47" i="19"/>
  <c r="Z44" i="19"/>
  <c r="Z43" i="19"/>
  <c r="Z42" i="19"/>
  <c r="Z41" i="19"/>
  <c r="Z38" i="19"/>
  <c r="Z37" i="19"/>
  <c r="Z36" i="19"/>
  <c r="Z35" i="19"/>
  <c r="Z32" i="19"/>
  <c r="Z31" i="19"/>
  <c r="Z30" i="19"/>
  <c r="Z29" i="19"/>
  <c r="Z26" i="19"/>
  <c r="Z25" i="19"/>
  <c r="Z24" i="19"/>
  <c r="Z23" i="19"/>
  <c r="Z20" i="19"/>
  <c r="Z19" i="19"/>
  <c r="Z18" i="19"/>
  <c r="Z17" i="19"/>
  <c r="Z14" i="19"/>
  <c r="Z13" i="19"/>
  <c r="Z12" i="19"/>
  <c r="Z11" i="19"/>
  <c r="Z8" i="19"/>
  <c r="Z7" i="19"/>
  <c r="Z6" i="19"/>
  <c r="Z5" i="19"/>
  <c r="Z56" i="18"/>
  <c r="Z55" i="18"/>
  <c r="Z54" i="18"/>
  <c r="Z53" i="18"/>
  <c r="Z50" i="18"/>
  <c r="Z49" i="18"/>
  <c r="Z48" i="18"/>
  <c r="Z47" i="18"/>
  <c r="Z44" i="18"/>
  <c r="Z43" i="18"/>
  <c r="Z42" i="18"/>
  <c r="Z41" i="18"/>
  <c r="Z38" i="18"/>
  <c r="Z37" i="18"/>
  <c r="Z36" i="18"/>
  <c r="Z35" i="18"/>
  <c r="Z32" i="18"/>
  <c r="Z31" i="18"/>
  <c r="Z30" i="18"/>
  <c r="Z29" i="18"/>
  <c r="Z26" i="18"/>
  <c r="Z25" i="18"/>
  <c r="Z24" i="18"/>
  <c r="Z23" i="18"/>
  <c r="Z20" i="18"/>
  <c r="Z19" i="18"/>
  <c r="Z18" i="18"/>
  <c r="Z17" i="18"/>
  <c r="Z14" i="18"/>
  <c r="Z13" i="18"/>
  <c r="Z12" i="18"/>
  <c r="Z11" i="18"/>
  <c r="Z8" i="18"/>
  <c r="Z7" i="18"/>
  <c r="Z6" i="18"/>
  <c r="Z5" i="18"/>
  <c r="T191" i="1"/>
  <c r="U188" i="1"/>
  <c r="T188" i="1"/>
  <c r="S188" i="1"/>
  <c r="R188" i="1"/>
  <c r="T185" i="1"/>
  <c r="U179" i="1"/>
  <c r="T179" i="1"/>
  <c r="U187" i="1"/>
  <c r="U177" i="1"/>
  <c r="T176" i="1"/>
  <c r="T172" i="1"/>
  <c r="T169" i="1"/>
  <c r="AB11" i="9"/>
  <c r="W40" i="9"/>
  <c r="X40" i="9" s="1"/>
  <c r="W38" i="9"/>
  <c r="N56" i="6"/>
  <c r="N55" i="6"/>
  <c r="Z13" i="9"/>
  <c r="W11" i="9"/>
  <c r="T160" i="1"/>
  <c r="T137" i="1"/>
  <c r="T134" i="1"/>
  <c r="T128" i="1"/>
  <c r="T122" i="1"/>
  <c r="T119" i="1"/>
  <c r="T109" i="1"/>
  <c r="T106" i="1"/>
  <c r="T98" i="1"/>
  <c r="T95" i="1"/>
  <c r="T92" i="1"/>
  <c r="T88" i="1"/>
  <c r="U81" i="1"/>
  <c r="T83" i="1"/>
  <c r="R83" i="1"/>
  <c r="S81" i="1"/>
  <c r="T79" i="1"/>
  <c r="S79" i="1"/>
  <c r="R76" i="1"/>
  <c r="U76" i="1" s="1"/>
  <c r="R78" i="1"/>
  <c r="U78" i="1" s="1"/>
  <c r="T71" i="1"/>
  <c r="T64" i="1"/>
  <c r="T59" i="1"/>
  <c r="T52" i="1"/>
  <c r="T48" i="1"/>
  <c r="T40" i="1"/>
  <c r="T37" i="1"/>
  <c r="T34" i="1"/>
  <c r="T28" i="1"/>
  <c r="T25" i="1"/>
  <c r="N44" i="6"/>
  <c r="N43" i="6"/>
  <c r="T15" i="1"/>
  <c r="B26" i="17"/>
  <c r="B25" i="17"/>
  <c r="W61" i="3"/>
  <c r="X61" i="3"/>
  <c r="N61" i="3"/>
  <c r="M18" i="3"/>
  <c r="L18" i="3"/>
  <c r="R56" i="16"/>
  <c r="Q56" i="16"/>
  <c r="P56" i="16"/>
  <c r="O57" i="16"/>
  <c r="N57" i="16"/>
  <c r="M57" i="16"/>
  <c r="L57" i="16"/>
  <c r="K57" i="16"/>
  <c r="J57" i="16"/>
  <c r="I57" i="16"/>
  <c r="H57" i="16"/>
  <c r="G57" i="16"/>
  <c r="F57" i="16"/>
  <c r="E57" i="16"/>
  <c r="AD54" i="16"/>
  <c r="Y54" i="16"/>
  <c r="R49" i="16"/>
  <c r="Q49" i="16"/>
  <c r="P49" i="16"/>
  <c r="P48" i="16"/>
  <c r="R48" i="16"/>
  <c r="Q48" i="16"/>
  <c r="O50" i="16"/>
  <c r="N50" i="16"/>
  <c r="M50" i="16"/>
  <c r="L50" i="16"/>
  <c r="K50" i="16"/>
  <c r="J50" i="16"/>
  <c r="I50" i="16"/>
  <c r="H50" i="16"/>
  <c r="R47" i="16"/>
  <c r="F50" i="16"/>
  <c r="E50" i="16"/>
  <c r="AD41" i="16"/>
  <c r="Y41" i="16"/>
  <c r="AD40" i="16"/>
  <c r="Y40" i="16"/>
  <c r="AD39" i="16"/>
  <c r="Y39" i="16"/>
  <c r="AD38" i="16"/>
  <c r="Y38" i="16"/>
  <c r="AD37" i="16"/>
  <c r="Y37" i="16"/>
  <c r="P33" i="16"/>
  <c r="R33" i="16"/>
  <c r="Q33" i="16"/>
  <c r="O35" i="16"/>
  <c r="N35" i="16"/>
  <c r="M35" i="16"/>
  <c r="L35" i="16"/>
  <c r="K35" i="16"/>
  <c r="J35" i="16"/>
  <c r="I35" i="16"/>
  <c r="H35" i="16"/>
  <c r="R32" i="16"/>
  <c r="F35" i="16"/>
  <c r="E35" i="16"/>
  <c r="V26" i="16"/>
  <c r="R26" i="16"/>
  <c r="Q26" i="16"/>
  <c r="S26" i="16" s="1"/>
  <c r="P26" i="16"/>
  <c r="AD25" i="16"/>
  <c r="P23" i="16"/>
  <c r="R23" i="16"/>
  <c r="Q23" i="16"/>
  <c r="O25" i="16"/>
  <c r="N25" i="16"/>
  <c r="M25" i="16"/>
  <c r="L25" i="16"/>
  <c r="K25" i="16"/>
  <c r="J25" i="16"/>
  <c r="I25" i="16"/>
  <c r="H25" i="16"/>
  <c r="R22" i="16"/>
  <c r="F25" i="16"/>
  <c r="E25" i="16"/>
  <c r="P18" i="16"/>
  <c r="R18" i="16"/>
  <c r="Q18" i="16"/>
  <c r="P17" i="16"/>
  <c r="R17" i="16"/>
  <c r="Q17" i="16"/>
  <c r="P16" i="16"/>
  <c r="R16" i="16"/>
  <c r="Q16" i="16"/>
  <c r="S16" i="16" s="1"/>
  <c r="P15" i="16"/>
  <c r="R15" i="16"/>
  <c r="Q15" i="16"/>
  <c r="P14" i="16"/>
  <c r="R14" i="16"/>
  <c r="Q14" i="16"/>
  <c r="P13" i="16"/>
  <c r="R13" i="16"/>
  <c r="Q13" i="16"/>
  <c r="P12" i="16"/>
  <c r="R12" i="16"/>
  <c r="Q12" i="16"/>
  <c r="P11" i="16"/>
  <c r="R11" i="16"/>
  <c r="Q11" i="16"/>
  <c r="O20" i="16"/>
  <c r="N20" i="16"/>
  <c r="M20" i="16"/>
  <c r="L20" i="16"/>
  <c r="K20" i="16"/>
  <c r="P10" i="16"/>
  <c r="I20" i="16"/>
  <c r="H20" i="16"/>
  <c r="G20" i="16"/>
  <c r="F20" i="16"/>
  <c r="E20" i="16"/>
  <c r="AD9" i="16"/>
  <c r="AG6" i="16"/>
  <c r="AH6" i="16" s="1"/>
  <c r="S12" i="16" l="1"/>
  <c r="X38" i="9"/>
  <c r="Z38" i="9" s="1"/>
  <c r="Z40" i="9"/>
  <c r="Y43" i="16"/>
  <c r="S49" i="16"/>
  <c r="S56" i="16"/>
  <c r="AD43" i="16"/>
  <c r="H27" i="16"/>
  <c r="L27" i="16"/>
  <c r="S23" i="16"/>
  <c r="S11" i="16"/>
  <c r="S15" i="16"/>
  <c r="E27" i="16"/>
  <c r="I27" i="16"/>
  <c r="M27" i="16"/>
  <c r="M60" i="16" s="1"/>
  <c r="E60" i="16"/>
  <c r="P35" i="16"/>
  <c r="P82" i="16" s="1"/>
  <c r="P50" i="16"/>
  <c r="P136" i="16" s="1"/>
  <c r="F27" i="16"/>
  <c r="F60" i="16" s="1"/>
  <c r="P25" i="16"/>
  <c r="N27" i="16"/>
  <c r="N60" i="16" s="1"/>
  <c r="R35" i="16"/>
  <c r="R50" i="16"/>
  <c r="V47" i="16"/>
  <c r="Y47" i="16" s="1"/>
  <c r="V33" i="16"/>
  <c r="Y33" i="16" s="1"/>
  <c r="AA33" i="16" s="1"/>
  <c r="AD33" i="16" s="1"/>
  <c r="V22" i="16"/>
  <c r="Y22" i="16" s="1"/>
  <c r="V18" i="16"/>
  <c r="Y18" i="16" s="1"/>
  <c r="AA18" i="16" s="1"/>
  <c r="AD18" i="16" s="1"/>
  <c r="V14" i="16"/>
  <c r="Y14" i="16" s="1"/>
  <c r="AA14" i="16" s="1"/>
  <c r="AD14" i="16" s="1"/>
  <c r="V10" i="16"/>
  <c r="Y10" i="16" s="1"/>
  <c r="V48" i="16"/>
  <c r="Y48" i="16" s="1"/>
  <c r="AA48" i="16" s="1"/>
  <c r="AD48" i="16" s="1"/>
  <c r="V23" i="16"/>
  <c r="Y23" i="16" s="1"/>
  <c r="AA23" i="16" s="1"/>
  <c r="AD23" i="16" s="1"/>
  <c r="V15" i="16"/>
  <c r="Y15" i="16" s="1"/>
  <c r="AA15" i="16" s="1"/>
  <c r="AD15" i="16" s="1"/>
  <c r="V11" i="16"/>
  <c r="Y11" i="16" s="1"/>
  <c r="AA11" i="16" s="1"/>
  <c r="AD11" i="16" s="1"/>
  <c r="V16" i="16"/>
  <c r="Y16" i="16" s="1"/>
  <c r="AA16" i="16" s="1"/>
  <c r="AD16" i="16" s="1"/>
  <c r="V12" i="16"/>
  <c r="Y12" i="16" s="1"/>
  <c r="AA12" i="16" s="1"/>
  <c r="AD12" i="16" s="1"/>
  <c r="V56" i="16"/>
  <c r="V55" i="16"/>
  <c r="Y55" i="16" s="1"/>
  <c r="AA55" i="16" s="1"/>
  <c r="AD55" i="16" s="1"/>
  <c r="AD57" i="16" s="1"/>
  <c r="B9" i="17" s="1"/>
  <c r="V32" i="16"/>
  <c r="Y32" i="16" s="1"/>
  <c r="V17" i="16"/>
  <c r="Y17" i="16" s="1"/>
  <c r="AA17" i="16" s="1"/>
  <c r="AD17" i="16" s="1"/>
  <c r="V13" i="16"/>
  <c r="Y13" i="16" s="1"/>
  <c r="AA13" i="16" s="1"/>
  <c r="AD13" i="16" s="1"/>
  <c r="I60" i="16"/>
  <c r="P57" i="16"/>
  <c r="S14" i="16"/>
  <c r="S18" i="16"/>
  <c r="S13" i="16"/>
  <c r="S17" i="16"/>
  <c r="R25" i="16"/>
  <c r="K27" i="16"/>
  <c r="K60" i="16" s="1"/>
  <c r="O27" i="16"/>
  <c r="O60" i="16" s="1"/>
  <c r="S33" i="16"/>
  <c r="S48" i="16"/>
  <c r="H60" i="16"/>
  <c r="L60" i="16"/>
  <c r="Q10" i="16"/>
  <c r="J20" i="16"/>
  <c r="P20" i="16" s="1"/>
  <c r="Q22" i="16"/>
  <c r="G25" i="16"/>
  <c r="G27" i="16" s="1"/>
  <c r="P32" i="16"/>
  <c r="Q47" i="16"/>
  <c r="G50" i="16"/>
  <c r="P55" i="16"/>
  <c r="R10" i="16"/>
  <c r="R20" i="16" s="1"/>
  <c r="Q32" i="16"/>
  <c r="G35" i="16"/>
  <c r="Q55" i="16"/>
  <c r="R55" i="16"/>
  <c r="R57" i="16" s="1"/>
  <c r="P22" i="16"/>
  <c r="P47" i="16"/>
  <c r="G50" i="1" l="1"/>
  <c r="B17" i="17"/>
  <c r="G183" i="1" s="1"/>
  <c r="J27" i="16"/>
  <c r="J60" i="16" s="1"/>
  <c r="G60" i="16"/>
  <c r="P122" i="16"/>
  <c r="Q25" i="16"/>
  <c r="S22" i="16"/>
  <c r="S25" i="16" s="1"/>
  <c r="Y35" i="16"/>
  <c r="B73" i="3" s="1"/>
  <c r="AA32" i="16"/>
  <c r="AD32" i="16" s="1"/>
  <c r="AD35" i="16" s="1"/>
  <c r="B8" i="17" s="1"/>
  <c r="AA22" i="16"/>
  <c r="AD22" i="16" s="1"/>
  <c r="Y25" i="16"/>
  <c r="S55" i="16"/>
  <c r="S57" i="16" s="1"/>
  <c r="Q57" i="16"/>
  <c r="Q35" i="16"/>
  <c r="S32" i="16"/>
  <c r="S35" i="16" s="1"/>
  <c r="Q50" i="16"/>
  <c r="S47" i="16"/>
  <c r="S50" i="16" s="1"/>
  <c r="AA10" i="16"/>
  <c r="AD10" i="16" s="1"/>
  <c r="AD20" i="16" s="1"/>
  <c r="AD27" i="16" s="1"/>
  <c r="B7" i="17" s="1"/>
  <c r="Y20" i="16"/>
  <c r="Q20" i="16"/>
  <c r="S10" i="16"/>
  <c r="S20" i="16" s="1"/>
  <c r="R27" i="16"/>
  <c r="AA47" i="16"/>
  <c r="AD47" i="16" s="1"/>
  <c r="AD50" i="16" s="1"/>
  <c r="B10" i="17" s="1"/>
  <c r="Y50" i="16"/>
  <c r="B75" i="3" s="1"/>
  <c r="Y57" i="16"/>
  <c r="B74" i="3" s="1"/>
  <c r="P27" i="16"/>
  <c r="P65" i="16" s="1"/>
  <c r="G54" i="1" l="1"/>
  <c r="B11" i="17"/>
  <c r="B15" i="17"/>
  <c r="G21" i="1"/>
  <c r="B16" i="17"/>
  <c r="G182" i="1" s="1"/>
  <c r="B82" i="3"/>
  <c r="D183" i="1" s="1"/>
  <c r="R24" i="3"/>
  <c r="D50" i="1" s="1"/>
  <c r="R38" i="3"/>
  <c r="D101" i="1" s="1"/>
  <c r="B83" i="3"/>
  <c r="D184" i="1" s="1"/>
  <c r="R18" i="3"/>
  <c r="B81" i="3"/>
  <c r="D182" i="1" s="1"/>
  <c r="B18" i="17"/>
  <c r="G184" i="1" s="1"/>
  <c r="G101" i="1"/>
  <c r="Y27" i="16"/>
  <c r="B72" i="3" s="1"/>
  <c r="AD60" i="16"/>
  <c r="S27" i="16"/>
  <c r="S60" i="16" s="1"/>
  <c r="Y60" i="16"/>
  <c r="Q27" i="16"/>
  <c r="Q60" i="16" s="1"/>
  <c r="P60" i="16"/>
  <c r="G181" i="1" l="1"/>
  <c r="G185" i="1" s="1"/>
  <c r="B19" i="17"/>
  <c r="D19" i="17" s="1"/>
  <c r="D21" i="1"/>
  <c r="Y18" i="3"/>
  <c r="B80" i="3"/>
  <c r="R25" i="3"/>
  <c r="D54" i="1" s="1"/>
  <c r="B76" i="3"/>
  <c r="AC44" i="15"/>
  <c r="AA44" i="15"/>
  <c r="Y44" i="15"/>
  <c r="W44" i="15"/>
  <c r="U44" i="15"/>
  <c r="S44" i="15"/>
  <c r="Q44" i="15"/>
  <c r="O44" i="15"/>
  <c r="M44" i="15"/>
  <c r="K44" i="15"/>
  <c r="I44" i="15"/>
  <c r="G44" i="15"/>
  <c r="AE42" i="15"/>
  <c r="AH41" i="15"/>
  <c r="AJ41" i="15" s="1"/>
  <c r="AE41" i="15"/>
  <c r="AE40" i="15"/>
  <c r="AE39" i="15"/>
  <c r="AE38" i="15"/>
  <c r="AH37" i="15"/>
  <c r="AJ37" i="15" s="1"/>
  <c r="AE37" i="15"/>
  <c r="AE36" i="15"/>
  <c r="AE35" i="15"/>
  <c r="AE34" i="15"/>
  <c r="AE33" i="15"/>
  <c r="AH32" i="15"/>
  <c r="AJ32" i="15" s="1"/>
  <c r="AE32" i="15"/>
  <c r="AH31" i="15"/>
  <c r="AJ31" i="15" s="1"/>
  <c r="AE31" i="15"/>
  <c r="AE30" i="15"/>
  <c r="AE29" i="15"/>
  <c r="AH28" i="15"/>
  <c r="AJ28" i="15" s="1"/>
  <c r="AE28" i="15"/>
  <c r="AH27" i="15"/>
  <c r="AJ27" i="15" s="1"/>
  <c r="AE27" i="15"/>
  <c r="AE26" i="15"/>
  <c r="AE25" i="15"/>
  <c r="AE24" i="15"/>
  <c r="AH23" i="15"/>
  <c r="AJ23" i="15" s="1"/>
  <c r="AE23" i="15"/>
  <c r="AH22" i="15"/>
  <c r="AJ22" i="15" s="1"/>
  <c r="AE22" i="15"/>
  <c r="AE21" i="15"/>
  <c r="AE20" i="15"/>
  <c r="AH19" i="15"/>
  <c r="AJ19" i="15" s="1"/>
  <c r="AE19" i="15"/>
  <c r="AH18" i="15"/>
  <c r="AJ18" i="15" s="1"/>
  <c r="AE18" i="15"/>
  <c r="AE17" i="15"/>
  <c r="AE16" i="15"/>
  <c r="AH15" i="15"/>
  <c r="AJ15" i="15" s="1"/>
  <c r="AE15" i="15"/>
  <c r="AH14" i="15"/>
  <c r="AE14" i="15"/>
  <c r="AH13" i="15"/>
  <c r="AI13" i="15" s="1"/>
  <c r="AE13" i="15"/>
  <c r="AH12" i="15"/>
  <c r="AJ12" i="15" s="1"/>
  <c r="AE12" i="15"/>
  <c r="AH11" i="15"/>
  <c r="AE11" i="15"/>
  <c r="AE10" i="15"/>
  <c r="AE9" i="15"/>
  <c r="AH8" i="15"/>
  <c r="AE8" i="15"/>
  <c r="AE44" i="15" s="1"/>
  <c r="I6" i="15"/>
  <c r="K6" i="15" s="1"/>
  <c r="M6" i="15" s="1"/>
  <c r="O6" i="15" s="1"/>
  <c r="Q6" i="15" s="1"/>
  <c r="S6" i="15" s="1"/>
  <c r="U6" i="15" s="1"/>
  <c r="W6" i="15" s="1"/>
  <c r="Y6" i="15" s="1"/>
  <c r="AA6" i="15" s="1"/>
  <c r="AC6" i="15" s="1"/>
  <c r="AH3" i="15"/>
  <c r="AH2" i="15"/>
  <c r="AH42" i="15" s="1"/>
  <c r="AJ42" i="15" s="1"/>
  <c r="D181" i="1" l="1"/>
  <c r="D185" i="1" s="1"/>
  <c r="B84" i="3"/>
  <c r="R57" i="3" s="1"/>
  <c r="R61" i="3" s="1"/>
  <c r="AJ14" i="15"/>
  <c r="AJ8" i="15"/>
  <c r="AI14" i="15"/>
  <c r="AH36" i="15"/>
  <c r="AJ36" i="15" s="1"/>
  <c r="AH40" i="15"/>
  <c r="AJ40" i="15" s="1"/>
  <c r="AH10" i="15"/>
  <c r="AJ10" i="15" s="1"/>
  <c r="AI11" i="15"/>
  <c r="AJ13" i="15"/>
  <c r="AH17" i="15"/>
  <c r="AJ17" i="15" s="1"/>
  <c r="AH21" i="15"/>
  <c r="AJ21" i="15" s="1"/>
  <c r="AH26" i="15"/>
  <c r="AJ26" i="15" s="1"/>
  <c r="AH30" i="15"/>
  <c r="AJ30" i="15" s="1"/>
  <c r="AH35" i="15"/>
  <c r="AJ35" i="15" s="1"/>
  <c r="AH39" i="15"/>
  <c r="AJ39" i="15" s="1"/>
  <c r="AH9" i="15"/>
  <c r="AJ9" i="15" s="1"/>
  <c r="AH16" i="15"/>
  <c r="AJ16" i="15" s="1"/>
  <c r="AH20" i="15"/>
  <c r="AJ20" i="15" s="1"/>
  <c r="AH24" i="15"/>
  <c r="AH25" i="15"/>
  <c r="AJ25" i="15" s="1"/>
  <c r="AH29" i="15"/>
  <c r="AJ29" i="15" s="1"/>
  <c r="AH33" i="15"/>
  <c r="AH34" i="15"/>
  <c r="AJ34" i="15" s="1"/>
  <c r="AH38" i="15"/>
  <c r="AJ38" i="15" s="1"/>
  <c r="D84" i="3" l="1"/>
  <c r="AI33" i="15"/>
  <c r="AJ33" i="15" s="1"/>
  <c r="AI44" i="15"/>
  <c r="AJ11" i="15"/>
  <c r="AI24" i="15"/>
  <c r="AJ24" i="15" s="1"/>
  <c r="AH44" i="15"/>
  <c r="AJ44" i="15" l="1"/>
  <c r="B65" i="3" l="1"/>
  <c r="A65" i="3"/>
  <c r="G79" i="1" l="1"/>
  <c r="C74" i="7"/>
  <c r="C69" i="7"/>
  <c r="C68" i="7"/>
  <c r="B76" i="7"/>
  <c r="C75" i="7" s="1"/>
  <c r="B70" i="7"/>
  <c r="AQ106" i="14" l="1"/>
  <c r="AQ105" i="14"/>
  <c r="AQ104" i="14"/>
  <c r="AQ103" i="14"/>
  <c r="AQ102" i="14"/>
  <c r="AQ101" i="14"/>
  <c r="AQ100" i="14"/>
  <c r="AQ99" i="14"/>
  <c r="AQ98" i="14"/>
  <c r="AQ97" i="14"/>
  <c r="AQ96" i="14"/>
  <c r="AQ95" i="14"/>
  <c r="AQ94" i="14"/>
  <c r="AQ93" i="14"/>
  <c r="AQ92" i="14"/>
  <c r="AQ91" i="14"/>
  <c r="AQ90" i="14"/>
  <c r="AQ89" i="14"/>
  <c r="AQ88" i="14"/>
  <c r="AQ87" i="14"/>
  <c r="AQ86" i="14"/>
  <c r="AQ85" i="14"/>
  <c r="AQ84" i="14"/>
  <c r="AQ83" i="14"/>
  <c r="AQ82" i="14"/>
  <c r="AQ81" i="14"/>
  <c r="AQ80" i="14"/>
  <c r="AQ79" i="14"/>
  <c r="AQ78" i="14"/>
  <c r="AQ77" i="14"/>
  <c r="AQ76" i="14"/>
  <c r="AQ75" i="14"/>
  <c r="AQ74" i="14"/>
  <c r="AQ73" i="14"/>
  <c r="AQ72" i="14"/>
  <c r="AQ71" i="14"/>
  <c r="AQ70" i="14"/>
  <c r="AQ69" i="14"/>
  <c r="AQ68" i="14"/>
  <c r="AQ67" i="14"/>
  <c r="AQ66" i="14"/>
  <c r="AQ65" i="14"/>
  <c r="AQ64" i="14"/>
  <c r="AQ63" i="14"/>
  <c r="AQ62" i="14"/>
  <c r="AQ61" i="14"/>
  <c r="AQ60" i="14"/>
  <c r="AQ59" i="14"/>
  <c r="AQ58" i="14"/>
  <c r="AQ57" i="14"/>
  <c r="AQ56" i="14"/>
  <c r="AQ55" i="14"/>
  <c r="AQ54" i="14"/>
  <c r="AQ53" i="14"/>
  <c r="AQ52" i="14"/>
  <c r="AQ51" i="14"/>
  <c r="AQ50" i="14"/>
  <c r="AQ49" i="14"/>
  <c r="AQ48" i="14"/>
  <c r="AQ47" i="14"/>
  <c r="AQ46" i="14"/>
  <c r="AQ45" i="14"/>
  <c r="AQ44" i="14"/>
  <c r="AQ43" i="14"/>
  <c r="AQ42" i="14"/>
  <c r="AQ41" i="14"/>
  <c r="AQ40" i="14"/>
  <c r="AQ39" i="14"/>
  <c r="AQ38" i="14"/>
  <c r="AQ37" i="14"/>
  <c r="AQ36" i="14"/>
  <c r="AQ35" i="14"/>
  <c r="AQ34" i="14"/>
  <c r="AQ33" i="14"/>
  <c r="AQ32" i="14"/>
  <c r="AQ31" i="14"/>
  <c r="AQ30" i="14"/>
  <c r="AQ29" i="14"/>
  <c r="AQ28" i="14"/>
  <c r="AQ27" i="14"/>
  <c r="AQ26" i="14"/>
  <c r="AQ25" i="14"/>
  <c r="AQ24" i="14"/>
  <c r="AQ23" i="14"/>
  <c r="AQ22" i="14"/>
  <c r="AQ21" i="14"/>
  <c r="AQ20" i="14"/>
  <c r="G17" i="14"/>
  <c r="E17" i="14"/>
  <c r="D17" i="14"/>
  <c r="E16" i="14"/>
  <c r="D16" i="14"/>
  <c r="J8" i="14"/>
  <c r="G8" i="14"/>
  <c r="C8" i="14"/>
  <c r="B51" i="7"/>
  <c r="L77" i="1"/>
  <c r="U4" i="14"/>
  <c r="B5" i="14"/>
  <c r="Y4" i="14"/>
  <c r="Q4" i="14"/>
  <c r="L79" i="1" l="1"/>
  <c r="M47" i="7"/>
  <c r="L47" i="7"/>
  <c r="J47" i="7"/>
  <c r="B35" i="3" s="1"/>
  <c r="D76" i="1" s="1"/>
  <c r="E76" i="1" s="1"/>
  <c r="I76" i="1" s="1"/>
  <c r="P76" i="1" s="1"/>
  <c r="I47" i="7"/>
  <c r="F47" i="7"/>
  <c r="E47" i="7"/>
  <c r="C47" i="7"/>
  <c r="B36" i="3" s="1"/>
  <c r="D78" i="1" s="1"/>
  <c r="B47" i="7"/>
  <c r="Q45" i="7"/>
  <c r="P45" i="7"/>
  <c r="N45" i="7"/>
  <c r="K45" i="7"/>
  <c r="G45" i="7"/>
  <c r="D45" i="7"/>
  <c r="Q44" i="7"/>
  <c r="P44" i="7"/>
  <c r="N44" i="7"/>
  <c r="K44" i="7"/>
  <c r="G44" i="7"/>
  <c r="D44" i="7"/>
  <c r="Q43" i="7"/>
  <c r="P43" i="7"/>
  <c r="N43" i="7"/>
  <c r="K43" i="7"/>
  <c r="G43" i="7"/>
  <c r="D43" i="7"/>
  <c r="Q42" i="7"/>
  <c r="P42" i="7"/>
  <c r="N42" i="7"/>
  <c r="K42" i="7"/>
  <c r="G42" i="7"/>
  <c r="D42" i="7"/>
  <c r="Q41" i="7"/>
  <c r="P41" i="7"/>
  <c r="N41" i="7"/>
  <c r="K41" i="7"/>
  <c r="G41" i="7"/>
  <c r="D41" i="7"/>
  <c r="Q40" i="7"/>
  <c r="P40" i="7"/>
  <c r="N40" i="7"/>
  <c r="K40" i="7"/>
  <c r="G40" i="7"/>
  <c r="D40" i="7"/>
  <c r="Q39" i="7"/>
  <c r="P39" i="7"/>
  <c r="N39" i="7"/>
  <c r="K39" i="7"/>
  <c r="G39" i="7"/>
  <c r="D39" i="7"/>
  <c r="Q38" i="7"/>
  <c r="P38" i="7"/>
  <c r="N38" i="7"/>
  <c r="K38" i="7"/>
  <c r="G38" i="7"/>
  <c r="D38" i="7"/>
  <c r="Q37" i="7"/>
  <c r="P37" i="7"/>
  <c r="N37" i="7"/>
  <c r="K37" i="7"/>
  <c r="G37" i="7"/>
  <c r="D37" i="7"/>
  <c r="Q36" i="7"/>
  <c r="P36" i="7"/>
  <c r="N36" i="7"/>
  <c r="K36" i="7"/>
  <c r="G36" i="7"/>
  <c r="D36" i="7"/>
  <c r="Q35" i="7"/>
  <c r="P35" i="7"/>
  <c r="N35" i="7"/>
  <c r="K35" i="7"/>
  <c r="G35" i="7"/>
  <c r="D35" i="7"/>
  <c r="Q34" i="7"/>
  <c r="Q47" i="7" s="1"/>
  <c r="P34" i="7"/>
  <c r="N34" i="7"/>
  <c r="K34" i="7"/>
  <c r="G34" i="7"/>
  <c r="G47" i="7" s="1"/>
  <c r="D34" i="7"/>
  <c r="E22" i="7"/>
  <c r="D22" i="7"/>
  <c r="C22" i="7"/>
  <c r="B22" i="7"/>
  <c r="H20" i="7"/>
  <c r="G20" i="7"/>
  <c r="H19" i="7"/>
  <c r="G19" i="7"/>
  <c r="H18" i="7"/>
  <c r="G18" i="7"/>
  <c r="H17" i="7"/>
  <c r="G17" i="7"/>
  <c r="H16" i="7"/>
  <c r="G16" i="7"/>
  <c r="H15" i="7"/>
  <c r="G15" i="7"/>
  <c r="H14" i="7"/>
  <c r="G14" i="7"/>
  <c r="H13" i="7"/>
  <c r="G13" i="7"/>
  <c r="H12" i="7"/>
  <c r="G12" i="7"/>
  <c r="H11" i="7"/>
  <c r="G11" i="7"/>
  <c r="H10" i="7"/>
  <c r="G10" i="7"/>
  <c r="H9" i="7"/>
  <c r="H22" i="7" s="1"/>
  <c r="G9" i="7"/>
  <c r="E78" i="1" l="1"/>
  <c r="I78" i="1" s="1"/>
  <c r="P78" i="1" s="1"/>
  <c r="D77" i="1"/>
  <c r="G22" i="7"/>
  <c r="D47" i="7"/>
  <c r="P47" i="7"/>
  <c r="K47" i="7"/>
  <c r="N47" i="7"/>
  <c r="AP57" i="13" l="1"/>
  <c r="AP56" i="13"/>
  <c r="AP55" i="13"/>
  <c r="AP54" i="13"/>
  <c r="AP53" i="13"/>
  <c r="AP52" i="13"/>
  <c r="AP51" i="13"/>
  <c r="AP50" i="13"/>
  <c r="AP49" i="13"/>
  <c r="AP48" i="13"/>
  <c r="AP47" i="13"/>
  <c r="AP46" i="13"/>
  <c r="AP45" i="13"/>
  <c r="AP44" i="13"/>
  <c r="AP43" i="13"/>
  <c r="AP42" i="13"/>
  <c r="AP41" i="13"/>
  <c r="AP40" i="13"/>
  <c r="AP39" i="13"/>
  <c r="AP38" i="13"/>
  <c r="AP37" i="13"/>
  <c r="AP36" i="13"/>
  <c r="AP35" i="13"/>
  <c r="AP34" i="13"/>
  <c r="AP33" i="13"/>
  <c r="AP32" i="13"/>
  <c r="AP31" i="13"/>
  <c r="AP30" i="13"/>
  <c r="AP29" i="13"/>
  <c r="AP28" i="13"/>
  <c r="AP27" i="13"/>
  <c r="AP26" i="13"/>
  <c r="AP25" i="13"/>
  <c r="AP24" i="13"/>
  <c r="AP23" i="13"/>
  <c r="AP22" i="13"/>
  <c r="AP21" i="13"/>
  <c r="AP20" i="13"/>
  <c r="F17" i="13"/>
  <c r="D17" i="13"/>
  <c r="D16" i="13"/>
  <c r="I8" i="13"/>
  <c r="F8" i="13"/>
  <c r="C8" i="13"/>
  <c r="B62" i="3"/>
  <c r="A62" i="3"/>
  <c r="AP59" i="12"/>
  <c r="AP58" i="12"/>
  <c r="AP57" i="12"/>
  <c r="AP56" i="12"/>
  <c r="AP55" i="12"/>
  <c r="AP54" i="12"/>
  <c r="AP53" i="12"/>
  <c r="AP52" i="12"/>
  <c r="AP51" i="12"/>
  <c r="AP50" i="12"/>
  <c r="AP49" i="12"/>
  <c r="AP48" i="12"/>
  <c r="AP47" i="12"/>
  <c r="AP46" i="12"/>
  <c r="AP45" i="12"/>
  <c r="AP44" i="12"/>
  <c r="AP43" i="12"/>
  <c r="AP42" i="12"/>
  <c r="AP41" i="12"/>
  <c r="AP40" i="12"/>
  <c r="AP39" i="12"/>
  <c r="AP38" i="12"/>
  <c r="AP37" i="12"/>
  <c r="AP36" i="12"/>
  <c r="AP35" i="12"/>
  <c r="AP34" i="12"/>
  <c r="AP33" i="12"/>
  <c r="AP32" i="12"/>
  <c r="AP31" i="12"/>
  <c r="AP30" i="12"/>
  <c r="AP29" i="12"/>
  <c r="AP28" i="12"/>
  <c r="AP27" i="12"/>
  <c r="AP26" i="12"/>
  <c r="AP25" i="12"/>
  <c r="AP24" i="12"/>
  <c r="AP23" i="12"/>
  <c r="AP22" i="12"/>
  <c r="AP21" i="12"/>
  <c r="AP20" i="12"/>
  <c r="F17" i="12"/>
  <c r="D17" i="12"/>
  <c r="D16" i="12"/>
  <c r="I8" i="12"/>
  <c r="F8" i="12"/>
  <c r="C8" i="12"/>
  <c r="F87" i="13"/>
  <c r="F80" i="13"/>
  <c r="F89" i="12"/>
  <c r="T4" i="13"/>
  <c r="X4" i="13"/>
  <c r="P4" i="13"/>
  <c r="B5" i="13"/>
  <c r="X4" i="12"/>
  <c r="T4" i="12"/>
  <c r="P4" i="12"/>
  <c r="B5" i="12"/>
  <c r="D62" i="3" l="1"/>
  <c r="D147" i="1" s="1"/>
  <c r="D60" i="3"/>
  <c r="D141" i="1"/>
  <c r="B60" i="3" l="1"/>
  <c r="A60" i="3"/>
  <c r="B61" i="3"/>
  <c r="A61" i="3"/>
  <c r="J51" i="10"/>
  <c r="O51" i="10"/>
  <c r="P51" i="10"/>
  <c r="AC51" i="10"/>
  <c r="AD51" i="10"/>
  <c r="AE51" i="10"/>
  <c r="AF51" i="10"/>
  <c r="AG51" i="10"/>
  <c r="J52" i="10"/>
  <c r="M52" i="10"/>
  <c r="M54" i="10" s="1"/>
  <c r="O52" i="10"/>
  <c r="P52" i="10" s="1"/>
  <c r="P54" i="10" s="1"/>
  <c r="AC52" i="10"/>
  <c r="AD52" i="10"/>
  <c r="AE52" i="10"/>
  <c r="AF52" i="10"/>
  <c r="AG52" i="10"/>
  <c r="J57" i="10"/>
  <c r="AE57" i="10" s="1"/>
  <c r="O57" i="10"/>
  <c r="P57" i="10" s="1"/>
  <c r="P59" i="10" s="1"/>
  <c r="AC57" i="10"/>
  <c r="AD57" i="10"/>
  <c r="AF57" i="10"/>
  <c r="AG57" i="10"/>
  <c r="M59" i="10"/>
  <c r="O59" i="10"/>
  <c r="J64" i="10"/>
  <c r="AE64" i="10" s="1"/>
  <c r="O64" i="10"/>
  <c r="P64" i="10"/>
  <c r="AC64" i="10"/>
  <c r="AD64" i="10"/>
  <c r="AF64" i="10"/>
  <c r="AG64" i="10"/>
  <c r="J65" i="10"/>
  <c r="AE65" i="10" s="1"/>
  <c r="O65" i="10"/>
  <c r="P65" i="10" s="1"/>
  <c r="AC65" i="10"/>
  <c r="AD65" i="10"/>
  <c r="AF65" i="10"/>
  <c r="AG65" i="10"/>
  <c r="J66" i="10"/>
  <c r="AE66" i="10" s="1"/>
  <c r="O66" i="10"/>
  <c r="P66" i="10" s="1"/>
  <c r="AC66" i="10"/>
  <c r="AD66" i="10"/>
  <c r="AF66" i="10"/>
  <c r="AG66" i="10"/>
  <c r="J67" i="10"/>
  <c r="AE67" i="10" s="1"/>
  <c r="O67" i="10"/>
  <c r="P67" i="10" s="1"/>
  <c r="AC67" i="10"/>
  <c r="AD67" i="10"/>
  <c r="AF67" i="10"/>
  <c r="AG67" i="10"/>
  <c r="J68" i="10"/>
  <c r="AE68" i="10" s="1"/>
  <c r="O68" i="10"/>
  <c r="P68" i="10" s="1"/>
  <c r="AC68" i="10"/>
  <c r="AD68" i="10"/>
  <c r="AF68" i="10"/>
  <c r="AG68" i="10"/>
  <c r="C69" i="10"/>
  <c r="J69" i="10"/>
  <c r="AE69" i="10" s="1"/>
  <c r="O69" i="10"/>
  <c r="P69" i="10" s="1"/>
  <c r="AC69" i="10"/>
  <c r="AD69" i="10"/>
  <c r="AF69" i="10"/>
  <c r="AG69" i="10"/>
  <c r="J70" i="10"/>
  <c r="O70" i="10"/>
  <c r="P70" i="10" s="1"/>
  <c r="AC70" i="10"/>
  <c r="AD70" i="10"/>
  <c r="AE70" i="10"/>
  <c r="AF70" i="10"/>
  <c r="AG70" i="10"/>
  <c r="J71" i="10"/>
  <c r="O71" i="10"/>
  <c r="P71" i="10" s="1"/>
  <c r="AC71" i="10"/>
  <c r="Q71" i="10" s="1"/>
  <c r="AD71" i="10"/>
  <c r="AE71" i="10"/>
  <c r="AF71" i="10"/>
  <c r="AG71" i="10"/>
  <c r="J72" i="10"/>
  <c r="O72" i="10"/>
  <c r="P72" i="10" s="1"/>
  <c r="AC72" i="10"/>
  <c r="AD72" i="10"/>
  <c r="AE72" i="10"/>
  <c r="AF72" i="10"/>
  <c r="AG72" i="10"/>
  <c r="J73" i="10"/>
  <c r="O73" i="10"/>
  <c r="P73" i="10" s="1"/>
  <c r="AC73" i="10"/>
  <c r="AD73" i="10"/>
  <c r="AE73" i="10"/>
  <c r="AF73" i="10"/>
  <c r="AG73" i="10"/>
  <c r="J74" i="10"/>
  <c r="AE74" i="10" s="1"/>
  <c r="O74" i="10"/>
  <c r="P74" i="10" s="1"/>
  <c r="AC74" i="10"/>
  <c r="AD74" i="10"/>
  <c r="AF74" i="10"/>
  <c r="AG74" i="10"/>
  <c r="Z56" i="11"/>
  <c r="Z55" i="11"/>
  <c r="Z54" i="11"/>
  <c r="Z53" i="11"/>
  <c r="Z50" i="11"/>
  <c r="Z49" i="11"/>
  <c r="Z48" i="11"/>
  <c r="Z47" i="11"/>
  <c r="Z44" i="11"/>
  <c r="Z43" i="11"/>
  <c r="Z42" i="11"/>
  <c r="Z41" i="11"/>
  <c r="Z38" i="11"/>
  <c r="Z37" i="11"/>
  <c r="Z36" i="11"/>
  <c r="Z35" i="11"/>
  <c r="Z32" i="11"/>
  <c r="Z31" i="11"/>
  <c r="Z30" i="11"/>
  <c r="Z29" i="11"/>
  <c r="Z26" i="11"/>
  <c r="Z25" i="11"/>
  <c r="Z24" i="11"/>
  <c r="Z23" i="11"/>
  <c r="Z20" i="11"/>
  <c r="Z19" i="11"/>
  <c r="Z18" i="11"/>
  <c r="Z17" i="11"/>
  <c r="Z14" i="11"/>
  <c r="Z13" i="11"/>
  <c r="Z12" i="11"/>
  <c r="Z11" i="11"/>
  <c r="Z8" i="11"/>
  <c r="Z7" i="11"/>
  <c r="Z6" i="11"/>
  <c r="Z5" i="11"/>
  <c r="W51" i="10" l="1"/>
  <c r="W57" i="10"/>
  <c r="W59" i="10" s="1"/>
  <c r="W74" i="10"/>
  <c r="X74" i="10" s="1"/>
  <c r="Z74" i="10" s="1"/>
  <c r="W70" i="10"/>
  <c r="X70" i="10" s="1"/>
  <c r="Z70" i="10" s="1"/>
  <c r="W67" i="10"/>
  <c r="X67" i="10" s="1"/>
  <c r="Z67" i="10" s="1"/>
  <c r="W52" i="10"/>
  <c r="X52" i="10" s="1"/>
  <c r="Z52" i="10" s="1"/>
  <c r="Q51" i="10"/>
  <c r="U51" i="10" s="1"/>
  <c r="W72" i="10"/>
  <c r="X72" i="10" s="1"/>
  <c r="Z72" i="10" s="1"/>
  <c r="W66" i="10"/>
  <c r="X66" i="10" s="1"/>
  <c r="Z66" i="10" s="1"/>
  <c r="Q57" i="10"/>
  <c r="S57" i="10" s="1"/>
  <c r="S59" i="10" s="1"/>
  <c r="O54" i="10"/>
  <c r="W73" i="10"/>
  <c r="X73" i="10" s="1"/>
  <c r="Z73" i="10" s="1"/>
  <c r="W69" i="10"/>
  <c r="X69" i="10" s="1"/>
  <c r="Z69" i="10" s="1"/>
  <c r="W64" i="10"/>
  <c r="X64" i="10" s="1"/>
  <c r="Z64" i="10" s="1"/>
  <c r="Q64" i="10"/>
  <c r="S71" i="10"/>
  <c r="U71" i="10"/>
  <c r="W65" i="10"/>
  <c r="X65" i="10" s="1"/>
  <c r="Z65" i="10" s="1"/>
  <c r="X57" i="10"/>
  <c r="X51" i="10"/>
  <c r="W68" i="10"/>
  <c r="X68" i="10" s="1"/>
  <c r="Z68" i="10" s="1"/>
  <c r="Q74" i="10"/>
  <c r="Q73" i="10"/>
  <c r="Q72" i="10"/>
  <c r="Q70" i="10"/>
  <c r="Q69" i="10"/>
  <c r="W71" i="10"/>
  <c r="X71" i="10" s="1"/>
  <c r="Z71" i="10" s="1"/>
  <c r="Q68" i="10"/>
  <c r="Q67" i="10"/>
  <c r="Q66" i="10"/>
  <c r="Q65" i="10"/>
  <c r="Q52" i="10"/>
  <c r="S51" i="10" l="1"/>
  <c r="Q59" i="10"/>
  <c r="U57" i="10"/>
  <c r="U59" i="10" s="1"/>
  <c r="W54" i="10"/>
  <c r="S65" i="10"/>
  <c r="U65" i="10"/>
  <c r="AA65" i="10" s="1"/>
  <c r="AB65" i="10" s="1"/>
  <c r="S70" i="10"/>
  <c r="U70" i="10"/>
  <c r="AA70" i="10" s="1"/>
  <c r="AB70" i="10" s="1"/>
  <c r="X59" i="10"/>
  <c r="Z57" i="10"/>
  <c r="S66" i="10"/>
  <c r="U66" i="10"/>
  <c r="AA66" i="10" s="1"/>
  <c r="AB66" i="10" s="1"/>
  <c r="S72" i="10"/>
  <c r="U72" i="10"/>
  <c r="AA72" i="10" s="1"/>
  <c r="AB72" i="10" s="1"/>
  <c r="U52" i="10"/>
  <c r="AA52" i="10" s="1"/>
  <c r="AB52" i="10" s="1"/>
  <c r="S52" i="10"/>
  <c r="S54" i="10" s="1"/>
  <c r="S67" i="10"/>
  <c r="U67" i="10"/>
  <c r="AA67" i="10" s="1"/>
  <c r="AB67" i="10" s="1"/>
  <c r="AA71" i="10"/>
  <c r="AB71" i="10" s="1"/>
  <c r="S73" i="10"/>
  <c r="U73" i="10"/>
  <c r="AA73" i="10" s="1"/>
  <c r="AB73" i="10" s="1"/>
  <c r="Q54" i="10"/>
  <c r="S68" i="10"/>
  <c r="U68" i="10"/>
  <c r="AA68" i="10" s="1"/>
  <c r="AB68" i="10" s="1"/>
  <c r="S69" i="10"/>
  <c r="U69" i="10"/>
  <c r="AA69" i="10" s="1"/>
  <c r="AB69" i="10" s="1"/>
  <c r="S74" i="10"/>
  <c r="U74" i="10"/>
  <c r="AA74" i="10" s="1"/>
  <c r="AB74" i="10" s="1"/>
  <c r="Z51" i="10"/>
  <c r="X54" i="10"/>
  <c r="S64" i="10"/>
  <c r="U64" i="10"/>
  <c r="AA64" i="10" s="1"/>
  <c r="AB64" i="10" s="1"/>
  <c r="U54" i="10" l="1"/>
  <c r="AA51" i="10"/>
  <c r="AA54" i="10" s="1"/>
  <c r="Z54" i="10"/>
  <c r="AB51" i="10"/>
  <c r="AB54" i="10" s="1"/>
  <c r="Z59" i="10"/>
  <c r="AA57" i="10"/>
  <c r="AA59" i="10" s="1"/>
  <c r="AB57" i="10"/>
  <c r="AB59" i="10" s="1"/>
  <c r="S40" i="9" l="1"/>
  <c r="Q40" i="9"/>
  <c r="S38" i="9"/>
  <c r="R38" i="9"/>
  <c r="Q38" i="9"/>
  <c r="R26" i="9"/>
  <c r="A115" i="3"/>
  <c r="B115" i="3"/>
  <c r="A116" i="3"/>
  <c r="B116" i="3"/>
  <c r="A117" i="3"/>
  <c r="B117" i="3"/>
  <c r="A118" i="3"/>
  <c r="B118" i="3"/>
  <c r="A119" i="3"/>
  <c r="B119" i="3"/>
  <c r="B114" i="3"/>
  <c r="A114" i="3"/>
  <c r="L26" i="9"/>
  <c r="L163" i="1" s="1"/>
  <c r="K62" i="6"/>
  <c r="J62" i="6"/>
  <c r="H62" i="6"/>
  <c r="Y227" i="10"/>
  <c r="AG225" i="10"/>
  <c r="AF225" i="10"/>
  <c r="AD225" i="10"/>
  <c r="AC225" i="10"/>
  <c r="O225" i="10"/>
  <c r="P225" i="10" s="1"/>
  <c r="J225" i="10"/>
  <c r="AE225" i="10" s="1"/>
  <c r="AG224" i="10"/>
  <c r="AF224" i="10"/>
  <c r="AD224" i="10"/>
  <c r="AC224" i="10"/>
  <c r="O224" i="10"/>
  <c r="P224" i="10" s="1"/>
  <c r="J224" i="10"/>
  <c r="AE224" i="10" s="1"/>
  <c r="AG223" i="10"/>
  <c r="AF223" i="10"/>
  <c r="AD223" i="10"/>
  <c r="AC223" i="10"/>
  <c r="O223" i="10"/>
  <c r="P223" i="10" s="1"/>
  <c r="J223" i="10"/>
  <c r="AE223" i="10" s="1"/>
  <c r="AG222" i="10"/>
  <c r="AF222" i="10"/>
  <c r="AD222" i="10"/>
  <c r="AC222" i="10"/>
  <c r="M222" i="10"/>
  <c r="O222" i="10" s="1"/>
  <c r="P222" i="10" s="1"/>
  <c r="J222" i="10"/>
  <c r="AE222" i="10" s="1"/>
  <c r="AG221" i="10"/>
  <c r="AF221" i="10"/>
  <c r="AD221" i="10"/>
  <c r="AC221" i="10"/>
  <c r="M221" i="10"/>
  <c r="O221" i="10" s="1"/>
  <c r="P221" i="10" s="1"/>
  <c r="J221" i="10"/>
  <c r="AE221" i="10" s="1"/>
  <c r="AG220" i="10"/>
  <c r="AF220" i="10"/>
  <c r="AD220" i="10"/>
  <c r="AC220" i="10"/>
  <c r="O220" i="10"/>
  <c r="P220" i="10" s="1"/>
  <c r="J220" i="10"/>
  <c r="AE220" i="10" s="1"/>
  <c r="AG219" i="10"/>
  <c r="AF219" i="10"/>
  <c r="AD219" i="10"/>
  <c r="AC219" i="10"/>
  <c r="O219" i="10"/>
  <c r="P219" i="10" s="1"/>
  <c r="J219" i="10"/>
  <c r="AE219" i="10" s="1"/>
  <c r="AB40" i="9" l="1"/>
  <c r="AC40" i="9" s="1"/>
  <c r="AB38" i="9"/>
  <c r="AC38" i="9" s="1"/>
  <c r="AE38" i="9"/>
  <c r="U38" i="9"/>
  <c r="U40" i="9"/>
  <c r="Q220" i="10"/>
  <c r="U220" i="10" s="1"/>
  <c r="AA220" i="10" s="1"/>
  <c r="AB220" i="10" s="1"/>
  <c r="Q222" i="10"/>
  <c r="U222" i="10" s="1"/>
  <c r="W222" i="10"/>
  <c r="X222" i="10" s="1"/>
  <c r="Z222" i="10" s="1"/>
  <c r="W220" i="10"/>
  <c r="X220" i="10" s="1"/>
  <c r="Z220" i="10" s="1"/>
  <c r="P227" i="10"/>
  <c r="O227" i="10"/>
  <c r="D22" i="9" s="1"/>
  <c r="Q224" i="10"/>
  <c r="S224" i="10" s="1"/>
  <c r="Q219" i="10"/>
  <c r="S219" i="10" s="1"/>
  <c r="W219" i="10" s="1"/>
  <c r="X219" i="10" s="1"/>
  <c r="Z219" i="10" s="1"/>
  <c r="S220" i="10"/>
  <c r="Q223" i="10"/>
  <c r="Q225" i="10"/>
  <c r="Q221" i="10"/>
  <c r="M227" i="10"/>
  <c r="B22" i="9" s="1"/>
  <c r="W223" i="10"/>
  <c r="X223" i="10" s="1"/>
  <c r="Z223" i="10" s="1"/>
  <c r="W224" i="10"/>
  <c r="X224" i="10" s="1"/>
  <c r="Z224" i="10" s="1"/>
  <c r="W225" i="10"/>
  <c r="X225" i="10" s="1"/>
  <c r="Z225" i="10" s="1"/>
  <c r="W221" i="10"/>
  <c r="X221" i="10" s="1"/>
  <c r="Z221" i="10" s="1"/>
  <c r="J59" i="6"/>
  <c r="H59" i="6"/>
  <c r="J58" i="6"/>
  <c r="J57" i="6"/>
  <c r="H57" i="6"/>
  <c r="K56" i="6"/>
  <c r="K57" i="6"/>
  <c r="K59" i="6"/>
  <c r="F56" i="6"/>
  <c r="J56" i="6" s="1"/>
  <c r="H56" i="6"/>
  <c r="J55" i="6"/>
  <c r="H55" i="6"/>
  <c r="E59" i="6"/>
  <c r="C59" i="6"/>
  <c r="B59" i="6"/>
  <c r="E60" i="6"/>
  <c r="C60" i="6"/>
  <c r="B60" i="6"/>
  <c r="F59" i="6"/>
  <c r="F58" i="6"/>
  <c r="K58" i="6" s="1"/>
  <c r="F57" i="6"/>
  <c r="K55" i="6"/>
  <c r="F55" i="6"/>
  <c r="K47" i="6"/>
  <c r="K46" i="6"/>
  <c r="K45" i="6"/>
  <c r="K43" i="6"/>
  <c r="J47" i="6"/>
  <c r="H47" i="6"/>
  <c r="F46" i="6"/>
  <c r="I46" i="6" s="1"/>
  <c r="J45" i="6"/>
  <c r="H45" i="6"/>
  <c r="J43" i="6"/>
  <c r="H43" i="6"/>
  <c r="F47" i="6"/>
  <c r="F45" i="6"/>
  <c r="F43" i="6"/>
  <c r="AG301" i="10"/>
  <c r="AF301" i="10"/>
  <c r="AD301" i="10"/>
  <c r="AC301" i="10"/>
  <c r="O301" i="10"/>
  <c r="P301" i="10" s="1"/>
  <c r="J301" i="10"/>
  <c r="AE301" i="10" s="1"/>
  <c r="AG300" i="10"/>
  <c r="AF300" i="10"/>
  <c r="AD300" i="10"/>
  <c r="AC300" i="10"/>
  <c r="O300" i="10"/>
  <c r="P300" i="10" s="1"/>
  <c r="J300" i="10"/>
  <c r="AE300" i="10" s="1"/>
  <c r="AG299" i="10"/>
  <c r="AF299" i="10"/>
  <c r="AD299" i="10"/>
  <c r="AC299" i="10"/>
  <c r="O299" i="10"/>
  <c r="P299" i="10" s="1"/>
  <c r="J299" i="10"/>
  <c r="AE299" i="10" s="1"/>
  <c r="AG298" i="10"/>
  <c r="AF298" i="10"/>
  <c r="AD298" i="10"/>
  <c r="AC298" i="10"/>
  <c r="O298" i="10"/>
  <c r="P298" i="10" s="1"/>
  <c r="J298" i="10"/>
  <c r="AE298" i="10" s="1"/>
  <c r="AG297" i="10"/>
  <c r="AF297" i="10"/>
  <c r="AD297" i="10"/>
  <c r="AC297" i="10"/>
  <c r="O297" i="10"/>
  <c r="P297" i="10" s="1"/>
  <c r="J297" i="10"/>
  <c r="AE297" i="10" s="1"/>
  <c r="AG296" i="10"/>
  <c r="AF296" i="10"/>
  <c r="AD296" i="10"/>
  <c r="AC296" i="10"/>
  <c r="M296" i="10"/>
  <c r="O296" i="10" s="1"/>
  <c r="P296" i="10" s="1"/>
  <c r="J296" i="10"/>
  <c r="AE296" i="10" s="1"/>
  <c r="AG295" i="10"/>
  <c r="AF295" i="10"/>
  <c r="AD295" i="10"/>
  <c r="AC295" i="10"/>
  <c r="M295" i="10"/>
  <c r="J295" i="10"/>
  <c r="AE295" i="10" s="1"/>
  <c r="AG294" i="10"/>
  <c r="AF294" i="10"/>
  <c r="AD294" i="10"/>
  <c r="AC294" i="10"/>
  <c r="O294" i="10"/>
  <c r="P294" i="10" s="1"/>
  <c r="J294" i="10"/>
  <c r="AE294" i="10" s="1"/>
  <c r="AG293" i="10"/>
  <c r="AF293" i="10"/>
  <c r="AD293" i="10"/>
  <c r="AC293" i="10"/>
  <c r="O293" i="10"/>
  <c r="P293" i="10" s="1"/>
  <c r="J293" i="10"/>
  <c r="AE293" i="10" s="1"/>
  <c r="AG292" i="10"/>
  <c r="AF292" i="10"/>
  <c r="AD292" i="10"/>
  <c r="AC292" i="10"/>
  <c r="O292" i="10"/>
  <c r="J292" i="10"/>
  <c r="AE292" i="10" s="1"/>
  <c r="K289" i="10"/>
  <c r="AG287" i="10"/>
  <c r="AF287" i="10"/>
  <c r="AD287" i="10"/>
  <c r="AC287" i="10"/>
  <c r="M287" i="10"/>
  <c r="O287" i="10" s="1"/>
  <c r="P287" i="10" s="1"/>
  <c r="J287" i="10"/>
  <c r="AE287" i="10" s="1"/>
  <c r="AG286" i="10"/>
  <c r="AF286" i="10"/>
  <c r="AD286" i="10"/>
  <c r="AC286" i="10"/>
  <c r="O286" i="10"/>
  <c r="P286" i="10" s="1"/>
  <c r="J286" i="10"/>
  <c r="AE286" i="10" s="1"/>
  <c r="AG285" i="10"/>
  <c r="AF285" i="10"/>
  <c r="AD285" i="10"/>
  <c r="AC285" i="10"/>
  <c r="O285" i="10"/>
  <c r="P285" i="10" s="1"/>
  <c r="J285" i="10"/>
  <c r="AE285" i="10" s="1"/>
  <c r="AG284" i="10"/>
  <c r="AF284" i="10"/>
  <c r="AD284" i="10"/>
  <c r="AC284" i="10"/>
  <c r="O284" i="10"/>
  <c r="P284" i="10" s="1"/>
  <c r="J284" i="10"/>
  <c r="AE284" i="10" s="1"/>
  <c r="AG283" i="10"/>
  <c r="AF283" i="10"/>
  <c r="AD283" i="10"/>
  <c r="AC283" i="10"/>
  <c r="O283" i="10"/>
  <c r="P283" i="10" s="1"/>
  <c r="J283" i="10"/>
  <c r="AE283" i="10" s="1"/>
  <c r="AG282" i="10"/>
  <c r="AF282" i="10"/>
  <c r="AD282" i="10"/>
  <c r="AC282" i="10"/>
  <c r="O282" i="10"/>
  <c r="P282" i="10" s="1"/>
  <c r="J282" i="10"/>
  <c r="AE282" i="10" s="1"/>
  <c r="AG281" i="10"/>
  <c r="AF281" i="10"/>
  <c r="AD281" i="10"/>
  <c r="AC281" i="10"/>
  <c r="O281" i="10"/>
  <c r="P281" i="10" s="1"/>
  <c r="J281" i="10"/>
  <c r="AE281" i="10" s="1"/>
  <c r="AG280" i="10"/>
  <c r="AF280" i="10"/>
  <c r="AD280" i="10"/>
  <c r="AC280" i="10"/>
  <c r="M280" i="10"/>
  <c r="J280" i="10"/>
  <c r="AE280" i="10" s="1"/>
  <c r="AG279" i="10"/>
  <c r="AF279" i="10"/>
  <c r="AD279" i="10"/>
  <c r="AC279" i="10"/>
  <c r="O279" i="10"/>
  <c r="P279" i="10" s="1"/>
  <c r="J279" i="10"/>
  <c r="AE279" i="10" s="1"/>
  <c r="AG278" i="10"/>
  <c r="AF278" i="10"/>
  <c r="AD278" i="10"/>
  <c r="AC278" i="10"/>
  <c r="O278" i="10"/>
  <c r="J278" i="10"/>
  <c r="AE278" i="10" s="1"/>
  <c r="AG272" i="10"/>
  <c r="AF272" i="10"/>
  <c r="AD272" i="10"/>
  <c r="AC272" i="10"/>
  <c r="M272" i="10"/>
  <c r="O272" i="10" s="1"/>
  <c r="P272" i="10" s="1"/>
  <c r="J272" i="10"/>
  <c r="AE272" i="10" s="1"/>
  <c r="AG271" i="10"/>
  <c r="AF271" i="10"/>
  <c r="AD271" i="10"/>
  <c r="AC271" i="10"/>
  <c r="O271" i="10"/>
  <c r="P271" i="10" s="1"/>
  <c r="J271" i="10"/>
  <c r="AE271" i="10" s="1"/>
  <c r="AG270" i="10"/>
  <c r="AF270" i="10"/>
  <c r="AD270" i="10"/>
  <c r="AC270" i="10"/>
  <c r="O270" i="10"/>
  <c r="P270" i="10" s="1"/>
  <c r="J270" i="10"/>
  <c r="AE270" i="10" s="1"/>
  <c r="AG269" i="10"/>
  <c r="AF269" i="10"/>
  <c r="AD269" i="10"/>
  <c r="AC269" i="10"/>
  <c r="O269" i="10"/>
  <c r="P269" i="10" s="1"/>
  <c r="J269" i="10"/>
  <c r="AE269" i="10" s="1"/>
  <c r="AG268" i="10"/>
  <c r="AF268" i="10"/>
  <c r="AD268" i="10"/>
  <c r="AC268" i="10"/>
  <c r="O268" i="10"/>
  <c r="P268" i="10" s="1"/>
  <c r="J268" i="10"/>
  <c r="AE268" i="10" s="1"/>
  <c r="AG267" i="10"/>
  <c r="AF267" i="10"/>
  <c r="AD267" i="10"/>
  <c r="AC267" i="10"/>
  <c r="O267" i="10"/>
  <c r="P267" i="10" s="1"/>
  <c r="J267" i="10"/>
  <c r="AE267" i="10" s="1"/>
  <c r="AG266" i="10"/>
  <c r="AF266" i="10"/>
  <c r="AD266" i="10"/>
  <c r="AC266" i="10"/>
  <c r="O266" i="10"/>
  <c r="P266" i="10" s="1"/>
  <c r="J266" i="10"/>
  <c r="AE266" i="10" s="1"/>
  <c r="AG265" i="10"/>
  <c r="AF265" i="10"/>
  <c r="AD265" i="10"/>
  <c r="AC265" i="10"/>
  <c r="O265" i="10"/>
  <c r="P265" i="10" s="1"/>
  <c r="J265" i="10"/>
  <c r="AE265" i="10" s="1"/>
  <c r="AG264" i="10"/>
  <c r="AF264" i="10"/>
  <c r="AD264" i="10"/>
  <c r="AC264" i="10"/>
  <c r="O264" i="10"/>
  <c r="P264" i="10" s="1"/>
  <c r="J264" i="10"/>
  <c r="AE264" i="10" s="1"/>
  <c r="AG263" i="10"/>
  <c r="AF263" i="10"/>
  <c r="AD263" i="10"/>
  <c r="AC263" i="10"/>
  <c r="O263" i="10"/>
  <c r="P263" i="10" s="1"/>
  <c r="J263" i="10"/>
  <c r="AE263" i="10" s="1"/>
  <c r="AG262" i="10"/>
  <c r="AF262" i="10"/>
  <c r="AD262" i="10"/>
  <c r="AC262" i="10"/>
  <c r="O262" i="10"/>
  <c r="P262" i="10" s="1"/>
  <c r="J262" i="10"/>
  <c r="AE262" i="10" s="1"/>
  <c r="AG261" i="10"/>
  <c r="AF261" i="10"/>
  <c r="AD261" i="10"/>
  <c r="AC261" i="10"/>
  <c r="O261" i="10"/>
  <c r="P261" i="10" s="1"/>
  <c r="J261" i="10"/>
  <c r="AE261" i="10" s="1"/>
  <c r="AG260" i="10"/>
  <c r="AF260" i="10"/>
  <c r="AD260" i="10"/>
  <c r="AC260" i="10"/>
  <c r="O260" i="10"/>
  <c r="P260" i="10" s="1"/>
  <c r="J260" i="10"/>
  <c r="AE260" i="10" s="1"/>
  <c r="AG259" i="10"/>
  <c r="AF259" i="10"/>
  <c r="AD259" i="10"/>
  <c r="AC259" i="10"/>
  <c r="O259" i="10"/>
  <c r="P259" i="10" s="1"/>
  <c r="J259" i="10"/>
  <c r="AE259" i="10" s="1"/>
  <c r="AG258" i="10"/>
  <c r="AF258" i="10"/>
  <c r="AD258" i="10"/>
  <c r="AC258" i="10"/>
  <c r="O258" i="10"/>
  <c r="P258" i="10" s="1"/>
  <c r="J258" i="10"/>
  <c r="AE258" i="10" s="1"/>
  <c r="AG257" i="10"/>
  <c r="AF257" i="10"/>
  <c r="AD257" i="10"/>
  <c r="AC257" i="10"/>
  <c r="O257" i="10"/>
  <c r="J257" i="10"/>
  <c r="AE257" i="10" s="1"/>
  <c r="AG251" i="10"/>
  <c r="AF251" i="10"/>
  <c r="AD251" i="10"/>
  <c r="AC251" i="10"/>
  <c r="M251" i="10"/>
  <c r="O251" i="10" s="1"/>
  <c r="O253" i="10" s="1"/>
  <c r="J251" i="10"/>
  <c r="AE251" i="10" s="1"/>
  <c r="B247" i="10"/>
  <c r="AG244" i="10"/>
  <c r="AF244" i="10"/>
  <c r="AD244" i="10"/>
  <c r="AC244" i="10"/>
  <c r="O244" i="10"/>
  <c r="P244" i="10" s="1"/>
  <c r="J244" i="10"/>
  <c r="AE244" i="10" s="1"/>
  <c r="AG243" i="10"/>
  <c r="AF243" i="10"/>
  <c r="AD243" i="10"/>
  <c r="AC243" i="10"/>
  <c r="O243" i="10"/>
  <c r="P243" i="10" s="1"/>
  <c r="J243" i="10"/>
  <c r="AE243" i="10" s="1"/>
  <c r="AG242" i="10"/>
  <c r="AF242" i="10"/>
  <c r="AD242" i="10"/>
  <c r="AC242" i="10"/>
  <c r="O242" i="10"/>
  <c r="P242" i="10" s="1"/>
  <c r="J242" i="10"/>
  <c r="AE242" i="10" s="1"/>
  <c r="AG241" i="10"/>
  <c r="AF241" i="10"/>
  <c r="AD241" i="10"/>
  <c r="AC241" i="10"/>
  <c r="O241" i="10"/>
  <c r="P241" i="10" s="1"/>
  <c r="J241" i="10"/>
  <c r="AE241" i="10" s="1"/>
  <c r="AG240" i="10"/>
  <c r="AF240" i="10"/>
  <c r="AD240" i="10"/>
  <c r="AC240" i="10"/>
  <c r="O240" i="10"/>
  <c r="P240" i="10" s="1"/>
  <c r="J240" i="10"/>
  <c r="AE240" i="10" s="1"/>
  <c r="AG239" i="10"/>
  <c r="AF239" i="10"/>
  <c r="AD239" i="10"/>
  <c r="AC239" i="10"/>
  <c r="O239" i="10"/>
  <c r="P239" i="10" s="1"/>
  <c r="J239" i="10"/>
  <c r="AE239" i="10" s="1"/>
  <c r="AG238" i="10"/>
  <c r="AF238" i="10"/>
  <c r="AD238" i="10"/>
  <c r="AC238" i="10"/>
  <c r="O238" i="10"/>
  <c r="P238" i="10" s="1"/>
  <c r="J238" i="10"/>
  <c r="AE238" i="10" s="1"/>
  <c r="AG237" i="10"/>
  <c r="AF237" i="10"/>
  <c r="AD237" i="10"/>
  <c r="AC237" i="10"/>
  <c r="M237" i="10"/>
  <c r="M247" i="10" s="1"/>
  <c r="B24" i="9" s="1"/>
  <c r="J237" i="10"/>
  <c r="AE237" i="10" s="1"/>
  <c r="AG236" i="10"/>
  <c r="AF236" i="10"/>
  <c r="AD236" i="10"/>
  <c r="AC236" i="10"/>
  <c r="O236" i="10"/>
  <c r="P236" i="10" s="1"/>
  <c r="J236" i="10"/>
  <c r="AE236" i="10" s="1"/>
  <c r="AG235" i="10"/>
  <c r="AF235" i="10"/>
  <c r="AD235" i="10"/>
  <c r="AC235" i="10"/>
  <c r="O235" i="10"/>
  <c r="P235" i="10" s="1"/>
  <c r="J235" i="10"/>
  <c r="AE235" i="10" s="1"/>
  <c r="AG234" i="10"/>
  <c r="AF234" i="10"/>
  <c r="AD234" i="10"/>
  <c r="AC234" i="10"/>
  <c r="O234" i="10"/>
  <c r="P234" i="10" s="1"/>
  <c r="J234" i="10"/>
  <c r="AE234" i="10" s="1"/>
  <c r="AG233" i="10"/>
  <c r="AF233" i="10"/>
  <c r="AD233" i="10"/>
  <c r="AC233" i="10"/>
  <c r="O233" i="10"/>
  <c r="P233" i="10" s="1"/>
  <c r="J233" i="10"/>
  <c r="AE233" i="10" s="1"/>
  <c r="AG232" i="10"/>
  <c r="AF232" i="10"/>
  <c r="AD232" i="10"/>
  <c r="AC232" i="10"/>
  <c r="O232" i="10"/>
  <c r="P232" i="10" s="1"/>
  <c r="J232" i="10"/>
  <c r="AE232" i="10" s="1"/>
  <c r="C232" i="10"/>
  <c r="C233" i="10" s="1"/>
  <c r="AG231" i="10"/>
  <c r="AF231" i="10"/>
  <c r="AD231" i="10"/>
  <c r="AC231" i="10"/>
  <c r="O231" i="10"/>
  <c r="P231" i="10" s="1"/>
  <c r="J231" i="10"/>
  <c r="AE231" i="10" s="1"/>
  <c r="Y216" i="10"/>
  <c r="AG214" i="10"/>
  <c r="AF214" i="10"/>
  <c r="AD214" i="10"/>
  <c r="AC214" i="10"/>
  <c r="O214" i="10"/>
  <c r="P214" i="10" s="1"/>
  <c r="J214" i="10"/>
  <c r="AE214" i="10" s="1"/>
  <c r="AG213" i="10"/>
  <c r="AF213" i="10"/>
  <c r="AD213" i="10"/>
  <c r="AC213" i="10"/>
  <c r="O213" i="10"/>
  <c r="P213" i="10" s="1"/>
  <c r="J213" i="10"/>
  <c r="AE213" i="10" s="1"/>
  <c r="AG212" i="10"/>
  <c r="AF212" i="10"/>
  <c r="AD212" i="10"/>
  <c r="AC212" i="10"/>
  <c r="O212" i="10"/>
  <c r="P212" i="10" s="1"/>
  <c r="J212" i="10"/>
  <c r="AE212" i="10" s="1"/>
  <c r="AG211" i="10"/>
  <c r="AF211" i="10"/>
  <c r="AD211" i="10"/>
  <c r="AC211" i="10"/>
  <c r="M211" i="10"/>
  <c r="O211" i="10" s="1"/>
  <c r="P211" i="10" s="1"/>
  <c r="J211" i="10"/>
  <c r="AE211" i="10" s="1"/>
  <c r="AG210" i="10"/>
  <c r="AF210" i="10"/>
  <c r="AD210" i="10"/>
  <c r="AC210" i="10"/>
  <c r="M210" i="10"/>
  <c r="O210" i="10" s="1"/>
  <c r="P210" i="10" s="1"/>
  <c r="J210" i="10"/>
  <c r="AE210" i="10" s="1"/>
  <c r="AG209" i="10"/>
  <c r="AF209" i="10"/>
  <c r="AD209" i="10"/>
  <c r="AC209" i="10"/>
  <c r="M209" i="10"/>
  <c r="J209" i="10"/>
  <c r="AE209" i="10" s="1"/>
  <c r="AG208" i="10"/>
  <c r="AF208" i="10"/>
  <c r="AD208" i="10"/>
  <c r="AC208" i="10"/>
  <c r="O208" i="10"/>
  <c r="P208" i="10" s="1"/>
  <c r="J208" i="10"/>
  <c r="AE208" i="10" s="1"/>
  <c r="AG207" i="10"/>
  <c r="AF207" i="10"/>
  <c r="AD207" i="10"/>
  <c r="AC207" i="10"/>
  <c r="O207" i="10"/>
  <c r="P207" i="10" s="1"/>
  <c r="J207" i="10"/>
  <c r="AE207" i="10" s="1"/>
  <c r="AG206" i="10"/>
  <c r="AF206" i="10"/>
  <c r="AD206" i="10"/>
  <c r="AC206" i="10"/>
  <c r="O206" i="10"/>
  <c r="P206" i="10" s="1"/>
  <c r="J206" i="10"/>
  <c r="AE206" i="10" s="1"/>
  <c r="AG205" i="10"/>
  <c r="AF205" i="10"/>
  <c r="AD205" i="10"/>
  <c r="AC205" i="10"/>
  <c r="O205" i="10"/>
  <c r="J205" i="10"/>
  <c r="AE205" i="10" s="1"/>
  <c r="B205" i="10"/>
  <c r="AG198" i="10"/>
  <c r="AF198" i="10"/>
  <c r="AD198" i="10"/>
  <c r="AC198" i="10"/>
  <c r="O198" i="10"/>
  <c r="P198" i="10" s="1"/>
  <c r="J198" i="10"/>
  <c r="AE198" i="10" s="1"/>
  <c r="AG197" i="10"/>
  <c r="AF197" i="10"/>
  <c r="AD197" i="10"/>
  <c r="AC197" i="10"/>
  <c r="O197" i="10"/>
  <c r="P197" i="10" s="1"/>
  <c r="J197" i="10"/>
  <c r="AE197" i="10" s="1"/>
  <c r="AG196" i="10"/>
  <c r="AF196" i="10"/>
  <c r="AD196" i="10"/>
  <c r="AC196" i="10"/>
  <c r="O196" i="10"/>
  <c r="P196" i="10" s="1"/>
  <c r="J196" i="10"/>
  <c r="AE196" i="10" s="1"/>
  <c r="AG195" i="10"/>
  <c r="AF195" i="10"/>
  <c r="AD195" i="10"/>
  <c r="AC195" i="10"/>
  <c r="O195" i="10"/>
  <c r="P195" i="10" s="1"/>
  <c r="J195" i="10"/>
  <c r="AE195" i="10" s="1"/>
  <c r="AG194" i="10"/>
  <c r="AF194" i="10"/>
  <c r="AD194" i="10"/>
  <c r="AC194" i="10"/>
  <c r="O194" i="10"/>
  <c r="P194" i="10" s="1"/>
  <c r="J194" i="10"/>
  <c r="AE194" i="10" s="1"/>
  <c r="AG193" i="10"/>
  <c r="AF193" i="10"/>
  <c r="AD193" i="10"/>
  <c r="AC193" i="10"/>
  <c r="O193" i="10"/>
  <c r="P193" i="10" s="1"/>
  <c r="J193" i="10"/>
  <c r="AE193" i="10" s="1"/>
  <c r="AG192" i="10"/>
  <c r="AF192" i="10"/>
  <c r="AD192" i="10"/>
  <c r="AC192" i="10"/>
  <c r="O192" i="10"/>
  <c r="P192" i="10" s="1"/>
  <c r="J192" i="10"/>
  <c r="AE192" i="10" s="1"/>
  <c r="AG191" i="10"/>
  <c r="AF191" i="10"/>
  <c r="AD191" i="10"/>
  <c r="AC191" i="10"/>
  <c r="O191" i="10"/>
  <c r="P191" i="10" s="1"/>
  <c r="J191" i="10"/>
  <c r="AE191" i="10" s="1"/>
  <c r="AG190" i="10"/>
  <c r="AF190" i="10"/>
  <c r="AD190" i="10"/>
  <c r="AC190" i="10"/>
  <c r="O190" i="10"/>
  <c r="P190" i="10" s="1"/>
  <c r="J190" i="10"/>
  <c r="AE190" i="10" s="1"/>
  <c r="AG189" i="10"/>
  <c r="AF189" i="10"/>
  <c r="AD189" i="10"/>
  <c r="AC189" i="10"/>
  <c r="O189" i="10"/>
  <c r="P189" i="10" s="1"/>
  <c r="J189" i="10"/>
  <c r="AE189" i="10" s="1"/>
  <c r="AG188" i="10"/>
  <c r="AF188" i="10"/>
  <c r="AD188" i="10"/>
  <c r="AC188" i="10"/>
  <c r="O188" i="10"/>
  <c r="P188" i="10" s="1"/>
  <c r="J188" i="10"/>
  <c r="AE188" i="10" s="1"/>
  <c r="AG187" i="10"/>
  <c r="AF187" i="10"/>
  <c r="AD187" i="10"/>
  <c r="AC187" i="10"/>
  <c r="O187" i="10"/>
  <c r="P187" i="10" s="1"/>
  <c r="J187" i="10"/>
  <c r="AE187" i="10" s="1"/>
  <c r="AG186" i="10"/>
  <c r="AF186" i="10"/>
  <c r="AD186" i="10"/>
  <c r="AC186" i="10"/>
  <c r="O186" i="10"/>
  <c r="P186" i="10" s="1"/>
  <c r="J186" i="10"/>
  <c r="AE186" i="10" s="1"/>
  <c r="AG185" i="10"/>
  <c r="AF185" i="10"/>
  <c r="AD185" i="10"/>
  <c r="AC185" i="10"/>
  <c r="O185" i="10"/>
  <c r="P185" i="10" s="1"/>
  <c r="J185" i="10"/>
  <c r="AE185" i="10" s="1"/>
  <c r="AG184" i="10"/>
  <c r="AF184" i="10"/>
  <c r="AD184" i="10"/>
  <c r="AC184" i="10"/>
  <c r="O184" i="10"/>
  <c r="P184" i="10" s="1"/>
  <c r="J184" i="10"/>
  <c r="AE184" i="10" s="1"/>
  <c r="AG183" i="10"/>
  <c r="AF183" i="10"/>
  <c r="AD183" i="10"/>
  <c r="AC183" i="10"/>
  <c r="O183" i="10"/>
  <c r="P183" i="10" s="1"/>
  <c r="J183" i="10"/>
  <c r="AE183" i="10" s="1"/>
  <c r="AG182" i="10"/>
  <c r="AF182" i="10"/>
  <c r="AD182" i="10"/>
  <c r="AC182" i="10"/>
  <c r="O182" i="10"/>
  <c r="P182" i="10" s="1"/>
  <c r="J182" i="10"/>
  <c r="AE182" i="10" s="1"/>
  <c r="AG181" i="10"/>
  <c r="AF181" i="10"/>
  <c r="AD181" i="10"/>
  <c r="AC181" i="10"/>
  <c r="O181" i="10"/>
  <c r="P181" i="10" s="1"/>
  <c r="J181" i="10"/>
  <c r="AE181" i="10" s="1"/>
  <c r="AG180" i="10"/>
  <c r="AF180" i="10"/>
  <c r="AD180" i="10"/>
  <c r="AC180" i="10"/>
  <c r="O180" i="10"/>
  <c r="P180" i="10" s="1"/>
  <c r="J180" i="10"/>
  <c r="AE180" i="10" s="1"/>
  <c r="AG179" i="10"/>
  <c r="AF179" i="10"/>
  <c r="AD179" i="10"/>
  <c r="AC179" i="10"/>
  <c r="O179" i="10"/>
  <c r="P179" i="10" s="1"/>
  <c r="J179" i="10"/>
  <c r="AE179" i="10" s="1"/>
  <c r="AG178" i="10"/>
  <c r="AF178" i="10"/>
  <c r="AD178" i="10"/>
  <c r="AC178" i="10"/>
  <c r="O178" i="10"/>
  <c r="P178" i="10" s="1"/>
  <c r="J178" i="10"/>
  <c r="AE178" i="10" s="1"/>
  <c r="AG177" i="10"/>
  <c r="AF177" i="10"/>
  <c r="AD177" i="10"/>
  <c r="AC177" i="10"/>
  <c r="O177" i="10"/>
  <c r="P177" i="10" s="1"/>
  <c r="J177" i="10"/>
  <c r="AE177" i="10" s="1"/>
  <c r="AG176" i="10"/>
  <c r="AF176" i="10"/>
  <c r="AD176" i="10"/>
  <c r="AC176" i="10"/>
  <c r="O176" i="10"/>
  <c r="P176" i="10" s="1"/>
  <c r="J176" i="10"/>
  <c r="AE176" i="10" s="1"/>
  <c r="AG175" i="10"/>
  <c r="AF175" i="10"/>
  <c r="AD175" i="10"/>
  <c r="AC175" i="10"/>
  <c r="J175" i="10"/>
  <c r="AE175" i="10" s="1"/>
  <c r="AG174" i="10"/>
  <c r="AF174" i="10"/>
  <c r="AD174" i="10"/>
  <c r="AC174" i="10"/>
  <c r="M174" i="10"/>
  <c r="O174" i="10" s="1"/>
  <c r="P174" i="10" s="1"/>
  <c r="J174" i="10"/>
  <c r="AE174" i="10" s="1"/>
  <c r="AG173" i="10"/>
  <c r="AF173" i="10"/>
  <c r="AD173" i="10"/>
  <c r="AC173" i="10"/>
  <c r="M173" i="10"/>
  <c r="O173" i="10" s="1"/>
  <c r="P173" i="10" s="1"/>
  <c r="J173" i="10"/>
  <c r="AE173" i="10" s="1"/>
  <c r="AG172" i="10"/>
  <c r="AF172" i="10"/>
  <c r="AD172" i="10"/>
  <c r="AC172" i="10"/>
  <c r="M172" i="10"/>
  <c r="O172" i="10" s="1"/>
  <c r="P172" i="10" s="1"/>
  <c r="J172" i="10"/>
  <c r="AE172" i="10" s="1"/>
  <c r="AG171" i="10"/>
  <c r="AF171" i="10"/>
  <c r="AD171" i="10"/>
  <c r="AC171" i="10"/>
  <c r="M171" i="10"/>
  <c r="O171" i="10" s="1"/>
  <c r="P171" i="10" s="1"/>
  <c r="J171" i="10"/>
  <c r="AE171" i="10" s="1"/>
  <c r="AG170" i="10"/>
  <c r="AF170" i="10"/>
  <c r="AD170" i="10"/>
  <c r="AC170" i="10"/>
  <c r="O170" i="10"/>
  <c r="P170" i="10" s="1"/>
  <c r="J170" i="10"/>
  <c r="AE170" i="10" s="1"/>
  <c r="AG169" i="10"/>
  <c r="AF169" i="10"/>
  <c r="AD169" i="10"/>
  <c r="AC169" i="10"/>
  <c r="O169" i="10"/>
  <c r="P169" i="10" s="1"/>
  <c r="J169" i="10"/>
  <c r="AE169" i="10" s="1"/>
  <c r="AG168" i="10"/>
  <c r="AF168" i="10"/>
  <c r="AD168" i="10"/>
  <c r="AC168" i="10"/>
  <c r="O168" i="10"/>
  <c r="P168" i="10" s="1"/>
  <c r="J168" i="10"/>
  <c r="AE168" i="10" s="1"/>
  <c r="AG167" i="10"/>
  <c r="AF167" i="10"/>
  <c r="AD167" i="10"/>
  <c r="AC167" i="10"/>
  <c r="O167" i="10"/>
  <c r="P167" i="10" s="1"/>
  <c r="J167" i="10"/>
  <c r="AE167" i="10" s="1"/>
  <c r="AG166" i="10"/>
  <c r="AF166" i="10"/>
  <c r="AD166" i="10"/>
  <c r="AC166" i="10"/>
  <c r="O166" i="10"/>
  <c r="P166" i="10" s="1"/>
  <c r="J166" i="10"/>
  <c r="AE166" i="10" s="1"/>
  <c r="AG165" i="10"/>
  <c r="AF165" i="10"/>
  <c r="AD165" i="10"/>
  <c r="AC165" i="10"/>
  <c r="O165" i="10"/>
  <c r="P165" i="10" s="1"/>
  <c r="J165" i="10"/>
  <c r="AE165" i="10" s="1"/>
  <c r="AG164" i="10"/>
  <c r="AF164" i="10"/>
  <c r="AD164" i="10"/>
  <c r="AC164" i="10"/>
  <c r="M164" i="10"/>
  <c r="O164" i="10" s="1"/>
  <c r="P164" i="10" s="1"/>
  <c r="J164" i="10"/>
  <c r="AE164" i="10" s="1"/>
  <c r="AG163" i="10"/>
  <c r="AF163" i="10"/>
  <c r="AD163" i="10"/>
  <c r="AC163" i="10"/>
  <c r="M163" i="10"/>
  <c r="O163" i="10" s="1"/>
  <c r="P163" i="10" s="1"/>
  <c r="J163" i="10"/>
  <c r="AE163" i="10" s="1"/>
  <c r="AG162" i="10"/>
  <c r="AF162" i="10"/>
  <c r="AD162" i="10"/>
  <c r="AC162" i="10"/>
  <c r="M162" i="10"/>
  <c r="O162" i="10" s="1"/>
  <c r="P162" i="10" s="1"/>
  <c r="J162" i="10"/>
  <c r="AE162" i="10" s="1"/>
  <c r="AG161" i="10"/>
  <c r="AF161" i="10"/>
  <c r="AD161" i="10"/>
  <c r="AC161" i="10"/>
  <c r="O161" i="10"/>
  <c r="P161" i="10" s="1"/>
  <c r="J161" i="10"/>
  <c r="AE161" i="10" s="1"/>
  <c r="AG160" i="10"/>
  <c r="AF160" i="10"/>
  <c r="AD160" i="10"/>
  <c r="AC160" i="10"/>
  <c r="O160" i="10"/>
  <c r="P160" i="10" s="1"/>
  <c r="J160" i="10"/>
  <c r="AE160" i="10" s="1"/>
  <c r="AG159" i="10"/>
  <c r="AF159" i="10"/>
  <c r="AD159" i="10"/>
  <c r="AC159" i="10"/>
  <c r="O159" i="10"/>
  <c r="P159" i="10" s="1"/>
  <c r="J159" i="10"/>
  <c r="AE159" i="10" s="1"/>
  <c r="AG158" i="10"/>
  <c r="AF158" i="10"/>
  <c r="AD158" i="10"/>
  <c r="AC158" i="10"/>
  <c r="O158" i="10"/>
  <c r="P158" i="10" s="1"/>
  <c r="J158" i="10"/>
  <c r="AE158" i="10" s="1"/>
  <c r="AG157" i="10"/>
  <c r="AF157" i="10"/>
  <c r="AD157" i="10"/>
  <c r="AC157" i="10"/>
  <c r="O157" i="10"/>
  <c r="P157" i="10" s="1"/>
  <c r="J157" i="10"/>
  <c r="AE157" i="10" s="1"/>
  <c r="AG156" i="10"/>
  <c r="AF156" i="10"/>
  <c r="AD156" i="10"/>
  <c r="AC156" i="10"/>
  <c r="O156" i="10"/>
  <c r="P156" i="10" s="1"/>
  <c r="J156" i="10"/>
  <c r="AE156" i="10" s="1"/>
  <c r="AG155" i="10"/>
  <c r="AF155" i="10"/>
  <c r="AD155" i="10"/>
  <c r="AC155" i="10"/>
  <c r="O155" i="10"/>
  <c r="P155" i="10" s="1"/>
  <c r="J155" i="10"/>
  <c r="AE155" i="10" s="1"/>
  <c r="AG154" i="10"/>
  <c r="AF154" i="10"/>
  <c r="AD154" i="10"/>
  <c r="AC154" i="10"/>
  <c r="O154" i="10"/>
  <c r="P154" i="10" s="1"/>
  <c r="J154" i="10"/>
  <c r="AE154" i="10" s="1"/>
  <c r="AG153" i="10"/>
  <c r="AF153" i="10"/>
  <c r="AD153" i="10"/>
  <c r="AC153" i="10"/>
  <c r="O153" i="10"/>
  <c r="P153" i="10" s="1"/>
  <c r="J153" i="10"/>
  <c r="AE153" i="10" s="1"/>
  <c r="AG152" i="10"/>
  <c r="AF152" i="10"/>
  <c r="AD152" i="10"/>
  <c r="AC152" i="10"/>
  <c r="O152" i="10"/>
  <c r="P152" i="10" s="1"/>
  <c r="J152" i="10"/>
  <c r="AE152" i="10" s="1"/>
  <c r="AG151" i="10"/>
  <c r="AF151" i="10"/>
  <c r="AD151" i="10"/>
  <c r="AC151" i="10"/>
  <c r="O151" i="10"/>
  <c r="P151" i="10" s="1"/>
  <c r="J151" i="10"/>
  <c r="AE151" i="10" s="1"/>
  <c r="AG150" i="10"/>
  <c r="AF150" i="10"/>
  <c r="AD150" i="10"/>
  <c r="AC150" i="10"/>
  <c r="O150" i="10"/>
  <c r="P150" i="10" s="1"/>
  <c r="J150" i="10"/>
  <c r="AE150" i="10" s="1"/>
  <c r="AG149" i="10"/>
  <c r="AF149" i="10"/>
  <c r="AD149" i="10"/>
  <c r="AC149" i="10"/>
  <c r="O149" i="10"/>
  <c r="P149" i="10" s="1"/>
  <c r="J149" i="10"/>
  <c r="AE149" i="10" s="1"/>
  <c r="AG148" i="10"/>
  <c r="AF148" i="10"/>
  <c r="AD148" i="10"/>
  <c r="AC148" i="10"/>
  <c r="O148" i="10"/>
  <c r="P148" i="10" s="1"/>
  <c r="J148" i="10"/>
  <c r="AE148" i="10" s="1"/>
  <c r="AG147" i="10"/>
  <c r="AF147" i="10"/>
  <c r="AD147" i="10"/>
  <c r="AC147" i="10"/>
  <c r="O147" i="10"/>
  <c r="P147" i="10" s="1"/>
  <c r="J147" i="10"/>
  <c r="AE147" i="10" s="1"/>
  <c r="AG146" i="10"/>
  <c r="AF146" i="10"/>
  <c r="AD146" i="10"/>
  <c r="AC146" i="10"/>
  <c r="O146" i="10"/>
  <c r="P146" i="10" s="1"/>
  <c r="J146" i="10"/>
  <c r="AE146" i="10" s="1"/>
  <c r="AG145" i="10"/>
  <c r="AF145" i="10"/>
  <c r="AD145" i="10"/>
  <c r="AC145" i="10"/>
  <c r="O145" i="10"/>
  <c r="P145" i="10" s="1"/>
  <c r="J145" i="10"/>
  <c r="AE145" i="10" s="1"/>
  <c r="AG144" i="10"/>
  <c r="AF144" i="10"/>
  <c r="AD144" i="10"/>
  <c r="AC144" i="10"/>
  <c r="O144" i="10"/>
  <c r="P144" i="10" s="1"/>
  <c r="J144" i="10"/>
  <c r="AE144" i="10" s="1"/>
  <c r="AG143" i="10"/>
  <c r="AF143" i="10"/>
  <c r="AD143" i="10"/>
  <c r="AC143" i="10"/>
  <c r="O143" i="10"/>
  <c r="P143" i="10" s="1"/>
  <c r="J143" i="10"/>
  <c r="AE143" i="10" s="1"/>
  <c r="AG142" i="10"/>
  <c r="AF142" i="10"/>
  <c r="AD142" i="10"/>
  <c r="AC142" i="10"/>
  <c r="O142" i="10"/>
  <c r="P142" i="10" s="1"/>
  <c r="J142" i="10"/>
  <c r="AE142" i="10" s="1"/>
  <c r="AG141" i="10"/>
  <c r="AF141" i="10"/>
  <c r="AD141" i="10"/>
  <c r="AC141" i="10"/>
  <c r="O141" i="10"/>
  <c r="P141" i="10" s="1"/>
  <c r="J141" i="10"/>
  <c r="AE141" i="10" s="1"/>
  <c r="AG140" i="10"/>
  <c r="AF140" i="10"/>
  <c r="AD140" i="10"/>
  <c r="AC140" i="10"/>
  <c r="M140" i="10"/>
  <c r="O140" i="10" s="1"/>
  <c r="P140" i="10" s="1"/>
  <c r="J140" i="10"/>
  <c r="AE140" i="10" s="1"/>
  <c r="AG139" i="10"/>
  <c r="AF139" i="10"/>
  <c r="AD139" i="10"/>
  <c r="AC139" i="10"/>
  <c r="M139" i="10"/>
  <c r="O139" i="10" s="1"/>
  <c r="P139" i="10" s="1"/>
  <c r="J139" i="10"/>
  <c r="AE139" i="10" s="1"/>
  <c r="AG138" i="10"/>
  <c r="AF138" i="10"/>
  <c r="AD138" i="10"/>
  <c r="AC138" i="10"/>
  <c r="O138" i="10"/>
  <c r="P138" i="10" s="1"/>
  <c r="J138" i="10"/>
  <c r="AE138" i="10" s="1"/>
  <c r="AG137" i="10"/>
  <c r="AF137" i="10"/>
  <c r="AD137" i="10"/>
  <c r="AC137" i="10"/>
  <c r="M137" i="10"/>
  <c r="J137" i="10"/>
  <c r="AE137" i="10" s="1"/>
  <c r="AG136" i="10"/>
  <c r="AF136" i="10"/>
  <c r="AD136" i="10"/>
  <c r="AC136" i="10"/>
  <c r="M136" i="10"/>
  <c r="O136" i="10" s="1"/>
  <c r="P136" i="10" s="1"/>
  <c r="J136" i="10"/>
  <c r="AE136" i="10" s="1"/>
  <c r="AG135" i="10"/>
  <c r="AF135" i="10"/>
  <c r="AD135" i="10"/>
  <c r="AC135" i="10"/>
  <c r="O135" i="10"/>
  <c r="P135" i="10" s="1"/>
  <c r="J135" i="10"/>
  <c r="AE135" i="10" s="1"/>
  <c r="AG134" i="10"/>
  <c r="AF134" i="10"/>
  <c r="AD134" i="10"/>
  <c r="AC134" i="10"/>
  <c r="O134" i="10"/>
  <c r="P134" i="10" s="1"/>
  <c r="J134" i="10"/>
  <c r="AE134" i="10" s="1"/>
  <c r="AG133" i="10"/>
  <c r="AF133" i="10"/>
  <c r="AD133" i="10"/>
  <c r="AC133" i="10"/>
  <c r="O133" i="10"/>
  <c r="P133" i="10" s="1"/>
  <c r="J133" i="10"/>
  <c r="AE133" i="10" s="1"/>
  <c r="AG132" i="10"/>
  <c r="AF132" i="10"/>
  <c r="AD132" i="10"/>
  <c r="AC132" i="10"/>
  <c r="O132" i="10"/>
  <c r="P132" i="10" s="1"/>
  <c r="J132" i="10"/>
  <c r="AE132" i="10" s="1"/>
  <c r="AG131" i="10"/>
  <c r="AF131" i="10"/>
  <c r="AD131" i="10"/>
  <c r="AC131" i="10"/>
  <c r="O131" i="10"/>
  <c r="P131" i="10" s="1"/>
  <c r="J131" i="10"/>
  <c r="AE131" i="10" s="1"/>
  <c r="AG130" i="10"/>
  <c r="AF130" i="10"/>
  <c r="AD130" i="10"/>
  <c r="AC130" i="10"/>
  <c r="O130" i="10"/>
  <c r="P130" i="10" s="1"/>
  <c r="J130" i="10"/>
  <c r="AE130" i="10" s="1"/>
  <c r="AG129" i="10"/>
  <c r="AF129" i="10"/>
  <c r="AD129" i="10"/>
  <c r="AC129" i="10"/>
  <c r="O129" i="10"/>
  <c r="P129" i="10" s="1"/>
  <c r="J129" i="10"/>
  <c r="AE129" i="10" s="1"/>
  <c r="AG128" i="10"/>
  <c r="AF128" i="10"/>
  <c r="AD128" i="10"/>
  <c r="AC128" i="10"/>
  <c r="O128" i="10"/>
  <c r="P128" i="10" s="1"/>
  <c r="J128" i="10"/>
  <c r="AE128" i="10" s="1"/>
  <c r="AG127" i="10"/>
  <c r="AF127" i="10"/>
  <c r="AD127" i="10"/>
  <c r="AC127" i="10"/>
  <c r="O127" i="10"/>
  <c r="P127" i="10" s="1"/>
  <c r="J127" i="10"/>
  <c r="AE127" i="10" s="1"/>
  <c r="AG126" i="10"/>
  <c r="AF126" i="10"/>
  <c r="AD126" i="10"/>
  <c r="AC126" i="10"/>
  <c r="O126" i="10"/>
  <c r="P126" i="10" s="1"/>
  <c r="J126" i="10"/>
  <c r="AE126" i="10" s="1"/>
  <c r="AG125" i="10"/>
  <c r="AF125" i="10"/>
  <c r="AD125" i="10"/>
  <c r="AC125" i="10"/>
  <c r="O125" i="10"/>
  <c r="P125" i="10" s="1"/>
  <c r="J125" i="10"/>
  <c r="AE125" i="10" s="1"/>
  <c r="AG124" i="10"/>
  <c r="AF124" i="10"/>
  <c r="AD124" i="10"/>
  <c r="AC124" i="10"/>
  <c r="O124" i="10"/>
  <c r="P124" i="10" s="1"/>
  <c r="J124" i="10"/>
  <c r="AE124" i="10" s="1"/>
  <c r="AG123" i="10"/>
  <c r="AF123" i="10"/>
  <c r="AD123" i="10"/>
  <c r="AC123" i="10"/>
  <c r="O123" i="10"/>
  <c r="P123" i="10" s="1"/>
  <c r="J123" i="10"/>
  <c r="AE123" i="10" s="1"/>
  <c r="AG122" i="10"/>
  <c r="AF122" i="10"/>
  <c r="AD122" i="10"/>
  <c r="AC122" i="10"/>
  <c r="O122" i="10"/>
  <c r="P122" i="10" s="1"/>
  <c r="J122" i="10"/>
  <c r="AE122" i="10" s="1"/>
  <c r="C122" i="10"/>
  <c r="C124" i="10" s="1"/>
  <c r="C125" i="10" s="1"/>
  <c r="C126" i="10" s="1"/>
  <c r="AG121" i="10"/>
  <c r="AF121" i="10"/>
  <c r="AD121" i="10"/>
  <c r="AC121" i="10"/>
  <c r="O121" i="10"/>
  <c r="P121" i="10" s="1"/>
  <c r="J121" i="10"/>
  <c r="AE121" i="10" s="1"/>
  <c r="AG120" i="10"/>
  <c r="AF120" i="10"/>
  <c r="AD120" i="10"/>
  <c r="AC120" i="10"/>
  <c r="O120" i="10"/>
  <c r="P120" i="10" s="1"/>
  <c r="J120" i="10"/>
  <c r="AE120" i="10" s="1"/>
  <c r="AG119" i="10"/>
  <c r="AF119" i="10"/>
  <c r="AD119" i="10"/>
  <c r="AC119" i="10"/>
  <c r="O119" i="10"/>
  <c r="P119" i="10" s="1"/>
  <c r="J119" i="10"/>
  <c r="AE119" i="10" s="1"/>
  <c r="AG118" i="10"/>
  <c r="AF118" i="10"/>
  <c r="AD118" i="10"/>
  <c r="AC118" i="10"/>
  <c r="O118" i="10"/>
  <c r="P118" i="10" s="1"/>
  <c r="J118" i="10"/>
  <c r="AE118" i="10" s="1"/>
  <c r="AG117" i="10"/>
  <c r="AF117" i="10"/>
  <c r="AD117" i="10"/>
  <c r="AC117" i="10"/>
  <c r="O117" i="10"/>
  <c r="P117" i="10" s="1"/>
  <c r="J117" i="10"/>
  <c r="AE117" i="10" s="1"/>
  <c r="AG116" i="10"/>
  <c r="AF116" i="10"/>
  <c r="AD116" i="10"/>
  <c r="AC116" i="10"/>
  <c r="O116" i="10"/>
  <c r="P116" i="10" s="1"/>
  <c r="J116" i="10"/>
  <c r="AE116" i="10" s="1"/>
  <c r="AG115" i="10"/>
  <c r="AF115" i="10"/>
  <c r="AD115" i="10"/>
  <c r="AC115" i="10"/>
  <c r="O115" i="10"/>
  <c r="P115" i="10" s="1"/>
  <c r="J115" i="10"/>
  <c r="AE115" i="10" s="1"/>
  <c r="AG114" i="10"/>
  <c r="AF114" i="10"/>
  <c r="AD114" i="10"/>
  <c r="AC114" i="10"/>
  <c r="O114" i="10"/>
  <c r="P114" i="10" s="1"/>
  <c r="J114" i="10"/>
  <c r="AE114" i="10" s="1"/>
  <c r="AG113" i="10"/>
  <c r="AF113" i="10"/>
  <c r="AD113" i="10"/>
  <c r="AC113" i="10"/>
  <c r="O113" i="10"/>
  <c r="P113" i="10" s="1"/>
  <c r="J113" i="10"/>
  <c r="AE113" i="10" s="1"/>
  <c r="AG112" i="10"/>
  <c r="AF112" i="10"/>
  <c r="AD112" i="10"/>
  <c r="AC112" i="10"/>
  <c r="O112" i="10"/>
  <c r="P112" i="10" s="1"/>
  <c r="J112" i="10"/>
  <c r="AE112" i="10" s="1"/>
  <c r="AG111" i="10"/>
  <c r="AF111" i="10"/>
  <c r="AD111" i="10"/>
  <c r="AC111" i="10"/>
  <c r="O111" i="10"/>
  <c r="P111" i="10" s="1"/>
  <c r="J111" i="10"/>
  <c r="AE111" i="10" s="1"/>
  <c r="AG110" i="10"/>
  <c r="AF110" i="10"/>
  <c r="AD110" i="10"/>
  <c r="AC110" i="10"/>
  <c r="O110" i="10"/>
  <c r="P110" i="10" s="1"/>
  <c r="J110" i="10"/>
  <c r="AE110" i="10" s="1"/>
  <c r="C110" i="10"/>
  <c r="C111" i="10" s="1"/>
  <c r="C123" i="10" s="1"/>
  <c r="AG109" i="10"/>
  <c r="AF109" i="10"/>
  <c r="AD109" i="10"/>
  <c r="AC109" i="10"/>
  <c r="O109" i="10"/>
  <c r="P109" i="10" s="1"/>
  <c r="J109" i="10"/>
  <c r="AE109" i="10" s="1"/>
  <c r="AG108" i="10"/>
  <c r="AF108" i="10"/>
  <c r="AD108" i="10"/>
  <c r="AC108" i="10"/>
  <c r="O108" i="10"/>
  <c r="P108" i="10" s="1"/>
  <c r="J108" i="10"/>
  <c r="AE108" i="10" s="1"/>
  <c r="AG107" i="10"/>
  <c r="AF107" i="10"/>
  <c r="AD107" i="10"/>
  <c r="AC107" i="10"/>
  <c r="O107" i="10"/>
  <c r="P107" i="10" s="1"/>
  <c r="J107" i="10"/>
  <c r="AE107" i="10" s="1"/>
  <c r="AG106" i="10"/>
  <c r="AF106" i="10"/>
  <c r="AD106" i="10"/>
  <c r="AC106" i="10"/>
  <c r="O106" i="10"/>
  <c r="P106" i="10" s="1"/>
  <c r="J106" i="10"/>
  <c r="AE106" i="10" s="1"/>
  <c r="AG105" i="10"/>
  <c r="AF105" i="10"/>
  <c r="AD105" i="10"/>
  <c r="AC105" i="10"/>
  <c r="O105" i="10"/>
  <c r="P105" i="10" s="1"/>
  <c r="J105" i="10"/>
  <c r="AE105" i="10" s="1"/>
  <c r="AG104" i="10"/>
  <c r="AF104" i="10"/>
  <c r="AD104" i="10"/>
  <c r="AC104" i="10"/>
  <c r="O104" i="10"/>
  <c r="P104" i="10" s="1"/>
  <c r="J104" i="10"/>
  <c r="AE104" i="10" s="1"/>
  <c r="AG103" i="10"/>
  <c r="AF103" i="10"/>
  <c r="AD103" i="10"/>
  <c r="AC103" i="10"/>
  <c r="O103" i="10"/>
  <c r="P103" i="10" s="1"/>
  <c r="J103" i="10"/>
  <c r="AE103" i="10" s="1"/>
  <c r="AG102" i="10"/>
  <c r="AF102" i="10"/>
  <c r="AD102" i="10"/>
  <c r="AC102" i="10"/>
  <c r="O102" i="10"/>
  <c r="P102" i="10" s="1"/>
  <c r="J102" i="10"/>
  <c r="AE102" i="10" s="1"/>
  <c r="AG101" i="10"/>
  <c r="AF101" i="10"/>
  <c r="AD101" i="10"/>
  <c r="AC101" i="10"/>
  <c r="O101" i="10"/>
  <c r="P101" i="10" s="1"/>
  <c r="J101" i="10"/>
  <c r="AE101" i="10" s="1"/>
  <c r="C101" i="10"/>
  <c r="C103" i="10" s="1"/>
  <c r="C104" i="10" s="1"/>
  <c r="C105" i="10" s="1"/>
  <c r="AG100" i="10"/>
  <c r="AF100" i="10"/>
  <c r="AD100" i="10"/>
  <c r="AC100" i="10"/>
  <c r="O100" i="10"/>
  <c r="P100" i="10" s="1"/>
  <c r="J100" i="10"/>
  <c r="AE100" i="10" s="1"/>
  <c r="AG99" i="10"/>
  <c r="AF99" i="10"/>
  <c r="AD99" i="10"/>
  <c r="AC99" i="10"/>
  <c r="O99" i="10"/>
  <c r="P99" i="10" s="1"/>
  <c r="J99" i="10"/>
  <c r="AE99" i="10" s="1"/>
  <c r="AG98" i="10"/>
  <c r="AF98" i="10"/>
  <c r="AD98" i="10"/>
  <c r="AC98" i="10"/>
  <c r="O98" i="10"/>
  <c r="P98" i="10" s="1"/>
  <c r="J98" i="10"/>
  <c r="AE98" i="10" s="1"/>
  <c r="C98" i="10"/>
  <c r="AG97" i="10"/>
  <c r="AF97" i="10"/>
  <c r="AD97" i="10"/>
  <c r="AC97" i="10"/>
  <c r="O97" i="10"/>
  <c r="P97" i="10" s="1"/>
  <c r="J97" i="10"/>
  <c r="AE97" i="10" s="1"/>
  <c r="AG96" i="10"/>
  <c r="AF96" i="10"/>
  <c r="AD96" i="10"/>
  <c r="AC96" i="10"/>
  <c r="O96" i="10"/>
  <c r="P96" i="10" s="1"/>
  <c r="J96" i="10"/>
  <c r="AE96" i="10" s="1"/>
  <c r="AG95" i="10"/>
  <c r="AF95" i="10"/>
  <c r="AD95" i="10"/>
  <c r="AC95" i="10"/>
  <c r="O95" i="10"/>
  <c r="P95" i="10" s="1"/>
  <c r="J95" i="10"/>
  <c r="AE95" i="10" s="1"/>
  <c r="AG94" i="10"/>
  <c r="AF94" i="10"/>
  <c r="AD94" i="10"/>
  <c r="AC94" i="10"/>
  <c r="O94" i="10"/>
  <c r="P94" i="10" s="1"/>
  <c r="J94" i="10"/>
  <c r="AE94" i="10" s="1"/>
  <c r="AG93" i="10"/>
  <c r="AF93" i="10"/>
  <c r="AD93" i="10"/>
  <c r="AC93" i="10"/>
  <c r="O93" i="10"/>
  <c r="P93" i="10" s="1"/>
  <c r="J93" i="10"/>
  <c r="AE93" i="10" s="1"/>
  <c r="AG92" i="10"/>
  <c r="AF92" i="10"/>
  <c r="AD92" i="10"/>
  <c r="AC92" i="10"/>
  <c r="O92" i="10"/>
  <c r="P92" i="10" s="1"/>
  <c r="J92" i="10"/>
  <c r="AE92" i="10" s="1"/>
  <c r="AG91" i="10"/>
  <c r="AF91" i="10"/>
  <c r="AD91" i="10"/>
  <c r="AC91" i="10"/>
  <c r="O91" i="10"/>
  <c r="P91" i="10" s="1"/>
  <c r="J91" i="10"/>
  <c r="AE91" i="10" s="1"/>
  <c r="C91" i="10"/>
  <c r="AG90" i="10"/>
  <c r="AF90" i="10"/>
  <c r="AD90" i="10"/>
  <c r="AC90" i="10"/>
  <c r="O90" i="10"/>
  <c r="P90" i="10" s="1"/>
  <c r="J90" i="10"/>
  <c r="AE90" i="10" s="1"/>
  <c r="AG89" i="10"/>
  <c r="AF89" i="10"/>
  <c r="AD89" i="10"/>
  <c r="AC89" i="10"/>
  <c r="O89" i="10"/>
  <c r="P89" i="10" s="1"/>
  <c r="J89" i="10"/>
  <c r="AE89" i="10" s="1"/>
  <c r="AG88" i="10"/>
  <c r="AF88" i="10"/>
  <c r="AD88" i="10"/>
  <c r="AC88" i="10"/>
  <c r="O88" i="10"/>
  <c r="P88" i="10" s="1"/>
  <c r="J88" i="10"/>
  <c r="AE88" i="10" s="1"/>
  <c r="C88" i="10"/>
  <c r="C90" i="10" s="1"/>
  <c r="AG87" i="10"/>
  <c r="AF87" i="10"/>
  <c r="AD87" i="10"/>
  <c r="AC87" i="10"/>
  <c r="O87" i="10"/>
  <c r="P87" i="10" s="1"/>
  <c r="J87" i="10"/>
  <c r="AE87" i="10" s="1"/>
  <c r="AG86" i="10"/>
  <c r="AF86" i="10"/>
  <c r="AD86" i="10"/>
  <c r="AC86" i="10"/>
  <c r="O86" i="10"/>
  <c r="P86" i="10" s="1"/>
  <c r="J86" i="10"/>
  <c r="AE86" i="10" s="1"/>
  <c r="AG85" i="10"/>
  <c r="AF85" i="10"/>
  <c r="AD85" i="10"/>
  <c r="AC85" i="10"/>
  <c r="O85" i="10"/>
  <c r="P85" i="10" s="1"/>
  <c r="J85" i="10"/>
  <c r="AE85" i="10" s="1"/>
  <c r="C85" i="10"/>
  <c r="AG84" i="10"/>
  <c r="AF84" i="10"/>
  <c r="AD84" i="10"/>
  <c r="AC84" i="10"/>
  <c r="O84" i="10"/>
  <c r="P84" i="10" s="1"/>
  <c r="J84" i="10"/>
  <c r="AE84" i="10" s="1"/>
  <c r="AG83" i="10"/>
  <c r="AF83" i="10"/>
  <c r="AD83" i="10"/>
  <c r="AC83" i="10"/>
  <c r="O83" i="10"/>
  <c r="P83" i="10" s="1"/>
  <c r="J83" i="10"/>
  <c r="AE83" i="10" s="1"/>
  <c r="AG82" i="10"/>
  <c r="AF82" i="10"/>
  <c r="AD82" i="10"/>
  <c r="AC82" i="10"/>
  <c r="O82" i="10"/>
  <c r="P82" i="10" s="1"/>
  <c r="J82" i="10"/>
  <c r="AE82" i="10" s="1"/>
  <c r="C82" i="10"/>
  <c r="C92" i="10" s="1"/>
  <c r="C93" i="10" s="1"/>
  <c r="AG81" i="10"/>
  <c r="AF81" i="10"/>
  <c r="AD81" i="10"/>
  <c r="AC81" i="10"/>
  <c r="O81" i="10"/>
  <c r="P81" i="10" s="1"/>
  <c r="J81" i="10"/>
  <c r="AE81" i="10" s="1"/>
  <c r="AG80" i="10"/>
  <c r="AF80" i="10"/>
  <c r="AD80" i="10"/>
  <c r="AC80" i="10"/>
  <c r="O80" i="10"/>
  <c r="P80" i="10" s="1"/>
  <c r="J80" i="10"/>
  <c r="AE80" i="10" s="1"/>
  <c r="AG79" i="10"/>
  <c r="AF79" i="10"/>
  <c r="AD79" i="10"/>
  <c r="AC79" i="10"/>
  <c r="O79" i="10"/>
  <c r="P79" i="10" s="1"/>
  <c r="J79" i="10"/>
  <c r="AE79" i="10" s="1"/>
  <c r="AG78" i="10"/>
  <c r="AF78" i="10"/>
  <c r="AD78" i="10"/>
  <c r="AC78" i="10"/>
  <c r="O78" i="10"/>
  <c r="P78" i="10" s="1"/>
  <c r="J78" i="10"/>
  <c r="AE78" i="10" s="1"/>
  <c r="AG77" i="10"/>
  <c r="AF77" i="10"/>
  <c r="AD77" i="10"/>
  <c r="AC77" i="10"/>
  <c r="O77" i="10"/>
  <c r="P77" i="10" s="1"/>
  <c r="J77" i="10"/>
  <c r="AE77" i="10" s="1"/>
  <c r="C77" i="10"/>
  <c r="AG76" i="10"/>
  <c r="AF76" i="10"/>
  <c r="AD76" i="10"/>
  <c r="AC76" i="10"/>
  <c r="O76" i="10"/>
  <c r="P76" i="10" s="1"/>
  <c r="J76" i="10"/>
  <c r="AE76" i="10" s="1"/>
  <c r="AG75" i="10"/>
  <c r="AF75" i="10"/>
  <c r="AD75" i="10"/>
  <c r="AC75" i="10"/>
  <c r="O75" i="10"/>
  <c r="P75" i="10" s="1"/>
  <c r="J75" i="10"/>
  <c r="AE75" i="10" s="1"/>
  <c r="C75" i="10"/>
  <c r="AG45" i="10"/>
  <c r="AF45" i="10"/>
  <c r="AD45" i="10"/>
  <c r="AC45" i="10"/>
  <c r="O45" i="10"/>
  <c r="P45" i="10" s="1"/>
  <c r="J45" i="10"/>
  <c r="AE45" i="10" s="1"/>
  <c r="AG44" i="10"/>
  <c r="AF44" i="10"/>
  <c r="AD44" i="10"/>
  <c r="AC44" i="10"/>
  <c r="O44" i="10"/>
  <c r="P44" i="10" s="1"/>
  <c r="J44" i="10"/>
  <c r="AE44" i="10" s="1"/>
  <c r="AG43" i="10"/>
  <c r="AF43" i="10"/>
  <c r="AD43" i="10"/>
  <c r="AC43" i="10"/>
  <c r="M43" i="10"/>
  <c r="M47" i="10" s="1"/>
  <c r="J43" i="10"/>
  <c r="AE43" i="10" s="1"/>
  <c r="AG42" i="10"/>
  <c r="AF42" i="10"/>
  <c r="AD42" i="10"/>
  <c r="AC42" i="10"/>
  <c r="O42" i="10"/>
  <c r="P42" i="10" s="1"/>
  <c r="J42" i="10"/>
  <c r="AE42" i="10" s="1"/>
  <c r="AG41" i="10"/>
  <c r="AF41" i="10"/>
  <c r="AD41" i="10"/>
  <c r="AC41" i="10"/>
  <c r="O41" i="10"/>
  <c r="P41" i="10" s="1"/>
  <c r="J41" i="10"/>
  <c r="AE41" i="10" s="1"/>
  <c r="AG40" i="10"/>
  <c r="AF40" i="10"/>
  <c r="AD40" i="10"/>
  <c r="AC40" i="10"/>
  <c r="O40" i="10"/>
  <c r="P40" i="10" s="1"/>
  <c r="J40" i="10"/>
  <c r="AE40" i="10" s="1"/>
  <c r="AG39" i="10"/>
  <c r="AF39" i="10"/>
  <c r="AD39" i="10"/>
  <c r="AC39" i="10"/>
  <c r="O39" i="10"/>
  <c r="P39" i="10" s="1"/>
  <c r="J39" i="10"/>
  <c r="AE39" i="10" s="1"/>
  <c r="AG38" i="10"/>
  <c r="AF38" i="10"/>
  <c r="AD38" i="10"/>
  <c r="AC38" i="10"/>
  <c r="O38" i="10"/>
  <c r="P38" i="10" s="1"/>
  <c r="J38" i="10"/>
  <c r="AE38" i="10" s="1"/>
  <c r="AG37" i="10"/>
  <c r="AF37" i="10"/>
  <c r="AD37" i="10"/>
  <c r="AC37" i="10"/>
  <c r="O37" i="10"/>
  <c r="P37" i="10" s="1"/>
  <c r="J37" i="10"/>
  <c r="AE37" i="10" s="1"/>
  <c r="AG36" i="10"/>
  <c r="AF36" i="10"/>
  <c r="AD36" i="10"/>
  <c r="AC36" i="10"/>
  <c r="O36" i="10"/>
  <c r="P36" i="10" s="1"/>
  <c r="J36" i="10"/>
  <c r="AE36" i="10" s="1"/>
  <c r="AG20" i="10"/>
  <c r="AF20" i="10"/>
  <c r="AD20" i="10"/>
  <c r="AC20" i="10"/>
  <c r="O20" i="10"/>
  <c r="P20" i="10" s="1"/>
  <c r="J20" i="10"/>
  <c r="AE20" i="10" s="1"/>
  <c r="AG30" i="10"/>
  <c r="AF30" i="10"/>
  <c r="AD30" i="10"/>
  <c r="AC30" i="10"/>
  <c r="O30" i="10"/>
  <c r="P30" i="10" s="1"/>
  <c r="J30" i="10"/>
  <c r="AE30" i="10" s="1"/>
  <c r="AG29" i="10"/>
  <c r="AF29" i="10"/>
  <c r="AD29" i="10"/>
  <c r="AC29" i="10"/>
  <c r="M29" i="10"/>
  <c r="J29" i="10"/>
  <c r="AE29" i="10" s="1"/>
  <c r="AG28" i="10"/>
  <c r="AF28" i="10"/>
  <c r="AD28" i="10"/>
  <c r="AC28" i="10"/>
  <c r="M28" i="10"/>
  <c r="O28" i="10" s="1"/>
  <c r="P28" i="10" s="1"/>
  <c r="J28" i="10"/>
  <c r="AE28" i="10" s="1"/>
  <c r="AG27" i="10"/>
  <c r="AF27" i="10"/>
  <c r="AD27" i="10"/>
  <c r="AC27" i="10"/>
  <c r="M27" i="10"/>
  <c r="J27" i="10"/>
  <c r="AE27" i="10" s="1"/>
  <c r="AG26" i="10"/>
  <c r="AF26" i="10"/>
  <c r="AD26" i="10"/>
  <c r="AC26" i="10"/>
  <c r="O26" i="10"/>
  <c r="P26" i="10" s="1"/>
  <c r="J26" i="10"/>
  <c r="AE26" i="10" s="1"/>
  <c r="AG25" i="10"/>
  <c r="AF25" i="10"/>
  <c r="AD25" i="10"/>
  <c r="AC25" i="10"/>
  <c r="M25" i="10"/>
  <c r="O25" i="10" s="1"/>
  <c r="P25" i="10" s="1"/>
  <c r="J25" i="10"/>
  <c r="AE25" i="10" s="1"/>
  <c r="AG24" i="10"/>
  <c r="AF24" i="10"/>
  <c r="AD24" i="10"/>
  <c r="AC24" i="10"/>
  <c r="M24" i="10"/>
  <c r="O24" i="10" s="1"/>
  <c r="P24" i="10" s="1"/>
  <c r="J24" i="10"/>
  <c r="AE24" i="10" s="1"/>
  <c r="AG23" i="10"/>
  <c r="AF23" i="10"/>
  <c r="AD23" i="10"/>
  <c r="AC23" i="10"/>
  <c r="M23" i="10"/>
  <c r="O23" i="10" s="1"/>
  <c r="P23" i="10" s="1"/>
  <c r="J23" i="10"/>
  <c r="AE23" i="10" s="1"/>
  <c r="AG22" i="10"/>
  <c r="AF22" i="10"/>
  <c r="AD22" i="10"/>
  <c r="AC22" i="10"/>
  <c r="O22" i="10"/>
  <c r="P22" i="10" s="1"/>
  <c r="J22" i="10"/>
  <c r="AE22" i="10" s="1"/>
  <c r="AG21" i="10"/>
  <c r="AF21" i="10"/>
  <c r="AD21" i="10"/>
  <c r="AC21" i="10"/>
  <c r="O21" i="10"/>
  <c r="P21" i="10" s="1"/>
  <c r="J21" i="10"/>
  <c r="AE21" i="10" s="1"/>
  <c r="AG19" i="10"/>
  <c r="AF19" i="10"/>
  <c r="AD19" i="10"/>
  <c r="AC19" i="10"/>
  <c r="O19" i="10"/>
  <c r="P19" i="10" s="1"/>
  <c r="J19" i="10"/>
  <c r="AE19" i="10" s="1"/>
  <c r="AG18" i="10"/>
  <c r="AF18" i="10"/>
  <c r="AD18" i="10"/>
  <c r="AC18" i="10"/>
  <c r="O18" i="10"/>
  <c r="P18" i="10" s="1"/>
  <c r="J18" i="10"/>
  <c r="AE18" i="10" s="1"/>
  <c r="AG17" i="10"/>
  <c r="AF17" i="10"/>
  <c r="AD17" i="10"/>
  <c r="AC17" i="10"/>
  <c r="M17" i="10"/>
  <c r="O17" i="10" s="1"/>
  <c r="P17" i="10" s="1"/>
  <c r="J17" i="10"/>
  <c r="AE17" i="10" s="1"/>
  <c r="AG16" i="10"/>
  <c r="AF16" i="10"/>
  <c r="AD16" i="10"/>
  <c r="AC16" i="10"/>
  <c r="O16" i="10"/>
  <c r="P16" i="10" s="1"/>
  <c r="J16" i="10"/>
  <c r="AE16" i="10" s="1"/>
  <c r="AG15" i="10"/>
  <c r="AF15" i="10"/>
  <c r="AD15" i="10"/>
  <c r="AC15" i="10"/>
  <c r="M15" i="10"/>
  <c r="J15" i="10"/>
  <c r="AE15" i="10" s="1"/>
  <c r="AG14" i="10"/>
  <c r="AF14" i="10"/>
  <c r="AD14" i="10"/>
  <c r="AC14" i="10"/>
  <c r="O14" i="10"/>
  <c r="P14" i="10" s="1"/>
  <c r="J14" i="10"/>
  <c r="AE14" i="10" s="1"/>
  <c r="AG13" i="10"/>
  <c r="AF13" i="10"/>
  <c r="AD13" i="10"/>
  <c r="AC13" i="10"/>
  <c r="O13" i="10"/>
  <c r="P13" i="10" s="1"/>
  <c r="J13" i="10"/>
  <c r="AE13" i="10" s="1"/>
  <c r="AG12" i="10"/>
  <c r="AF12" i="10"/>
  <c r="AD12" i="10"/>
  <c r="AC12" i="10"/>
  <c r="O12" i="10"/>
  <c r="P12" i="10" s="1"/>
  <c r="J12" i="10"/>
  <c r="AE12" i="10" s="1"/>
  <c r="W11" i="10"/>
  <c r="Z11" i="10" s="1"/>
  <c r="C42" i="9"/>
  <c r="D28" i="9"/>
  <c r="D13" i="9"/>
  <c r="B13" i="9"/>
  <c r="B11" i="9"/>
  <c r="H5" i="9"/>
  <c r="A3" i="10" s="1"/>
  <c r="X11" i="10" s="1"/>
  <c r="AE40" i="9" l="1"/>
  <c r="U224" i="10"/>
  <c r="AA222" i="10"/>
  <c r="AB222" i="10" s="1"/>
  <c r="M289" i="10"/>
  <c r="B32" i="9" s="1"/>
  <c r="O29" i="10"/>
  <c r="P29" i="10" s="1"/>
  <c r="B9" i="9"/>
  <c r="U219" i="10"/>
  <c r="S222" i="10"/>
  <c r="Q78" i="10"/>
  <c r="U78" i="10" s="1"/>
  <c r="Q80" i="10"/>
  <c r="S80" i="10" s="1"/>
  <c r="O209" i="10"/>
  <c r="P209" i="10" s="1"/>
  <c r="W209" i="10" s="1"/>
  <c r="X209" i="10" s="1"/>
  <c r="Z209" i="10" s="1"/>
  <c r="M216" i="10"/>
  <c r="U221" i="10"/>
  <c r="S221" i="10"/>
  <c r="U225" i="10"/>
  <c r="AA225" i="10" s="1"/>
  <c r="AB225" i="10" s="1"/>
  <c r="S225" i="10"/>
  <c r="AA221" i="10"/>
  <c r="AB221" i="10" s="1"/>
  <c r="AA224" i="10"/>
  <c r="AB224" i="10" s="1"/>
  <c r="U223" i="10"/>
  <c r="AA223" i="10" s="1"/>
  <c r="AB223" i="10" s="1"/>
  <c r="S223" i="10"/>
  <c r="W227" i="10"/>
  <c r="X227" i="10"/>
  <c r="AA219" i="10"/>
  <c r="AB219" i="10" s="1"/>
  <c r="Q227" i="10"/>
  <c r="E22" i="9" s="1"/>
  <c r="M303" i="10"/>
  <c r="Q90" i="10"/>
  <c r="O237" i="10"/>
  <c r="P237" i="10" s="1"/>
  <c r="Q123" i="10"/>
  <c r="U123" i="10" s="1"/>
  <c r="Q125" i="10"/>
  <c r="U125" i="10" s="1"/>
  <c r="Q157" i="10"/>
  <c r="U157" i="10" s="1"/>
  <c r="Q158" i="10"/>
  <c r="U158" i="10" s="1"/>
  <c r="W294" i="10"/>
  <c r="X294" i="10" s="1"/>
  <c r="Z294" i="10" s="1"/>
  <c r="Q112" i="10"/>
  <c r="U112" i="10" s="1"/>
  <c r="Q114" i="10"/>
  <c r="Q116" i="10"/>
  <c r="U116" i="10" s="1"/>
  <c r="Q118" i="10"/>
  <c r="U118" i="10" s="1"/>
  <c r="Q120" i="10"/>
  <c r="U120" i="10" s="1"/>
  <c r="W12" i="10"/>
  <c r="X12" i="10" s="1"/>
  <c r="Z12" i="10" s="1"/>
  <c r="W18" i="10"/>
  <c r="X18" i="10" s="1"/>
  <c r="Z18" i="10" s="1"/>
  <c r="W24" i="10"/>
  <c r="X24" i="10" s="1"/>
  <c r="Z24" i="10" s="1"/>
  <c r="W107" i="10"/>
  <c r="X107" i="10" s="1"/>
  <c r="Z107" i="10" s="1"/>
  <c r="W109" i="10"/>
  <c r="X109" i="10" s="1"/>
  <c r="Z109" i="10" s="1"/>
  <c r="Q186" i="10"/>
  <c r="S186" i="10" s="1"/>
  <c r="Q194" i="10"/>
  <c r="S194" i="10" s="1"/>
  <c r="Q196" i="10"/>
  <c r="S196" i="10" s="1"/>
  <c r="W283" i="10"/>
  <c r="X283" i="10" s="1"/>
  <c r="Z283" i="10" s="1"/>
  <c r="Q171" i="10"/>
  <c r="S171" i="10" s="1"/>
  <c r="Q185" i="10"/>
  <c r="S185" i="10" s="1"/>
  <c r="O43" i="10"/>
  <c r="P43" i="10" s="1"/>
  <c r="P47" i="10" s="1"/>
  <c r="Q79" i="10"/>
  <c r="Q136" i="10"/>
  <c r="S136" i="10" s="1"/>
  <c r="Q151" i="10"/>
  <c r="S151" i="10" s="1"/>
  <c r="W172" i="10"/>
  <c r="X172" i="10" s="1"/>
  <c r="Z172" i="10" s="1"/>
  <c r="Q300" i="10"/>
  <c r="Q12" i="10"/>
  <c r="Q15" i="10"/>
  <c r="U15" i="10" s="1"/>
  <c r="W106" i="10"/>
  <c r="X106" i="10" s="1"/>
  <c r="Z106" i="10" s="1"/>
  <c r="W108" i="10"/>
  <c r="X108" i="10" s="1"/>
  <c r="Z108" i="10" s="1"/>
  <c r="Q153" i="10"/>
  <c r="Q161" i="10"/>
  <c r="U161" i="10" s="1"/>
  <c r="Q190" i="10"/>
  <c r="S190" i="10" s="1"/>
  <c r="Q232" i="10"/>
  <c r="Q257" i="10"/>
  <c r="Q259" i="10"/>
  <c r="U259" i="10" s="1"/>
  <c r="Q261" i="10"/>
  <c r="Q263" i="10"/>
  <c r="Q265" i="10"/>
  <c r="Q267" i="10"/>
  <c r="U267" i="10" s="1"/>
  <c r="Q269" i="10"/>
  <c r="Q271" i="10"/>
  <c r="Q278" i="10"/>
  <c r="W293" i="10"/>
  <c r="X293" i="10" s="1"/>
  <c r="Z293" i="10" s="1"/>
  <c r="Q28" i="10"/>
  <c r="S28" i="10" s="1"/>
  <c r="M32" i="10"/>
  <c r="B7" i="9" s="1"/>
  <c r="Q85" i="10"/>
  <c r="U85" i="10" s="1"/>
  <c r="W88" i="10"/>
  <c r="X88" i="10" s="1"/>
  <c r="Z88" i="10" s="1"/>
  <c r="W96" i="10"/>
  <c r="X96" i="10" s="1"/>
  <c r="Z96" i="10" s="1"/>
  <c r="W97" i="10"/>
  <c r="X97" i="10" s="1"/>
  <c r="Z97" i="10" s="1"/>
  <c r="W142" i="10"/>
  <c r="X142" i="10" s="1"/>
  <c r="Z142" i="10" s="1"/>
  <c r="Q178" i="10"/>
  <c r="S178" i="10" s="1"/>
  <c r="Q182" i="10"/>
  <c r="S182" i="10" s="1"/>
  <c r="Q206" i="10"/>
  <c r="S206" i="10" s="1"/>
  <c r="W206" i="10" s="1"/>
  <c r="X206" i="10" s="1"/>
  <c r="Z206" i="10" s="1"/>
  <c r="W235" i="10"/>
  <c r="X235" i="10" s="1"/>
  <c r="Z235" i="10" s="1"/>
  <c r="Q16" i="10"/>
  <c r="S16" i="10" s="1"/>
  <c r="W21" i="10"/>
  <c r="X21" i="10" s="1"/>
  <c r="Z21" i="10" s="1"/>
  <c r="W29" i="10"/>
  <c r="X29" i="10" s="1"/>
  <c r="Z29" i="10" s="1"/>
  <c r="Q81" i="10"/>
  <c r="Q87" i="10"/>
  <c r="U87" i="10" s="1"/>
  <c r="Q144" i="10"/>
  <c r="U144" i="10" s="1"/>
  <c r="Q148" i="10"/>
  <c r="U148" i="10" s="1"/>
  <c r="Q154" i="10"/>
  <c r="Q14" i="10"/>
  <c r="O15" i="10"/>
  <c r="P15" i="10" s="1"/>
  <c r="W19" i="10"/>
  <c r="X19" i="10" s="1"/>
  <c r="Z19" i="10" s="1"/>
  <c r="Q86" i="10"/>
  <c r="U86" i="10" s="1"/>
  <c r="Q94" i="10"/>
  <c r="U94" i="10" s="1"/>
  <c r="Q105" i="10"/>
  <c r="S105" i="10" s="1"/>
  <c r="Q13" i="10"/>
  <c r="U13" i="10" s="1"/>
  <c r="W104" i="10"/>
  <c r="X104" i="10" s="1"/>
  <c r="Z104" i="10" s="1"/>
  <c r="Q106" i="10"/>
  <c r="U106" i="10" s="1"/>
  <c r="AA106" i="10" s="1"/>
  <c r="AB106" i="10" s="1"/>
  <c r="W17" i="10"/>
  <c r="X17" i="10" s="1"/>
  <c r="Z17" i="10" s="1"/>
  <c r="Q29" i="10"/>
  <c r="U29" i="10" s="1"/>
  <c r="Q45" i="10"/>
  <c r="Q77" i="10"/>
  <c r="U77" i="10" s="1"/>
  <c r="Q177" i="10"/>
  <c r="Q181" i="10"/>
  <c r="Q205" i="10"/>
  <c r="W30" i="10"/>
  <c r="X30" i="10" s="1"/>
  <c r="Z30" i="10" s="1"/>
  <c r="Q43" i="10"/>
  <c r="S43" i="10" s="1"/>
  <c r="Q44" i="10"/>
  <c r="S44" i="10" s="1"/>
  <c r="W76" i="10"/>
  <c r="X76" i="10" s="1"/>
  <c r="Z76" i="10" s="1"/>
  <c r="Q100" i="10"/>
  <c r="S100" i="10" s="1"/>
  <c r="Q101" i="10"/>
  <c r="U101" i="10" s="1"/>
  <c r="Q109" i="10"/>
  <c r="U109" i="10" s="1"/>
  <c r="Q110" i="10"/>
  <c r="Q111" i="10"/>
  <c r="U111" i="10" s="1"/>
  <c r="Q113" i="10"/>
  <c r="U113" i="10" s="1"/>
  <c r="Q115" i="10"/>
  <c r="U115" i="10" s="1"/>
  <c r="Q117" i="10"/>
  <c r="Q119" i="10"/>
  <c r="S119" i="10" s="1"/>
  <c r="Q121" i="10"/>
  <c r="U121" i="10" s="1"/>
  <c r="Q124" i="10"/>
  <c r="S124" i="10" s="1"/>
  <c r="Q139" i="10"/>
  <c r="Q150" i="10"/>
  <c r="U150" i="10" s="1"/>
  <c r="Q184" i="10"/>
  <c r="S184" i="10" s="1"/>
  <c r="Q189" i="10"/>
  <c r="U189" i="10" s="1"/>
  <c r="Q192" i="10"/>
  <c r="W212" i="10"/>
  <c r="X212" i="10" s="1"/>
  <c r="Z212" i="10" s="1"/>
  <c r="W214" i="10"/>
  <c r="X214" i="10" s="1"/>
  <c r="Z214" i="10" s="1"/>
  <c r="W231" i="10"/>
  <c r="X231" i="10" s="1"/>
  <c r="Z231" i="10" s="1"/>
  <c r="Q258" i="10"/>
  <c r="Q260" i="10"/>
  <c r="S260" i="10" s="1"/>
  <c r="Q262" i="10"/>
  <c r="Q264" i="10"/>
  <c r="U264" i="10" s="1"/>
  <c r="Q266" i="10"/>
  <c r="Q268" i="10"/>
  <c r="U268" i="10" s="1"/>
  <c r="Q270" i="10"/>
  <c r="Q287" i="10"/>
  <c r="U287" i="10" s="1"/>
  <c r="Q298" i="10"/>
  <c r="W75" i="10"/>
  <c r="X75" i="10" s="1"/>
  <c r="Z75" i="10" s="1"/>
  <c r="Q104" i="10"/>
  <c r="S104" i="10" s="1"/>
  <c r="Q108" i="10"/>
  <c r="U108" i="10" s="1"/>
  <c r="AA108" i="10" s="1"/>
  <c r="AB108" i="10" s="1"/>
  <c r="Q146" i="10"/>
  <c r="W167" i="10"/>
  <c r="X167" i="10" s="1"/>
  <c r="Z167" i="10" s="1"/>
  <c r="W168" i="10"/>
  <c r="X168" i="10" s="1"/>
  <c r="Z168" i="10" s="1"/>
  <c r="Q211" i="10"/>
  <c r="W236" i="10"/>
  <c r="X236" i="10" s="1"/>
  <c r="Z236" i="10" s="1"/>
  <c r="Q294" i="10"/>
  <c r="S294" i="10" s="1"/>
  <c r="Q297" i="10"/>
  <c r="S297" i="10" s="1"/>
  <c r="Q301" i="10"/>
  <c r="W89" i="10"/>
  <c r="X89" i="10" s="1"/>
  <c r="Z89" i="10" s="1"/>
  <c r="W91" i="10"/>
  <c r="X91" i="10" s="1"/>
  <c r="Z91" i="10" s="1"/>
  <c r="Q92" i="10"/>
  <c r="Q95" i="10"/>
  <c r="U95" i="10" s="1"/>
  <c r="Q98" i="10"/>
  <c r="S98" i="10" s="1"/>
  <c r="Q102" i="10"/>
  <c r="U102" i="10" s="1"/>
  <c r="Q107" i="10"/>
  <c r="U107" i="10" s="1"/>
  <c r="Q137" i="10"/>
  <c r="Q142" i="10"/>
  <c r="U142" i="10" s="1"/>
  <c r="AA142" i="10" s="1"/>
  <c r="AB142" i="10" s="1"/>
  <c r="Q149" i="10"/>
  <c r="U149" i="10" s="1"/>
  <c r="W213" i="10"/>
  <c r="X213" i="10" s="1"/>
  <c r="Z213" i="10" s="1"/>
  <c r="Q293" i="10"/>
  <c r="U293" i="10" s="1"/>
  <c r="AA293" i="10" s="1"/>
  <c r="AB293" i="10" s="1"/>
  <c r="Q145" i="10"/>
  <c r="U145" i="10" s="1"/>
  <c r="W169" i="10"/>
  <c r="X169" i="10" s="1"/>
  <c r="Z169" i="10" s="1"/>
  <c r="Q193" i="10"/>
  <c r="Q208" i="10"/>
  <c r="S208" i="10" s="1"/>
  <c r="W208" i="10" s="1"/>
  <c r="X208" i="10" s="1"/>
  <c r="Z208" i="10" s="1"/>
  <c r="W211" i="10"/>
  <c r="X211" i="10" s="1"/>
  <c r="Z211" i="10" s="1"/>
  <c r="Q282" i="10"/>
  <c r="Q299" i="10"/>
  <c r="U299" i="10" s="1"/>
  <c r="F60" i="6"/>
  <c r="C61" i="6" s="1"/>
  <c r="S12" i="10"/>
  <c r="U12" i="10"/>
  <c r="AA12" i="10" s="1"/>
  <c r="AB12" i="10" s="1"/>
  <c r="U14" i="10"/>
  <c r="S14" i="10"/>
  <c r="Q19" i="10"/>
  <c r="U28" i="10"/>
  <c r="Q30" i="10"/>
  <c r="Q20" i="10"/>
  <c r="Q39" i="10"/>
  <c r="Q76" i="10"/>
  <c r="S81" i="10"/>
  <c r="U81" i="10"/>
  <c r="Q82" i="10"/>
  <c r="W16" i="10"/>
  <c r="X16" i="10" s="1"/>
  <c r="Z16" i="10" s="1"/>
  <c r="Q18" i="10"/>
  <c r="Q22" i="10"/>
  <c r="W23" i="10"/>
  <c r="X23" i="10" s="1"/>
  <c r="Z23" i="10" s="1"/>
  <c r="Q25" i="10"/>
  <c r="Q38" i="10"/>
  <c r="Q42" i="10"/>
  <c r="Q75" i="10"/>
  <c r="U80" i="10"/>
  <c r="AB11" i="10"/>
  <c r="W13" i="10"/>
  <c r="X13" i="10" s="1"/>
  <c r="Z13" i="10" s="1"/>
  <c r="W14" i="10"/>
  <c r="X14" i="10" s="1"/>
  <c r="Z14" i="10" s="1"/>
  <c r="W15" i="10"/>
  <c r="X15" i="10" s="1"/>
  <c r="Z15" i="10" s="1"/>
  <c r="Q17" i="10"/>
  <c r="W22" i="10"/>
  <c r="X22" i="10" s="1"/>
  <c r="Z22" i="10" s="1"/>
  <c r="Q26" i="10"/>
  <c r="O27" i="10"/>
  <c r="P27" i="10" s="1"/>
  <c r="W27" i="10"/>
  <c r="X27" i="10" s="1"/>
  <c r="Z27" i="10" s="1"/>
  <c r="Q37" i="10"/>
  <c r="Q41" i="10"/>
  <c r="S79" i="10"/>
  <c r="U79" i="10"/>
  <c r="Q84" i="10"/>
  <c r="Q89" i="10"/>
  <c r="S90" i="10"/>
  <c r="U90" i="10"/>
  <c r="S95" i="10"/>
  <c r="AA11" i="10"/>
  <c r="Q21" i="10"/>
  <c r="Q23" i="10"/>
  <c r="Q24" i="10"/>
  <c r="Q36" i="10"/>
  <c r="Q40" i="10"/>
  <c r="S45" i="10"/>
  <c r="U45" i="10"/>
  <c r="S78" i="10"/>
  <c r="Q83" i="10"/>
  <c r="Q88" i="10"/>
  <c r="W36" i="10"/>
  <c r="W37" i="10"/>
  <c r="X37" i="10" s="1"/>
  <c r="Z37" i="10" s="1"/>
  <c r="W38" i="10"/>
  <c r="X38" i="10" s="1"/>
  <c r="Z38" i="10" s="1"/>
  <c r="W39" i="10"/>
  <c r="X39" i="10" s="1"/>
  <c r="Z39" i="10" s="1"/>
  <c r="W40" i="10"/>
  <c r="X40" i="10" s="1"/>
  <c r="Z40" i="10" s="1"/>
  <c r="W41" i="10"/>
  <c r="X41" i="10" s="1"/>
  <c r="Z41" i="10" s="1"/>
  <c r="W42" i="10"/>
  <c r="X42" i="10" s="1"/>
  <c r="Z42" i="10" s="1"/>
  <c r="Q91" i="10"/>
  <c r="S109" i="10"/>
  <c r="S110" i="10"/>
  <c r="U110" i="10"/>
  <c r="S111" i="10"/>
  <c r="S115" i="10"/>
  <c r="U117" i="10"/>
  <c r="S117" i="10"/>
  <c r="U119" i="10"/>
  <c r="U124" i="10"/>
  <c r="W127" i="10"/>
  <c r="X127" i="10" s="1"/>
  <c r="Z127" i="10" s="1"/>
  <c r="Q127" i="10"/>
  <c r="W131" i="10"/>
  <c r="X131" i="10" s="1"/>
  <c r="Z131" i="10" s="1"/>
  <c r="Q131" i="10"/>
  <c r="W135" i="10"/>
  <c r="X135" i="10" s="1"/>
  <c r="Z135" i="10" s="1"/>
  <c r="Q135" i="10"/>
  <c r="U139" i="10"/>
  <c r="S139" i="10"/>
  <c r="W141" i="10"/>
  <c r="X141" i="10" s="1"/>
  <c r="Z141" i="10" s="1"/>
  <c r="Q141" i="10"/>
  <c r="S150" i="10"/>
  <c r="U153" i="10"/>
  <c r="S153" i="10"/>
  <c r="W28" i="10"/>
  <c r="X28" i="10" s="1"/>
  <c r="Z28" i="10" s="1"/>
  <c r="W44" i="10"/>
  <c r="X44" i="10" s="1"/>
  <c r="Z44" i="10" s="1"/>
  <c r="W45" i="10"/>
  <c r="X45" i="10" s="1"/>
  <c r="Z45" i="10" s="1"/>
  <c r="W77" i="10"/>
  <c r="X77" i="10" s="1"/>
  <c r="Z77" i="10" s="1"/>
  <c r="W78" i="10"/>
  <c r="X78" i="10" s="1"/>
  <c r="Z78" i="10" s="1"/>
  <c r="W79" i="10"/>
  <c r="X79" i="10" s="1"/>
  <c r="Z79" i="10" s="1"/>
  <c r="W80" i="10"/>
  <c r="X80" i="10" s="1"/>
  <c r="Z80" i="10" s="1"/>
  <c r="W81" i="10"/>
  <c r="X81" i="10" s="1"/>
  <c r="Z81" i="10" s="1"/>
  <c r="S85" i="10"/>
  <c r="S86" i="10"/>
  <c r="S87" i="10"/>
  <c r="C94" i="10"/>
  <c r="C96" i="10" s="1"/>
  <c r="Q99" i="10"/>
  <c r="S101" i="10"/>
  <c r="S102" i="10"/>
  <c r="W103" i="10"/>
  <c r="X103" i="10" s="1"/>
  <c r="Z103" i="10" s="1"/>
  <c r="U105" i="10"/>
  <c r="S108" i="10"/>
  <c r="W126" i="10"/>
  <c r="X126" i="10" s="1"/>
  <c r="Z126" i="10" s="1"/>
  <c r="Q126" i="10"/>
  <c r="W130" i="10"/>
  <c r="X130" i="10" s="1"/>
  <c r="Z130" i="10" s="1"/>
  <c r="Q130" i="10"/>
  <c r="W134" i="10"/>
  <c r="X134" i="10" s="1"/>
  <c r="Z134" i="10" s="1"/>
  <c r="Q134" i="10"/>
  <c r="Q138" i="10"/>
  <c r="U146" i="10"/>
  <c r="S146" i="10"/>
  <c r="W82" i="10"/>
  <c r="X82" i="10" s="1"/>
  <c r="Z82" i="10" s="1"/>
  <c r="W83" i="10"/>
  <c r="X83" i="10" s="1"/>
  <c r="Z83" i="10" s="1"/>
  <c r="W84" i="10"/>
  <c r="X84" i="10" s="1"/>
  <c r="Z84" i="10" s="1"/>
  <c r="W90" i="10"/>
  <c r="X90" i="10" s="1"/>
  <c r="Z90" i="10" s="1"/>
  <c r="Q93" i="10"/>
  <c r="W93" i="10"/>
  <c r="X93" i="10" s="1"/>
  <c r="Z93" i="10" s="1"/>
  <c r="W94" i="10"/>
  <c r="X94" i="10" s="1"/>
  <c r="Z94" i="10" s="1"/>
  <c r="Q96" i="10"/>
  <c r="S112" i="10"/>
  <c r="U114" i="10"/>
  <c r="S114" i="10"/>
  <c r="S116" i="10"/>
  <c r="S120" i="10"/>
  <c r="W129" i="10"/>
  <c r="X129" i="10" s="1"/>
  <c r="Z129" i="10" s="1"/>
  <c r="Q129" i="10"/>
  <c r="W133" i="10"/>
  <c r="X133" i="10" s="1"/>
  <c r="Z133" i="10" s="1"/>
  <c r="Q133" i="10"/>
  <c r="S137" i="10"/>
  <c r="U137" i="10"/>
  <c r="W140" i="10"/>
  <c r="X140" i="10" s="1"/>
  <c r="Z140" i="10" s="1"/>
  <c r="Q140" i="10"/>
  <c r="S161" i="10"/>
  <c r="W161" i="10" s="1"/>
  <c r="X161" i="10" s="1"/>
  <c r="Z161" i="10" s="1"/>
  <c r="W25" i="10"/>
  <c r="X25" i="10" s="1"/>
  <c r="Z25" i="10" s="1"/>
  <c r="W26" i="10"/>
  <c r="X26" i="10" s="1"/>
  <c r="Z26" i="10" s="1"/>
  <c r="W85" i="10"/>
  <c r="X85" i="10" s="1"/>
  <c r="Z85" i="10" s="1"/>
  <c r="AA85" i="10" s="1"/>
  <c r="W86" i="10"/>
  <c r="X86" i="10" s="1"/>
  <c r="Z86" i="10" s="1"/>
  <c r="AA86" i="10" s="1"/>
  <c r="W87" i="10"/>
  <c r="X87" i="10" s="1"/>
  <c r="Z87" i="10" s="1"/>
  <c r="AA87" i="10" s="1"/>
  <c r="W95" i="10"/>
  <c r="X95" i="10" s="1"/>
  <c r="Z95" i="10" s="1"/>
  <c r="Q97" i="10"/>
  <c r="U100" i="10"/>
  <c r="Q103" i="10"/>
  <c r="W122" i="10"/>
  <c r="X122" i="10" s="1"/>
  <c r="Z122" i="10" s="1"/>
  <c r="Q122" i="10"/>
  <c r="W128" i="10"/>
  <c r="X128" i="10" s="1"/>
  <c r="Z128" i="10" s="1"/>
  <c r="Q128" i="10"/>
  <c r="W132" i="10"/>
  <c r="X132" i="10" s="1"/>
  <c r="Z132" i="10" s="1"/>
  <c r="Q132" i="10"/>
  <c r="W92" i="10"/>
  <c r="X92" i="10" s="1"/>
  <c r="Z92" i="10" s="1"/>
  <c r="W98" i="10"/>
  <c r="X98" i="10" s="1"/>
  <c r="Z98" i="10" s="1"/>
  <c r="W99" i="10"/>
  <c r="X99" i="10" s="1"/>
  <c r="Z99" i="10" s="1"/>
  <c r="W100" i="10"/>
  <c r="X100" i="10" s="1"/>
  <c r="Z100" i="10" s="1"/>
  <c r="W105" i="10"/>
  <c r="X105" i="10" s="1"/>
  <c r="Z105" i="10" s="1"/>
  <c r="W123" i="10"/>
  <c r="X123" i="10" s="1"/>
  <c r="Z123" i="10" s="1"/>
  <c r="W136" i="10"/>
  <c r="X136" i="10" s="1"/>
  <c r="Z136" i="10" s="1"/>
  <c r="O137" i="10"/>
  <c r="P137" i="10" s="1"/>
  <c r="W143" i="10"/>
  <c r="X143" i="10" s="1"/>
  <c r="Z143" i="10" s="1"/>
  <c r="W147" i="10"/>
  <c r="X147" i="10" s="1"/>
  <c r="Z147" i="10" s="1"/>
  <c r="S154" i="10"/>
  <c r="U154" i="10"/>
  <c r="W155" i="10"/>
  <c r="X155" i="10" s="1"/>
  <c r="Z155" i="10" s="1"/>
  <c r="Q155" i="10"/>
  <c r="S157" i="10"/>
  <c r="Q173" i="10"/>
  <c r="W173" i="10"/>
  <c r="X173" i="10" s="1"/>
  <c r="Z173" i="10" s="1"/>
  <c r="U192" i="10"/>
  <c r="S192" i="10"/>
  <c r="W101" i="10"/>
  <c r="X101" i="10" s="1"/>
  <c r="Z101" i="10" s="1"/>
  <c r="W102" i="10"/>
  <c r="X102" i="10" s="1"/>
  <c r="Z102" i="10" s="1"/>
  <c r="W110" i="10"/>
  <c r="X110" i="10" s="1"/>
  <c r="Z110" i="10" s="1"/>
  <c r="W124" i="10"/>
  <c r="X124" i="10" s="1"/>
  <c r="Z124" i="10" s="1"/>
  <c r="W138" i="10"/>
  <c r="X138" i="10" s="1"/>
  <c r="Z138" i="10" s="1"/>
  <c r="W144" i="10"/>
  <c r="X144" i="10" s="1"/>
  <c r="Z144" i="10" s="1"/>
  <c r="W148" i="10"/>
  <c r="X148" i="10" s="1"/>
  <c r="Z148" i="10" s="1"/>
  <c r="W156" i="10"/>
  <c r="X156" i="10" s="1"/>
  <c r="Z156" i="10" s="1"/>
  <c r="Q156" i="10"/>
  <c r="Q188" i="10"/>
  <c r="W111" i="10"/>
  <c r="X111" i="10" s="1"/>
  <c r="Z111" i="10" s="1"/>
  <c r="W112" i="10"/>
  <c r="X112" i="10" s="1"/>
  <c r="Z112" i="10" s="1"/>
  <c r="W113" i="10"/>
  <c r="X113" i="10" s="1"/>
  <c r="Z113" i="10" s="1"/>
  <c r="W114" i="10"/>
  <c r="X114" i="10" s="1"/>
  <c r="Z114" i="10" s="1"/>
  <c r="W115" i="10"/>
  <c r="X115" i="10" s="1"/>
  <c r="Z115" i="10" s="1"/>
  <c r="W116" i="10"/>
  <c r="X116" i="10" s="1"/>
  <c r="Z116" i="10" s="1"/>
  <c r="W117" i="10"/>
  <c r="X117" i="10" s="1"/>
  <c r="Z117" i="10" s="1"/>
  <c r="AA117" i="10" s="1"/>
  <c r="W118" i="10"/>
  <c r="X118" i="10" s="1"/>
  <c r="Z118" i="10" s="1"/>
  <c r="W119" i="10"/>
  <c r="X119" i="10" s="1"/>
  <c r="Z119" i="10" s="1"/>
  <c r="W120" i="10"/>
  <c r="X120" i="10" s="1"/>
  <c r="Z120" i="10" s="1"/>
  <c r="W121" i="10"/>
  <c r="X121" i="10" s="1"/>
  <c r="Z121" i="10" s="1"/>
  <c r="W125" i="10"/>
  <c r="X125" i="10" s="1"/>
  <c r="Z125" i="10" s="1"/>
  <c r="W139" i="10"/>
  <c r="X139" i="10" s="1"/>
  <c r="Z139" i="10" s="1"/>
  <c r="Q143" i="10"/>
  <c r="W145" i="10"/>
  <c r="X145" i="10" s="1"/>
  <c r="Z145" i="10" s="1"/>
  <c r="Q147" i="10"/>
  <c r="W149" i="10"/>
  <c r="X149" i="10" s="1"/>
  <c r="Z149" i="10" s="1"/>
  <c r="W151" i="10"/>
  <c r="X151" i="10" s="1"/>
  <c r="Z151" i="10" s="1"/>
  <c r="Q159" i="10"/>
  <c r="Q162" i="10"/>
  <c r="Q163" i="10"/>
  <c r="Q176" i="10"/>
  <c r="W146" i="10"/>
  <c r="X146" i="10" s="1"/>
  <c r="Z146" i="10" s="1"/>
  <c r="W150" i="10"/>
  <c r="X150" i="10" s="1"/>
  <c r="Z150" i="10" s="1"/>
  <c r="W152" i="10"/>
  <c r="X152" i="10" s="1"/>
  <c r="Z152" i="10" s="1"/>
  <c r="Q152" i="10"/>
  <c r="Q160" i="10"/>
  <c r="W165" i="10"/>
  <c r="X165" i="10" s="1"/>
  <c r="Z165" i="10" s="1"/>
  <c r="W166" i="10"/>
  <c r="X166" i="10" s="1"/>
  <c r="Z166" i="10" s="1"/>
  <c r="W170" i="10"/>
  <c r="X170" i="10" s="1"/>
  <c r="Z170" i="10" s="1"/>
  <c r="Q180" i="10"/>
  <c r="U193" i="10"/>
  <c r="S193" i="10"/>
  <c r="U196" i="10"/>
  <c r="W154" i="10"/>
  <c r="X154" i="10" s="1"/>
  <c r="Z154" i="10" s="1"/>
  <c r="W171" i="10"/>
  <c r="X171" i="10" s="1"/>
  <c r="Z171" i="10" s="1"/>
  <c r="Q172" i="10"/>
  <c r="Q174" i="10"/>
  <c r="W178" i="10"/>
  <c r="X178" i="10" s="1"/>
  <c r="Z178" i="10" s="1"/>
  <c r="U182" i="10"/>
  <c r="W182" i="10"/>
  <c r="X182" i="10" s="1"/>
  <c r="Z182" i="10" s="1"/>
  <c r="U186" i="10"/>
  <c r="W186" i="10"/>
  <c r="X186" i="10" s="1"/>
  <c r="Z186" i="10" s="1"/>
  <c r="U190" i="10"/>
  <c r="W190" i="10"/>
  <c r="X190" i="10" s="1"/>
  <c r="Z190" i="10" s="1"/>
  <c r="W194" i="10"/>
  <c r="X194" i="10" s="1"/>
  <c r="Z194" i="10" s="1"/>
  <c r="W196" i="10"/>
  <c r="X196" i="10" s="1"/>
  <c r="Z196" i="10" s="1"/>
  <c r="Q165" i="10"/>
  <c r="Q167" i="10"/>
  <c r="Q169" i="10"/>
  <c r="M175" i="10"/>
  <c r="O175" i="10" s="1"/>
  <c r="P175" i="10" s="1"/>
  <c r="W175" i="10" s="1"/>
  <c r="X175" i="10" s="1"/>
  <c r="Z175" i="10" s="1"/>
  <c r="W179" i="10"/>
  <c r="X179" i="10" s="1"/>
  <c r="Z179" i="10" s="1"/>
  <c r="W183" i="10"/>
  <c r="X183" i="10" s="1"/>
  <c r="Z183" i="10" s="1"/>
  <c r="W187" i="10"/>
  <c r="X187" i="10" s="1"/>
  <c r="Z187" i="10" s="1"/>
  <c r="W191" i="10"/>
  <c r="X191" i="10" s="1"/>
  <c r="Z191" i="10" s="1"/>
  <c r="W195" i="10"/>
  <c r="X195" i="10" s="1"/>
  <c r="Z195" i="10" s="1"/>
  <c r="Q198" i="10"/>
  <c r="Q207" i="10"/>
  <c r="W176" i="10"/>
  <c r="X176" i="10" s="1"/>
  <c r="Z176" i="10" s="1"/>
  <c r="W180" i="10"/>
  <c r="X180" i="10" s="1"/>
  <c r="Z180" i="10" s="1"/>
  <c r="W184" i="10"/>
  <c r="X184" i="10" s="1"/>
  <c r="Z184" i="10" s="1"/>
  <c r="W188" i="10"/>
  <c r="X188" i="10" s="1"/>
  <c r="Z188" i="10" s="1"/>
  <c r="W192" i="10"/>
  <c r="X192" i="10" s="1"/>
  <c r="Z192" i="10" s="1"/>
  <c r="W197" i="10"/>
  <c r="X197" i="10" s="1"/>
  <c r="Z197" i="10" s="1"/>
  <c r="U206" i="10"/>
  <c r="W153" i="10"/>
  <c r="X153" i="10" s="1"/>
  <c r="Z153" i="10" s="1"/>
  <c r="AA153" i="10" s="1"/>
  <c r="W157" i="10"/>
  <c r="X157" i="10" s="1"/>
  <c r="Z157" i="10" s="1"/>
  <c r="AA157" i="10" s="1"/>
  <c r="Q164" i="10"/>
  <c r="Q166" i="10"/>
  <c r="Q168" i="10"/>
  <c r="Q170" i="10"/>
  <c r="W174" i="10"/>
  <c r="X174" i="10" s="1"/>
  <c r="Z174" i="10" s="1"/>
  <c r="W177" i="10"/>
  <c r="X177" i="10" s="1"/>
  <c r="Z177" i="10" s="1"/>
  <c r="Q179" i="10"/>
  <c r="W181" i="10"/>
  <c r="X181" i="10" s="1"/>
  <c r="Z181" i="10" s="1"/>
  <c r="Q183" i="10"/>
  <c r="W185" i="10"/>
  <c r="X185" i="10" s="1"/>
  <c r="Z185" i="10" s="1"/>
  <c r="Q187" i="10"/>
  <c r="W189" i="10"/>
  <c r="X189" i="10" s="1"/>
  <c r="Z189" i="10" s="1"/>
  <c r="Q191" i="10"/>
  <c r="W193" i="10"/>
  <c r="X193" i="10" s="1"/>
  <c r="Z193" i="10" s="1"/>
  <c r="Q195" i="10"/>
  <c r="Q197" i="10"/>
  <c r="S205" i="10"/>
  <c r="Q210" i="10"/>
  <c r="Q212" i="10"/>
  <c r="Q214" i="10"/>
  <c r="Q231" i="10"/>
  <c r="U232" i="10"/>
  <c r="S232" i="10"/>
  <c r="U205" i="10"/>
  <c r="U211" i="10"/>
  <c r="AA211" i="10" s="1"/>
  <c r="AB211" i="10" s="1"/>
  <c r="S211" i="10"/>
  <c r="Q213" i="10"/>
  <c r="Q234" i="10"/>
  <c r="W198" i="10"/>
  <c r="X198" i="10" s="1"/>
  <c r="Z198" i="10" s="1"/>
  <c r="P205" i="10"/>
  <c r="W205" i="10"/>
  <c r="Q209" i="10"/>
  <c r="Q233" i="10"/>
  <c r="W210" i="10"/>
  <c r="X210" i="10" s="1"/>
  <c r="Z210" i="10" s="1"/>
  <c r="B20" i="9"/>
  <c r="W233" i="10"/>
  <c r="X233" i="10" s="1"/>
  <c r="Z233" i="10" s="1"/>
  <c r="C235" i="10"/>
  <c r="Q235" i="10"/>
  <c r="Q240" i="10"/>
  <c r="W240" i="10"/>
  <c r="X240" i="10" s="1"/>
  <c r="Z240" i="10" s="1"/>
  <c r="Q244" i="10"/>
  <c r="W244" i="10"/>
  <c r="X244" i="10" s="1"/>
  <c r="Z244" i="10" s="1"/>
  <c r="U258" i="10"/>
  <c r="S258" i="10"/>
  <c r="U262" i="10"/>
  <c r="S262" i="10"/>
  <c r="U266" i="10"/>
  <c r="S266" i="10"/>
  <c r="S268" i="10"/>
  <c r="W268" i="10" s="1"/>
  <c r="X268" i="10" s="1"/>
  <c r="Z268" i="10" s="1"/>
  <c r="U270" i="10"/>
  <c r="S270" i="10"/>
  <c r="Q272" i="10"/>
  <c r="W272" i="10"/>
  <c r="X272" i="10" s="1"/>
  <c r="Z272" i="10" s="1"/>
  <c r="Q236" i="10"/>
  <c r="Q237" i="10"/>
  <c r="Q241" i="10"/>
  <c r="W241" i="10"/>
  <c r="X241" i="10" s="1"/>
  <c r="Z241" i="10" s="1"/>
  <c r="P251" i="10"/>
  <c r="P253" i="10" s="1"/>
  <c r="W278" i="10"/>
  <c r="P247" i="10"/>
  <c r="Q238" i="10"/>
  <c r="W238" i="10"/>
  <c r="X238" i="10" s="1"/>
  <c r="Z238" i="10" s="1"/>
  <c r="Q242" i="10"/>
  <c r="W242" i="10"/>
  <c r="X242" i="10" s="1"/>
  <c r="Z242" i="10" s="1"/>
  <c r="U257" i="10"/>
  <c r="S257" i="10"/>
  <c r="U261" i="10"/>
  <c r="S261" i="10"/>
  <c r="U263" i="10"/>
  <c r="S263" i="10"/>
  <c r="U265" i="10"/>
  <c r="S265" i="10"/>
  <c r="U269" i="10"/>
  <c r="S269" i="10"/>
  <c r="U271" i="10"/>
  <c r="S271" i="10"/>
  <c r="U278" i="10"/>
  <c r="S278" i="10"/>
  <c r="W232" i="10"/>
  <c r="X232" i="10" s="1"/>
  <c r="Z232" i="10" s="1"/>
  <c r="W234" i="10"/>
  <c r="X234" i="10" s="1"/>
  <c r="Z234" i="10" s="1"/>
  <c r="Q239" i="10"/>
  <c r="W239" i="10"/>
  <c r="X239" i="10" s="1"/>
  <c r="Z239" i="10" s="1"/>
  <c r="Q243" i="10"/>
  <c r="W243" i="10"/>
  <c r="X243" i="10" s="1"/>
  <c r="Z243" i="10" s="1"/>
  <c r="Q251" i="10"/>
  <c r="W251" i="10"/>
  <c r="X251" i="10" s="1"/>
  <c r="Z251" i="10" s="1"/>
  <c r="O275" i="10"/>
  <c r="D30" i="9" s="1"/>
  <c r="W279" i="10"/>
  <c r="X279" i="10" s="1"/>
  <c r="Z279" i="10" s="1"/>
  <c r="S282" i="10"/>
  <c r="U282" i="10"/>
  <c r="Q286" i="10"/>
  <c r="W286" i="10"/>
  <c r="X286" i="10" s="1"/>
  <c r="Z286" i="10" s="1"/>
  <c r="S287" i="10"/>
  <c r="U298" i="10"/>
  <c r="S298" i="10"/>
  <c r="Q283" i="10"/>
  <c r="Q285" i="10"/>
  <c r="W285" i="10"/>
  <c r="X285" i="10" s="1"/>
  <c r="Z285" i="10" s="1"/>
  <c r="U301" i="10"/>
  <c r="S301" i="10"/>
  <c r="M253" i="10"/>
  <c r="B28" i="9" s="1"/>
  <c r="M275" i="10"/>
  <c r="B30" i="9" s="1"/>
  <c r="Q279" i="10"/>
  <c r="Q284" i="10"/>
  <c r="W284" i="10"/>
  <c r="X284" i="10" s="1"/>
  <c r="Z284" i="10" s="1"/>
  <c r="U300" i="10"/>
  <c r="S300" i="10"/>
  <c r="P257" i="10"/>
  <c r="P275" i="10" s="1"/>
  <c r="W257" i="10"/>
  <c r="W258" i="10"/>
  <c r="X258" i="10" s="1"/>
  <c r="Z258" i="10" s="1"/>
  <c r="W259" i="10"/>
  <c r="X259" i="10" s="1"/>
  <c r="Z259" i="10" s="1"/>
  <c r="W260" i="10"/>
  <c r="X260" i="10" s="1"/>
  <c r="Z260" i="10" s="1"/>
  <c r="W261" i="10"/>
  <c r="X261" i="10" s="1"/>
  <c r="Z261" i="10" s="1"/>
  <c r="W262" i="10"/>
  <c r="X262" i="10" s="1"/>
  <c r="Z262" i="10" s="1"/>
  <c r="W263" i="10"/>
  <c r="X263" i="10" s="1"/>
  <c r="Z263" i="10" s="1"/>
  <c r="W264" i="10"/>
  <c r="X264" i="10" s="1"/>
  <c r="Z264" i="10" s="1"/>
  <c r="W265" i="10"/>
  <c r="X265" i="10" s="1"/>
  <c r="Z265" i="10" s="1"/>
  <c r="W266" i="10"/>
  <c r="X266" i="10" s="1"/>
  <c r="Z266" i="10" s="1"/>
  <c r="W267" i="10"/>
  <c r="X267" i="10" s="1"/>
  <c r="Z267" i="10" s="1"/>
  <c r="W269" i="10"/>
  <c r="X269" i="10" s="1"/>
  <c r="Z269" i="10" s="1"/>
  <c r="W270" i="10"/>
  <c r="X270" i="10" s="1"/>
  <c r="Z270" i="10" s="1"/>
  <c r="W271" i="10"/>
  <c r="X271" i="10" s="1"/>
  <c r="Z271" i="10" s="1"/>
  <c r="P278" i="10"/>
  <c r="Q281" i="10"/>
  <c r="W282" i="10"/>
  <c r="X282" i="10" s="1"/>
  <c r="Z282" i="10" s="1"/>
  <c r="Q296" i="10"/>
  <c r="O280" i="10"/>
  <c r="P280" i="10" s="1"/>
  <c r="Q280" i="10" s="1"/>
  <c r="W296" i="10"/>
  <c r="X296" i="10" s="1"/>
  <c r="Z296" i="10" s="1"/>
  <c r="W297" i="10"/>
  <c r="X297" i="10" s="1"/>
  <c r="Z297" i="10" s="1"/>
  <c r="W298" i="10"/>
  <c r="X298" i="10" s="1"/>
  <c r="Z298" i="10" s="1"/>
  <c r="W299" i="10"/>
  <c r="X299" i="10" s="1"/>
  <c r="Z299" i="10" s="1"/>
  <c r="W300" i="10"/>
  <c r="X300" i="10" s="1"/>
  <c r="Z300" i="10" s="1"/>
  <c r="W301" i="10"/>
  <c r="X301" i="10" s="1"/>
  <c r="Z301" i="10" s="1"/>
  <c r="W287" i="10"/>
  <c r="X287" i="10" s="1"/>
  <c r="Z287" i="10" s="1"/>
  <c r="P292" i="10"/>
  <c r="O295" i="10"/>
  <c r="P295" i="10" s="1"/>
  <c r="Q295" i="10" s="1"/>
  <c r="C89" i="8"/>
  <c r="C87" i="8"/>
  <c r="G86" i="8"/>
  <c r="C85" i="8"/>
  <c r="C91" i="8" s="1"/>
  <c r="D84" i="8"/>
  <c r="E84" i="8" s="1"/>
  <c r="G84" i="8" s="1"/>
  <c r="G83" i="8"/>
  <c r="E83" i="8"/>
  <c r="E82" i="8"/>
  <c r="G82" i="8" s="1"/>
  <c r="D82" i="8"/>
  <c r="E81" i="8"/>
  <c r="G81" i="8" s="1"/>
  <c r="G80" i="8"/>
  <c r="E80" i="8"/>
  <c r="D79" i="8"/>
  <c r="E79" i="8" s="1"/>
  <c r="G79" i="8" s="1"/>
  <c r="G78" i="8"/>
  <c r="E78" i="8"/>
  <c r="E77" i="8"/>
  <c r="G77" i="8" s="1"/>
  <c r="D76" i="8"/>
  <c r="E76" i="8" s="1"/>
  <c r="G76" i="8" s="1"/>
  <c r="G75" i="8"/>
  <c r="E75" i="8"/>
  <c r="D74" i="8"/>
  <c r="E74" i="8" s="1"/>
  <c r="G74" i="8" s="1"/>
  <c r="G73" i="8"/>
  <c r="E73" i="8"/>
  <c r="E72" i="8"/>
  <c r="G72" i="8" s="1"/>
  <c r="G71" i="8"/>
  <c r="E71" i="8"/>
  <c r="E70" i="8"/>
  <c r="G70" i="8" s="1"/>
  <c r="D70" i="8"/>
  <c r="E69" i="8"/>
  <c r="G69" i="8" s="1"/>
  <c r="G68" i="8"/>
  <c r="E68" i="8"/>
  <c r="D67" i="8"/>
  <c r="E67" i="8" s="1"/>
  <c r="G67" i="8" s="1"/>
  <c r="G66" i="8"/>
  <c r="E66" i="8"/>
  <c r="E65" i="8"/>
  <c r="G65" i="8" s="1"/>
  <c r="G64" i="8"/>
  <c r="E64" i="8"/>
  <c r="E63" i="8"/>
  <c r="G63" i="8" s="1"/>
  <c r="G62" i="8"/>
  <c r="E62" i="8"/>
  <c r="E61" i="8"/>
  <c r="G61" i="8" s="1"/>
  <c r="G60" i="8"/>
  <c r="E60" i="8"/>
  <c r="E59" i="8"/>
  <c r="G59" i="8" s="1"/>
  <c r="G58" i="8"/>
  <c r="E58" i="8"/>
  <c r="E57" i="8"/>
  <c r="G57" i="8" s="1"/>
  <c r="G56" i="8"/>
  <c r="E56" i="8"/>
  <c r="E55" i="8"/>
  <c r="G55" i="8" s="1"/>
  <c r="D55" i="8"/>
  <c r="E54" i="8"/>
  <c r="G54" i="8" s="1"/>
  <c r="G53" i="8"/>
  <c r="E53" i="8"/>
  <c r="D53" i="8"/>
  <c r="E52" i="8"/>
  <c r="G52" i="8" s="1"/>
  <c r="G51" i="8"/>
  <c r="E51" i="8"/>
  <c r="D51" i="8"/>
  <c r="G50" i="8"/>
  <c r="E50" i="8"/>
  <c r="G49" i="8"/>
  <c r="E49" i="8"/>
  <c r="G48" i="8"/>
  <c r="E48" i="8"/>
  <c r="G47" i="8"/>
  <c r="E47" i="8"/>
  <c r="G46" i="8"/>
  <c r="E46" i="8"/>
  <c r="G45" i="8"/>
  <c r="E45" i="8"/>
  <c r="G44" i="8"/>
  <c r="E44" i="8"/>
  <c r="D44" i="8"/>
  <c r="E43" i="8"/>
  <c r="G43" i="8" s="1"/>
  <c r="G42" i="8"/>
  <c r="E42" i="8"/>
  <c r="E41" i="8"/>
  <c r="G41" i="8" s="1"/>
  <c r="D41" i="8"/>
  <c r="G40" i="8"/>
  <c r="E40" i="8"/>
  <c r="G39" i="8"/>
  <c r="E39" i="8"/>
  <c r="D38" i="8"/>
  <c r="E38" i="8" s="1"/>
  <c r="G38" i="8" s="1"/>
  <c r="G37" i="8"/>
  <c r="E37" i="8"/>
  <c r="E36" i="8"/>
  <c r="G36" i="8" s="1"/>
  <c r="D36" i="8"/>
  <c r="D35" i="8"/>
  <c r="E35" i="8" s="1"/>
  <c r="G35" i="8" s="1"/>
  <c r="G34" i="8"/>
  <c r="E34" i="8"/>
  <c r="E33" i="8"/>
  <c r="G33" i="8" s="1"/>
  <c r="G32" i="8"/>
  <c r="E32" i="8"/>
  <c r="E31" i="8"/>
  <c r="G31" i="8" s="1"/>
  <c r="G30" i="8"/>
  <c r="E30" i="8"/>
  <c r="E29" i="8"/>
  <c r="G28" i="8"/>
  <c r="E28" i="8"/>
  <c r="G27" i="8"/>
  <c r="E27" i="8"/>
  <c r="D27" i="8"/>
  <c r="E26" i="8"/>
  <c r="G26" i="8" s="1"/>
  <c r="D26" i="8"/>
  <c r="D25" i="8"/>
  <c r="E25" i="8" s="1"/>
  <c r="G25" i="8" s="1"/>
  <c r="G24" i="8"/>
  <c r="E24" i="8"/>
  <c r="E23" i="8"/>
  <c r="G23" i="8" s="1"/>
  <c r="G22" i="8"/>
  <c r="E22" i="8"/>
  <c r="D22" i="8"/>
  <c r="G21" i="8"/>
  <c r="E21" i="8"/>
  <c r="G20" i="8"/>
  <c r="E20" i="8"/>
  <c r="G19" i="8"/>
  <c r="E19" i="8"/>
  <c r="G18" i="8"/>
  <c r="E18" i="8"/>
  <c r="G17" i="8"/>
  <c r="E17" i="8"/>
  <c r="G16" i="8"/>
  <c r="E16" i="8"/>
  <c r="G15" i="8"/>
  <c r="E15" i="8"/>
  <c r="D14" i="8"/>
  <c r="E14" i="8" s="1"/>
  <c r="G14" i="8" s="1"/>
  <c r="G13" i="8"/>
  <c r="E13" i="8"/>
  <c r="E12" i="8"/>
  <c r="G12" i="8" s="1"/>
  <c r="G11" i="8"/>
  <c r="E11" i="8"/>
  <c r="S145" i="10" l="1"/>
  <c r="AA139" i="10"/>
  <c r="U43" i="10"/>
  <c r="U184" i="10"/>
  <c r="AA109" i="10"/>
  <c r="AB109" i="10" s="1"/>
  <c r="S107" i="10"/>
  <c r="U185" i="10"/>
  <c r="AA185" i="10" s="1"/>
  <c r="AB185" i="10" s="1"/>
  <c r="S227" i="10"/>
  <c r="C30" i="9"/>
  <c r="U294" i="10"/>
  <c r="AA294" i="10" s="1"/>
  <c r="AB294" i="10" s="1"/>
  <c r="O247" i="10"/>
  <c r="D24" i="9" s="1"/>
  <c r="C24" i="9" s="1"/>
  <c r="C26" i="9" s="1"/>
  <c r="U260" i="10"/>
  <c r="AA260" i="10" s="1"/>
  <c r="AB260" i="10" s="1"/>
  <c r="O216" i="10"/>
  <c r="D20" i="9" s="1"/>
  <c r="U171" i="10"/>
  <c r="AA150" i="10"/>
  <c r="S148" i="10"/>
  <c r="S158" i="10"/>
  <c r="W158" i="10" s="1"/>
  <c r="X158" i="10" s="1"/>
  <c r="Z158" i="10" s="1"/>
  <c r="U136" i="10"/>
  <c r="S77" i="10"/>
  <c r="S15" i="10"/>
  <c r="U208" i="10"/>
  <c r="S142" i="10"/>
  <c r="P216" i="10"/>
  <c r="AA119" i="10"/>
  <c r="AA111" i="10"/>
  <c r="AA148" i="10"/>
  <c r="AB148" i="10" s="1"/>
  <c r="AA81" i="10"/>
  <c r="AA77" i="10"/>
  <c r="S13" i="10"/>
  <c r="W237" i="10"/>
  <c r="X237" i="10" s="1"/>
  <c r="Z237" i="10" s="1"/>
  <c r="Z247" i="10" s="1"/>
  <c r="F24" i="9" s="1"/>
  <c r="AA29" i="10"/>
  <c r="AB29" i="10" s="1"/>
  <c r="M61" i="10"/>
  <c r="AA115" i="10"/>
  <c r="AA192" i="10"/>
  <c r="AA102" i="10"/>
  <c r="S189" i="10"/>
  <c r="S29" i="10"/>
  <c r="S299" i="10"/>
  <c r="S293" i="10"/>
  <c r="U297" i="10"/>
  <c r="S267" i="10"/>
  <c r="S259" i="10"/>
  <c r="S264" i="10"/>
  <c r="Q175" i="10"/>
  <c r="S175" i="10" s="1"/>
  <c r="U178" i="10"/>
  <c r="U194" i="10"/>
  <c r="AA121" i="10"/>
  <c r="AA113" i="10"/>
  <c r="AA101" i="10"/>
  <c r="S144" i="10"/>
  <c r="U151" i="10"/>
  <c r="AA151" i="10" s="1"/>
  <c r="AB151" i="10" s="1"/>
  <c r="S125" i="10"/>
  <c r="S106" i="10"/>
  <c r="S149" i="10"/>
  <c r="S123" i="10"/>
  <c r="S118" i="10"/>
  <c r="U104" i="10"/>
  <c r="AA104" i="10" s="1"/>
  <c r="AB104" i="10" s="1"/>
  <c r="W43" i="10"/>
  <c r="X43" i="10" s="1"/>
  <c r="Z43" i="10" s="1"/>
  <c r="AA43" i="10" s="1"/>
  <c r="S121" i="10"/>
  <c r="S113" i="10"/>
  <c r="S94" i="10"/>
  <c r="U44" i="10"/>
  <c r="AA196" i="10"/>
  <c r="AB196" i="10" s="1"/>
  <c r="AA144" i="10"/>
  <c r="O47" i="10"/>
  <c r="AA299" i="10"/>
  <c r="AB299" i="10" s="1"/>
  <c r="Q275" i="10"/>
  <c r="E30" i="9" s="1"/>
  <c r="D117" i="3" s="1"/>
  <c r="AA107" i="10"/>
  <c r="AB107" i="10" s="1"/>
  <c r="U98" i="10"/>
  <c r="P32" i="10"/>
  <c r="P61" i="10" s="1"/>
  <c r="U16" i="10"/>
  <c r="AA146" i="10"/>
  <c r="B36" i="9"/>
  <c r="B42" i="9" s="1"/>
  <c r="AA161" i="10"/>
  <c r="AB161" i="10" s="1"/>
  <c r="AA120" i="10"/>
  <c r="AA116" i="10"/>
  <c r="AA112" i="10"/>
  <c r="AB112" i="10" s="1"/>
  <c r="AA90" i="10"/>
  <c r="AB90" i="10" s="1"/>
  <c r="AA271" i="10"/>
  <c r="AA298" i="10"/>
  <c r="AA267" i="10"/>
  <c r="AB267" i="10" s="1"/>
  <c r="AA263" i="10"/>
  <c r="AA259" i="10"/>
  <c r="AB259" i="10" s="1"/>
  <c r="AA189" i="10"/>
  <c r="U227" i="10"/>
  <c r="AA269" i="10"/>
  <c r="AA265" i="10"/>
  <c r="AA261" i="10"/>
  <c r="AA149" i="10"/>
  <c r="AB149" i="10" s="1"/>
  <c r="AA300" i="10"/>
  <c r="AB300" i="10" s="1"/>
  <c r="AA232" i="10"/>
  <c r="AB232" i="10" s="1"/>
  <c r="AA125" i="10"/>
  <c r="AA118" i="10"/>
  <c r="AB118" i="10" s="1"/>
  <c r="AA114" i="10"/>
  <c r="AB114" i="10" s="1"/>
  <c r="AA94" i="10"/>
  <c r="AB94" i="10" s="1"/>
  <c r="AA45" i="10"/>
  <c r="AB45" i="10" s="1"/>
  <c r="AA184" i="10"/>
  <c r="AB184" i="10" s="1"/>
  <c r="AA182" i="10"/>
  <c r="AA158" i="10"/>
  <c r="AB158" i="10" s="1"/>
  <c r="AA145" i="10"/>
  <c r="Z227" i="10"/>
  <c r="F22" i="9" s="1"/>
  <c r="AA227" i="10"/>
  <c r="G22" i="9" s="1"/>
  <c r="AB227" i="10"/>
  <c r="H22" i="9" s="1"/>
  <c r="AA287" i="10"/>
  <c r="AB287" i="10" s="1"/>
  <c r="AA95" i="10"/>
  <c r="AB95" i="10" s="1"/>
  <c r="AA301" i="10"/>
  <c r="AB301" i="10" s="1"/>
  <c r="AA79" i="10"/>
  <c r="AA78" i="10"/>
  <c r="D11" i="9"/>
  <c r="C11" i="9" s="1"/>
  <c r="AA193" i="10"/>
  <c r="AB193" i="10" s="1"/>
  <c r="W137" i="10"/>
  <c r="X137" i="10" s="1"/>
  <c r="Z137" i="10" s="1"/>
  <c r="AA137" i="10" s="1"/>
  <c r="AB137" i="10" s="1"/>
  <c r="AA80" i="10"/>
  <c r="AB80" i="10" s="1"/>
  <c r="AA28" i="10"/>
  <c r="AB28" i="10" s="1"/>
  <c r="Q27" i="10"/>
  <c r="U27" i="10" s="1"/>
  <c r="AA27" i="10" s="1"/>
  <c r="AB27" i="10" s="1"/>
  <c r="AA270" i="10"/>
  <c r="AB270" i="10" s="1"/>
  <c r="AA266" i="10"/>
  <c r="AB266" i="10" s="1"/>
  <c r="AA262" i="10"/>
  <c r="AB262" i="10" s="1"/>
  <c r="AA258" i="10"/>
  <c r="AB258" i="10" s="1"/>
  <c r="AA44" i="10"/>
  <c r="AB44" i="10" s="1"/>
  <c r="AA15" i="10"/>
  <c r="AB15" i="10" s="1"/>
  <c r="AB192" i="10"/>
  <c r="AA154" i="10"/>
  <c r="AB154" i="10" s="1"/>
  <c r="AB144" i="10"/>
  <c r="AA297" i="10"/>
  <c r="AB297" i="10" s="1"/>
  <c r="AA186" i="10"/>
  <c r="AB186" i="10" s="1"/>
  <c r="P289" i="10"/>
  <c r="AA268" i="10"/>
  <c r="AB268" i="10" s="1"/>
  <c r="AA264" i="10"/>
  <c r="AB264" i="10" s="1"/>
  <c r="AB153" i="10"/>
  <c r="AA194" i="10"/>
  <c r="AB194" i="10" s="1"/>
  <c r="AA171" i="10"/>
  <c r="AB145" i="10"/>
  <c r="U181" i="10"/>
  <c r="AA181" i="10" s="1"/>
  <c r="AB181" i="10" s="1"/>
  <c r="S181" i="10"/>
  <c r="P201" i="10"/>
  <c r="S92" i="10"/>
  <c r="U92" i="10"/>
  <c r="AA92" i="10" s="1"/>
  <c r="AB92" i="10" s="1"/>
  <c r="U177" i="10"/>
  <c r="AA177" i="10" s="1"/>
  <c r="AB177" i="10" s="1"/>
  <c r="S177" i="10"/>
  <c r="AB157" i="10"/>
  <c r="E61" i="6"/>
  <c r="AA208" i="10"/>
  <c r="AB208" i="10" s="1"/>
  <c r="AA206" i="10"/>
  <c r="AB206" i="10" s="1"/>
  <c r="U295" i="10"/>
  <c r="S295" i="10"/>
  <c r="S280" i="10"/>
  <c r="W280" i="10" s="1"/>
  <c r="X280" i="10" s="1"/>
  <c r="Z280" i="10" s="1"/>
  <c r="U280" i="10"/>
  <c r="AB298" i="10"/>
  <c r="W275" i="10"/>
  <c r="X257" i="10"/>
  <c r="S279" i="10"/>
  <c r="U279" i="10"/>
  <c r="AA279" i="10" s="1"/>
  <c r="AB279" i="10" s="1"/>
  <c r="U251" i="10"/>
  <c r="AA251" i="10" s="1"/>
  <c r="AA253" i="10" s="1"/>
  <c r="G28" i="9" s="1"/>
  <c r="S251" i="10"/>
  <c r="Q253" i="10"/>
  <c r="E28" i="9" s="1"/>
  <c r="S239" i="10"/>
  <c r="U239" i="10"/>
  <c r="AA239" i="10" s="1"/>
  <c r="AB239" i="10" s="1"/>
  <c r="X278" i="10"/>
  <c r="S237" i="10"/>
  <c r="U237" i="10"/>
  <c r="AA237" i="10" s="1"/>
  <c r="AB237" i="10" s="1"/>
  <c r="AB265" i="10"/>
  <c r="S240" i="10"/>
  <c r="U240" i="10"/>
  <c r="AA240" i="10" s="1"/>
  <c r="AB240" i="10" s="1"/>
  <c r="U209" i="10"/>
  <c r="AA209" i="10" s="1"/>
  <c r="AB209" i="10" s="1"/>
  <c r="S209" i="10"/>
  <c r="X205" i="10"/>
  <c r="U213" i="10"/>
  <c r="AA213" i="10" s="1"/>
  <c r="AB213" i="10" s="1"/>
  <c r="S213" i="10"/>
  <c r="U212" i="10"/>
  <c r="AA212" i="10" s="1"/>
  <c r="AB212" i="10" s="1"/>
  <c r="S212" i="10"/>
  <c r="U187" i="10"/>
  <c r="AA187" i="10" s="1"/>
  <c r="AB187" i="10" s="1"/>
  <c r="S187" i="10"/>
  <c r="U168" i="10"/>
  <c r="AA168" i="10" s="1"/>
  <c r="AB168" i="10" s="1"/>
  <c r="S168" i="10"/>
  <c r="U167" i="10"/>
  <c r="AA167" i="10" s="1"/>
  <c r="AB167" i="10" s="1"/>
  <c r="S167" i="10"/>
  <c r="U162" i="10"/>
  <c r="S162" i="10"/>
  <c r="W162" i="10" s="1"/>
  <c r="X162" i="10" s="1"/>
  <c r="Z162" i="10" s="1"/>
  <c r="S147" i="10"/>
  <c r="U147" i="10"/>
  <c r="AA147" i="10" s="1"/>
  <c r="AB147" i="10" s="1"/>
  <c r="U156" i="10"/>
  <c r="AA156" i="10" s="1"/>
  <c r="AB156" i="10" s="1"/>
  <c r="S156" i="10"/>
  <c r="S155" i="10"/>
  <c r="U155" i="10"/>
  <c r="AA136" i="10"/>
  <c r="AB136" i="10" s="1"/>
  <c r="U128" i="10"/>
  <c r="AA128" i="10" s="1"/>
  <c r="AB128" i="10" s="1"/>
  <c r="S128" i="10"/>
  <c r="U122" i="10"/>
  <c r="AA122" i="10" s="1"/>
  <c r="AB122" i="10" s="1"/>
  <c r="S122" i="10"/>
  <c r="AB101" i="10"/>
  <c r="U133" i="10"/>
  <c r="S133" i="10"/>
  <c r="AB117" i="10"/>
  <c r="S138" i="10"/>
  <c r="U138" i="10"/>
  <c r="S99" i="10"/>
  <c r="U99" i="10"/>
  <c r="AA99" i="10" s="1"/>
  <c r="AB99" i="10" s="1"/>
  <c r="U141" i="10"/>
  <c r="AA141" i="10" s="1"/>
  <c r="AB141" i="10" s="1"/>
  <c r="S141" i="10"/>
  <c r="U83" i="10"/>
  <c r="S83" i="10"/>
  <c r="AB43" i="10"/>
  <c r="U24" i="10"/>
  <c r="AA24" i="10" s="1"/>
  <c r="AB24" i="10" s="1"/>
  <c r="S24" i="10"/>
  <c r="U37" i="10"/>
  <c r="AA37" i="10" s="1"/>
  <c r="AB37" i="10" s="1"/>
  <c r="S37" i="10"/>
  <c r="AA16" i="10"/>
  <c r="AB16" i="10" s="1"/>
  <c r="AB79" i="10"/>
  <c r="U30" i="10"/>
  <c r="AA30" i="10" s="1"/>
  <c r="AB30" i="10" s="1"/>
  <c r="S30" i="10"/>
  <c r="IU12" i="10"/>
  <c r="W295" i="10"/>
  <c r="X295" i="10" s="1"/>
  <c r="Z295" i="10" s="1"/>
  <c r="P303" i="10"/>
  <c r="U296" i="10"/>
  <c r="S296" i="10"/>
  <c r="Q292" i="10"/>
  <c r="O289" i="10"/>
  <c r="D32" i="9" s="1"/>
  <c r="C32" i="9" s="1"/>
  <c r="S285" i="10"/>
  <c r="U285" i="10"/>
  <c r="AA285" i="10" s="1"/>
  <c r="AB285" i="10" s="1"/>
  <c r="Q289" i="10"/>
  <c r="E32" i="9" s="1"/>
  <c r="S238" i="10"/>
  <c r="U238" i="10"/>
  <c r="AA238" i="10" s="1"/>
  <c r="AB238" i="10" s="1"/>
  <c r="U236" i="10"/>
  <c r="AA236" i="10" s="1"/>
  <c r="AB236" i="10" s="1"/>
  <c r="S236" i="10"/>
  <c r="U235" i="10"/>
  <c r="AA235" i="10" s="1"/>
  <c r="AB235" i="10" s="1"/>
  <c r="S235" i="10"/>
  <c r="U233" i="10"/>
  <c r="AA233" i="10" s="1"/>
  <c r="AB233" i="10" s="1"/>
  <c r="S233" i="10"/>
  <c r="S197" i="10"/>
  <c r="U197" i="10"/>
  <c r="AA197" i="10" s="1"/>
  <c r="AB197" i="10" s="1"/>
  <c r="U191" i="10"/>
  <c r="AA191" i="10" s="1"/>
  <c r="AB191" i="10" s="1"/>
  <c r="S191" i="10"/>
  <c r="U175" i="10"/>
  <c r="AA175" i="10" s="1"/>
  <c r="AB175" i="10" s="1"/>
  <c r="U166" i="10"/>
  <c r="AA166" i="10" s="1"/>
  <c r="AB166" i="10" s="1"/>
  <c r="S166" i="10"/>
  <c r="U198" i="10"/>
  <c r="AA198" i="10" s="1"/>
  <c r="AB198" i="10" s="1"/>
  <c r="S198" i="10"/>
  <c r="U165" i="10"/>
  <c r="AA165" i="10" s="1"/>
  <c r="AB165" i="10" s="1"/>
  <c r="S165" i="10"/>
  <c r="AB182" i="10"/>
  <c r="AB171" i="10"/>
  <c r="U152" i="10"/>
  <c r="AA152" i="10" s="1"/>
  <c r="AB152" i="10" s="1"/>
  <c r="S152" i="10"/>
  <c r="AB150" i="10"/>
  <c r="U176" i="10"/>
  <c r="AA176" i="10" s="1"/>
  <c r="AB176" i="10" s="1"/>
  <c r="S176" i="10"/>
  <c r="S159" i="10"/>
  <c r="W159" i="10" s="1"/>
  <c r="X159" i="10" s="1"/>
  <c r="Z159" i="10" s="1"/>
  <c r="U159" i="10"/>
  <c r="M201" i="10"/>
  <c r="B18" i="9" s="1"/>
  <c r="B26" i="9" s="1"/>
  <c r="AA124" i="10"/>
  <c r="AB124" i="10" s="1"/>
  <c r="S173" i="10"/>
  <c r="U173" i="10"/>
  <c r="AA173" i="10" s="1"/>
  <c r="AB173" i="10" s="1"/>
  <c r="AA155" i="10"/>
  <c r="AB155" i="10" s="1"/>
  <c r="AA123" i="10"/>
  <c r="AB123" i="10" s="1"/>
  <c r="AA98" i="10"/>
  <c r="AB98" i="10" s="1"/>
  <c r="AB139" i="10"/>
  <c r="AA133" i="10"/>
  <c r="AB133" i="10" s="1"/>
  <c r="AB119" i="10"/>
  <c r="AB111" i="10"/>
  <c r="U134" i="10"/>
  <c r="AA134" i="10" s="1"/>
  <c r="AB134" i="10" s="1"/>
  <c r="S134" i="10"/>
  <c r="U126" i="10"/>
  <c r="AA126" i="10" s="1"/>
  <c r="AB126" i="10" s="1"/>
  <c r="S126" i="10"/>
  <c r="O201" i="10"/>
  <c r="D18" i="9" s="1"/>
  <c r="D26" i="9" s="1"/>
  <c r="U131" i="10"/>
  <c r="AA131" i="10" s="1"/>
  <c r="AB131" i="10" s="1"/>
  <c r="S131" i="10"/>
  <c r="AB120" i="10"/>
  <c r="W47" i="10"/>
  <c r="X36" i="10"/>
  <c r="U88" i="10"/>
  <c r="AA88" i="10" s="1"/>
  <c r="AB88" i="10" s="1"/>
  <c r="S88" i="10"/>
  <c r="U40" i="10"/>
  <c r="AA40" i="10" s="1"/>
  <c r="AB40" i="10" s="1"/>
  <c r="S40" i="10"/>
  <c r="S23" i="10"/>
  <c r="U23" i="10"/>
  <c r="AA23" i="10" s="1"/>
  <c r="AB23" i="10" s="1"/>
  <c r="U17" i="10"/>
  <c r="AA17" i="10" s="1"/>
  <c r="AB17" i="10" s="1"/>
  <c r="S17" i="10"/>
  <c r="AA14" i="10"/>
  <c r="AB14" i="10" s="1"/>
  <c r="AB87" i="10"/>
  <c r="U82" i="10"/>
  <c r="AA82" i="10" s="1"/>
  <c r="AB82" i="10" s="1"/>
  <c r="S82" i="10"/>
  <c r="U39" i="10"/>
  <c r="AA39" i="10" s="1"/>
  <c r="AB39" i="10" s="1"/>
  <c r="S39" i="10"/>
  <c r="U19" i="10"/>
  <c r="AA19" i="10" s="1"/>
  <c r="AB19" i="10" s="1"/>
  <c r="S19" i="10"/>
  <c r="S283" i="10"/>
  <c r="U283" i="10"/>
  <c r="AA283" i="10" s="1"/>
  <c r="AB283" i="10" s="1"/>
  <c r="S243" i="10"/>
  <c r="U243" i="10"/>
  <c r="AA243" i="10" s="1"/>
  <c r="AB243" i="10" s="1"/>
  <c r="U272" i="10"/>
  <c r="S272" i="10"/>
  <c r="S275" i="10" s="1"/>
  <c r="AB269" i="10"/>
  <c r="AB261" i="10"/>
  <c r="S244" i="10"/>
  <c r="U244" i="10"/>
  <c r="AA244" i="10" s="1"/>
  <c r="AB244" i="10" s="1"/>
  <c r="U234" i="10"/>
  <c r="AA234" i="10" s="1"/>
  <c r="AB234" i="10" s="1"/>
  <c r="S234" i="10"/>
  <c r="Q247" i="10"/>
  <c r="E24" i="9" s="1"/>
  <c r="U231" i="10"/>
  <c r="S231" i="10"/>
  <c r="U214" i="10"/>
  <c r="AA214" i="10" s="1"/>
  <c r="AB214" i="10" s="1"/>
  <c r="S214" i="10"/>
  <c r="Q216" i="10"/>
  <c r="E20" i="9" s="1"/>
  <c r="U195" i="10"/>
  <c r="S195" i="10"/>
  <c r="U179" i="10"/>
  <c r="AA179" i="10" s="1"/>
  <c r="AB179" i="10" s="1"/>
  <c r="S179" i="10"/>
  <c r="U164" i="10"/>
  <c r="S164" i="10"/>
  <c r="W164" i="10" s="1"/>
  <c r="X164" i="10" s="1"/>
  <c r="Z164" i="10" s="1"/>
  <c r="S207" i="10"/>
  <c r="W207" i="10" s="1"/>
  <c r="X207" i="10" s="1"/>
  <c r="Z207" i="10" s="1"/>
  <c r="U207" i="10"/>
  <c r="AA195" i="10"/>
  <c r="AB195" i="10" s="1"/>
  <c r="AA190" i="10"/>
  <c r="AB190" i="10" s="1"/>
  <c r="U174" i="10"/>
  <c r="AA174" i="10" s="1"/>
  <c r="AB174" i="10" s="1"/>
  <c r="S174" i="10"/>
  <c r="U180" i="10"/>
  <c r="AA180" i="10" s="1"/>
  <c r="AB180" i="10" s="1"/>
  <c r="S180" i="10"/>
  <c r="U160" i="10"/>
  <c r="S160" i="10"/>
  <c r="W160" i="10" s="1"/>
  <c r="X160" i="10" s="1"/>
  <c r="Z160" i="10" s="1"/>
  <c r="S163" i="10"/>
  <c r="W163" i="10" s="1"/>
  <c r="X163" i="10" s="1"/>
  <c r="Z163" i="10" s="1"/>
  <c r="U163" i="10"/>
  <c r="U188" i="10"/>
  <c r="AA188" i="10" s="1"/>
  <c r="AB188" i="10" s="1"/>
  <c r="S188" i="10"/>
  <c r="AA110" i="10"/>
  <c r="AB110" i="10" s="1"/>
  <c r="AA105" i="10"/>
  <c r="AB105" i="10" s="1"/>
  <c r="U132" i="10"/>
  <c r="AA132" i="10" s="1"/>
  <c r="AB132" i="10" s="1"/>
  <c r="S132" i="10"/>
  <c r="U103" i="10"/>
  <c r="AA103" i="10" s="1"/>
  <c r="AB103" i="10" s="1"/>
  <c r="S103" i="10"/>
  <c r="U97" i="10"/>
  <c r="AA97" i="10" s="1"/>
  <c r="AB97" i="10" s="1"/>
  <c r="S97" i="10"/>
  <c r="U129" i="10"/>
  <c r="AA129" i="10" s="1"/>
  <c r="AB129" i="10" s="1"/>
  <c r="S129" i="10"/>
  <c r="AB121" i="10"/>
  <c r="AB113" i="10"/>
  <c r="U96" i="10"/>
  <c r="AA96" i="10" s="1"/>
  <c r="AB96" i="10" s="1"/>
  <c r="S96" i="10"/>
  <c r="U93" i="10"/>
  <c r="AA93" i="10" s="1"/>
  <c r="AB93" i="10" s="1"/>
  <c r="S93" i="10"/>
  <c r="AA83" i="10"/>
  <c r="AB83" i="10" s="1"/>
  <c r="U36" i="10"/>
  <c r="Q47" i="10"/>
  <c r="S36" i="10"/>
  <c r="U21" i="10"/>
  <c r="AA21" i="10" s="1"/>
  <c r="AB21" i="10" s="1"/>
  <c r="S21" i="10"/>
  <c r="U84" i="10"/>
  <c r="AA84" i="10" s="1"/>
  <c r="AB84" i="10" s="1"/>
  <c r="S84" i="10"/>
  <c r="AB77" i="10"/>
  <c r="AA13" i="10"/>
  <c r="AB13" i="10" s="1"/>
  <c r="AB86" i="10"/>
  <c r="AB78" i="10"/>
  <c r="U42" i="10"/>
  <c r="AA42" i="10" s="1"/>
  <c r="AB42" i="10" s="1"/>
  <c r="S42" i="10"/>
  <c r="U22" i="10"/>
  <c r="AA22" i="10" s="1"/>
  <c r="AB22" i="10" s="1"/>
  <c r="S22" i="10"/>
  <c r="E13" i="9"/>
  <c r="AA296" i="10"/>
  <c r="AB296" i="10" s="1"/>
  <c r="AA282" i="10"/>
  <c r="AB282" i="10" s="1"/>
  <c r="S281" i="10"/>
  <c r="W281" i="10" s="1"/>
  <c r="X281" i="10" s="1"/>
  <c r="Z281" i="10" s="1"/>
  <c r="U281" i="10"/>
  <c r="S284" i="10"/>
  <c r="U284" i="10"/>
  <c r="AA284" i="10" s="1"/>
  <c r="AB284" i="10" s="1"/>
  <c r="B34" i="9"/>
  <c r="C28" i="9"/>
  <c r="O303" i="10"/>
  <c r="W292" i="10"/>
  <c r="S286" i="10"/>
  <c r="U286" i="10"/>
  <c r="AA286" i="10" s="1"/>
  <c r="AB286" i="10" s="1"/>
  <c r="Z253" i="10"/>
  <c r="F28" i="9" s="1"/>
  <c r="S242" i="10"/>
  <c r="U242" i="10"/>
  <c r="AA242" i="10" s="1"/>
  <c r="AB242" i="10" s="1"/>
  <c r="S241" i="10"/>
  <c r="U241" i="10"/>
  <c r="AA241" i="10" s="1"/>
  <c r="AB241" i="10" s="1"/>
  <c r="AB271" i="10"/>
  <c r="AB263" i="10"/>
  <c r="U210" i="10"/>
  <c r="AA210" i="10" s="1"/>
  <c r="AB210" i="10" s="1"/>
  <c r="S210" i="10"/>
  <c r="AB189" i="10"/>
  <c r="U183" i="10"/>
  <c r="AA183" i="10" s="1"/>
  <c r="AB183" i="10" s="1"/>
  <c r="S183" i="10"/>
  <c r="U170" i="10"/>
  <c r="AA170" i="10" s="1"/>
  <c r="AB170" i="10" s="1"/>
  <c r="S170" i="10"/>
  <c r="U169" i="10"/>
  <c r="AA169" i="10" s="1"/>
  <c r="AB169" i="10" s="1"/>
  <c r="S169" i="10"/>
  <c r="AA178" i="10"/>
  <c r="AB178" i="10" s="1"/>
  <c r="U172" i="10"/>
  <c r="AA172" i="10" s="1"/>
  <c r="AB172" i="10" s="1"/>
  <c r="S172" i="10"/>
  <c r="AB146" i="10"/>
  <c r="S143" i="10"/>
  <c r="U143" i="10"/>
  <c r="AA143" i="10" s="1"/>
  <c r="AB143" i="10" s="1"/>
  <c r="AA138" i="10"/>
  <c r="AB138" i="10" s="1"/>
  <c r="AA100" i="10"/>
  <c r="AB100" i="10" s="1"/>
  <c r="AB102" i="10"/>
  <c r="U140" i="10"/>
  <c r="AA140" i="10" s="1"/>
  <c r="AB140" i="10" s="1"/>
  <c r="S140" i="10"/>
  <c r="AB115" i="10"/>
  <c r="U130" i="10"/>
  <c r="AA130" i="10" s="1"/>
  <c r="AB130" i="10" s="1"/>
  <c r="S130" i="10"/>
  <c r="AB125" i="10"/>
  <c r="U135" i="10"/>
  <c r="AA135" i="10" s="1"/>
  <c r="AB135" i="10" s="1"/>
  <c r="S135" i="10"/>
  <c r="U127" i="10"/>
  <c r="AA127" i="10" s="1"/>
  <c r="AB127" i="10" s="1"/>
  <c r="S127" i="10"/>
  <c r="AB116" i="10"/>
  <c r="U91" i="10"/>
  <c r="AA91" i="10" s="1"/>
  <c r="AB91" i="10" s="1"/>
  <c r="S91" i="10"/>
  <c r="U89" i="10"/>
  <c r="AA89" i="10" s="1"/>
  <c r="AB89" i="10" s="1"/>
  <c r="S89" i="10"/>
  <c r="AB81" i="10"/>
  <c r="U41" i="10"/>
  <c r="AA41" i="10" s="1"/>
  <c r="AB41" i="10" s="1"/>
  <c r="S41" i="10"/>
  <c r="S26" i="10"/>
  <c r="U26" i="10"/>
  <c r="AA26" i="10" s="1"/>
  <c r="AB26" i="10" s="1"/>
  <c r="AB85" i="10"/>
  <c r="U75" i="10"/>
  <c r="AA75" i="10" s="1"/>
  <c r="AB75" i="10" s="1"/>
  <c r="S75" i="10"/>
  <c r="U38" i="10"/>
  <c r="AA38" i="10" s="1"/>
  <c r="AB38" i="10" s="1"/>
  <c r="S38" i="10"/>
  <c r="S25" i="10"/>
  <c r="U25" i="10"/>
  <c r="AA25" i="10" s="1"/>
  <c r="AB25" i="10" s="1"/>
  <c r="U18" i="10"/>
  <c r="AA18" i="10" s="1"/>
  <c r="AB18" i="10" s="1"/>
  <c r="S18" i="10"/>
  <c r="U76" i="10"/>
  <c r="AA76" i="10" s="1"/>
  <c r="AB76" i="10" s="1"/>
  <c r="S76" i="10"/>
  <c r="Q201" i="10"/>
  <c r="E18" i="9" s="1"/>
  <c r="S20" i="10"/>
  <c r="U20" i="10"/>
  <c r="O32" i="10"/>
  <c r="E85" i="8"/>
  <c r="E87" i="8" s="1"/>
  <c r="D85" i="8"/>
  <c r="F29" i="8"/>
  <c r="G29" i="8" s="1"/>
  <c r="G85" i="8" s="1"/>
  <c r="G87" i="8" s="1"/>
  <c r="B45" i="3" s="1"/>
  <c r="K30" i="9" l="1"/>
  <c r="U275" i="10"/>
  <c r="O61" i="10"/>
  <c r="L30" i="9"/>
  <c r="L165" i="1" s="1"/>
  <c r="M30" i="9"/>
  <c r="M165" i="1" s="1"/>
  <c r="E9" i="9"/>
  <c r="K9" i="9" s="1"/>
  <c r="P306" i="10"/>
  <c r="O306" i="10"/>
  <c r="D34" i="9"/>
  <c r="S27" i="10"/>
  <c r="S32" i="10" s="1"/>
  <c r="D9" i="9"/>
  <c r="C9" i="9" s="1"/>
  <c r="K22" i="9"/>
  <c r="K24" i="9"/>
  <c r="D118" i="3"/>
  <c r="Q22" i="9"/>
  <c r="M306" i="10"/>
  <c r="M28" i="9"/>
  <c r="D116" i="3"/>
  <c r="L28" i="9"/>
  <c r="K28" i="9"/>
  <c r="Q32" i="10"/>
  <c r="E7" i="9" s="1"/>
  <c r="K7" i="9" s="1"/>
  <c r="O13" i="9"/>
  <c r="L13" i="9"/>
  <c r="L15" i="9" s="1"/>
  <c r="C34" i="9"/>
  <c r="E11" i="9"/>
  <c r="K11" i="9" s="1"/>
  <c r="D7" i="9"/>
  <c r="B15" i="9"/>
  <c r="B44" i="9" s="1"/>
  <c r="K20" i="9"/>
  <c r="U216" i="10"/>
  <c r="S201" i="10"/>
  <c r="U289" i="10"/>
  <c r="E26" i="9"/>
  <c r="K18" i="9"/>
  <c r="C7" i="9"/>
  <c r="AB251" i="10"/>
  <c r="AB253" i="10" s="1"/>
  <c r="H28" i="9" s="1"/>
  <c r="U47" i="10"/>
  <c r="AA207" i="10"/>
  <c r="AB207" i="10" s="1"/>
  <c r="U247" i="10"/>
  <c r="AA231" i="10"/>
  <c r="AA272" i="10"/>
  <c r="AB272" i="10" s="1"/>
  <c r="AA295" i="10"/>
  <c r="AB295" i="10" s="1"/>
  <c r="X201" i="10"/>
  <c r="X216" i="10"/>
  <c r="Z205" i="10"/>
  <c r="E34" i="9"/>
  <c r="U201" i="10"/>
  <c r="S289" i="10"/>
  <c r="AA160" i="10"/>
  <c r="AB160" i="10" s="1"/>
  <c r="AA164" i="10"/>
  <c r="AB164" i="10" s="1"/>
  <c r="W201" i="10"/>
  <c r="W216" i="10"/>
  <c r="X289" i="10"/>
  <c r="Z278" i="10"/>
  <c r="X275" i="10"/>
  <c r="Z257" i="10"/>
  <c r="X292" i="10"/>
  <c r="W303" i="10"/>
  <c r="S47" i="10"/>
  <c r="S61" i="10" s="1"/>
  <c r="X47" i="10"/>
  <c r="Z36" i="10"/>
  <c r="AA159" i="10"/>
  <c r="AB159" i="10" s="1"/>
  <c r="S216" i="10"/>
  <c r="W289" i="10"/>
  <c r="AA281" i="10"/>
  <c r="AB281" i="10" s="1"/>
  <c r="U32" i="10"/>
  <c r="W20" i="10"/>
  <c r="W32" i="10" s="1"/>
  <c r="W61" i="10" s="1"/>
  <c r="AA280" i="10"/>
  <c r="AB280" i="10" s="1"/>
  <c r="D36" i="9"/>
  <c r="D42" i="9" s="1"/>
  <c r="AA163" i="10"/>
  <c r="AB163" i="10" s="1"/>
  <c r="S247" i="10"/>
  <c r="Q303" i="10"/>
  <c r="U292" i="10"/>
  <c r="U303" i="10" s="1"/>
  <c r="S292" i="10"/>
  <c r="S303" i="10" s="1"/>
  <c r="Z201" i="10"/>
  <c r="F18" i="9" s="1"/>
  <c r="AA162" i="10"/>
  <c r="AB162" i="10" s="1"/>
  <c r="D12" i="1"/>
  <c r="W28" i="9" l="1"/>
  <c r="M22" i="9"/>
  <c r="O22" i="9" s="1"/>
  <c r="W22" i="9"/>
  <c r="X22" i="9" s="1"/>
  <c r="X26" i="9" s="1"/>
  <c r="S22" i="9"/>
  <c r="U22" i="9" s="1"/>
  <c r="AB22" i="9"/>
  <c r="AC22" i="9" s="1"/>
  <c r="W20" i="9"/>
  <c r="Z20" i="9"/>
  <c r="M9" i="9"/>
  <c r="O9" i="9" s="1"/>
  <c r="W9" i="9"/>
  <c r="Z9" i="9"/>
  <c r="W18" i="9"/>
  <c r="W26" i="9" s="1"/>
  <c r="R163" i="1" s="1"/>
  <c r="M11" i="9"/>
  <c r="O11" i="9" s="1"/>
  <c r="X11" i="9"/>
  <c r="X15" i="9" s="1"/>
  <c r="S162" i="1" s="1"/>
  <c r="Z11" i="9"/>
  <c r="W7" i="9"/>
  <c r="W15" i="9" s="1"/>
  <c r="R162" i="1" s="1"/>
  <c r="Z7" i="9"/>
  <c r="M24" i="9"/>
  <c r="O24" i="9" s="1"/>
  <c r="Z24" i="9"/>
  <c r="W24" i="9"/>
  <c r="K165" i="1"/>
  <c r="X30" i="9"/>
  <c r="S165" i="1" s="1"/>
  <c r="W30" i="9"/>
  <c r="R165" i="1" s="1"/>
  <c r="O30" i="9"/>
  <c r="U61" i="10"/>
  <c r="Q61" i="10"/>
  <c r="Q306" i="10" s="1"/>
  <c r="W306" i="10"/>
  <c r="S28" i="9"/>
  <c r="R28" i="9"/>
  <c r="Q28" i="9"/>
  <c r="D115" i="3"/>
  <c r="L164" i="1"/>
  <c r="O28" i="9"/>
  <c r="M164" i="1"/>
  <c r="M18" i="9"/>
  <c r="O18" i="9" s="1"/>
  <c r="K26" i="9"/>
  <c r="K163" i="1" s="1"/>
  <c r="K164" i="1"/>
  <c r="L162" i="1"/>
  <c r="E15" i="9"/>
  <c r="D114" i="3" s="1"/>
  <c r="S306" i="10"/>
  <c r="U306" i="10"/>
  <c r="C15" i="9"/>
  <c r="C44" i="9" s="1"/>
  <c r="D15" i="9"/>
  <c r="D44" i="9" s="1"/>
  <c r="K15" i="9"/>
  <c r="Z15" i="9" s="1"/>
  <c r="M7" i="9"/>
  <c r="M20" i="9"/>
  <c r="O20" i="9" s="1"/>
  <c r="AB201" i="10"/>
  <c r="H18" i="9" s="1"/>
  <c r="X303" i="10"/>
  <c r="Z292" i="10"/>
  <c r="Z275" i="10"/>
  <c r="F30" i="9" s="1"/>
  <c r="AA257" i="10"/>
  <c r="AA275" i="10" s="1"/>
  <c r="G30" i="9" s="1"/>
  <c r="Z216" i="10"/>
  <c r="F20" i="9" s="1"/>
  <c r="F26" i="9" s="1"/>
  <c r="AA205" i="10"/>
  <c r="AA216" i="10" s="1"/>
  <c r="G20" i="9" s="1"/>
  <c r="Z47" i="10"/>
  <c r="AA36" i="10"/>
  <c r="AA47" i="10" s="1"/>
  <c r="E36" i="9"/>
  <c r="F13" i="9"/>
  <c r="X20" i="10"/>
  <c r="X32" i="10" s="1"/>
  <c r="X61" i="10" s="1"/>
  <c r="Z289" i="10"/>
  <c r="F32" i="9" s="1"/>
  <c r="AA278" i="10"/>
  <c r="AA289" i="10" s="1"/>
  <c r="G32" i="9" s="1"/>
  <c r="AA247" i="10"/>
  <c r="G24" i="9" s="1"/>
  <c r="AB231" i="10"/>
  <c r="AB247" i="10" s="1"/>
  <c r="H24" i="9" s="1"/>
  <c r="AA201" i="10"/>
  <c r="G18" i="9" s="1"/>
  <c r="Y60" i="3"/>
  <c r="Y59" i="3"/>
  <c r="Y58" i="3"/>
  <c r="Y57" i="3"/>
  <c r="Y56" i="3"/>
  <c r="Y55" i="3"/>
  <c r="Y53" i="3"/>
  <c r="Y52" i="3"/>
  <c r="Y43" i="3"/>
  <c r="Y42" i="3"/>
  <c r="Y41" i="3"/>
  <c r="Y40" i="3"/>
  <c r="Y38" i="3"/>
  <c r="Y36" i="3"/>
  <c r="Y35" i="3"/>
  <c r="Y33" i="3"/>
  <c r="Y32" i="3"/>
  <c r="Y31" i="3"/>
  <c r="Y30" i="3"/>
  <c r="Y29" i="3"/>
  <c r="Y27" i="3"/>
  <c r="Y26" i="3"/>
  <c r="Y25" i="3"/>
  <c r="Y24" i="3"/>
  <c r="Y23" i="3"/>
  <c r="Y22" i="3"/>
  <c r="Y21" i="3"/>
  <c r="Y20" i="3"/>
  <c r="Y19" i="3"/>
  <c r="Y13" i="3"/>
  <c r="Y15" i="3"/>
  <c r="B25" i="3"/>
  <c r="B26" i="3" s="1"/>
  <c r="B27" i="3" s="1"/>
  <c r="Z26" i="9" l="1"/>
  <c r="S163" i="1"/>
  <c r="AC26" i="9"/>
  <c r="AE22" i="9"/>
  <c r="AC28" i="9"/>
  <c r="AB28" i="9"/>
  <c r="AE28" i="9" s="1"/>
  <c r="Z30" i="9"/>
  <c r="U163" i="1"/>
  <c r="U165" i="1"/>
  <c r="Z22" i="9"/>
  <c r="Z18" i="9"/>
  <c r="X28" i="9"/>
  <c r="R164" i="1"/>
  <c r="O28" i="3"/>
  <c r="O61" i="3" s="1"/>
  <c r="D75" i="1"/>
  <c r="M26" i="9"/>
  <c r="M163" i="1" s="1"/>
  <c r="G9" i="9"/>
  <c r="F9" i="9"/>
  <c r="E42" i="9"/>
  <c r="E44" i="9" s="1"/>
  <c r="M36" i="9"/>
  <c r="D119" i="3"/>
  <c r="L36" i="9"/>
  <c r="K36" i="9"/>
  <c r="Q18" i="9"/>
  <c r="Q24" i="9"/>
  <c r="X306" i="10"/>
  <c r="U28" i="9"/>
  <c r="K162" i="1"/>
  <c r="U162" i="1" s="1"/>
  <c r="F11" i="9"/>
  <c r="G11" i="9"/>
  <c r="AB36" i="10"/>
  <c r="AB47" i="10" s="1"/>
  <c r="AB257" i="10"/>
  <c r="AB275" i="10" s="1"/>
  <c r="H30" i="9" s="1"/>
  <c r="F34" i="9"/>
  <c r="M15" i="9"/>
  <c r="O7" i="9"/>
  <c r="H13" i="9"/>
  <c r="AB278" i="10"/>
  <c r="AB289" i="10" s="1"/>
  <c r="H32" i="9" s="1"/>
  <c r="Z303" i="10"/>
  <c r="AA292" i="10"/>
  <c r="AA303" i="10" s="1"/>
  <c r="G13" i="9"/>
  <c r="Z20" i="10"/>
  <c r="Z32" i="10" s="1"/>
  <c r="F7" i="9" s="1"/>
  <c r="G26" i="9"/>
  <c r="AB205" i="10"/>
  <c r="AB216" i="10" s="1"/>
  <c r="H20" i="9" s="1"/>
  <c r="G34" i="9"/>
  <c r="D28" i="6"/>
  <c r="D30" i="6" s="1"/>
  <c r="L188" i="1"/>
  <c r="D48" i="6"/>
  <c r="E48" i="6"/>
  <c r="C48" i="6"/>
  <c r="B48" i="6"/>
  <c r="AB18" i="9" l="1"/>
  <c r="S24" i="9"/>
  <c r="U24" i="9" s="1"/>
  <c r="AE24" i="9"/>
  <c r="AB24" i="9"/>
  <c r="S164" i="1"/>
  <c r="U164" i="1" s="1"/>
  <c r="Z28" i="9"/>
  <c r="W36" i="9"/>
  <c r="X36" i="9" s="1"/>
  <c r="Y28" i="3"/>
  <c r="O26" i="9"/>
  <c r="D120" i="3"/>
  <c r="Z61" i="10"/>
  <c r="Z306" i="10" s="1"/>
  <c r="H9" i="9"/>
  <c r="Q9" i="9" s="1"/>
  <c r="H26" i="9"/>
  <c r="Q20" i="9"/>
  <c r="L167" i="1"/>
  <c r="L42" i="9"/>
  <c r="M42" i="9"/>
  <c r="M167" i="1"/>
  <c r="R13" i="9"/>
  <c r="R15" i="9" s="1"/>
  <c r="R30" i="9"/>
  <c r="Q30" i="9"/>
  <c r="S30" i="9"/>
  <c r="S18" i="9"/>
  <c r="O36" i="9"/>
  <c r="K167" i="1"/>
  <c r="K42" i="9"/>
  <c r="M162" i="1"/>
  <c r="O15" i="9"/>
  <c r="H34" i="9"/>
  <c r="H11" i="9"/>
  <c r="F48" i="6"/>
  <c r="D49" i="6" s="1"/>
  <c r="AB292" i="10"/>
  <c r="AB303" i="10" s="1"/>
  <c r="G36" i="9"/>
  <c r="G42" i="9" s="1"/>
  <c r="F36" i="9"/>
  <c r="F42" i="9" s="1"/>
  <c r="AA20" i="10"/>
  <c r="E28" i="6"/>
  <c r="E49" i="6"/>
  <c r="S167" i="1" l="1"/>
  <c r="X42" i="9"/>
  <c r="U167" i="1"/>
  <c r="AB30" i="9"/>
  <c r="AC30" i="9" s="1"/>
  <c r="S9" i="9"/>
  <c r="U9" i="9" s="1"/>
  <c r="AB9" i="9"/>
  <c r="AE9" i="9" s="1"/>
  <c r="R167" i="1"/>
  <c r="W42" i="9"/>
  <c r="AB26" i="9"/>
  <c r="S20" i="9"/>
  <c r="S26" i="9" s="1"/>
  <c r="AB20" i="9"/>
  <c r="AE20" i="9"/>
  <c r="Z36" i="9"/>
  <c r="AE18" i="9"/>
  <c r="Q26" i="9"/>
  <c r="U30" i="9"/>
  <c r="U20" i="9"/>
  <c r="Q11" i="9"/>
  <c r="U18" i="9"/>
  <c r="U13" i="9"/>
  <c r="AA32" i="10"/>
  <c r="AA61" i="10" s="1"/>
  <c r="C49" i="6"/>
  <c r="F15" i="9"/>
  <c r="F44" i="9" s="1"/>
  <c r="AB20" i="10"/>
  <c r="H36" i="9"/>
  <c r="J34" i="6"/>
  <c r="F11" i="6"/>
  <c r="O25" i="6"/>
  <c r="O26" i="6"/>
  <c r="O27" i="6"/>
  <c r="O28" i="6"/>
  <c r="O24" i="6"/>
  <c r="F9" i="6" s="1"/>
  <c r="C27" i="6"/>
  <c r="E27" i="6" s="1"/>
  <c r="E29" i="6"/>
  <c r="E12" i="6"/>
  <c r="E13" i="6"/>
  <c r="G13" i="6" s="1"/>
  <c r="E15" i="6"/>
  <c r="F14" i="6"/>
  <c r="F15" i="6"/>
  <c r="G15" i="6" s="1"/>
  <c r="C14" i="6"/>
  <c r="C26" i="6" s="1"/>
  <c r="B14" i="6"/>
  <c r="E14" i="6" s="1"/>
  <c r="C10" i="6"/>
  <c r="E10" i="6" s="1"/>
  <c r="G10" i="6" s="1"/>
  <c r="D16" i="6"/>
  <c r="P17" i="1"/>
  <c r="P18" i="1"/>
  <c r="P19" i="1"/>
  <c r="P26" i="1"/>
  <c r="P29" i="1"/>
  <c r="P35" i="1"/>
  <c r="P38" i="1"/>
  <c r="P41" i="1"/>
  <c r="P49" i="1"/>
  <c r="P53" i="1"/>
  <c r="P60" i="1"/>
  <c r="P65" i="1"/>
  <c r="P72" i="1"/>
  <c r="P80" i="1"/>
  <c r="P84" i="1"/>
  <c r="P89" i="1"/>
  <c r="P93" i="1"/>
  <c r="P96" i="1"/>
  <c r="P99" i="1"/>
  <c r="P107" i="1"/>
  <c r="P110" i="1"/>
  <c r="P120" i="1"/>
  <c r="P123" i="1"/>
  <c r="P129" i="1"/>
  <c r="P135" i="1"/>
  <c r="P138" i="1"/>
  <c r="P161" i="1"/>
  <c r="P170" i="1"/>
  <c r="P173" i="1"/>
  <c r="P177" i="1"/>
  <c r="P180" i="1"/>
  <c r="P186" i="1"/>
  <c r="P189" i="1"/>
  <c r="P192" i="1"/>
  <c r="P194" i="1"/>
  <c r="E16" i="3"/>
  <c r="E14" i="3"/>
  <c r="E11" i="3"/>
  <c r="E9" i="3"/>
  <c r="C17" i="3"/>
  <c r="C16" i="3"/>
  <c r="C14" i="3"/>
  <c r="D13" i="3"/>
  <c r="D18" i="3" s="1"/>
  <c r="E12" i="3"/>
  <c r="F12" i="3" s="1"/>
  <c r="H12" i="3" s="1"/>
  <c r="C11" i="3"/>
  <c r="C10" i="3"/>
  <c r="C9" i="3"/>
  <c r="I86" i="4"/>
  <c r="F164" i="5"/>
  <c r="H162" i="5"/>
  <c r="F162" i="5"/>
  <c r="E162" i="5"/>
  <c r="H160" i="5"/>
  <c r="H159" i="5"/>
  <c r="H158" i="5"/>
  <c r="H155" i="5"/>
  <c r="F155" i="5"/>
  <c r="E155" i="5"/>
  <c r="H153" i="5"/>
  <c r="H150" i="5"/>
  <c r="F150" i="5"/>
  <c r="E150" i="5"/>
  <c r="H148" i="5"/>
  <c r="J148" i="5"/>
  <c r="K148" i="5" s="1"/>
  <c r="H147" i="5"/>
  <c r="M147" i="5"/>
  <c r="H146" i="5"/>
  <c r="M146" i="5"/>
  <c r="H145" i="5"/>
  <c r="M145" i="5"/>
  <c r="H144" i="5"/>
  <c r="M144" i="5"/>
  <c r="H143" i="5"/>
  <c r="M143" i="5"/>
  <c r="M142" i="5"/>
  <c r="K142" i="5"/>
  <c r="J142" i="5"/>
  <c r="H142" i="5"/>
  <c r="H141" i="5"/>
  <c r="M141" i="5"/>
  <c r="H140" i="5"/>
  <c r="M140" i="5"/>
  <c r="H139" i="5"/>
  <c r="M139" i="5"/>
  <c r="H134" i="5"/>
  <c r="F134" i="5"/>
  <c r="E134" i="5"/>
  <c r="K132" i="5"/>
  <c r="K134" i="5" s="1"/>
  <c r="J132" i="5"/>
  <c r="H132" i="5"/>
  <c r="H129" i="5"/>
  <c r="F129" i="5"/>
  <c r="E129" i="5"/>
  <c r="H127" i="5"/>
  <c r="M127" i="5"/>
  <c r="L126" i="5"/>
  <c r="K126" i="5"/>
  <c r="J126" i="5"/>
  <c r="H126" i="5"/>
  <c r="F123" i="5"/>
  <c r="E123" i="5"/>
  <c r="H121" i="5"/>
  <c r="J121" i="5"/>
  <c r="K121" i="5" s="1"/>
  <c r="H120" i="5"/>
  <c r="J120" i="5"/>
  <c r="K120" i="5" s="1"/>
  <c r="H119" i="5"/>
  <c r="J119" i="5"/>
  <c r="K119" i="5" s="1"/>
  <c r="H118" i="5"/>
  <c r="M118" i="5"/>
  <c r="H117" i="5"/>
  <c r="J117" i="5"/>
  <c r="K117" i="5" s="1"/>
  <c r="J116" i="5"/>
  <c r="K116" i="5" s="1"/>
  <c r="H116" i="5"/>
  <c r="M116" i="5" s="1"/>
  <c r="M115" i="5"/>
  <c r="K115" i="5"/>
  <c r="J115" i="5"/>
  <c r="H115" i="5"/>
  <c r="J114" i="5"/>
  <c r="K114" i="5" s="1"/>
  <c r="H114" i="5"/>
  <c r="H113" i="5"/>
  <c r="J113" i="5"/>
  <c r="K113" i="5" s="1"/>
  <c r="H112" i="5"/>
  <c r="J112" i="5"/>
  <c r="K112" i="5" s="1"/>
  <c r="H111" i="5"/>
  <c r="J111" i="5"/>
  <c r="K111" i="5" s="1"/>
  <c r="H110" i="5"/>
  <c r="J110" i="5"/>
  <c r="K110" i="5" s="1"/>
  <c r="H109" i="5"/>
  <c r="H108" i="5"/>
  <c r="M108" i="5"/>
  <c r="H107" i="5"/>
  <c r="M107" i="5"/>
  <c r="H106" i="5"/>
  <c r="J106" i="5"/>
  <c r="K106" i="5" s="1"/>
  <c r="H105" i="5"/>
  <c r="H104" i="5"/>
  <c r="M104" i="5"/>
  <c r="H103" i="5"/>
  <c r="M103" i="5"/>
  <c r="H102" i="5"/>
  <c r="J102" i="5"/>
  <c r="K102" i="5" s="1"/>
  <c r="H101" i="5"/>
  <c r="H100" i="5"/>
  <c r="J100" i="5"/>
  <c r="K100" i="5" s="1"/>
  <c r="L100" i="5" s="1"/>
  <c r="H99" i="5"/>
  <c r="H98" i="5"/>
  <c r="M98" i="5"/>
  <c r="H97" i="5"/>
  <c r="H96" i="5"/>
  <c r="M96" i="5"/>
  <c r="H95" i="5"/>
  <c r="H94" i="5"/>
  <c r="M94" i="5"/>
  <c r="H93" i="5"/>
  <c r="J93" i="5"/>
  <c r="K93" i="5" s="1"/>
  <c r="L93" i="5" s="1"/>
  <c r="H92" i="5"/>
  <c r="M92" i="5"/>
  <c r="H91" i="5"/>
  <c r="J91" i="5"/>
  <c r="K91" i="5" s="1"/>
  <c r="L91" i="5" s="1"/>
  <c r="H90" i="5"/>
  <c r="M90" i="5"/>
  <c r="H89" i="5"/>
  <c r="H88" i="5"/>
  <c r="M88" i="5"/>
  <c r="H87" i="5"/>
  <c r="H86" i="5"/>
  <c r="J86" i="5"/>
  <c r="K86" i="5" s="1"/>
  <c r="H85" i="5"/>
  <c r="J85" i="5"/>
  <c r="K85" i="5" s="1"/>
  <c r="L85" i="5" s="1"/>
  <c r="H84" i="5"/>
  <c r="H83" i="5"/>
  <c r="J83" i="5"/>
  <c r="K83" i="5" s="1"/>
  <c r="L83" i="5" s="1"/>
  <c r="H82" i="5"/>
  <c r="H81" i="5"/>
  <c r="J81" i="5"/>
  <c r="K81" i="5" s="1"/>
  <c r="L81" i="5" s="1"/>
  <c r="H80" i="5"/>
  <c r="H79" i="5"/>
  <c r="J79" i="5"/>
  <c r="K79" i="5" s="1"/>
  <c r="L79" i="5" s="1"/>
  <c r="H78" i="5"/>
  <c r="H77" i="5"/>
  <c r="J77" i="5"/>
  <c r="K77" i="5" s="1"/>
  <c r="H76" i="5"/>
  <c r="H75" i="5"/>
  <c r="H74" i="5"/>
  <c r="H73" i="5"/>
  <c r="M73" i="5"/>
  <c r="H72" i="5"/>
  <c r="H71" i="5"/>
  <c r="J71" i="5"/>
  <c r="K71" i="5" s="1"/>
  <c r="L71" i="5" s="1"/>
  <c r="H70" i="5"/>
  <c r="H69" i="5"/>
  <c r="J69" i="5"/>
  <c r="K69" i="5" s="1"/>
  <c r="L69" i="5" s="1"/>
  <c r="H68" i="5"/>
  <c r="M68" i="5"/>
  <c r="H67" i="5"/>
  <c r="J67" i="5"/>
  <c r="K67" i="5" s="1"/>
  <c r="L67" i="5" s="1"/>
  <c r="H66" i="5"/>
  <c r="M66" i="5"/>
  <c r="H65" i="5"/>
  <c r="J65" i="5"/>
  <c r="K65" i="5" s="1"/>
  <c r="L65" i="5" s="1"/>
  <c r="H64" i="5"/>
  <c r="M64" i="5"/>
  <c r="H63" i="5"/>
  <c r="J63" i="5"/>
  <c r="K63" i="5" s="1"/>
  <c r="L63" i="5" s="1"/>
  <c r="H62" i="5"/>
  <c r="M62" i="5"/>
  <c r="H61" i="5"/>
  <c r="J61" i="5"/>
  <c r="K61" i="5" s="1"/>
  <c r="L61" i="5" s="1"/>
  <c r="H60" i="5"/>
  <c r="M60" i="5"/>
  <c r="H59" i="5"/>
  <c r="J59" i="5"/>
  <c r="K59" i="5" s="1"/>
  <c r="L59" i="5" s="1"/>
  <c r="H58" i="5"/>
  <c r="M58" i="5"/>
  <c r="H57" i="5"/>
  <c r="J57" i="5"/>
  <c r="K57" i="5" s="1"/>
  <c r="L57" i="5" s="1"/>
  <c r="H56" i="5"/>
  <c r="M56" i="5"/>
  <c r="H55" i="5"/>
  <c r="J55" i="5"/>
  <c r="K55" i="5" s="1"/>
  <c r="L55" i="5" s="1"/>
  <c r="H54" i="5"/>
  <c r="H53" i="5"/>
  <c r="J53" i="5"/>
  <c r="K53" i="5" s="1"/>
  <c r="L53" i="5" s="1"/>
  <c r="H52" i="5"/>
  <c r="H51" i="5"/>
  <c r="J51" i="5"/>
  <c r="K51" i="5" s="1"/>
  <c r="L51" i="5" s="1"/>
  <c r="H50" i="5"/>
  <c r="H49" i="5"/>
  <c r="J49" i="5"/>
  <c r="K49" i="5" s="1"/>
  <c r="L49" i="5" s="1"/>
  <c r="H48" i="5"/>
  <c r="F42" i="5"/>
  <c r="E42" i="5"/>
  <c r="H40" i="5"/>
  <c r="F37" i="5"/>
  <c r="E37" i="5"/>
  <c r="E164" i="5" s="1"/>
  <c r="H35" i="5"/>
  <c r="H34" i="5"/>
  <c r="J34" i="5"/>
  <c r="K34" i="5" s="1"/>
  <c r="H33" i="5"/>
  <c r="H32" i="5"/>
  <c r="M32" i="5"/>
  <c r="H31" i="5"/>
  <c r="M30" i="5"/>
  <c r="H30" i="5"/>
  <c r="J30" i="5"/>
  <c r="K30" i="5" s="1"/>
  <c r="H29" i="5"/>
  <c r="H28" i="5"/>
  <c r="H27" i="5"/>
  <c r="H26" i="5"/>
  <c r="M26" i="5"/>
  <c r="H25" i="5"/>
  <c r="H24" i="5"/>
  <c r="J24" i="5"/>
  <c r="K24" i="5" s="1"/>
  <c r="H23" i="5"/>
  <c r="M23" i="5"/>
  <c r="H22" i="5"/>
  <c r="H21" i="5"/>
  <c r="M21" i="5"/>
  <c r="H20" i="5"/>
  <c r="H19" i="5"/>
  <c r="M19" i="5"/>
  <c r="H18" i="5"/>
  <c r="H17" i="5"/>
  <c r="M17" i="5"/>
  <c r="H16" i="5"/>
  <c r="H15" i="5"/>
  <c r="J15" i="5"/>
  <c r="K15" i="5" s="1"/>
  <c r="H14" i="5"/>
  <c r="J14" i="5"/>
  <c r="K14" i="5" s="1"/>
  <c r="J13" i="5"/>
  <c r="K13" i="5" s="1"/>
  <c r="H13" i="5"/>
  <c r="M13" i="5"/>
  <c r="H12" i="5"/>
  <c r="A3" i="5"/>
  <c r="G107" i="4"/>
  <c r="F107" i="4"/>
  <c r="I105" i="4"/>
  <c r="I104" i="4"/>
  <c r="I107" i="4" s="1"/>
  <c r="B17" i="3" s="1"/>
  <c r="K13" i="1" s="1"/>
  <c r="G101" i="4"/>
  <c r="F101" i="4"/>
  <c r="I99" i="4"/>
  <c r="I101" i="4" s="1"/>
  <c r="B16" i="3" s="1"/>
  <c r="K11" i="1" s="1"/>
  <c r="G96" i="4"/>
  <c r="F96" i="4"/>
  <c r="I94" i="4"/>
  <c r="I96" i="4" s="1"/>
  <c r="E15" i="3" s="1"/>
  <c r="F15" i="3" s="1"/>
  <c r="H15" i="3" s="1"/>
  <c r="K94" i="4"/>
  <c r="G91" i="4"/>
  <c r="F91" i="4"/>
  <c r="I89" i="4"/>
  <c r="L89" i="4"/>
  <c r="K89" i="4"/>
  <c r="K88" i="4"/>
  <c r="M88" i="4" s="1"/>
  <c r="I88" i="4"/>
  <c r="L88" i="4"/>
  <c r="I87" i="4"/>
  <c r="L87" i="4"/>
  <c r="K87" i="4"/>
  <c r="K86" i="4"/>
  <c r="L86" i="4"/>
  <c r="K85" i="4"/>
  <c r="I85" i="4"/>
  <c r="L85" i="4"/>
  <c r="L84" i="4"/>
  <c r="K84" i="4"/>
  <c r="I84" i="4"/>
  <c r="I83" i="4"/>
  <c r="L83" i="4"/>
  <c r="K83" i="4"/>
  <c r="I82" i="4"/>
  <c r="I91" i="4" s="1"/>
  <c r="B14" i="3" s="1"/>
  <c r="L82" i="4"/>
  <c r="K82" i="4"/>
  <c r="G77" i="4"/>
  <c r="F77" i="4"/>
  <c r="I75" i="4"/>
  <c r="L75" i="4"/>
  <c r="K75" i="4"/>
  <c r="I74" i="4"/>
  <c r="L74" i="4"/>
  <c r="K74" i="4"/>
  <c r="I73" i="4"/>
  <c r="L73" i="4"/>
  <c r="K73" i="4"/>
  <c r="L72" i="4"/>
  <c r="K72" i="4"/>
  <c r="I72" i="4"/>
  <c r="I71" i="4"/>
  <c r="L71" i="4"/>
  <c r="K71" i="4"/>
  <c r="I70" i="4"/>
  <c r="L70" i="4"/>
  <c r="K70" i="4"/>
  <c r="I69" i="4"/>
  <c r="L69" i="4"/>
  <c r="K69" i="4"/>
  <c r="I68" i="4"/>
  <c r="L68" i="4"/>
  <c r="K68" i="4"/>
  <c r="I67" i="4"/>
  <c r="L67" i="4"/>
  <c r="K67" i="4"/>
  <c r="I66" i="4"/>
  <c r="L66" i="4"/>
  <c r="K66" i="4"/>
  <c r="I65" i="4"/>
  <c r="L65" i="4"/>
  <c r="K65" i="4"/>
  <c r="I64" i="4"/>
  <c r="L64" i="4"/>
  <c r="K64" i="4"/>
  <c r="I63" i="4"/>
  <c r="L63" i="4"/>
  <c r="K63" i="4"/>
  <c r="I62" i="4"/>
  <c r="L62" i="4"/>
  <c r="K62" i="4"/>
  <c r="I61" i="4"/>
  <c r="L61" i="4"/>
  <c r="K61" i="4"/>
  <c r="I60" i="4"/>
  <c r="L60" i="4"/>
  <c r="K60" i="4"/>
  <c r="I59" i="4"/>
  <c r="L59" i="4"/>
  <c r="K59" i="4"/>
  <c r="I58" i="4"/>
  <c r="L58" i="4"/>
  <c r="K58" i="4"/>
  <c r="I57" i="4"/>
  <c r="L57" i="4"/>
  <c r="K57" i="4"/>
  <c r="I56" i="4"/>
  <c r="L56" i="4"/>
  <c r="K56" i="4"/>
  <c r="I55" i="4"/>
  <c r="L55" i="4"/>
  <c r="K55" i="4"/>
  <c r="I54" i="4"/>
  <c r="L54" i="4"/>
  <c r="K54" i="4"/>
  <c r="I53" i="4"/>
  <c r="L53" i="4"/>
  <c r="K53" i="4"/>
  <c r="I52" i="4"/>
  <c r="L52" i="4"/>
  <c r="K52" i="4"/>
  <c r="M52" i="4" s="1"/>
  <c r="N52" i="4" s="1"/>
  <c r="I51" i="4"/>
  <c r="L51" i="4"/>
  <c r="K51" i="4"/>
  <c r="I50" i="4"/>
  <c r="L50" i="4"/>
  <c r="K50" i="4"/>
  <c r="I49" i="4"/>
  <c r="L49" i="4"/>
  <c r="K49" i="4"/>
  <c r="I48" i="4"/>
  <c r="L48" i="4"/>
  <c r="K48" i="4"/>
  <c r="I47" i="4"/>
  <c r="L47" i="4"/>
  <c r="K47" i="4"/>
  <c r="I46" i="4"/>
  <c r="L46" i="4"/>
  <c r="K46" i="4"/>
  <c r="I45" i="4"/>
  <c r="L45" i="4"/>
  <c r="K45" i="4"/>
  <c r="K44" i="4"/>
  <c r="I44" i="4"/>
  <c r="L44" i="4"/>
  <c r="I43" i="4"/>
  <c r="L43" i="4"/>
  <c r="K43" i="4"/>
  <c r="L42" i="4"/>
  <c r="I42" i="4"/>
  <c r="K42" i="4"/>
  <c r="L41" i="4"/>
  <c r="I41" i="4"/>
  <c r="K41" i="4"/>
  <c r="I40" i="4"/>
  <c r="L40" i="4"/>
  <c r="K40" i="4"/>
  <c r="I39" i="4"/>
  <c r="L39" i="4"/>
  <c r="K39" i="4"/>
  <c r="L38" i="4"/>
  <c r="I38" i="4"/>
  <c r="K38" i="4"/>
  <c r="L37" i="4"/>
  <c r="I37" i="4"/>
  <c r="K37" i="4"/>
  <c r="L36" i="4"/>
  <c r="I36" i="4"/>
  <c r="K36" i="4"/>
  <c r="G31" i="4"/>
  <c r="G109" i="4" s="1"/>
  <c r="F31" i="4"/>
  <c r="F109" i="4" s="1"/>
  <c r="K29" i="4"/>
  <c r="I29" i="4"/>
  <c r="L29" i="4"/>
  <c r="K28" i="4"/>
  <c r="I28" i="4"/>
  <c r="L28" i="4"/>
  <c r="K27" i="4"/>
  <c r="I27" i="4"/>
  <c r="L27" i="4"/>
  <c r="K26" i="4"/>
  <c r="I26" i="4"/>
  <c r="L26" i="4"/>
  <c r="K25" i="4"/>
  <c r="I25" i="4"/>
  <c r="L25" i="4"/>
  <c r="K24" i="4"/>
  <c r="I24" i="4"/>
  <c r="L24" i="4"/>
  <c r="K23" i="4"/>
  <c r="I23" i="4"/>
  <c r="L23" i="4"/>
  <c r="L22" i="4"/>
  <c r="K22" i="4"/>
  <c r="I22" i="4"/>
  <c r="K21" i="4"/>
  <c r="I21" i="4"/>
  <c r="L21" i="4"/>
  <c r="K20" i="4"/>
  <c r="I20" i="4"/>
  <c r="L20" i="4"/>
  <c r="I19" i="4"/>
  <c r="L19" i="4"/>
  <c r="C19" i="4"/>
  <c r="I18" i="4"/>
  <c r="L18" i="4"/>
  <c r="C18" i="4"/>
  <c r="O18" i="4" s="1"/>
  <c r="K17" i="4"/>
  <c r="I17" i="4"/>
  <c r="L17" i="4"/>
  <c r="K16" i="4"/>
  <c r="I16" i="4"/>
  <c r="L16" i="4"/>
  <c r="C16" i="4"/>
  <c r="O16" i="4" s="1"/>
  <c r="K15" i="4"/>
  <c r="I15" i="4"/>
  <c r="L15" i="4"/>
  <c r="K14" i="4"/>
  <c r="I14" i="4"/>
  <c r="L14" i="4"/>
  <c r="K13" i="4"/>
  <c r="I13" i="4"/>
  <c r="L13" i="4"/>
  <c r="K12" i="4"/>
  <c r="I12" i="4"/>
  <c r="L12" i="4"/>
  <c r="M12" i="4" s="1"/>
  <c r="K11" i="4"/>
  <c r="I11" i="4"/>
  <c r="L11" i="4"/>
  <c r="K10" i="4"/>
  <c r="I10" i="4"/>
  <c r="L10" i="4"/>
  <c r="I77" i="4" l="1"/>
  <c r="M38" i="4"/>
  <c r="N38" i="4" s="1"/>
  <c r="M42" i="4"/>
  <c r="N42" i="4" s="1"/>
  <c r="K18" i="4"/>
  <c r="M18" i="4" s="1"/>
  <c r="N18" i="4" s="1"/>
  <c r="M20" i="4"/>
  <c r="M24" i="4"/>
  <c r="M28" i="4"/>
  <c r="I31" i="4"/>
  <c r="B9" i="3" s="1"/>
  <c r="K8" i="1" s="1"/>
  <c r="M57" i="4"/>
  <c r="N57" i="4" s="1"/>
  <c r="M73" i="4"/>
  <c r="K19" i="4"/>
  <c r="O19" i="4"/>
  <c r="S11" i="9"/>
  <c r="U11" i="9" s="1"/>
  <c r="AC11" i="9"/>
  <c r="AC15" i="9" s="1"/>
  <c r="AE26" i="9"/>
  <c r="AE30" i="9"/>
  <c r="F10" i="3"/>
  <c r="H10" i="3" s="1"/>
  <c r="S8" i="1"/>
  <c r="K74" i="1"/>
  <c r="R11" i="1"/>
  <c r="E30" i="18" s="1"/>
  <c r="E34" i="18" s="1"/>
  <c r="M56" i="4"/>
  <c r="N56" i="4" s="1"/>
  <c r="M16" i="5"/>
  <c r="J20" i="5"/>
  <c r="K20" i="5" s="1"/>
  <c r="L20" i="5" s="1"/>
  <c r="M69" i="5"/>
  <c r="M79" i="5"/>
  <c r="M93" i="5"/>
  <c r="J105" i="5"/>
  <c r="K105" i="5" s="1"/>
  <c r="M58" i="4"/>
  <c r="N58" i="4" s="1"/>
  <c r="M75" i="4"/>
  <c r="M89" i="4"/>
  <c r="M78" i="5"/>
  <c r="M29" i="4"/>
  <c r="J141" i="5"/>
  <c r="K141" i="5" s="1"/>
  <c r="M36" i="4"/>
  <c r="N36" i="4" s="1"/>
  <c r="M86" i="4"/>
  <c r="M26" i="4"/>
  <c r="M27" i="4"/>
  <c r="M25" i="5"/>
  <c r="J32" i="5"/>
  <c r="K32" i="5" s="1"/>
  <c r="M16" i="4"/>
  <c r="N16" i="4" s="1"/>
  <c r="M55" i="4"/>
  <c r="N55" i="4" s="1"/>
  <c r="M83" i="5"/>
  <c r="M87" i="5"/>
  <c r="J96" i="5"/>
  <c r="K96" i="5" s="1"/>
  <c r="L96" i="5" s="1"/>
  <c r="J101" i="5"/>
  <c r="K101" i="5" s="1"/>
  <c r="J107" i="5"/>
  <c r="K107" i="5" s="1"/>
  <c r="J109" i="5"/>
  <c r="K109" i="5" s="1"/>
  <c r="M113" i="5"/>
  <c r="J98" i="5"/>
  <c r="K98" i="5" s="1"/>
  <c r="L98" i="5" s="1"/>
  <c r="J103" i="5"/>
  <c r="K103" i="5" s="1"/>
  <c r="J104" i="5"/>
  <c r="K104" i="5" s="1"/>
  <c r="J127" i="5"/>
  <c r="K127" i="5" s="1"/>
  <c r="K128" i="5" s="1"/>
  <c r="F12" i="6" s="1"/>
  <c r="G12" i="6" s="1"/>
  <c r="J143" i="5"/>
  <c r="K143" i="5" s="1"/>
  <c r="J97" i="5"/>
  <c r="K97" i="5" s="1"/>
  <c r="L97" i="5" s="1"/>
  <c r="M14" i="4"/>
  <c r="J139" i="5"/>
  <c r="K139" i="5" s="1"/>
  <c r="K150" i="5" s="1"/>
  <c r="J140" i="5"/>
  <c r="K140" i="5" s="1"/>
  <c r="M60" i="4"/>
  <c r="M62" i="4"/>
  <c r="M13" i="4"/>
  <c r="M11" i="4"/>
  <c r="M22" i="4"/>
  <c r="M23" i="4"/>
  <c r="M46" i="4"/>
  <c r="M82" i="4"/>
  <c r="M14" i="5"/>
  <c r="J17" i="5"/>
  <c r="K17" i="5" s="1"/>
  <c r="M34" i="5"/>
  <c r="M71" i="5"/>
  <c r="J74" i="5"/>
  <c r="K74" i="5" s="1"/>
  <c r="L74" i="5" s="1"/>
  <c r="M81" i="5"/>
  <c r="M91" i="5"/>
  <c r="J99" i="5"/>
  <c r="K99" i="5" s="1"/>
  <c r="L99" i="5" s="1"/>
  <c r="M111" i="5"/>
  <c r="M119" i="5"/>
  <c r="M120" i="5"/>
  <c r="J144" i="5"/>
  <c r="K144" i="5" s="1"/>
  <c r="M148" i="5"/>
  <c r="M64" i="4"/>
  <c r="M66" i="4"/>
  <c r="M68" i="4"/>
  <c r="M70" i="4"/>
  <c r="M100" i="5"/>
  <c r="M112" i="5"/>
  <c r="M121" i="5"/>
  <c r="J145" i="5"/>
  <c r="K145" i="5" s="1"/>
  <c r="J146" i="5"/>
  <c r="K146" i="5" s="1"/>
  <c r="M54" i="4"/>
  <c r="N54" i="4" s="1"/>
  <c r="J73" i="5"/>
  <c r="K73" i="5" s="1"/>
  <c r="J75" i="5"/>
  <c r="K75" i="5" s="1"/>
  <c r="L75" i="5" s="1"/>
  <c r="M85" i="5"/>
  <c r="J88" i="5"/>
  <c r="K88" i="5" s="1"/>
  <c r="J95" i="5"/>
  <c r="K95" i="5" s="1"/>
  <c r="L95" i="5" s="1"/>
  <c r="J108" i="5"/>
  <c r="K108" i="5" s="1"/>
  <c r="J118" i="5"/>
  <c r="K118" i="5" s="1"/>
  <c r="J147" i="5"/>
  <c r="K147" i="5" s="1"/>
  <c r="M40" i="4"/>
  <c r="N40" i="4" s="1"/>
  <c r="M85" i="4"/>
  <c r="J26" i="5"/>
  <c r="K26" i="5" s="1"/>
  <c r="F14" i="3"/>
  <c r="F17" i="3"/>
  <c r="L9" i="1"/>
  <c r="L15" i="1" s="1"/>
  <c r="L108" i="1" s="1"/>
  <c r="F13" i="3"/>
  <c r="H13" i="3" s="1"/>
  <c r="U26" i="9"/>
  <c r="H42" i="9"/>
  <c r="S36" i="9"/>
  <c r="S42" i="9" s="1"/>
  <c r="R36" i="9"/>
  <c r="R42" i="9" s="1"/>
  <c r="Q36" i="9"/>
  <c r="G7" i="9"/>
  <c r="AA306" i="10"/>
  <c r="AB32" i="10"/>
  <c r="AB61" i="10" s="1"/>
  <c r="F9" i="3"/>
  <c r="F16" i="3"/>
  <c r="K10" i="1"/>
  <c r="G14" i="6"/>
  <c r="B26" i="6"/>
  <c r="E18" i="3"/>
  <c r="C18" i="3"/>
  <c r="M41" i="4"/>
  <c r="N41" i="4" s="1"/>
  <c r="M19" i="4"/>
  <c r="N19" i="4" s="1"/>
  <c r="M37" i="4"/>
  <c r="N37" i="4" s="1"/>
  <c r="M43" i="4"/>
  <c r="N43" i="4" s="1"/>
  <c r="M39" i="4"/>
  <c r="N39" i="4" s="1"/>
  <c r="M44" i="4"/>
  <c r="N44" i="4" s="1"/>
  <c r="M50" i="4"/>
  <c r="N50" i="4" s="1"/>
  <c r="M18" i="5"/>
  <c r="J18" i="5"/>
  <c r="K18" i="5" s="1"/>
  <c r="L18" i="5" s="1"/>
  <c r="M10" i="4"/>
  <c r="M15" i="4"/>
  <c r="N15" i="4" s="1"/>
  <c r="M17" i="4"/>
  <c r="N17" i="4" s="1"/>
  <c r="M47" i="4"/>
  <c r="M51" i="4"/>
  <c r="M59" i="4"/>
  <c r="M63" i="4"/>
  <c r="M67" i="4"/>
  <c r="M71" i="4"/>
  <c r="M83" i="4"/>
  <c r="J12" i="5"/>
  <c r="K12" i="5" s="1"/>
  <c r="H37" i="5"/>
  <c r="M28" i="5"/>
  <c r="J28" i="5"/>
  <c r="K28" i="5" s="1"/>
  <c r="J31" i="5"/>
  <c r="K31" i="5" s="1"/>
  <c r="M31" i="5"/>
  <c r="M21" i="4"/>
  <c r="M25" i="4"/>
  <c r="M45" i="4"/>
  <c r="N45" i="4" s="1"/>
  <c r="M49" i="4"/>
  <c r="N49" i="4" s="1"/>
  <c r="M53" i="4"/>
  <c r="N53" i="4" s="1"/>
  <c r="M61" i="4"/>
  <c r="M65" i="4"/>
  <c r="M69" i="4"/>
  <c r="M72" i="4"/>
  <c r="M74" i="4"/>
  <c r="M84" i="4"/>
  <c r="M87" i="4"/>
  <c r="L94" i="4"/>
  <c r="M15" i="5"/>
  <c r="M22" i="5"/>
  <c r="J22" i="5"/>
  <c r="K22" i="5" s="1"/>
  <c r="L22" i="5" s="1"/>
  <c r="M48" i="4"/>
  <c r="N48" i="4" s="1"/>
  <c r="M24" i="5"/>
  <c r="M48" i="5"/>
  <c r="J48" i="5"/>
  <c r="K48" i="5" s="1"/>
  <c r="M50" i="5"/>
  <c r="J50" i="5"/>
  <c r="K50" i="5" s="1"/>
  <c r="L50" i="5" s="1"/>
  <c r="M52" i="5"/>
  <c r="J52" i="5"/>
  <c r="K52" i="5" s="1"/>
  <c r="L52" i="5" s="1"/>
  <c r="M54" i="5"/>
  <c r="J54" i="5"/>
  <c r="K54" i="5" s="1"/>
  <c r="L54" i="5" s="1"/>
  <c r="J19" i="5"/>
  <c r="K19" i="5" s="1"/>
  <c r="L19" i="5" s="1"/>
  <c r="M20" i="5"/>
  <c r="J23" i="5"/>
  <c r="K23" i="5" s="1"/>
  <c r="M29" i="5"/>
  <c r="J29" i="5"/>
  <c r="K29" i="5" s="1"/>
  <c r="M49" i="5"/>
  <c r="M51" i="5"/>
  <c r="M53" i="5"/>
  <c r="M55" i="5"/>
  <c r="M57" i="5"/>
  <c r="M59" i="5"/>
  <c r="M61" i="5"/>
  <c r="M63" i="5"/>
  <c r="M65" i="5"/>
  <c r="M67" i="5"/>
  <c r="M72" i="5"/>
  <c r="J72" i="5"/>
  <c r="K72" i="5" s="1"/>
  <c r="L72" i="5" s="1"/>
  <c r="M74" i="5"/>
  <c r="M77" i="5"/>
  <c r="J27" i="5"/>
  <c r="K27" i="5" s="1"/>
  <c r="M27" i="5"/>
  <c r="J35" i="5"/>
  <c r="K35" i="5" s="1"/>
  <c r="M35" i="5"/>
  <c r="J56" i="5"/>
  <c r="K56" i="5" s="1"/>
  <c r="L56" i="5" s="1"/>
  <c r="J58" i="5"/>
  <c r="K58" i="5" s="1"/>
  <c r="L58" i="5" s="1"/>
  <c r="J60" i="5"/>
  <c r="K60" i="5" s="1"/>
  <c r="L60" i="5" s="1"/>
  <c r="J62" i="5"/>
  <c r="K62" i="5" s="1"/>
  <c r="L62" i="5" s="1"/>
  <c r="J64" i="5"/>
  <c r="K64" i="5" s="1"/>
  <c r="L64" i="5" s="1"/>
  <c r="J66" i="5"/>
  <c r="K66" i="5" s="1"/>
  <c r="L66" i="5" s="1"/>
  <c r="J68" i="5"/>
  <c r="K68" i="5" s="1"/>
  <c r="L68" i="5" s="1"/>
  <c r="J76" i="5"/>
  <c r="K76" i="5" s="1"/>
  <c r="M76" i="5"/>
  <c r="M82" i="5"/>
  <c r="J82" i="5"/>
  <c r="K82" i="5" s="1"/>
  <c r="L82" i="5" s="1"/>
  <c r="J16" i="5"/>
  <c r="K16" i="5" s="1"/>
  <c r="J21" i="5"/>
  <c r="K21" i="5" s="1"/>
  <c r="L21" i="5" s="1"/>
  <c r="J25" i="5"/>
  <c r="K25" i="5" s="1"/>
  <c r="M33" i="5"/>
  <c r="J33" i="5"/>
  <c r="K33" i="5" s="1"/>
  <c r="J40" i="5"/>
  <c r="K40" i="5" s="1"/>
  <c r="K42" i="5" s="1"/>
  <c r="M40" i="5"/>
  <c r="H42" i="5"/>
  <c r="M70" i="5"/>
  <c r="J70" i="5"/>
  <c r="K70" i="5" s="1"/>
  <c r="L70" i="5" s="1"/>
  <c r="M80" i="5"/>
  <c r="J80" i="5"/>
  <c r="K80" i="5" s="1"/>
  <c r="L80" i="5" s="1"/>
  <c r="M84" i="5"/>
  <c r="J84" i="5"/>
  <c r="K84" i="5" s="1"/>
  <c r="L84" i="5" s="1"/>
  <c r="M86" i="5"/>
  <c r="J89" i="5"/>
  <c r="K89" i="5" s="1"/>
  <c r="M89" i="5"/>
  <c r="M75" i="5"/>
  <c r="J90" i="5"/>
  <c r="K90" i="5" s="1"/>
  <c r="L90" i="5" s="1"/>
  <c r="J92" i="5"/>
  <c r="K92" i="5" s="1"/>
  <c r="L92" i="5" s="1"/>
  <c r="J94" i="5"/>
  <c r="K94" i="5" s="1"/>
  <c r="L94" i="5" s="1"/>
  <c r="M101" i="5"/>
  <c r="M105" i="5"/>
  <c r="M109" i="5"/>
  <c r="H123" i="5"/>
  <c r="J78" i="5"/>
  <c r="K78" i="5" s="1"/>
  <c r="J87" i="5"/>
  <c r="K87" i="5" s="1"/>
  <c r="M95" i="5"/>
  <c r="M97" i="5"/>
  <c r="M99" i="5"/>
  <c r="M102" i="5"/>
  <c r="M106" i="5"/>
  <c r="M110" i="5"/>
  <c r="M117" i="5"/>
  <c r="K123" i="5" l="1"/>
  <c r="I109" i="4"/>
  <c r="B11" i="3"/>
  <c r="AB36" i="9"/>
  <c r="AE11" i="9"/>
  <c r="R8" i="1"/>
  <c r="U8" i="1" s="1"/>
  <c r="U11" i="1"/>
  <c r="R10" i="1"/>
  <c r="U10" i="1" s="1"/>
  <c r="R74" i="1"/>
  <c r="U74" i="1" s="1"/>
  <c r="L127" i="5"/>
  <c r="N29" i="6"/>
  <c r="O29" i="6" s="1"/>
  <c r="O30" i="6" s="1"/>
  <c r="F16" i="6"/>
  <c r="M91" i="4"/>
  <c r="U36" i="9"/>
  <c r="Q42" i="9"/>
  <c r="H7" i="9"/>
  <c r="AB306" i="10"/>
  <c r="G15" i="9"/>
  <c r="G44" i="9" s="1"/>
  <c r="E26" i="6"/>
  <c r="J33" i="6"/>
  <c r="J35" i="6" s="1"/>
  <c r="H164" i="5"/>
  <c r="M77" i="4"/>
  <c r="K37" i="5"/>
  <c r="L48" i="5"/>
  <c r="M31" i="4"/>
  <c r="B18" i="3" l="1"/>
  <c r="F11" i="3"/>
  <c r="F18" i="3" s="1"/>
  <c r="K9" i="1"/>
  <c r="R9" i="1" s="1"/>
  <c r="U9" i="1" s="1"/>
  <c r="AE36" i="9"/>
  <c r="AE42" i="9"/>
  <c r="AC36" i="9"/>
  <c r="AC42" i="9" s="1"/>
  <c r="AB42" i="9"/>
  <c r="B25" i="6"/>
  <c r="B11" i="6"/>
  <c r="C25" i="6"/>
  <c r="C11" i="6"/>
  <c r="C9" i="6"/>
  <c r="C24" i="6"/>
  <c r="B24" i="6"/>
  <c r="B9" i="6"/>
  <c r="Q7" i="9"/>
  <c r="H15" i="9"/>
  <c r="H44" i="9" s="1"/>
  <c r="H45" i="9" s="1"/>
  <c r="J36" i="6"/>
  <c r="J37" i="6" s="1"/>
  <c r="O31" i="6" s="1"/>
  <c r="S7" i="9" l="1"/>
  <c r="S15" i="9" s="1"/>
  <c r="AB7" i="9"/>
  <c r="AB15" i="9" s="1"/>
  <c r="AE7" i="9"/>
  <c r="B16" i="6"/>
  <c r="E9" i="6"/>
  <c r="B30" i="6"/>
  <c r="E24" i="6"/>
  <c r="C30" i="6"/>
  <c r="E11" i="6"/>
  <c r="G11" i="6" s="1"/>
  <c r="C16" i="6"/>
  <c r="E25" i="6"/>
  <c r="Q15" i="9"/>
  <c r="AE15" i="9" s="1"/>
  <c r="U7" i="9" l="1"/>
  <c r="B24" i="17"/>
  <c r="B27" i="17" s="1"/>
  <c r="B29" i="17" s="1"/>
  <c r="B30" i="17" s="1"/>
  <c r="G117" i="1" s="1"/>
  <c r="G9" i="6"/>
  <c r="G16" i="6" s="1"/>
  <c r="C17" i="6" s="1"/>
  <c r="J10" i="6"/>
  <c r="J9" i="6"/>
  <c r="E30" i="6"/>
  <c r="P31" i="6" s="1"/>
  <c r="D31" i="6" s="1"/>
  <c r="U15" i="9"/>
  <c r="R14" i="1" l="1"/>
  <c r="R13" i="1"/>
  <c r="K32" i="9"/>
  <c r="Q32" i="9"/>
  <c r="C31" i="6"/>
  <c r="O32" i="6"/>
  <c r="D17" i="6"/>
  <c r="F17" i="6"/>
  <c r="G95" i="1"/>
  <c r="D95" i="1"/>
  <c r="C94" i="1"/>
  <c r="C95" i="1" s="1"/>
  <c r="C97" i="1"/>
  <c r="L97" i="1"/>
  <c r="L98" i="1" s="1"/>
  <c r="G98" i="1"/>
  <c r="C158" i="1"/>
  <c r="E158" i="1" s="1"/>
  <c r="I158" i="1" s="1"/>
  <c r="C155" i="1"/>
  <c r="E155" i="1" s="1"/>
  <c r="I155" i="1" s="1"/>
  <c r="C156" i="1"/>
  <c r="E156" i="1" s="1"/>
  <c r="I156" i="1" s="1"/>
  <c r="C153" i="1"/>
  <c r="E153" i="1" s="1"/>
  <c r="I153" i="1" s="1"/>
  <c r="C147" i="1"/>
  <c r="C148" i="1"/>
  <c r="E148" i="1" s="1"/>
  <c r="I148" i="1" s="1"/>
  <c r="C142" i="1"/>
  <c r="E142" i="1" s="1"/>
  <c r="I142" i="1" s="1"/>
  <c r="G160" i="1"/>
  <c r="C139" i="1"/>
  <c r="E139" i="1" s="1"/>
  <c r="I139" i="1" s="1"/>
  <c r="G92" i="1"/>
  <c r="D92" i="1"/>
  <c r="C91" i="1"/>
  <c r="E91" i="1" s="1"/>
  <c r="I91" i="1" s="1"/>
  <c r="G88" i="1"/>
  <c r="C86" i="1"/>
  <c r="E86" i="1" s="1"/>
  <c r="I86" i="1" s="1"/>
  <c r="C87" i="1"/>
  <c r="G179" i="1"/>
  <c r="D179" i="1"/>
  <c r="C178" i="1"/>
  <c r="C179" i="1" s="1"/>
  <c r="C70" i="1"/>
  <c r="E70" i="1" s="1"/>
  <c r="I70" i="1" s="1"/>
  <c r="C46" i="1"/>
  <c r="E46" i="1" s="1"/>
  <c r="I46" i="1" s="1"/>
  <c r="D64" i="1"/>
  <c r="C63" i="1"/>
  <c r="E63" i="1" s="1"/>
  <c r="I63" i="1" s="1"/>
  <c r="C132" i="1"/>
  <c r="E132" i="1" s="1"/>
  <c r="I132" i="1" s="1"/>
  <c r="C68" i="1"/>
  <c r="E68" i="1" s="1"/>
  <c r="I68" i="1" s="1"/>
  <c r="C69" i="1"/>
  <c r="E69" i="1" s="1"/>
  <c r="I69" i="1" s="1"/>
  <c r="C32" i="1"/>
  <c r="E32" i="1" s="1"/>
  <c r="I32" i="1" s="1"/>
  <c r="C44" i="1"/>
  <c r="E44" i="1" s="1"/>
  <c r="I44" i="1" s="1"/>
  <c r="C131" i="1"/>
  <c r="E131" i="1" s="1"/>
  <c r="I131" i="1" s="1"/>
  <c r="G48" i="1"/>
  <c r="D48" i="1"/>
  <c r="C43" i="1"/>
  <c r="E43" i="1" s="1"/>
  <c r="I43" i="1" s="1"/>
  <c r="C42" i="1"/>
  <c r="E42" i="1" s="1"/>
  <c r="G134" i="1"/>
  <c r="D134" i="1"/>
  <c r="G25" i="1"/>
  <c r="D25" i="1"/>
  <c r="C20" i="1"/>
  <c r="C130" i="1"/>
  <c r="E130" i="1" s="1"/>
  <c r="I130" i="1" s="1"/>
  <c r="G188" i="1"/>
  <c r="D188" i="1"/>
  <c r="C187" i="1"/>
  <c r="G83" i="1"/>
  <c r="D83" i="1"/>
  <c r="C82" i="1"/>
  <c r="E82" i="1" s="1"/>
  <c r="C81" i="1"/>
  <c r="L83" i="1"/>
  <c r="C77" i="1"/>
  <c r="C75" i="1"/>
  <c r="C193" i="1"/>
  <c r="C190" i="1"/>
  <c r="C184" i="1"/>
  <c r="C183" i="1"/>
  <c r="E183" i="1" s="1"/>
  <c r="I183" i="1" s="1"/>
  <c r="C182" i="1"/>
  <c r="C181" i="1"/>
  <c r="C175" i="1"/>
  <c r="C174" i="1"/>
  <c r="C171" i="1"/>
  <c r="B96" i="3" s="1"/>
  <c r="C168" i="1"/>
  <c r="C167" i="1"/>
  <c r="C119" i="3" s="1"/>
  <c r="E119" i="3" s="1"/>
  <c r="U51" i="3" s="1"/>
  <c r="C166" i="1"/>
  <c r="C165" i="1"/>
  <c r="C164" i="1"/>
  <c r="C163" i="1"/>
  <c r="C115" i="3" s="1"/>
  <c r="E115" i="3" s="1"/>
  <c r="U47" i="3" s="1"/>
  <c r="C162" i="1"/>
  <c r="C114" i="3" s="1"/>
  <c r="C159" i="1"/>
  <c r="C157" i="1"/>
  <c r="C154" i="1"/>
  <c r="C152" i="1"/>
  <c r="C151" i="1"/>
  <c r="E151" i="1" s="1"/>
  <c r="I151" i="1" s="1"/>
  <c r="C150" i="1"/>
  <c r="E150" i="1" s="1"/>
  <c r="I150" i="1" s="1"/>
  <c r="C149" i="1"/>
  <c r="C146" i="1"/>
  <c r="C145" i="1"/>
  <c r="C144" i="1"/>
  <c r="C143" i="1"/>
  <c r="C61" i="3" s="1"/>
  <c r="D61" i="3" s="1"/>
  <c r="C141" i="1"/>
  <c r="C60" i="3" s="1"/>
  <c r="C140" i="1"/>
  <c r="C136" i="1"/>
  <c r="C133" i="1"/>
  <c r="C127" i="1"/>
  <c r="E127" i="1" s="1"/>
  <c r="I127" i="1" s="1"/>
  <c r="C126" i="1"/>
  <c r="E126" i="1" s="1"/>
  <c r="I126" i="1" s="1"/>
  <c r="C125" i="1"/>
  <c r="E125" i="1" s="1"/>
  <c r="I125" i="1" s="1"/>
  <c r="C124" i="1"/>
  <c r="E124" i="1" s="1"/>
  <c r="I124" i="1" s="1"/>
  <c r="C121" i="1"/>
  <c r="C118" i="1"/>
  <c r="E118" i="1" s="1"/>
  <c r="I118" i="1" s="1"/>
  <c r="L118" i="1" s="1"/>
  <c r="C117" i="1"/>
  <c r="E117" i="1" s="1"/>
  <c r="C116" i="1"/>
  <c r="C115" i="1"/>
  <c r="E115" i="1" s="1"/>
  <c r="I115" i="1" s="1"/>
  <c r="C114" i="1"/>
  <c r="E114" i="1" s="1"/>
  <c r="I114" i="1" s="1"/>
  <c r="C113" i="1"/>
  <c r="C112" i="1"/>
  <c r="C111" i="1"/>
  <c r="C105" i="1"/>
  <c r="P148" i="16" s="1"/>
  <c r="C104" i="1"/>
  <c r="P147" i="16" s="1"/>
  <c r="C103" i="1"/>
  <c r="P146" i="16" s="1"/>
  <c r="C102" i="1"/>
  <c r="C101" i="1"/>
  <c r="P144" i="16" s="1"/>
  <c r="C100" i="1"/>
  <c r="P143" i="16" s="1"/>
  <c r="C90" i="1"/>
  <c r="C92" i="1" s="1"/>
  <c r="C85" i="1"/>
  <c r="C88" i="1" s="1"/>
  <c r="C74" i="1"/>
  <c r="C73" i="1"/>
  <c r="C67" i="1"/>
  <c r="C66" i="1"/>
  <c r="C62" i="1"/>
  <c r="E62" i="1" s="1"/>
  <c r="I62" i="1" s="1"/>
  <c r="C61" i="1"/>
  <c r="C58" i="1"/>
  <c r="P76" i="16" s="1"/>
  <c r="C57" i="1"/>
  <c r="C56" i="1"/>
  <c r="P74" i="16" s="1"/>
  <c r="C55" i="1"/>
  <c r="P73" i="16" s="1"/>
  <c r="C54" i="1"/>
  <c r="P72" i="16" s="1"/>
  <c r="C51" i="1"/>
  <c r="P129" i="16" s="1"/>
  <c r="C47" i="1"/>
  <c r="C45" i="1"/>
  <c r="C39" i="1"/>
  <c r="C36" i="1"/>
  <c r="C33" i="1"/>
  <c r="E33" i="1" s="1"/>
  <c r="I33" i="1" s="1"/>
  <c r="C31" i="1"/>
  <c r="C30" i="1"/>
  <c r="C24" i="1"/>
  <c r="C23" i="1"/>
  <c r="P91" i="16" s="1"/>
  <c r="C22" i="1"/>
  <c r="C21" i="1"/>
  <c r="P89" i="16" s="1"/>
  <c r="C27" i="1"/>
  <c r="E27" i="1" s="1"/>
  <c r="C12" i="1"/>
  <c r="E12" i="1" s="1"/>
  <c r="I12" i="1" s="1"/>
  <c r="C14" i="1"/>
  <c r="E14" i="1" s="1"/>
  <c r="I14" i="1" s="1"/>
  <c r="C13" i="1"/>
  <c r="C11" i="1"/>
  <c r="C10" i="1"/>
  <c r="C9" i="1"/>
  <c r="C8" i="1"/>
  <c r="AE283" i="2"/>
  <c r="AC283" i="2"/>
  <c r="AA283" i="2"/>
  <c r="Y283" i="2"/>
  <c r="W283" i="2"/>
  <c r="U283" i="2"/>
  <c r="S283" i="2"/>
  <c r="Q283" i="2"/>
  <c r="O283" i="2"/>
  <c r="M283" i="2"/>
  <c r="K283" i="2"/>
  <c r="I283" i="2"/>
  <c r="G283" i="2"/>
  <c r="AD279" i="2"/>
  <c r="X279" i="2"/>
  <c r="R279" i="2"/>
  <c r="L279" i="2"/>
  <c r="AE277" i="2"/>
  <c r="AD277" i="2"/>
  <c r="AC277" i="2"/>
  <c r="AA277" i="2"/>
  <c r="Y277" i="2"/>
  <c r="X277" i="2"/>
  <c r="W277" i="2"/>
  <c r="U277" i="2"/>
  <c r="S277" i="2"/>
  <c r="R277" i="2"/>
  <c r="Q277" i="2"/>
  <c r="O277" i="2"/>
  <c r="M277" i="2"/>
  <c r="L277" i="2"/>
  <c r="K277" i="2"/>
  <c r="I277" i="2"/>
  <c r="G277" i="2"/>
  <c r="AD273" i="2"/>
  <c r="X273" i="2"/>
  <c r="R273" i="2"/>
  <c r="L273" i="2"/>
  <c r="AE271" i="2"/>
  <c r="AD271" i="2"/>
  <c r="AC271" i="2"/>
  <c r="AA271" i="2"/>
  <c r="Y271" i="2"/>
  <c r="X271" i="2"/>
  <c r="W271" i="2"/>
  <c r="U271" i="2"/>
  <c r="S271" i="2"/>
  <c r="R271" i="2"/>
  <c r="Q271" i="2"/>
  <c r="O271" i="2"/>
  <c r="M271" i="2"/>
  <c r="L271" i="2"/>
  <c r="K271" i="2"/>
  <c r="I271" i="2"/>
  <c r="G271" i="2"/>
  <c r="AD267" i="2"/>
  <c r="X267" i="2"/>
  <c r="R267" i="2"/>
  <c r="L267" i="2"/>
  <c r="AE265" i="2"/>
  <c r="AD265" i="2"/>
  <c r="AC265" i="2"/>
  <c r="AA265" i="2"/>
  <c r="Y265" i="2"/>
  <c r="X265" i="2"/>
  <c r="W265" i="2"/>
  <c r="U265" i="2"/>
  <c r="S265" i="2"/>
  <c r="R265" i="2"/>
  <c r="Q265" i="2"/>
  <c r="O265" i="2"/>
  <c r="M265" i="2"/>
  <c r="L265" i="2"/>
  <c r="K265" i="2"/>
  <c r="I265" i="2"/>
  <c r="G265" i="2"/>
  <c r="AD261" i="2"/>
  <c r="X261" i="2"/>
  <c r="R261" i="2"/>
  <c r="L261" i="2"/>
  <c r="AE259" i="2"/>
  <c r="AD259" i="2"/>
  <c r="AC259" i="2"/>
  <c r="AA259" i="2"/>
  <c r="Y259" i="2"/>
  <c r="X259" i="2"/>
  <c r="W259" i="2"/>
  <c r="U259" i="2"/>
  <c r="S259" i="2"/>
  <c r="R259" i="2"/>
  <c r="Q259" i="2"/>
  <c r="O259" i="2"/>
  <c r="M259" i="2"/>
  <c r="L259" i="2"/>
  <c r="K259" i="2"/>
  <c r="I259" i="2"/>
  <c r="G259" i="2"/>
  <c r="AE255" i="2"/>
  <c r="AD255" i="2"/>
  <c r="AC255" i="2"/>
  <c r="AA255" i="2"/>
  <c r="Y255" i="2"/>
  <c r="X255" i="2"/>
  <c r="W255" i="2"/>
  <c r="U255" i="2"/>
  <c r="S255" i="2"/>
  <c r="R255" i="2"/>
  <c r="Q255" i="2"/>
  <c r="O255" i="2"/>
  <c r="M255" i="2"/>
  <c r="L255" i="2"/>
  <c r="K255" i="2"/>
  <c r="I255" i="2"/>
  <c r="G255" i="2"/>
  <c r="AE251" i="2"/>
  <c r="AD251" i="2"/>
  <c r="AC251" i="2"/>
  <c r="AA251" i="2"/>
  <c r="Y251" i="2"/>
  <c r="X251" i="2"/>
  <c r="W251" i="2"/>
  <c r="U251" i="2"/>
  <c r="S251" i="2"/>
  <c r="R251" i="2"/>
  <c r="Q251" i="2"/>
  <c r="O251" i="2"/>
  <c r="M251" i="2"/>
  <c r="L251" i="2"/>
  <c r="K251" i="2"/>
  <c r="I251" i="2"/>
  <c r="G251" i="2"/>
  <c r="AD247" i="2"/>
  <c r="X247" i="2"/>
  <c r="R247" i="2"/>
  <c r="L247" i="2"/>
  <c r="AD245" i="2"/>
  <c r="X245" i="2"/>
  <c r="R245" i="2"/>
  <c r="L245" i="2"/>
  <c r="AD243" i="2"/>
  <c r="AC243" i="2"/>
  <c r="AA243" i="2"/>
  <c r="Y243" i="2"/>
  <c r="X243" i="2"/>
  <c r="W243" i="2"/>
  <c r="U243" i="2"/>
  <c r="S243" i="2"/>
  <c r="R243" i="2"/>
  <c r="Q243" i="2"/>
  <c r="O243" i="2"/>
  <c r="M243" i="2"/>
  <c r="L243" i="2"/>
  <c r="K243" i="2"/>
  <c r="I243" i="2"/>
  <c r="G243" i="2"/>
  <c r="AE241" i="2"/>
  <c r="AD239" i="2"/>
  <c r="AC239" i="2"/>
  <c r="AA239" i="2"/>
  <c r="Y239" i="2"/>
  <c r="X239" i="2"/>
  <c r="W239" i="2"/>
  <c r="U239" i="2"/>
  <c r="S239" i="2"/>
  <c r="R239" i="2"/>
  <c r="Q239" i="2"/>
  <c r="O239" i="2"/>
  <c r="M239" i="2"/>
  <c r="L239" i="2"/>
  <c r="K239" i="2"/>
  <c r="I239" i="2"/>
  <c r="G239" i="2"/>
  <c r="AD235" i="2"/>
  <c r="AC235" i="2"/>
  <c r="AC245" i="2" s="1"/>
  <c r="AA235" i="2"/>
  <c r="Y235" i="2"/>
  <c r="X235" i="2"/>
  <c r="W235" i="2"/>
  <c r="W245" i="2" s="1"/>
  <c r="U235" i="2"/>
  <c r="S235" i="2"/>
  <c r="R235" i="2"/>
  <c r="Q235" i="2"/>
  <c r="Q245" i="2" s="1"/>
  <c r="O235" i="2"/>
  <c r="M235" i="2"/>
  <c r="L235" i="2"/>
  <c r="K235" i="2"/>
  <c r="K245" i="2" s="1"/>
  <c r="I235" i="2"/>
  <c r="G235" i="2"/>
  <c r="AE233" i="2"/>
  <c r="AE232" i="2"/>
  <c r="AE231" i="2"/>
  <c r="AE230" i="2"/>
  <c r="AC221" i="2"/>
  <c r="AA221" i="2"/>
  <c r="Y221" i="2"/>
  <c r="W221" i="2"/>
  <c r="U221" i="2"/>
  <c r="S221" i="2"/>
  <c r="Q221" i="2"/>
  <c r="O221" i="2"/>
  <c r="M221" i="2"/>
  <c r="K221" i="2"/>
  <c r="I221" i="2"/>
  <c r="G221" i="2"/>
  <c r="AE219" i="2"/>
  <c r="AE221" i="2" s="1"/>
  <c r="AC217" i="2"/>
  <c r="AA217" i="2"/>
  <c r="Y217" i="2"/>
  <c r="W217" i="2"/>
  <c r="U217" i="2"/>
  <c r="S217" i="2"/>
  <c r="Q217" i="2"/>
  <c r="O217" i="2"/>
  <c r="M217" i="2"/>
  <c r="K217" i="2"/>
  <c r="I217" i="2"/>
  <c r="G217"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C175" i="2"/>
  <c r="AA175" i="2"/>
  <c r="Y175" i="2"/>
  <c r="W175" i="2"/>
  <c r="U175" i="2"/>
  <c r="S175" i="2"/>
  <c r="Q175" i="2"/>
  <c r="O175" i="2"/>
  <c r="M175" i="2"/>
  <c r="K175" i="2"/>
  <c r="I175" i="2"/>
  <c r="G175" i="2"/>
  <c r="AE173" i="2"/>
  <c r="AE175" i="2" s="1"/>
  <c r="AC166" i="2"/>
  <c r="AA166" i="2"/>
  <c r="Y166" i="2"/>
  <c r="W166" i="2"/>
  <c r="U166" i="2"/>
  <c r="S166" i="2"/>
  <c r="Q166" i="2"/>
  <c r="O166" i="2"/>
  <c r="M166" i="2"/>
  <c r="K166" i="2"/>
  <c r="I166" i="2"/>
  <c r="G166" i="2"/>
  <c r="AE164" i="2"/>
  <c r="AE166" i="2" s="1"/>
  <c r="AC162" i="2"/>
  <c r="AA162" i="2"/>
  <c r="Y162" i="2"/>
  <c r="W162" i="2"/>
  <c r="U162" i="2"/>
  <c r="S162" i="2"/>
  <c r="Q162" i="2"/>
  <c r="O162" i="2"/>
  <c r="M162" i="2"/>
  <c r="K162" i="2"/>
  <c r="I162" i="2"/>
  <c r="G162" i="2"/>
  <c r="AE160" i="2"/>
  <c r="AE159" i="2"/>
  <c r="AE158" i="2"/>
  <c r="AE157" i="2"/>
  <c r="AE154" i="2"/>
  <c r="AC154" i="2"/>
  <c r="AA154" i="2"/>
  <c r="Y154" i="2"/>
  <c r="W154" i="2"/>
  <c r="U154" i="2"/>
  <c r="S154" i="2"/>
  <c r="Q154" i="2"/>
  <c r="O154" i="2"/>
  <c r="M154" i="2"/>
  <c r="K154" i="2"/>
  <c r="I154" i="2"/>
  <c r="G154" i="2"/>
  <c r="AC150" i="2"/>
  <c r="AA150" i="2"/>
  <c r="Y150" i="2"/>
  <c r="W150" i="2"/>
  <c r="U150" i="2"/>
  <c r="S150" i="2"/>
  <c r="Q150" i="2"/>
  <c r="O150" i="2"/>
  <c r="M150" i="2"/>
  <c r="K150" i="2"/>
  <c r="I150" i="2"/>
  <c r="G150" i="2"/>
  <c r="AE148" i="2"/>
  <c r="AE147" i="2"/>
  <c r="AE146" i="2"/>
  <c r="AE145" i="2"/>
  <c r="AE144" i="2"/>
  <c r="AE143" i="2"/>
  <c r="AE142" i="2"/>
  <c r="AE141" i="2"/>
  <c r="AE140" i="2"/>
  <c r="AC137" i="2"/>
  <c r="AA137" i="2"/>
  <c r="Y137" i="2"/>
  <c r="W137" i="2"/>
  <c r="U137" i="2"/>
  <c r="S137" i="2"/>
  <c r="Q137" i="2"/>
  <c r="O137" i="2"/>
  <c r="M137" i="2"/>
  <c r="K137" i="2"/>
  <c r="I137" i="2"/>
  <c r="G137" i="2"/>
  <c r="AE135" i="2"/>
  <c r="AE134" i="2"/>
  <c r="AE133" i="2"/>
  <c r="AE132" i="2"/>
  <c r="AE131" i="2"/>
  <c r="AE130" i="2"/>
  <c r="AE129" i="2"/>
  <c r="AE128" i="2"/>
  <c r="C50" i="1" s="1"/>
  <c r="P128" i="16" s="1"/>
  <c r="P132" i="16" s="1"/>
  <c r="P134" i="16" s="1"/>
  <c r="Q134" i="16" s="1"/>
  <c r="AC125" i="2"/>
  <c r="AA125" i="2"/>
  <c r="Y125" i="2"/>
  <c r="W125" i="2"/>
  <c r="U125" i="2"/>
  <c r="S125" i="2"/>
  <c r="Q125" i="2"/>
  <c r="O125" i="2"/>
  <c r="M125" i="2"/>
  <c r="K125" i="2"/>
  <c r="I125" i="2"/>
  <c r="G125" i="2"/>
  <c r="AE123" i="2"/>
  <c r="AE122" i="2"/>
  <c r="AC119" i="2"/>
  <c r="AA119" i="2"/>
  <c r="Y119" i="2"/>
  <c r="W119" i="2"/>
  <c r="U119" i="2"/>
  <c r="S119" i="2"/>
  <c r="Q119" i="2"/>
  <c r="O119" i="2"/>
  <c r="M119" i="2"/>
  <c r="K119" i="2"/>
  <c r="I119" i="2"/>
  <c r="G119" i="2"/>
  <c r="AE117" i="2"/>
  <c r="AE116" i="2"/>
  <c r="AE115" i="2"/>
  <c r="AE114" i="2"/>
  <c r="AE113" i="2"/>
  <c r="AE112" i="2"/>
  <c r="AE111" i="2"/>
  <c r="AE110" i="2"/>
  <c r="AE109" i="2"/>
  <c r="AE108" i="2"/>
  <c r="AE107" i="2"/>
  <c r="AE106" i="2"/>
  <c r="AE105" i="2"/>
  <c r="AE104" i="2"/>
  <c r="AE103" i="2"/>
  <c r="AE102" i="2"/>
  <c r="AE101" i="2"/>
  <c r="AE100" i="2"/>
  <c r="AE99" i="2"/>
  <c r="AE98" i="2"/>
  <c r="AC95" i="2"/>
  <c r="AA95" i="2"/>
  <c r="Y95" i="2"/>
  <c r="W95" i="2"/>
  <c r="U95" i="2"/>
  <c r="S95" i="2"/>
  <c r="Q95" i="2"/>
  <c r="O95" i="2"/>
  <c r="M95" i="2"/>
  <c r="K95" i="2"/>
  <c r="I95" i="2"/>
  <c r="G95" i="2"/>
  <c r="AE93" i="2"/>
  <c r="AE95" i="2" s="1"/>
  <c r="AC91" i="2"/>
  <c r="AC168" i="2" s="1"/>
  <c r="AA91" i="2"/>
  <c r="Y91" i="2"/>
  <c r="W91" i="2"/>
  <c r="U91" i="2"/>
  <c r="U168" i="2" s="1"/>
  <c r="S91" i="2"/>
  <c r="Q91" i="2"/>
  <c r="O91" i="2"/>
  <c r="M91" i="2"/>
  <c r="M168" i="2" s="1"/>
  <c r="K91" i="2"/>
  <c r="I91" i="2"/>
  <c r="G91" i="2"/>
  <c r="AE89" i="2"/>
  <c r="AE88" i="2"/>
  <c r="AE87" i="2"/>
  <c r="AE86" i="2"/>
  <c r="AE85" i="2"/>
  <c r="AE84" i="2"/>
  <c r="AE83" i="2"/>
  <c r="AE82" i="2"/>
  <c r="AE81" i="2"/>
  <c r="AE80" i="2"/>
  <c r="AE73" i="2"/>
  <c r="AC73" i="2"/>
  <c r="AA73" i="2"/>
  <c r="Y73" i="2"/>
  <c r="W73" i="2"/>
  <c r="U73" i="2"/>
  <c r="S73" i="2"/>
  <c r="Q73" i="2"/>
  <c r="O73" i="2"/>
  <c r="M73" i="2"/>
  <c r="K73" i="2"/>
  <c r="I73" i="2"/>
  <c r="G73" i="2"/>
  <c r="AC69" i="2"/>
  <c r="AA69" i="2"/>
  <c r="Y69" i="2"/>
  <c r="W69" i="2"/>
  <c r="U69" i="2"/>
  <c r="S69" i="2"/>
  <c r="Q69" i="2"/>
  <c r="O69" i="2"/>
  <c r="M69" i="2"/>
  <c r="K69" i="2"/>
  <c r="I69" i="2"/>
  <c r="G69" i="2"/>
  <c r="AE67" i="2"/>
  <c r="AE66" i="2"/>
  <c r="AE69" i="2" s="1"/>
  <c r="AC63" i="2"/>
  <c r="AA63" i="2"/>
  <c r="Y63" i="2"/>
  <c r="W63" i="2"/>
  <c r="U63" i="2"/>
  <c r="S63" i="2"/>
  <c r="Q63" i="2"/>
  <c r="O63" i="2"/>
  <c r="M63" i="2"/>
  <c r="K63" i="2"/>
  <c r="I63" i="2"/>
  <c r="G63" i="2"/>
  <c r="AE61" i="2"/>
  <c r="AE60" i="2"/>
  <c r="AE59" i="2"/>
  <c r="AE63" i="2" s="1"/>
  <c r="AE56" i="2"/>
  <c r="AC56" i="2"/>
  <c r="AA56" i="2"/>
  <c r="Y56" i="2"/>
  <c r="W56" i="2"/>
  <c r="U56" i="2"/>
  <c r="S56" i="2"/>
  <c r="Q56" i="2"/>
  <c r="O56" i="2"/>
  <c r="M56" i="2"/>
  <c r="K56" i="2"/>
  <c r="I56" i="2"/>
  <c r="G56" i="2"/>
  <c r="AC52" i="2"/>
  <c r="AC75" i="2" s="1"/>
  <c r="AA52" i="2"/>
  <c r="Y52" i="2"/>
  <c r="Y75" i="2" s="1"/>
  <c r="W52" i="2"/>
  <c r="W75" i="2" s="1"/>
  <c r="U52" i="2"/>
  <c r="U75" i="2" s="1"/>
  <c r="S52" i="2"/>
  <c r="Q52" i="2"/>
  <c r="Q75" i="2" s="1"/>
  <c r="O52" i="2"/>
  <c r="O75" i="2" s="1"/>
  <c r="M52" i="2"/>
  <c r="M75" i="2" s="1"/>
  <c r="K52" i="2"/>
  <c r="I52" i="2"/>
  <c r="I75" i="2" s="1"/>
  <c r="G52" i="2"/>
  <c r="G75" i="2" s="1"/>
  <c r="AE50" i="2"/>
  <c r="AE49" i="2"/>
  <c r="AE48" i="2"/>
  <c r="AE52" i="2" s="1"/>
  <c r="AC43" i="2"/>
  <c r="AA43" i="2"/>
  <c r="Y43" i="2"/>
  <c r="W43" i="2"/>
  <c r="U43" i="2"/>
  <c r="S43" i="2"/>
  <c r="Q43" i="2"/>
  <c r="O43" i="2"/>
  <c r="M43" i="2"/>
  <c r="K43" i="2"/>
  <c r="I43" i="2"/>
  <c r="G43" i="2"/>
  <c r="AE41" i="2"/>
  <c r="AE40" i="2"/>
  <c r="AE37" i="2"/>
  <c r="AC37" i="2"/>
  <c r="AA37" i="2"/>
  <c r="Y37" i="2"/>
  <c r="W37" i="2"/>
  <c r="U37" i="2"/>
  <c r="S37" i="2"/>
  <c r="Q37" i="2"/>
  <c r="O37" i="2"/>
  <c r="M37" i="2"/>
  <c r="K37" i="2"/>
  <c r="I37" i="2"/>
  <c r="G37" i="2"/>
  <c r="AE33" i="2"/>
  <c r="AC33" i="2"/>
  <c r="AA33" i="2"/>
  <c r="Y33" i="2"/>
  <c r="W33" i="2"/>
  <c r="U33" i="2"/>
  <c r="S33" i="2"/>
  <c r="Q33" i="2"/>
  <c r="O33" i="2"/>
  <c r="M33" i="2"/>
  <c r="K33" i="2"/>
  <c r="I33" i="2"/>
  <c r="G33" i="2"/>
  <c r="AC28" i="2"/>
  <c r="AA28" i="2"/>
  <c r="Y28" i="2"/>
  <c r="W28" i="2"/>
  <c r="U28" i="2"/>
  <c r="S28" i="2"/>
  <c r="Q28" i="2"/>
  <c r="O28" i="2"/>
  <c r="M28" i="2"/>
  <c r="K28" i="2"/>
  <c r="I28" i="2"/>
  <c r="G28" i="2"/>
  <c r="AE26" i="2"/>
  <c r="AE25" i="2"/>
  <c r="AE22" i="2"/>
  <c r="AC22" i="2"/>
  <c r="AA22" i="2"/>
  <c r="Y22" i="2"/>
  <c r="W22" i="2"/>
  <c r="U22" i="2"/>
  <c r="S22" i="2"/>
  <c r="Q22" i="2"/>
  <c r="O22" i="2"/>
  <c r="M22" i="2"/>
  <c r="K22" i="2"/>
  <c r="I22" i="2"/>
  <c r="G22" i="2"/>
  <c r="AC18" i="2"/>
  <c r="AA18" i="2"/>
  <c r="Y18" i="2"/>
  <c r="W18" i="2"/>
  <c r="U18" i="2"/>
  <c r="S18" i="2"/>
  <c r="Q18" i="2"/>
  <c r="O18" i="2"/>
  <c r="M18" i="2"/>
  <c r="K18" i="2"/>
  <c r="I18" i="2"/>
  <c r="G18" i="2"/>
  <c r="AE16" i="2"/>
  <c r="AE15" i="2"/>
  <c r="AE14" i="2"/>
  <c r="AE13" i="2"/>
  <c r="AE12" i="2"/>
  <c r="AE11" i="2"/>
  <c r="AE10" i="2"/>
  <c r="AE9" i="2"/>
  <c r="G191" i="1"/>
  <c r="D191" i="1"/>
  <c r="E190" i="1"/>
  <c r="E184" i="1"/>
  <c r="I184" i="1" s="1"/>
  <c r="G176" i="1"/>
  <c r="D176" i="1"/>
  <c r="G172" i="1"/>
  <c r="G169" i="1"/>
  <c r="E159" i="1"/>
  <c r="I159" i="1" s="1"/>
  <c r="G137" i="1"/>
  <c r="G128" i="1"/>
  <c r="D128" i="1"/>
  <c r="G122" i="1"/>
  <c r="D122" i="1"/>
  <c r="D119" i="1"/>
  <c r="G119" i="1"/>
  <c r="E116" i="1"/>
  <c r="I116" i="1" s="1"/>
  <c r="L116" i="1" s="1"/>
  <c r="G109" i="1"/>
  <c r="G106" i="1"/>
  <c r="N79" i="1"/>
  <c r="G71" i="1"/>
  <c r="D71" i="1"/>
  <c r="G64" i="1"/>
  <c r="G59" i="1"/>
  <c r="D59" i="1"/>
  <c r="G52" i="1"/>
  <c r="D52" i="1"/>
  <c r="G40" i="1"/>
  <c r="D40" i="1"/>
  <c r="G37" i="1"/>
  <c r="D37" i="1"/>
  <c r="G34" i="1"/>
  <c r="D34" i="1"/>
  <c r="G28" i="1"/>
  <c r="D28" i="1"/>
  <c r="G15" i="1"/>
  <c r="C67" i="3" l="1"/>
  <c r="D67" i="3" s="1"/>
  <c r="Q34" i="3" s="1"/>
  <c r="C137" i="1"/>
  <c r="B136" i="3"/>
  <c r="B138" i="3" s="1"/>
  <c r="V44" i="3" s="1"/>
  <c r="K118" i="1"/>
  <c r="R118" i="1" s="1"/>
  <c r="S118" i="1" s="1"/>
  <c r="U118" i="1" s="1"/>
  <c r="G195" i="1"/>
  <c r="AB32" i="9"/>
  <c r="AB34" i="9" s="1"/>
  <c r="AB44" i="9" s="1"/>
  <c r="R201" i="1" s="1"/>
  <c r="E9" i="18" s="1"/>
  <c r="W32" i="9"/>
  <c r="S13" i="1"/>
  <c r="U13" i="1" s="1"/>
  <c r="R15" i="1"/>
  <c r="S14" i="1"/>
  <c r="U14" i="1" s="1"/>
  <c r="C65" i="3"/>
  <c r="D65" i="3" s="1"/>
  <c r="D193" i="1" s="1"/>
  <c r="E193" i="1" s="1"/>
  <c r="I193" i="1" s="1"/>
  <c r="P193" i="1" s="1"/>
  <c r="E24" i="1"/>
  <c r="I24" i="1" s="1"/>
  <c r="P92" i="16"/>
  <c r="E57" i="1"/>
  <c r="I57" i="1" s="1"/>
  <c r="P75" i="16"/>
  <c r="E102" i="1"/>
  <c r="I102" i="1" s="1"/>
  <c r="P145" i="16"/>
  <c r="E20" i="1"/>
  <c r="I20" i="1" s="1"/>
  <c r="P88" i="16"/>
  <c r="P77" i="16"/>
  <c r="P79" i="16" s="1"/>
  <c r="Q79" i="16" s="1"/>
  <c r="E22" i="1"/>
  <c r="I22" i="1" s="1"/>
  <c r="P90" i="16"/>
  <c r="B24" i="7"/>
  <c r="B25" i="7" s="1"/>
  <c r="C79" i="1"/>
  <c r="P149" i="16"/>
  <c r="P152" i="16" s="1"/>
  <c r="Q152" i="16" s="1"/>
  <c r="B53" i="3"/>
  <c r="AH46" i="15"/>
  <c r="K12" i="1"/>
  <c r="B91" i="3"/>
  <c r="B93" i="3" s="1"/>
  <c r="E114" i="3"/>
  <c r="U46" i="3" s="1"/>
  <c r="C118" i="3"/>
  <c r="E118" i="3" s="1"/>
  <c r="U50" i="3" s="1"/>
  <c r="E75" i="1"/>
  <c r="I75" i="1" s="1"/>
  <c r="I50" i="7"/>
  <c r="I51" i="7" s="1"/>
  <c r="E147" i="1"/>
  <c r="I147" i="1" s="1"/>
  <c r="L147" i="1" s="1"/>
  <c r="C62" i="3"/>
  <c r="D143" i="1"/>
  <c r="D63" i="3"/>
  <c r="Q45" i="3" s="1"/>
  <c r="Q61" i="3" s="1"/>
  <c r="D163" i="1"/>
  <c r="E163" i="1" s="1"/>
  <c r="I163" i="1" s="1"/>
  <c r="Y47" i="3"/>
  <c r="D167" i="1"/>
  <c r="E167" i="1" s="1"/>
  <c r="I167" i="1" s="1"/>
  <c r="Y51" i="3"/>
  <c r="E77" i="1"/>
  <c r="I77" i="1" s="1"/>
  <c r="B50" i="7"/>
  <c r="B52" i="7" s="1"/>
  <c r="B53" i="7" s="1"/>
  <c r="B108" i="3"/>
  <c r="C116" i="3"/>
  <c r="E116" i="3" s="1"/>
  <c r="U48" i="3" s="1"/>
  <c r="G16" i="3"/>
  <c r="H16" i="3" s="1"/>
  <c r="N12" i="3" s="1"/>
  <c r="C117" i="3"/>
  <c r="E117" i="3" s="1"/>
  <c r="U49" i="3" s="1"/>
  <c r="M32" i="9"/>
  <c r="S32" i="9"/>
  <c r="S34" i="9" s="1"/>
  <c r="S44" i="9" s="1"/>
  <c r="M201" i="1" s="1"/>
  <c r="Q34" i="9"/>
  <c r="L32" i="9"/>
  <c r="R32" i="9"/>
  <c r="R34" i="9" s="1"/>
  <c r="R44" i="9" s="1"/>
  <c r="L201" i="1" s="1"/>
  <c r="K166" i="1"/>
  <c r="K34" i="9"/>
  <c r="C108" i="1"/>
  <c r="L159" i="1"/>
  <c r="K159" i="1"/>
  <c r="L151" i="1"/>
  <c r="K151" i="1"/>
  <c r="L33" i="1"/>
  <c r="K33" i="1"/>
  <c r="L124" i="1"/>
  <c r="K124" i="1"/>
  <c r="L131" i="1"/>
  <c r="K131" i="1"/>
  <c r="L68" i="1"/>
  <c r="K68" i="1"/>
  <c r="L46" i="1"/>
  <c r="K46" i="1"/>
  <c r="L142" i="1"/>
  <c r="K142" i="1"/>
  <c r="L156" i="1"/>
  <c r="K156" i="1"/>
  <c r="K116" i="1"/>
  <c r="L24" i="1"/>
  <c r="K24" i="1"/>
  <c r="L62" i="1"/>
  <c r="K62" i="1"/>
  <c r="L125" i="1"/>
  <c r="K125" i="1"/>
  <c r="L150" i="1"/>
  <c r="K150" i="1"/>
  <c r="L43" i="1"/>
  <c r="K43" i="1"/>
  <c r="L44" i="1"/>
  <c r="K44" i="1"/>
  <c r="L132" i="1"/>
  <c r="K132" i="1"/>
  <c r="L70" i="1"/>
  <c r="K70" i="1"/>
  <c r="L139" i="1"/>
  <c r="K139" i="1"/>
  <c r="L148" i="1"/>
  <c r="K148" i="1"/>
  <c r="L155" i="1"/>
  <c r="K155" i="1"/>
  <c r="L184" i="1"/>
  <c r="K184" i="1"/>
  <c r="L57" i="1"/>
  <c r="K57" i="1"/>
  <c r="L102" i="1"/>
  <c r="K102" i="1"/>
  <c r="B47" i="3"/>
  <c r="L114" i="1"/>
  <c r="K114" i="1"/>
  <c r="L130" i="1"/>
  <c r="K130" i="1"/>
  <c r="L32" i="1"/>
  <c r="K32" i="1"/>
  <c r="L63" i="1"/>
  <c r="K63" i="1"/>
  <c r="L91" i="1"/>
  <c r="K91" i="1"/>
  <c r="L158" i="1"/>
  <c r="K158" i="1"/>
  <c r="L126" i="1"/>
  <c r="K126" i="1"/>
  <c r="L22" i="1"/>
  <c r="K22" i="1"/>
  <c r="L115" i="1"/>
  <c r="K115" i="1"/>
  <c r="L127" i="1"/>
  <c r="K127" i="1"/>
  <c r="L183" i="1"/>
  <c r="K183" i="1"/>
  <c r="L20" i="1"/>
  <c r="K20" i="1"/>
  <c r="L69" i="1"/>
  <c r="K69" i="1"/>
  <c r="L86" i="1"/>
  <c r="K86" i="1"/>
  <c r="L153" i="1"/>
  <c r="K153" i="1"/>
  <c r="G9" i="3"/>
  <c r="G17" i="3"/>
  <c r="H17" i="3" s="1"/>
  <c r="N14" i="3" s="1"/>
  <c r="G11" i="3"/>
  <c r="H11" i="3" s="1"/>
  <c r="N10" i="3" s="1"/>
  <c r="G14" i="3"/>
  <c r="H14" i="3" s="1"/>
  <c r="E94" i="1"/>
  <c r="I94" i="1" s="1"/>
  <c r="C98" i="1"/>
  <c r="E174" i="1"/>
  <c r="E146" i="1"/>
  <c r="I146" i="1" s="1"/>
  <c r="E182" i="1"/>
  <c r="I182" i="1" s="1"/>
  <c r="E154" i="1"/>
  <c r="I154" i="1" s="1"/>
  <c r="C160" i="1"/>
  <c r="E23" i="1"/>
  <c r="I23" i="1" s="1"/>
  <c r="E178" i="1"/>
  <c r="E50" i="1"/>
  <c r="I50" i="1" s="1"/>
  <c r="E141" i="1"/>
  <c r="I141" i="1" s="1"/>
  <c r="E104" i="1"/>
  <c r="I104" i="1" s="1"/>
  <c r="C122" i="1"/>
  <c r="E168" i="1"/>
  <c r="I168" i="1" s="1"/>
  <c r="E175" i="1"/>
  <c r="I175" i="1" s="1"/>
  <c r="E121" i="1"/>
  <c r="I121" i="1" s="1"/>
  <c r="E152" i="1"/>
  <c r="I152" i="1" s="1"/>
  <c r="E105" i="1"/>
  <c r="I105" i="1" s="1"/>
  <c r="E113" i="1"/>
  <c r="I113" i="1" s="1"/>
  <c r="E143" i="1"/>
  <c r="I143" i="1" s="1"/>
  <c r="C64" i="1"/>
  <c r="E56" i="1"/>
  <c r="I56" i="1" s="1"/>
  <c r="C52" i="1"/>
  <c r="E58" i="1"/>
  <c r="I58" i="1" s="1"/>
  <c r="C106" i="1"/>
  <c r="E112" i="1"/>
  <c r="I112" i="1" s="1"/>
  <c r="E36" i="1"/>
  <c r="E37" i="1" s="1"/>
  <c r="E103" i="1"/>
  <c r="I103" i="1" s="1"/>
  <c r="E55" i="1"/>
  <c r="I55" i="1" s="1"/>
  <c r="E31" i="1"/>
  <c r="I31" i="1" s="1"/>
  <c r="E145" i="1"/>
  <c r="I145" i="1" s="1"/>
  <c r="E30" i="1"/>
  <c r="I42" i="1"/>
  <c r="E61" i="1"/>
  <c r="E64" i="1" s="1"/>
  <c r="E67" i="1"/>
  <c r="I67" i="1" s="1"/>
  <c r="C48" i="1"/>
  <c r="C134" i="1"/>
  <c r="C25" i="1"/>
  <c r="C37" i="1"/>
  <c r="C40" i="1"/>
  <c r="E47" i="1"/>
  <c r="I47" i="1" s="1"/>
  <c r="E133" i="1"/>
  <c r="E134" i="1" s="1"/>
  <c r="E149" i="1"/>
  <c r="I149" i="1" s="1"/>
  <c r="E157" i="1"/>
  <c r="I157" i="1" s="1"/>
  <c r="C188" i="1"/>
  <c r="E187" i="1"/>
  <c r="I187" i="1" s="1"/>
  <c r="C83" i="1"/>
  <c r="C59" i="1"/>
  <c r="C71" i="1"/>
  <c r="C169" i="1"/>
  <c r="I82" i="1"/>
  <c r="E81" i="1"/>
  <c r="E83" i="1" s="1"/>
  <c r="C15" i="1"/>
  <c r="C109" i="1"/>
  <c r="C185" i="1"/>
  <c r="I223" i="2"/>
  <c r="Q223" i="2"/>
  <c r="Y223" i="2"/>
  <c r="K223" i="2"/>
  <c r="S223" i="2"/>
  <c r="AA223" i="2"/>
  <c r="M45" i="2"/>
  <c r="U45" i="2"/>
  <c r="AC45" i="2"/>
  <c r="AA45" i="2"/>
  <c r="I45" i="2"/>
  <c r="I77" i="2" s="1"/>
  <c r="Q45" i="2"/>
  <c r="Q77" i="2" s="1"/>
  <c r="Y45" i="2"/>
  <c r="AE28" i="2"/>
  <c r="AE45" i="2" s="1"/>
  <c r="AE43" i="2"/>
  <c r="AE91" i="2"/>
  <c r="K168" i="2"/>
  <c r="S168" i="2"/>
  <c r="AA168" i="2"/>
  <c r="AE119" i="2"/>
  <c r="AE125" i="2"/>
  <c r="AE162" i="2"/>
  <c r="AE243" i="2"/>
  <c r="S45" i="2"/>
  <c r="G168" i="2"/>
  <c r="O168" i="2"/>
  <c r="W168" i="2"/>
  <c r="AE137" i="2"/>
  <c r="AE150" i="2"/>
  <c r="G223" i="2"/>
  <c r="O223" i="2"/>
  <c r="W223" i="2"/>
  <c r="K45" i="2"/>
  <c r="AE18" i="2"/>
  <c r="G45" i="2"/>
  <c r="G77" i="2" s="1"/>
  <c r="G170" i="2" s="1"/>
  <c r="G226" i="2" s="1"/>
  <c r="O45" i="2"/>
  <c r="O77" i="2" s="1"/>
  <c r="O170" i="2" s="1"/>
  <c r="O226" i="2" s="1"/>
  <c r="W45" i="2"/>
  <c r="K75" i="2"/>
  <c r="S75" i="2"/>
  <c r="AA75" i="2"/>
  <c r="AA77" i="2" s="1"/>
  <c r="AE239" i="2"/>
  <c r="Y77" i="2"/>
  <c r="M77" i="2"/>
  <c r="M170" i="2" s="1"/>
  <c r="U77" i="2"/>
  <c r="U170" i="2" s="1"/>
  <c r="AC77" i="2"/>
  <c r="AC170" i="2" s="1"/>
  <c r="AE75" i="2"/>
  <c r="W77" i="2"/>
  <c r="W170" i="2" s="1"/>
  <c r="G245" i="2"/>
  <c r="M245" i="2"/>
  <c r="S245" i="2"/>
  <c r="Y245" i="2"/>
  <c r="AE217" i="2"/>
  <c r="AE223" i="2" s="1"/>
  <c r="I245" i="2"/>
  <c r="O245" i="2"/>
  <c r="U245" i="2"/>
  <c r="AA245" i="2"/>
  <c r="I168" i="2"/>
  <c r="I170" i="2" s="1"/>
  <c r="I226" i="2" s="1"/>
  <c r="Q168" i="2"/>
  <c r="Q170" i="2" s="1"/>
  <c r="Q226" i="2" s="1"/>
  <c r="Y168" i="2"/>
  <c r="M223" i="2"/>
  <c r="U223" i="2"/>
  <c r="AC223" i="2"/>
  <c r="AE235" i="2"/>
  <c r="E28" i="1"/>
  <c r="I27" i="1"/>
  <c r="C28" i="1"/>
  <c r="E54" i="1"/>
  <c r="C34" i="1"/>
  <c r="E51" i="1"/>
  <c r="I51" i="1" s="1"/>
  <c r="E90" i="1"/>
  <c r="E92" i="1" s="1"/>
  <c r="E100" i="1"/>
  <c r="D106" i="1"/>
  <c r="I128" i="1"/>
  <c r="E21" i="1"/>
  <c r="E39" i="1"/>
  <c r="E45" i="1"/>
  <c r="E85" i="1"/>
  <c r="C119" i="1"/>
  <c r="E128" i="1"/>
  <c r="E66" i="1"/>
  <c r="E101" i="1"/>
  <c r="I101" i="1" s="1"/>
  <c r="E111" i="1"/>
  <c r="I117" i="1"/>
  <c r="E140" i="1"/>
  <c r="C128" i="1"/>
  <c r="E191" i="1"/>
  <c r="I190" i="1"/>
  <c r="C172" i="1"/>
  <c r="E181" i="1"/>
  <c r="C191" i="1"/>
  <c r="C176" i="1"/>
  <c r="M118" i="1" l="1"/>
  <c r="D136" i="1"/>
  <c r="V61" i="3"/>
  <c r="Y44" i="3"/>
  <c r="P93" i="16"/>
  <c r="P95" i="16" s="1"/>
  <c r="Q95" i="16" s="1"/>
  <c r="D87" i="1"/>
  <c r="Y34" i="3"/>
  <c r="R70" i="1"/>
  <c r="S70" i="1" s="1"/>
  <c r="R44" i="1"/>
  <c r="S44" i="1" s="1"/>
  <c r="R150" i="1"/>
  <c r="S150" i="1" s="1"/>
  <c r="U150" i="1" s="1"/>
  <c r="U62" i="1"/>
  <c r="R62" i="1"/>
  <c r="S62" i="1" s="1"/>
  <c r="R86" i="1"/>
  <c r="S86" i="1" s="1"/>
  <c r="S20" i="1"/>
  <c r="U20" i="1" s="1"/>
  <c r="R20" i="1"/>
  <c r="R22" i="1"/>
  <c r="S22" i="1" s="1"/>
  <c r="U22" i="1"/>
  <c r="R32" i="1"/>
  <c r="S32" i="1" s="1"/>
  <c r="R46" i="1"/>
  <c r="S46" i="1" s="1"/>
  <c r="U46" i="1"/>
  <c r="R131" i="1"/>
  <c r="S131" i="1" s="1"/>
  <c r="R33" i="1"/>
  <c r="S33" i="1" s="1"/>
  <c r="U33" i="1"/>
  <c r="R159" i="1"/>
  <c r="S159" i="1" s="1"/>
  <c r="R57" i="1"/>
  <c r="S57" i="1" s="1"/>
  <c r="R132" i="1"/>
  <c r="S132" i="1" s="1"/>
  <c r="R43" i="1"/>
  <c r="S43" i="1" s="1"/>
  <c r="U43" i="1"/>
  <c r="R125" i="1"/>
  <c r="S125" i="1" s="1"/>
  <c r="U125" i="1" s="1"/>
  <c r="R24" i="1"/>
  <c r="S24" i="1" s="1"/>
  <c r="U24" i="1"/>
  <c r="R153" i="1"/>
  <c r="S153" i="1" s="1"/>
  <c r="R69" i="1"/>
  <c r="S69" i="1" s="1"/>
  <c r="R115" i="1"/>
  <c r="S115" i="1" s="1"/>
  <c r="R126" i="1"/>
  <c r="S126" i="1" s="1"/>
  <c r="U126" i="1" s="1"/>
  <c r="R91" i="1"/>
  <c r="S91" i="1" s="1"/>
  <c r="R63" i="1"/>
  <c r="R130" i="1"/>
  <c r="S130" i="1" s="1"/>
  <c r="R142" i="1"/>
  <c r="S142" i="1" s="1"/>
  <c r="R68" i="1"/>
  <c r="S68" i="1" s="1"/>
  <c r="R124" i="1"/>
  <c r="S124" i="1" s="1"/>
  <c r="R151" i="1"/>
  <c r="S151" i="1" s="1"/>
  <c r="R183" i="1"/>
  <c r="S183" i="1" s="1"/>
  <c r="X32" i="9"/>
  <c r="Z32" i="9" s="1"/>
  <c r="R102" i="1"/>
  <c r="S102" i="1" s="1"/>
  <c r="U102" i="1" s="1"/>
  <c r="R184" i="1"/>
  <c r="R148" i="1"/>
  <c r="S148" i="1" s="1"/>
  <c r="U148" i="1" s="1"/>
  <c r="M116" i="1"/>
  <c r="P116" i="1" s="1"/>
  <c r="R116" i="1"/>
  <c r="S116" i="1" s="1"/>
  <c r="U116" i="1" s="1"/>
  <c r="R127" i="1"/>
  <c r="R128" i="1" s="1"/>
  <c r="R158" i="1"/>
  <c r="R114" i="1"/>
  <c r="S114" i="1" s="1"/>
  <c r="U114" i="1" s="1"/>
  <c r="R156" i="1"/>
  <c r="S156" i="1" s="1"/>
  <c r="R155" i="1"/>
  <c r="S155" i="1" s="1"/>
  <c r="R139" i="1"/>
  <c r="S139" i="1" s="1"/>
  <c r="U139" i="1" s="1"/>
  <c r="O32" i="9"/>
  <c r="E7" i="18"/>
  <c r="E33" i="18" s="1"/>
  <c r="E35" i="18" s="1"/>
  <c r="R166" i="1"/>
  <c r="W34" i="9"/>
  <c r="W44" i="9" s="1"/>
  <c r="AC32" i="9"/>
  <c r="AC34" i="9" s="1"/>
  <c r="AC44" i="9" s="1"/>
  <c r="S201" i="1" s="1"/>
  <c r="E9" i="19" s="1"/>
  <c r="B104" i="3"/>
  <c r="B106" i="3" s="1"/>
  <c r="B109" i="3" s="1"/>
  <c r="T37" i="3" s="1"/>
  <c r="S12" i="1"/>
  <c r="S15" i="1" s="1"/>
  <c r="K117" i="1"/>
  <c r="AJ46" i="15"/>
  <c r="AH47" i="15"/>
  <c r="M12" i="1"/>
  <c r="P12" i="1" s="1"/>
  <c r="I16" i="3"/>
  <c r="U61" i="3"/>
  <c r="K147" i="1"/>
  <c r="M147" i="1" s="1"/>
  <c r="P147" i="1" s="1"/>
  <c r="K77" i="1"/>
  <c r="K75" i="1"/>
  <c r="L168" i="1"/>
  <c r="K168" i="1"/>
  <c r="D166" i="1"/>
  <c r="E166" i="1" s="1"/>
  <c r="I166" i="1" s="1"/>
  <c r="Y50" i="3"/>
  <c r="K82" i="1"/>
  <c r="Y46" i="3"/>
  <c r="D162" i="1"/>
  <c r="D165" i="1"/>
  <c r="E165" i="1" s="1"/>
  <c r="I165" i="1" s="1"/>
  <c r="P165" i="1" s="1"/>
  <c r="Y49" i="3"/>
  <c r="D164" i="1"/>
  <c r="E164" i="1" s="1"/>
  <c r="I164" i="1" s="1"/>
  <c r="P164" i="1" s="1"/>
  <c r="Y48" i="3"/>
  <c r="C120" i="3"/>
  <c r="E120" i="3" s="1"/>
  <c r="U32" i="9"/>
  <c r="K44" i="9"/>
  <c r="U34" i="9"/>
  <c r="Q44" i="9"/>
  <c r="L166" i="1"/>
  <c r="L34" i="9"/>
  <c r="L44" i="9" s="1"/>
  <c r="M166" i="1"/>
  <c r="M34" i="9"/>
  <c r="M44" i="9" s="1"/>
  <c r="Y10" i="3"/>
  <c r="D9" i="1"/>
  <c r="E9" i="1" s="1"/>
  <c r="I9" i="1" s="1"/>
  <c r="Y12" i="3"/>
  <c r="D11" i="1"/>
  <c r="E11" i="1" s="1"/>
  <c r="I11" i="1" s="1"/>
  <c r="B57" i="7" s="1"/>
  <c r="B58" i="7" s="1"/>
  <c r="B34" i="3" s="1"/>
  <c r="Y14" i="3"/>
  <c r="D13" i="1"/>
  <c r="E13" i="1" s="1"/>
  <c r="I13" i="1" s="1"/>
  <c r="K143" i="1"/>
  <c r="M46" i="1"/>
  <c r="P46" i="1" s="1"/>
  <c r="M131" i="1"/>
  <c r="M33" i="1"/>
  <c r="P33" i="1" s="1"/>
  <c r="M159" i="1"/>
  <c r="W226" i="2"/>
  <c r="M125" i="1"/>
  <c r="P125" i="1" s="1"/>
  <c r="M151" i="1"/>
  <c r="P151" i="1" s="1"/>
  <c r="M86" i="1"/>
  <c r="P86" i="1" s="1"/>
  <c r="M20" i="1"/>
  <c r="M158" i="1"/>
  <c r="P158" i="1" s="1"/>
  <c r="M63" i="1"/>
  <c r="P63" i="1" s="1"/>
  <c r="M57" i="1"/>
  <c r="P57" i="1" s="1"/>
  <c r="M156" i="1"/>
  <c r="P156" i="1" s="1"/>
  <c r="M139" i="1"/>
  <c r="P139" i="1" s="1"/>
  <c r="AA170" i="2"/>
  <c r="AA226" i="2" s="1"/>
  <c r="M153" i="1"/>
  <c r="P153" i="1" s="1"/>
  <c r="M115" i="1"/>
  <c r="P115" i="1" s="1"/>
  <c r="M155" i="1"/>
  <c r="P155" i="1" s="1"/>
  <c r="M127" i="1"/>
  <c r="P127" i="1" s="1"/>
  <c r="M70" i="1"/>
  <c r="P70" i="1" s="1"/>
  <c r="M184" i="1"/>
  <c r="P184" i="1" s="1"/>
  <c r="M148" i="1"/>
  <c r="P148" i="1" s="1"/>
  <c r="M102" i="1"/>
  <c r="P102" i="1" s="1"/>
  <c r="M150" i="1"/>
  <c r="P150" i="1" s="1"/>
  <c r="M126" i="1"/>
  <c r="P126" i="1" s="1"/>
  <c r="M183" i="1"/>
  <c r="P183" i="1" s="1"/>
  <c r="M32" i="1"/>
  <c r="P32" i="1" s="1"/>
  <c r="M114" i="1"/>
  <c r="P114" i="1" s="1"/>
  <c r="M43" i="1"/>
  <c r="P43" i="1" s="1"/>
  <c r="M62" i="1"/>
  <c r="P62" i="1" s="1"/>
  <c r="M68" i="1"/>
  <c r="P68" i="1" s="1"/>
  <c r="L51" i="1"/>
  <c r="K51" i="1"/>
  <c r="L27" i="1"/>
  <c r="L28" i="1" s="1"/>
  <c r="K27" i="1"/>
  <c r="M187" i="1"/>
  <c r="M188" i="1" s="1"/>
  <c r="L67" i="1"/>
  <c r="K67" i="1"/>
  <c r="L145" i="1"/>
  <c r="K145" i="1"/>
  <c r="L113" i="1"/>
  <c r="K113" i="1"/>
  <c r="L175" i="1"/>
  <c r="K175" i="1"/>
  <c r="L141" i="1"/>
  <c r="K141" i="1"/>
  <c r="E176" i="1"/>
  <c r="I95" i="1"/>
  <c r="L94" i="1"/>
  <c r="L95" i="1" s="1"/>
  <c r="K94" i="1"/>
  <c r="L31" i="1"/>
  <c r="K31" i="1"/>
  <c r="L112" i="1"/>
  <c r="K112" i="1"/>
  <c r="L56" i="1"/>
  <c r="K56" i="1"/>
  <c r="L105" i="1"/>
  <c r="K105" i="1"/>
  <c r="L50" i="1"/>
  <c r="K50" i="1"/>
  <c r="L154" i="1"/>
  <c r="K154" i="1"/>
  <c r="L190" i="1"/>
  <c r="L191" i="1" s="1"/>
  <c r="K190" i="1"/>
  <c r="L101" i="1"/>
  <c r="K101" i="1"/>
  <c r="L157" i="1"/>
  <c r="K157" i="1"/>
  <c r="L47" i="1"/>
  <c r="K47" i="1"/>
  <c r="L42" i="1"/>
  <c r="K42" i="1"/>
  <c r="L55" i="1"/>
  <c r="K55" i="1"/>
  <c r="L152" i="1"/>
  <c r="K152" i="1"/>
  <c r="L182" i="1"/>
  <c r="K182" i="1"/>
  <c r="P163" i="1"/>
  <c r="P167" i="1"/>
  <c r="M44" i="1"/>
  <c r="P44" i="1" s="1"/>
  <c r="P159" i="1"/>
  <c r="L149" i="1"/>
  <c r="K149" i="1"/>
  <c r="L103" i="1"/>
  <c r="K103" i="1"/>
  <c r="L58" i="1"/>
  <c r="K58" i="1"/>
  <c r="L121" i="1"/>
  <c r="L122" i="1" s="1"/>
  <c r="K121" i="1"/>
  <c r="L104" i="1"/>
  <c r="K104" i="1"/>
  <c r="R104" i="1" s="1"/>
  <c r="S104" i="1" s="1"/>
  <c r="U104" i="1" s="1"/>
  <c r="L23" i="1"/>
  <c r="K23" i="1"/>
  <c r="L146" i="1"/>
  <c r="K146" i="1"/>
  <c r="M69" i="1"/>
  <c r="P69" i="1" s="1"/>
  <c r="L128" i="1"/>
  <c r="M22" i="1"/>
  <c r="P22" i="1" s="1"/>
  <c r="M91" i="1"/>
  <c r="P91" i="1" s="1"/>
  <c r="M130" i="1"/>
  <c r="P130" i="1" s="1"/>
  <c r="M132" i="1"/>
  <c r="P132" i="1" s="1"/>
  <c r="M24" i="1"/>
  <c r="P24" i="1" s="1"/>
  <c r="M142" i="1"/>
  <c r="P142" i="1" s="1"/>
  <c r="P131" i="1"/>
  <c r="M124" i="1"/>
  <c r="P124" i="1" s="1"/>
  <c r="N11" i="3"/>
  <c r="I11" i="3"/>
  <c r="G18" i="3"/>
  <c r="H9" i="3"/>
  <c r="N9" i="3" s="1"/>
  <c r="I174" i="1"/>
  <c r="I176" i="1" s="1"/>
  <c r="I14" i="3"/>
  <c r="I17" i="3"/>
  <c r="C195" i="1"/>
  <c r="E95" i="1"/>
  <c r="E122" i="1"/>
  <c r="E25" i="1"/>
  <c r="I178" i="1"/>
  <c r="E179" i="1"/>
  <c r="E34" i="1"/>
  <c r="E48" i="1"/>
  <c r="I30" i="1"/>
  <c r="I133" i="1"/>
  <c r="I61" i="1"/>
  <c r="I36" i="1"/>
  <c r="P20" i="1"/>
  <c r="E188" i="1"/>
  <c r="I188" i="1"/>
  <c r="I81" i="1"/>
  <c r="S77" i="2"/>
  <c r="S170" i="2" s="1"/>
  <c r="S226" i="2" s="1"/>
  <c r="S228" i="2" s="1"/>
  <c r="K77" i="2"/>
  <c r="K170" i="2" s="1"/>
  <c r="K226" i="2" s="1"/>
  <c r="AE168" i="2"/>
  <c r="AE245" i="2"/>
  <c r="Q247" i="2"/>
  <c r="Q261" i="2" s="1"/>
  <c r="Q267" i="2" s="1"/>
  <c r="Q273" i="2" s="1"/>
  <c r="Q279" i="2" s="1"/>
  <c r="Q228" i="2"/>
  <c r="I247" i="2"/>
  <c r="I261" i="2" s="1"/>
  <c r="I267" i="2" s="1"/>
  <c r="I273" i="2" s="1"/>
  <c r="I279" i="2" s="1"/>
  <c r="I228" i="2"/>
  <c r="G228" i="2"/>
  <c r="G247" i="2"/>
  <c r="G261" i="2" s="1"/>
  <c r="G267" i="2" s="1"/>
  <c r="G273" i="2" s="1"/>
  <c r="G279" i="2" s="1"/>
  <c r="Y170" i="2"/>
  <c r="Y226" i="2" s="1"/>
  <c r="O247" i="2"/>
  <c r="O261" i="2" s="1"/>
  <c r="O267" i="2" s="1"/>
  <c r="O273" i="2" s="1"/>
  <c r="O279" i="2" s="1"/>
  <c r="O228" i="2"/>
  <c r="AC226" i="2"/>
  <c r="M226" i="2"/>
  <c r="AE77" i="2"/>
  <c r="AA228" i="2"/>
  <c r="AA247" i="2"/>
  <c r="AA261" i="2" s="1"/>
  <c r="AA267" i="2" s="1"/>
  <c r="AA273" i="2" s="1"/>
  <c r="AA279" i="2" s="1"/>
  <c r="W247" i="2"/>
  <c r="W261" i="2" s="1"/>
  <c r="W267" i="2" s="1"/>
  <c r="W273" i="2" s="1"/>
  <c r="W279" i="2" s="1"/>
  <c r="W228" i="2"/>
  <c r="U226" i="2"/>
  <c r="K28" i="1"/>
  <c r="I28" i="1"/>
  <c r="E119" i="1"/>
  <c r="I111" i="1"/>
  <c r="E106" i="1"/>
  <c r="I100" i="1"/>
  <c r="I52" i="1"/>
  <c r="P118" i="1"/>
  <c r="I140" i="1"/>
  <c r="I45" i="1"/>
  <c r="E185" i="1"/>
  <c r="I181" i="1"/>
  <c r="I122" i="1"/>
  <c r="I85" i="1"/>
  <c r="I39" i="1"/>
  <c r="E40" i="1"/>
  <c r="K128" i="1"/>
  <c r="I90" i="1"/>
  <c r="E59" i="1"/>
  <c r="I54" i="1"/>
  <c r="I191" i="1"/>
  <c r="E71" i="1"/>
  <c r="I66" i="1"/>
  <c r="I21" i="1"/>
  <c r="E52" i="1"/>
  <c r="U124" i="1" l="1"/>
  <c r="U153" i="1"/>
  <c r="U91" i="1"/>
  <c r="U159" i="1"/>
  <c r="U131" i="1"/>
  <c r="D88" i="1"/>
  <c r="E87" i="1"/>
  <c r="U86" i="1"/>
  <c r="D137" i="1"/>
  <c r="E136" i="1"/>
  <c r="R51" i="1"/>
  <c r="S51" i="1" s="1"/>
  <c r="U51" i="1" s="1"/>
  <c r="U142" i="1"/>
  <c r="S63" i="1"/>
  <c r="U63" i="1" s="1"/>
  <c r="U44" i="1"/>
  <c r="R58" i="1"/>
  <c r="S58" i="1" s="1"/>
  <c r="R149" i="1"/>
  <c r="S149" i="1" s="1"/>
  <c r="R152" i="1"/>
  <c r="S152" i="1" s="1"/>
  <c r="R42" i="1"/>
  <c r="K191" i="1"/>
  <c r="R190" i="1"/>
  <c r="R56" i="1"/>
  <c r="S56" i="1" s="1"/>
  <c r="U31" i="1"/>
  <c r="R31" i="1"/>
  <c r="S31" i="1" s="1"/>
  <c r="R175" i="1"/>
  <c r="S175" i="1" s="1"/>
  <c r="R145" i="1"/>
  <c r="S145" i="1" s="1"/>
  <c r="R27" i="1"/>
  <c r="M168" i="1"/>
  <c r="M169" i="1" s="1"/>
  <c r="R168" i="1"/>
  <c r="S168" i="1" s="1"/>
  <c r="U151" i="1"/>
  <c r="U68" i="1"/>
  <c r="U130" i="1"/>
  <c r="U69" i="1"/>
  <c r="U57" i="1"/>
  <c r="U70" i="1"/>
  <c r="R23" i="1"/>
  <c r="S23" i="1" s="1"/>
  <c r="R55" i="1"/>
  <c r="S55" i="1" s="1"/>
  <c r="R47" i="1"/>
  <c r="S47" i="1" s="1"/>
  <c r="R94" i="1"/>
  <c r="R67" i="1"/>
  <c r="S67" i="1" s="1"/>
  <c r="S82" i="1"/>
  <c r="S83" i="1" s="1"/>
  <c r="U115" i="1"/>
  <c r="U132" i="1"/>
  <c r="U32" i="1"/>
  <c r="X34" i="9"/>
  <c r="Z34" i="9" s="1"/>
  <c r="B37" i="3"/>
  <c r="D74" i="1"/>
  <c r="D73" i="1" s="1"/>
  <c r="S166" i="1"/>
  <c r="U166" i="1" s="1"/>
  <c r="U12" i="1"/>
  <c r="U15" i="1" s="1"/>
  <c r="R182" i="1"/>
  <c r="S182" i="1" s="1"/>
  <c r="R141" i="1"/>
  <c r="S141" i="1" s="1"/>
  <c r="R50" i="1"/>
  <c r="U183" i="1"/>
  <c r="M77" i="1"/>
  <c r="P77" i="1" s="1"/>
  <c r="R77" i="1"/>
  <c r="U77" i="1" s="1"/>
  <c r="S127" i="1"/>
  <c r="U127" i="1" s="1"/>
  <c r="U128" i="1" s="1"/>
  <c r="U155" i="1"/>
  <c r="U156" i="1"/>
  <c r="K122" i="1"/>
  <c r="R121" i="1"/>
  <c r="R122" i="1" s="1"/>
  <c r="R103" i="1"/>
  <c r="S103" i="1" s="1"/>
  <c r="U103" i="1" s="1"/>
  <c r="R101" i="1"/>
  <c r="S101" i="1" s="1"/>
  <c r="U101" i="1" s="1"/>
  <c r="R154" i="1"/>
  <c r="S154" i="1" s="1"/>
  <c r="R105" i="1"/>
  <c r="S105" i="1" s="1"/>
  <c r="U105" i="1" s="1"/>
  <c r="R112" i="1"/>
  <c r="S112" i="1" s="1"/>
  <c r="U112" i="1" s="1"/>
  <c r="R113" i="1"/>
  <c r="S113" i="1" s="1"/>
  <c r="R147" i="1"/>
  <c r="S147" i="1" s="1"/>
  <c r="E7" i="19"/>
  <c r="AE32" i="9"/>
  <c r="R157" i="1"/>
  <c r="S157" i="1" s="1"/>
  <c r="K201" i="1"/>
  <c r="AE44" i="9"/>
  <c r="R117" i="1"/>
  <c r="S117" i="1" s="1"/>
  <c r="U117" i="1" s="1"/>
  <c r="S158" i="1"/>
  <c r="U158" i="1" s="1"/>
  <c r="R146" i="1"/>
  <c r="S146" i="1" s="1"/>
  <c r="P117" i="1"/>
  <c r="AE34" i="9"/>
  <c r="S184" i="1"/>
  <c r="M75" i="1"/>
  <c r="P75" i="1" s="1"/>
  <c r="R75" i="1"/>
  <c r="U75" i="1" s="1"/>
  <c r="P143" i="1"/>
  <c r="U143" i="1"/>
  <c r="T61" i="3"/>
  <c r="D97" i="1"/>
  <c r="D98" i="1" s="1"/>
  <c r="Y37" i="3"/>
  <c r="B54" i="3"/>
  <c r="B55" i="3" s="1"/>
  <c r="P45" i="3" s="1"/>
  <c r="AJ47" i="15"/>
  <c r="L169" i="1"/>
  <c r="D169" i="1"/>
  <c r="E162" i="1"/>
  <c r="M82" i="1"/>
  <c r="P82" i="1" s="1"/>
  <c r="K83" i="1"/>
  <c r="O34" i="9"/>
  <c r="P166" i="1"/>
  <c r="E9" i="11"/>
  <c r="U44" i="9"/>
  <c r="O44" i="9"/>
  <c r="D8" i="1"/>
  <c r="N16" i="3"/>
  <c r="Y16" i="3" s="1"/>
  <c r="Y11" i="3"/>
  <c r="D10" i="1"/>
  <c r="E10" i="1" s="1"/>
  <c r="I10" i="1" s="1"/>
  <c r="M10" i="1" s="1"/>
  <c r="S247" i="2"/>
  <c r="S261" i="2" s="1"/>
  <c r="S267" i="2" s="1"/>
  <c r="S273" i="2" s="1"/>
  <c r="S279" i="2" s="1"/>
  <c r="M42" i="1"/>
  <c r="M141" i="1"/>
  <c r="P141" i="1" s="1"/>
  <c r="M67" i="1"/>
  <c r="P67" i="1" s="1"/>
  <c r="M121" i="1"/>
  <c r="M122" i="1" s="1"/>
  <c r="M55" i="1"/>
  <c r="P55" i="1" s="1"/>
  <c r="M47" i="1"/>
  <c r="P47" i="1" s="1"/>
  <c r="M101" i="1"/>
  <c r="P101" i="1" s="1"/>
  <c r="M145" i="1"/>
  <c r="P145" i="1" s="1"/>
  <c r="M105" i="1"/>
  <c r="P105" i="1" s="1"/>
  <c r="M146" i="1"/>
  <c r="P146" i="1" s="1"/>
  <c r="M56" i="1"/>
  <c r="P56" i="1" s="1"/>
  <c r="M31" i="1"/>
  <c r="P31" i="1" s="1"/>
  <c r="M113" i="1"/>
  <c r="P113" i="1" s="1"/>
  <c r="M104" i="1"/>
  <c r="P104" i="1" s="1"/>
  <c r="M149" i="1"/>
  <c r="P149" i="1" s="1"/>
  <c r="M112" i="1"/>
  <c r="P112" i="1" s="1"/>
  <c r="M27" i="1"/>
  <c r="M28" i="1" s="1"/>
  <c r="AE170" i="2"/>
  <c r="AE226" i="2" s="1"/>
  <c r="AE247" i="2" s="1"/>
  <c r="L52" i="1"/>
  <c r="M103" i="1"/>
  <c r="P103" i="1" s="1"/>
  <c r="P42" i="1"/>
  <c r="M154" i="1"/>
  <c r="P154" i="1" s="1"/>
  <c r="P168" i="1"/>
  <c r="M175" i="1"/>
  <c r="M51" i="1"/>
  <c r="I134" i="1"/>
  <c r="L133" i="1"/>
  <c r="L134" i="1" s="1"/>
  <c r="K133" i="1"/>
  <c r="K134" i="1" s="1"/>
  <c r="L54" i="1"/>
  <c r="L59" i="1" s="1"/>
  <c r="K54" i="1"/>
  <c r="L39" i="1"/>
  <c r="L40" i="1" s="1"/>
  <c r="K39" i="1"/>
  <c r="L140" i="1"/>
  <c r="K140" i="1"/>
  <c r="L111" i="1"/>
  <c r="K111" i="1"/>
  <c r="L30" i="1"/>
  <c r="L34" i="1" s="1"/>
  <c r="K30" i="1"/>
  <c r="L178" i="1"/>
  <c r="L179" i="1" s="1"/>
  <c r="K178" i="1"/>
  <c r="R178" i="1" s="1"/>
  <c r="M23" i="1"/>
  <c r="P23" i="1" s="1"/>
  <c r="M128" i="1"/>
  <c r="P128" i="1" s="1"/>
  <c r="L66" i="1"/>
  <c r="L71" i="1" s="1"/>
  <c r="K66" i="1"/>
  <c r="I48" i="1"/>
  <c r="L45" i="1"/>
  <c r="L48" i="1" s="1"/>
  <c r="K45" i="1"/>
  <c r="I92" i="1"/>
  <c r="L90" i="1"/>
  <c r="L92" i="1" s="1"/>
  <c r="K90" i="1"/>
  <c r="L85" i="1"/>
  <c r="K85" i="1"/>
  <c r="L181" i="1"/>
  <c r="L185" i="1" s="1"/>
  <c r="K181" i="1"/>
  <c r="I83" i="1"/>
  <c r="M81" i="1"/>
  <c r="M157" i="1"/>
  <c r="P157" i="1" s="1"/>
  <c r="M190" i="1"/>
  <c r="M191" i="1" s="1"/>
  <c r="P191" i="1" s="1"/>
  <c r="M94" i="1"/>
  <c r="M95" i="1" s="1"/>
  <c r="K95" i="1"/>
  <c r="L36" i="1"/>
  <c r="L37" i="1" s="1"/>
  <c r="K36" i="1"/>
  <c r="I25" i="1"/>
  <c r="L21" i="1"/>
  <c r="L25" i="1" s="1"/>
  <c r="K21" i="1"/>
  <c r="L100" i="1"/>
  <c r="L106" i="1" s="1"/>
  <c r="K100" i="1"/>
  <c r="I64" i="1"/>
  <c r="L61" i="1"/>
  <c r="L64" i="1" s="1"/>
  <c r="K61" i="1"/>
  <c r="L174" i="1"/>
  <c r="L176" i="1" s="1"/>
  <c r="K174" i="1"/>
  <c r="M58" i="1"/>
  <c r="P58" i="1" s="1"/>
  <c r="M182" i="1"/>
  <c r="P182" i="1" s="1"/>
  <c r="M152" i="1"/>
  <c r="P152" i="1" s="1"/>
  <c r="M50" i="1"/>
  <c r="P175" i="1"/>
  <c r="P187" i="1"/>
  <c r="P51" i="1"/>
  <c r="Y9" i="3"/>
  <c r="M13" i="1"/>
  <c r="P13" i="1" s="1"/>
  <c r="M9" i="1"/>
  <c r="P9" i="1" s="1"/>
  <c r="M11" i="1"/>
  <c r="I9" i="3"/>
  <c r="H18" i="3"/>
  <c r="I18" i="3" s="1"/>
  <c r="I37" i="1"/>
  <c r="I34" i="1"/>
  <c r="I179" i="1"/>
  <c r="K188" i="1"/>
  <c r="K247" i="2"/>
  <c r="K261" i="2" s="1"/>
  <c r="K267" i="2" s="1"/>
  <c r="K273" i="2" s="1"/>
  <c r="K279" i="2" s="1"/>
  <c r="K228" i="2"/>
  <c r="AC228" i="2"/>
  <c r="AC247" i="2"/>
  <c r="AC261" i="2" s="1"/>
  <c r="AC267" i="2" s="1"/>
  <c r="AC273" i="2" s="1"/>
  <c r="AC279" i="2" s="1"/>
  <c r="U228" i="2"/>
  <c r="U247" i="2"/>
  <c r="U261" i="2" s="1"/>
  <c r="U267" i="2" s="1"/>
  <c r="U273" i="2" s="1"/>
  <c r="U279" i="2" s="1"/>
  <c r="M228" i="2"/>
  <c r="M247" i="2"/>
  <c r="M261" i="2" s="1"/>
  <c r="M267" i="2" s="1"/>
  <c r="M273" i="2" s="1"/>
  <c r="M279" i="2" s="1"/>
  <c r="Y247" i="2"/>
  <c r="Y261" i="2" s="1"/>
  <c r="Y267" i="2" s="1"/>
  <c r="Y273" i="2" s="1"/>
  <c r="Y279" i="2" s="1"/>
  <c r="Y228" i="2"/>
  <c r="E74" i="1"/>
  <c r="I40" i="1"/>
  <c r="C197" i="1"/>
  <c r="C199" i="1"/>
  <c r="I106" i="1"/>
  <c r="I59" i="1"/>
  <c r="I71" i="1"/>
  <c r="K169" i="1"/>
  <c r="K52" i="1"/>
  <c r="P28" i="1"/>
  <c r="I185" i="1"/>
  <c r="I119" i="1"/>
  <c r="X44" i="9" l="1"/>
  <c r="Z44" i="9" s="1"/>
  <c r="U145" i="1"/>
  <c r="I87" i="1"/>
  <c r="E88" i="1"/>
  <c r="U23" i="1"/>
  <c r="U152" i="1"/>
  <c r="E137" i="1"/>
  <c r="I136" i="1"/>
  <c r="U82" i="1"/>
  <c r="U83" i="1" s="1"/>
  <c r="K92" i="1"/>
  <c r="R90" i="1"/>
  <c r="R30" i="1"/>
  <c r="R140" i="1"/>
  <c r="S140" i="1" s="1"/>
  <c r="U168" i="1"/>
  <c r="S27" i="1"/>
  <c r="S28" i="1" s="1"/>
  <c r="R28" i="1"/>
  <c r="U58" i="1"/>
  <c r="R85" i="1"/>
  <c r="S94" i="1"/>
  <c r="S95" i="1" s="1"/>
  <c r="R95" i="1"/>
  <c r="R169" i="1"/>
  <c r="K64" i="1"/>
  <c r="R61" i="1"/>
  <c r="R64" i="1" s="1"/>
  <c r="K71" i="1"/>
  <c r="R66" i="1"/>
  <c r="S178" i="1"/>
  <c r="S179" i="1" s="1"/>
  <c r="R179" i="1"/>
  <c r="K40" i="1"/>
  <c r="R39" i="1"/>
  <c r="U169" i="1"/>
  <c r="S169" i="1"/>
  <c r="U55" i="1"/>
  <c r="U175" i="1"/>
  <c r="U56" i="1"/>
  <c r="K176" i="1"/>
  <c r="R174" i="1"/>
  <c r="R36" i="1"/>
  <c r="K48" i="1"/>
  <c r="U45" i="1"/>
  <c r="R45" i="1"/>
  <c r="S45" i="1" s="1"/>
  <c r="U67" i="1"/>
  <c r="U47" i="1"/>
  <c r="S190" i="1"/>
  <c r="R191" i="1"/>
  <c r="S42" i="1"/>
  <c r="R48" i="1"/>
  <c r="U149" i="1"/>
  <c r="E97" i="1"/>
  <c r="I97" i="1" s="1"/>
  <c r="D79" i="1"/>
  <c r="E73" i="1"/>
  <c r="I73" i="1" s="1"/>
  <c r="K73" i="1" s="1"/>
  <c r="R73" i="1" s="1"/>
  <c r="R79" i="1" s="1"/>
  <c r="S128" i="1"/>
  <c r="U141" i="1"/>
  <c r="R181" i="1"/>
  <c r="R21" i="1"/>
  <c r="K59" i="1"/>
  <c r="R54" i="1"/>
  <c r="S50" i="1"/>
  <c r="S52" i="1" s="1"/>
  <c r="R52" i="1"/>
  <c r="K185" i="1"/>
  <c r="U182" i="1"/>
  <c r="U184" i="1"/>
  <c r="U147" i="1"/>
  <c r="U154" i="1"/>
  <c r="S121" i="1"/>
  <c r="U121" i="1" s="1"/>
  <c r="U122" i="1" s="1"/>
  <c r="U157" i="1"/>
  <c r="U146" i="1"/>
  <c r="K106" i="1"/>
  <c r="R100" i="1"/>
  <c r="R106" i="1" s="1"/>
  <c r="K119" i="1"/>
  <c r="R111" i="1"/>
  <c r="R133" i="1"/>
  <c r="R134" i="1" s="1"/>
  <c r="U113" i="1"/>
  <c r="D144" i="1"/>
  <c r="Y45" i="3"/>
  <c r="I74" i="1"/>
  <c r="P11" i="1"/>
  <c r="M74" i="1"/>
  <c r="P81" i="1"/>
  <c r="M83" i="1"/>
  <c r="P83" i="1" s="1"/>
  <c r="E169" i="1"/>
  <c r="I162" i="1"/>
  <c r="I169" i="1" s="1"/>
  <c r="P169" i="1" s="1"/>
  <c r="E98" i="1"/>
  <c r="P27" i="1"/>
  <c r="M52" i="1"/>
  <c r="P52" i="1" s="1"/>
  <c r="P121" i="1"/>
  <c r="P190" i="1"/>
  <c r="M133" i="1"/>
  <c r="M134" i="1" s="1"/>
  <c r="AE228" i="2"/>
  <c r="M36" i="1"/>
  <c r="M37" i="1" s="1"/>
  <c r="M21" i="1"/>
  <c r="M25" i="1" s="1"/>
  <c r="P94" i="1"/>
  <c r="P95" i="1"/>
  <c r="M181" i="1"/>
  <c r="M185" i="1" s="1"/>
  <c r="M30" i="1"/>
  <c r="M34" i="1" s="1"/>
  <c r="K34" i="1"/>
  <c r="K25" i="1"/>
  <c r="P21" i="1"/>
  <c r="M111" i="1"/>
  <c r="M119" i="1" s="1"/>
  <c r="M100" i="1"/>
  <c r="M106" i="1" s="1"/>
  <c r="P50" i="1"/>
  <c r="M45" i="1"/>
  <c r="M66" i="1"/>
  <c r="M140" i="1"/>
  <c r="M39" i="1"/>
  <c r="M54" i="1"/>
  <c r="M174" i="1"/>
  <c r="M176" i="1" s="1"/>
  <c r="P176" i="1" s="1"/>
  <c r="M61" i="1"/>
  <c r="M64" i="1" s="1"/>
  <c r="K37" i="1"/>
  <c r="P37" i="1" s="1"/>
  <c r="M85" i="1"/>
  <c r="M90" i="1"/>
  <c r="M92" i="1" s="1"/>
  <c r="M178" i="1"/>
  <c r="M179" i="1" s="1"/>
  <c r="K179" i="1"/>
  <c r="P188" i="1"/>
  <c r="P10" i="1"/>
  <c r="D15" i="1"/>
  <c r="E8" i="1"/>
  <c r="AE261" i="2"/>
  <c r="P122" i="1"/>
  <c r="K136" i="1" l="1"/>
  <c r="I137" i="1"/>
  <c r="L136" i="1"/>
  <c r="L137" i="1" s="1"/>
  <c r="L87" i="1"/>
  <c r="L88" i="1" s="1"/>
  <c r="K87" i="1"/>
  <c r="I88" i="1"/>
  <c r="U27" i="1"/>
  <c r="U28" i="1" s="1"/>
  <c r="S48" i="1"/>
  <c r="U42" i="1"/>
  <c r="U48" i="1" s="1"/>
  <c r="S174" i="1"/>
  <c r="R176" i="1"/>
  <c r="S66" i="1"/>
  <c r="S71" i="1" s="1"/>
  <c r="R71" i="1"/>
  <c r="S30" i="1"/>
  <c r="S34" i="1" s="1"/>
  <c r="R34" i="1"/>
  <c r="S90" i="1"/>
  <c r="S92" i="1" s="1"/>
  <c r="R92" i="1"/>
  <c r="S191" i="1"/>
  <c r="U190" i="1"/>
  <c r="U191" i="1" s="1"/>
  <c r="S39" i="1"/>
  <c r="S40" i="1" s="1"/>
  <c r="R40" i="1"/>
  <c r="S85" i="1"/>
  <c r="U140" i="1"/>
  <c r="U90" i="1"/>
  <c r="U92" i="1" s="1"/>
  <c r="S36" i="1"/>
  <c r="S37" i="1" s="1"/>
  <c r="R37" i="1"/>
  <c r="U94" i="1"/>
  <c r="U95" i="1" s="1"/>
  <c r="U66" i="1"/>
  <c r="U71" i="1" s="1"/>
  <c r="S61" i="1"/>
  <c r="U85" i="1"/>
  <c r="I79" i="1"/>
  <c r="K79" i="1"/>
  <c r="M73" i="1"/>
  <c r="P73" i="1" s="1"/>
  <c r="E79" i="1"/>
  <c r="P185" i="1"/>
  <c r="S54" i="1"/>
  <c r="S59" i="1" s="1"/>
  <c r="R59" i="1"/>
  <c r="S181" i="1"/>
  <c r="S185" i="1" s="1"/>
  <c r="R185" i="1"/>
  <c r="S21" i="1"/>
  <c r="S25" i="1" s="1"/>
  <c r="R25" i="1"/>
  <c r="U181" i="1"/>
  <c r="U185" i="1" s="1"/>
  <c r="U50" i="1"/>
  <c r="U52" i="1" s="1"/>
  <c r="U73" i="1"/>
  <c r="U79" i="1" s="1"/>
  <c r="S122" i="1"/>
  <c r="S100" i="1"/>
  <c r="S106" i="1" s="1"/>
  <c r="S133" i="1"/>
  <c r="S134" i="1" s="1"/>
  <c r="S111" i="1"/>
  <c r="R119" i="1"/>
  <c r="E144" i="1"/>
  <c r="D160" i="1"/>
  <c r="K97" i="1"/>
  <c r="I98" i="1"/>
  <c r="P36" i="1"/>
  <c r="P133" i="1"/>
  <c r="P34" i="1"/>
  <c r="P111" i="1"/>
  <c r="P162" i="1"/>
  <c r="P179" i="1"/>
  <c r="P181" i="1"/>
  <c r="P30" i="1"/>
  <c r="P85" i="1"/>
  <c r="P178" i="1"/>
  <c r="P140" i="1"/>
  <c r="M59" i="1"/>
  <c r="P59" i="1" s="1"/>
  <c r="P54" i="1"/>
  <c r="M71" i="1"/>
  <c r="P71" i="1" s="1"/>
  <c r="P66" i="1"/>
  <c r="P90" i="1"/>
  <c r="P74" i="1"/>
  <c r="M40" i="1"/>
  <c r="P39" i="1"/>
  <c r="P45" i="1"/>
  <c r="M48" i="1"/>
  <c r="P48" i="1" s="1"/>
  <c r="P61" i="1"/>
  <c r="P174" i="1"/>
  <c r="P106" i="1"/>
  <c r="P100" i="1"/>
  <c r="I8" i="1"/>
  <c r="E15" i="1"/>
  <c r="P64" i="1"/>
  <c r="P134" i="1"/>
  <c r="P92" i="1"/>
  <c r="P25" i="1"/>
  <c r="AE267" i="2"/>
  <c r="L119" i="1"/>
  <c r="P119" i="1" s="1"/>
  <c r="M87" i="1" l="1"/>
  <c r="R136" i="1"/>
  <c r="R137" i="1" s="1"/>
  <c r="M136" i="1"/>
  <c r="M137" i="1" s="1"/>
  <c r="K137" i="1"/>
  <c r="U30" i="1"/>
  <c r="U34" i="1" s="1"/>
  <c r="R87" i="1"/>
  <c r="R88" i="1" s="1"/>
  <c r="S87" i="1"/>
  <c r="S88" i="1" s="1"/>
  <c r="K88" i="1"/>
  <c r="U87" i="1"/>
  <c r="U88" i="1" s="1"/>
  <c r="U39" i="1"/>
  <c r="U40" i="1" s="1"/>
  <c r="S176" i="1"/>
  <c r="U174" i="1"/>
  <c r="U176" i="1" s="1"/>
  <c r="S64" i="1"/>
  <c r="U61" i="1"/>
  <c r="U64" i="1" s="1"/>
  <c r="U36" i="1"/>
  <c r="U37" i="1" s="1"/>
  <c r="U21" i="1"/>
  <c r="U25" i="1" s="1"/>
  <c r="U133" i="1"/>
  <c r="U134" i="1" s="1"/>
  <c r="M79" i="1"/>
  <c r="P79" i="1" s="1"/>
  <c r="U54" i="1"/>
  <c r="U59" i="1" s="1"/>
  <c r="U100" i="1"/>
  <c r="U106" i="1" s="1"/>
  <c r="S119" i="1"/>
  <c r="U111" i="1"/>
  <c r="U119" i="1" s="1"/>
  <c r="K98" i="1"/>
  <c r="P98" i="1" s="1"/>
  <c r="I144" i="1"/>
  <c r="E160" i="1"/>
  <c r="M8" i="1"/>
  <c r="P8" i="1" s="1"/>
  <c r="B87" i="3"/>
  <c r="B89" i="3" s="1"/>
  <c r="B95" i="3" s="1"/>
  <c r="B97" i="3" s="1"/>
  <c r="B100" i="3" s="1"/>
  <c r="S54" i="3" s="1"/>
  <c r="P97" i="1"/>
  <c r="P40" i="1"/>
  <c r="I15" i="1"/>
  <c r="B44" i="3" s="1"/>
  <c r="AE273" i="2"/>
  <c r="P137" i="1" l="1"/>
  <c r="P136" i="1"/>
  <c r="D171" i="1"/>
  <c r="S61" i="3"/>
  <c r="Y54" i="3"/>
  <c r="S136" i="1"/>
  <c r="P87" i="1"/>
  <c r="M88" i="1"/>
  <c r="P88" i="1" s="1"/>
  <c r="K144" i="1"/>
  <c r="L144" i="1"/>
  <c r="L160" i="1" s="1"/>
  <c r="I160" i="1"/>
  <c r="B46" i="3"/>
  <c r="B48" i="3" s="1"/>
  <c r="P39" i="3" s="1"/>
  <c r="P61" i="3" s="1"/>
  <c r="L16" i="1"/>
  <c r="AE279" i="2"/>
  <c r="C204" i="1" s="1"/>
  <c r="U136" i="1" l="1"/>
  <c r="U137" i="1" s="1"/>
  <c r="S137" i="1"/>
  <c r="E171" i="1"/>
  <c r="D172" i="1"/>
  <c r="M144" i="1"/>
  <c r="P144" i="1" s="1"/>
  <c r="K160" i="1"/>
  <c r="R144" i="1"/>
  <c r="R160" i="1" s="1"/>
  <c r="D108" i="1"/>
  <c r="Y61" i="3"/>
  <c r="Y39" i="3"/>
  <c r="I171" i="1" l="1"/>
  <c r="E172" i="1"/>
  <c r="M160" i="1"/>
  <c r="P160" i="1" s="1"/>
  <c r="S144" i="1"/>
  <c r="S160" i="1" s="1"/>
  <c r="D109" i="1"/>
  <c r="D195" i="1" s="1"/>
  <c r="E108" i="1"/>
  <c r="L109" i="1"/>
  <c r="U144" i="1" l="1"/>
  <c r="U160" i="1" s="1"/>
  <c r="I172" i="1"/>
  <c r="L171" i="1"/>
  <c r="L172" i="1" s="1"/>
  <c r="L195" i="1" s="1"/>
  <c r="E109" i="1"/>
  <c r="E195" i="1" s="1"/>
  <c r="I108" i="1"/>
  <c r="I109" i="1" s="1"/>
  <c r="I195" i="1" s="1"/>
  <c r="I199" i="1" l="1"/>
  <c r="I197" i="1"/>
  <c r="E199" i="1"/>
  <c r="E197" i="1"/>
  <c r="L197" i="1"/>
  <c r="L199" i="1"/>
  <c r="K14" i="1"/>
  <c r="M14" i="1" l="1"/>
  <c r="M15" i="1" s="1"/>
  <c r="K15" i="1"/>
  <c r="E125" i="3" l="1"/>
  <c r="R16" i="1"/>
  <c r="R97" i="1" s="1"/>
  <c r="S16" i="1"/>
  <c r="K16" i="1"/>
  <c r="P15" i="1"/>
  <c r="K108" i="1"/>
  <c r="E7" i="11"/>
  <c r="M108" i="1"/>
  <c r="M109" i="1" s="1"/>
  <c r="M16" i="1"/>
  <c r="P14" i="1"/>
  <c r="R108" i="1" l="1"/>
  <c r="S108" i="1" s="1"/>
  <c r="R98" i="1"/>
  <c r="S97" i="1"/>
  <c r="S98" i="1" s="1"/>
  <c r="H21" i="18"/>
  <c r="H23" i="18" s="1"/>
  <c r="H21" i="11"/>
  <c r="H23" i="11" s="1"/>
  <c r="H21" i="19"/>
  <c r="H23" i="19" s="1"/>
  <c r="P108" i="1"/>
  <c r="K109" i="1"/>
  <c r="P16" i="1"/>
  <c r="K171" i="1"/>
  <c r="R109" i="1" l="1"/>
  <c r="U97" i="1"/>
  <c r="U98" i="1" s="1"/>
  <c r="R171" i="1"/>
  <c r="R172" i="1" s="1"/>
  <c r="S171" i="1"/>
  <c r="S172" i="1" s="1"/>
  <c r="U108" i="1"/>
  <c r="U109" i="1" s="1"/>
  <c r="S109" i="1"/>
  <c r="K172" i="1"/>
  <c r="K195" i="1" s="1"/>
  <c r="M171" i="1"/>
  <c r="M172" i="1" s="1"/>
  <c r="M195" i="1" s="1"/>
  <c r="P109" i="1"/>
  <c r="R195" i="1" l="1"/>
  <c r="E8" i="18" s="1"/>
  <c r="U7" i="18" s="1"/>
  <c r="V7" i="18" s="1"/>
  <c r="U171" i="1"/>
  <c r="U172" i="1" s="1"/>
  <c r="S195" i="1"/>
  <c r="E8" i="19" s="1"/>
  <c r="U7" i="19" s="1"/>
  <c r="V7" i="19" s="1"/>
  <c r="U8" i="18"/>
  <c r="V8" i="18" s="1"/>
  <c r="U6" i="18"/>
  <c r="V6" i="18" s="1"/>
  <c r="R197" i="1"/>
  <c r="R199" i="1"/>
  <c r="P195" i="1"/>
  <c r="M197" i="1"/>
  <c r="M199" i="1"/>
  <c r="P172" i="1"/>
  <c r="K197" i="1"/>
  <c r="E8" i="11"/>
  <c r="K199" i="1"/>
  <c r="P171" i="1"/>
  <c r="U5" i="18" l="1"/>
  <c r="V5" i="18" s="1"/>
  <c r="U195" i="1"/>
  <c r="U5" i="19"/>
  <c r="V5" i="19" s="1"/>
  <c r="E10" i="19" s="1"/>
  <c r="E12" i="19" s="1"/>
  <c r="S199" i="1"/>
  <c r="U199" i="1" s="1"/>
  <c r="U6" i="19"/>
  <c r="V6" i="19" s="1"/>
  <c r="W6" i="19" s="1"/>
  <c r="X6" i="19" s="1"/>
  <c r="Y6" i="19" s="1"/>
  <c r="AA6" i="19" s="1"/>
  <c r="AB6" i="19" s="1"/>
  <c r="AC6" i="19" s="1"/>
  <c r="S197" i="1"/>
  <c r="U8" i="19"/>
  <c r="V8" i="19" s="1"/>
  <c r="W8" i="19" s="1"/>
  <c r="X8" i="19" s="1"/>
  <c r="Y8" i="19" s="1"/>
  <c r="AA8" i="19" s="1"/>
  <c r="AB8" i="19" s="1"/>
  <c r="AC8" i="19" s="1"/>
  <c r="W5" i="18"/>
  <c r="X5" i="18" s="1"/>
  <c r="Y5" i="18" s="1"/>
  <c r="AA5" i="18" s="1"/>
  <c r="AB5" i="18" s="1"/>
  <c r="AC5" i="18" s="1"/>
  <c r="AJ29" i="18"/>
  <c r="E10" i="18"/>
  <c r="E12" i="18" s="1"/>
  <c r="AJ32" i="19"/>
  <c r="W7" i="18"/>
  <c r="X7" i="18" s="1"/>
  <c r="Y7" i="18" s="1"/>
  <c r="AA7" i="18" s="1"/>
  <c r="AB7" i="18" s="1"/>
  <c r="AC7" i="18" s="1"/>
  <c r="AJ31" i="18"/>
  <c r="W6" i="18"/>
  <c r="X6" i="18" s="1"/>
  <c r="Y6" i="18" s="1"/>
  <c r="AA6" i="18" s="1"/>
  <c r="AB6" i="18" s="1"/>
  <c r="AC6" i="18" s="1"/>
  <c r="AJ30" i="18"/>
  <c r="AJ31" i="19"/>
  <c r="W7" i="19"/>
  <c r="X7" i="19" s="1"/>
  <c r="Y7" i="19" s="1"/>
  <c r="AA7" i="19" s="1"/>
  <c r="AB7" i="19" s="1"/>
  <c r="AC7" i="19" s="1"/>
  <c r="AJ32" i="18"/>
  <c r="W8" i="18"/>
  <c r="X8" i="18" s="1"/>
  <c r="Y8" i="18" s="1"/>
  <c r="AA8" i="18" s="1"/>
  <c r="AB8" i="18" s="1"/>
  <c r="AC8" i="18" s="1"/>
  <c r="U6" i="11"/>
  <c r="V6" i="11" s="1"/>
  <c r="U7" i="11"/>
  <c r="V7" i="11" s="1"/>
  <c r="U8" i="11"/>
  <c r="V8" i="11" s="1"/>
  <c r="U5" i="11"/>
  <c r="V5" i="11" s="1"/>
  <c r="W5" i="19" l="1"/>
  <c r="X5" i="19" s="1"/>
  <c r="Y5" i="19" s="1"/>
  <c r="AA5" i="19" s="1"/>
  <c r="AB5" i="19" s="1"/>
  <c r="AC5" i="19" s="1"/>
  <c r="AJ29" i="19"/>
  <c r="AJ30" i="19"/>
  <c r="AF6" i="18"/>
  <c r="AJ21" i="18" s="1"/>
  <c r="AD6" i="18"/>
  <c r="AF8" i="18"/>
  <c r="AJ23" i="18" s="1"/>
  <c r="AD8" i="18"/>
  <c r="AF7" i="18"/>
  <c r="AJ22" i="18" s="1"/>
  <c r="AD7" i="18"/>
  <c r="AF6" i="19"/>
  <c r="AJ21" i="19" s="1"/>
  <c r="AD6" i="19"/>
  <c r="AF5" i="19"/>
  <c r="AJ20" i="19" s="1"/>
  <c r="AD5" i="19"/>
  <c r="AF8" i="19"/>
  <c r="AJ23" i="19" s="1"/>
  <c r="AD8" i="19"/>
  <c r="AF7" i="19"/>
  <c r="AJ22" i="19" s="1"/>
  <c r="AD7" i="19"/>
  <c r="AF5" i="18"/>
  <c r="AJ20" i="18" s="1"/>
  <c r="AD5" i="18"/>
  <c r="AJ30" i="11"/>
  <c r="W6" i="11"/>
  <c r="X6" i="11" s="1"/>
  <c r="Y6" i="11" s="1"/>
  <c r="AA6" i="11" s="1"/>
  <c r="AB6" i="11" s="1"/>
  <c r="AC6" i="11" s="1"/>
  <c r="AJ29" i="11"/>
  <c r="W5" i="11"/>
  <c r="X5" i="11" s="1"/>
  <c r="Y5" i="11" s="1"/>
  <c r="AA5" i="11" s="1"/>
  <c r="AB5" i="11" s="1"/>
  <c r="AC5" i="11" s="1"/>
  <c r="E10" i="11"/>
  <c r="E12" i="11" s="1"/>
  <c r="AJ32" i="11"/>
  <c r="W8" i="11"/>
  <c r="X8" i="11" s="1"/>
  <c r="Y8" i="11" s="1"/>
  <c r="AA8" i="11" s="1"/>
  <c r="AB8" i="11" s="1"/>
  <c r="AC8" i="11" s="1"/>
  <c r="AJ31" i="11"/>
  <c r="W7" i="11"/>
  <c r="X7" i="11" s="1"/>
  <c r="Y7" i="11" s="1"/>
  <c r="AA7" i="11" s="1"/>
  <c r="AB7" i="11" s="1"/>
  <c r="AC7" i="11" s="1"/>
  <c r="AE8" i="18" l="1"/>
  <c r="AJ17" i="18" s="1"/>
  <c r="AJ41" i="18"/>
  <c r="V14" i="18"/>
  <c r="AE8" i="19"/>
  <c r="AJ17" i="19" s="1"/>
  <c r="V14" i="19"/>
  <c r="AJ41" i="19"/>
  <c r="V12" i="19"/>
  <c r="AJ39" i="19"/>
  <c r="AE6" i="19"/>
  <c r="AJ15" i="19" s="1"/>
  <c r="AJ40" i="18"/>
  <c r="V13" i="18"/>
  <c r="AE7" i="18"/>
  <c r="AJ16" i="18" s="1"/>
  <c r="AJ39" i="18"/>
  <c r="AE6" i="18"/>
  <c r="AJ15" i="18" s="1"/>
  <c r="V12" i="18"/>
  <c r="AJ38" i="18"/>
  <c r="AE5" i="18"/>
  <c r="AJ14" i="18" s="1"/>
  <c r="V11" i="18"/>
  <c r="AJ40" i="19"/>
  <c r="V13" i="19"/>
  <c r="AE7" i="19"/>
  <c r="AJ16" i="19" s="1"/>
  <c r="AE5" i="19"/>
  <c r="AJ14" i="19" s="1"/>
  <c r="V11" i="19"/>
  <c r="AJ38" i="19"/>
  <c r="AF5" i="11"/>
  <c r="AJ20" i="11" s="1"/>
  <c r="AD5" i="11"/>
  <c r="AF8" i="11"/>
  <c r="AJ23" i="11" s="1"/>
  <c r="AD8" i="11"/>
  <c r="AF6" i="11"/>
  <c r="AJ21" i="11" s="1"/>
  <c r="AD6" i="11"/>
  <c r="AF7" i="11"/>
  <c r="AJ22" i="11" s="1"/>
  <c r="AD7" i="11"/>
  <c r="AJ19" i="19" l="1"/>
  <c r="AJ37" i="18"/>
  <c r="AJ19" i="18"/>
  <c r="AJ28" i="18"/>
  <c r="AK29" i="19"/>
  <c r="W11" i="19"/>
  <c r="X11" i="19" s="1"/>
  <c r="Y11" i="19" s="1"/>
  <c r="AA11" i="19" s="1"/>
  <c r="AB11" i="19" s="1"/>
  <c r="AC11" i="19" s="1"/>
  <c r="AK30" i="18"/>
  <c r="W12" i="18"/>
  <c r="X12" i="18" s="1"/>
  <c r="Y12" i="18" s="1"/>
  <c r="AA12" i="18" s="1"/>
  <c r="AB12" i="18" s="1"/>
  <c r="AC12" i="18" s="1"/>
  <c r="W13" i="18"/>
  <c r="X13" i="18" s="1"/>
  <c r="Y13" i="18" s="1"/>
  <c r="AA13" i="18" s="1"/>
  <c r="AB13" i="18" s="1"/>
  <c r="AC13" i="18" s="1"/>
  <c r="AK31" i="18"/>
  <c r="AK30" i="19"/>
  <c r="W12" i="19"/>
  <c r="X12" i="19" s="1"/>
  <c r="Y12" i="19" s="1"/>
  <c r="AA12" i="19" s="1"/>
  <c r="AB12" i="19" s="1"/>
  <c r="AC12" i="19" s="1"/>
  <c r="AK32" i="18"/>
  <c r="W14" i="18"/>
  <c r="X14" i="18" s="1"/>
  <c r="Y14" i="18" s="1"/>
  <c r="AA14" i="18" s="1"/>
  <c r="AB14" i="18" s="1"/>
  <c r="AC14" i="18" s="1"/>
  <c r="AK31" i="19"/>
  <c r="W13" i="19"/>
  <c r="X13" i="19" s="1"/>
  <c r="Y13" i="19" s="1"/>
  <c r="AA13" i="19" s="1"/>
  <c r="AB13" i="19" s="1"/>
  <c r="AC13" i="19" s="1"/>
  <c r="AJ28" i="19"/>
  <c r="AJ37" i="19"/>
  <c r="W11" i="18"/>
  <c r="X11" i="18" s="1"/>
  <c r="Y11" i="18" s="1"/>
  <c r="AA11" i="18" s="1"/>
  <c r="AB11" i="18" s="1"/>
  <c r="AC11" i="18" s="1"/>
  <c r="AK29" i="18"/>
  <c r="W14" i="19"/>
  <c r="X14" i="19" s="1"/>
  <c r="Y14" i="19" s="1"/>
  <c r="AA14" i="19" s="1"/>
  <c r="AB14" i="19" s="1"/>
  <c r="AC14" i="19" s="1"/>
  <c r="AK32" i="19"/>
  <c r="AE8" i="11"/>
  <c r="AJ17" i="11" s="1"/>
  <c r="AJ41" i="11"/>
  <c r="V14" i="11"/>
  <c r="AJ40" i="11"/>
  <c r="AE7" i="11"/>
  <c r="AJ16" i="11" s="1"/>
  <c r="V13" i="11"/>
  <c r="AE6" i="11"/>
  <c r="AJ15" i="11" s="1"/>
  <c r="AJ39" i="11"/>
  <c r="V12" i="11"/>
  <c r="AJ38" i="11"/>
  <c r="V11" i="11"/>
  <c r="AE5" i="11"/>
  <c r="AJ14" i="11" s="1"/>
  <c r="AF14" i="19" l="1"/>
  <c r="AK23" i="19" s="1"/>
  <c r="AD14" i="19"/>
  <c r="AF13" i="18"/>
  <c r="AK22" i="18" s="1"/>
  <c r="AD13" i="18"/>
  <c r="AF13" i="19"/>
  <c r="AK22" i="19" s="1"/>
  <c r="AD13" i="19"/>
  <c r="AF12" i="19"/>
  <c r="AK21" i="19" s="1"/>
  <c r="AD12" i="19"/>
  <c r="AF12" i="18"/>
  <c r="AK21" i="18" s="1"/>
  <c r="AD12" i="18"/>
  <c r="AF11" i="18"/>
  <c r="AK20" i="18" s="1"/>
  <c r="AD11" i="18"/>
  <c r="AF14" i="18"/>
  <c r="AK23" i="18" s="1"/>
  <c r="AD14" i="18"/>
  <c r="AF11" i="19"/>
  <c r="AK20" i="19" s="1"/>
  <c r="AD11" i="19"/>
  <c r="AK32" i="11"/>
  <c r="W14" i="11"/>
  <c r="X14" i="11" s="1"/>
  <c r="Y14" i="11" s="1"/>
  <c r="AA14" i="11" s="1"/>
  <c r="AB14" i="11" s="1"/>
  <c r="AC14" i="11" s="1"/>
  <c r="AK29" i="11"/>
  <c r="W11" i="11"/>
  <c r="X11" i="11" s="1"/>
  <c r="Y11" i="11" s="1"/>
  <c r="AA11" i="11" s="1"/>
  <c r="AB11" i="11" s="1"/>
  <c r="AC11" i="11" s="1"/>
  <c r="AK31" i="11"/>
  <c r="W13" i="11"/>
  <c r="X13" i="11" s="1"/>
  <c r="Y13" i="11" s="1"/>
  <c r="AA13" i="11" s="1"/>
  <c r="AB13" i="11" s="1"/>
  <c r="AC13" i="11" s="1"/>
  <c r="AK30" i="11"/>
  <c r="W12" i="11"/>
  <c r="X12" i="11" s="1"/>
  <c r="Y12" i="11" s="1"/>
  <c r="AA12" i="11" s="1"/>
  <c r="AB12" i="11" s="1"/>
  <c r="AC12" i="11" s="1"/>
  <c r="AJ19" i="11"/>
  <c r="AJ37" i="11"/>
  <c r="AJ28" i="11"/>
  <c r="V17" i="19" l="1"/>
  <c r="AE11" i="19"/>
  <c r="AK14" i="19" s="1"/>
  <c r="AK38" i="19"/>
  <c r="V17" i="18"/>
  <c r="AK38" i="18"/>
  <c r="AE11" i="18"/>
  <c r="AK14" i="18" s="1"/>
  <c r="AK39" i="19"/>
  <c r="V18" i="19"/>
  <c r="AE12" i="19"/>
  <c r="AK15" i="19" s="1"/>
  <c r="AK40" i="18"/>
  <c r="V19" i="18"/>
  <c r="AE13" i="18"/>
  <c r="AK16" i="18" s="1"/>
  <c r="AK41" i="18"/>
  <c r="V20" i="18"/>
  <c r="AE14" i="18"/>
  <c r="AK17" i="18" s="1"/>
  <c r="AE12" i="18"/>
  <c r="AK15" i="18" s="1"/>
  <c r="AK39" i="18"/>
  <c r="V18" i="18"/>
  <c r="AK40" i="19"/>
  <c r="V19" i="19"/>
  <c r="AE13" i="19"/>
  <c r="AK16" i="19" s="1"/>
  <c r="AE14" i="19"/>
  <c r="AK17" i="19" s="1"/>
  <c r="AK41" i="19"/>
  <c r="V20" i="19"/>
  <c r="AF13" i="11"/>
  <c r="AK22" i="11" s="1"/>
  <c r="AD13" i="11"/>
  <c r="AF12" i="11"/>
  <c r="AK21" i="11" s="1"/>
  <c r="AD12" i="11"/>
  <c r="AF11" i="11"/>
  <c r="AK20" i="11" s="1"/>
  <c r="AD11" i="11"/>
  <c r="AF14" i="11"/>
  <c r="AK23" i="11" s="1"/>
  <c r="AD14" i="11"/>
  <c r="AL30" i="19" l="1"/>
  <c r="W18" i="19"/>
  <c r="X18" i="19" s="1"/>
  <c r="Y18" i="19" s="1"/>
  <c r="AA18" i="19" s="1"/>
  <c r="AB18" i="19" s="1"/>
  <c r="AC18" i="19" s="1"/>
  <c r="W17" i="18"/>
  <c r="X17" i="18" s="1"/>
  <c r="Y17" i="18" s="1"/>
  <c r="AA17" i="18" s="1"/>
  <c r="AB17" i="18" s="1"/>
  <c r="AC17" i="18" s="1"/>
  <c r="AL29" i="18"/>
  <c r="AL31" i="18"/>
  <c r="W19" i="18"/>
  <c r="X19" i="18" s="1"/>
  <c r="Y19" i="18" s="1"/>
  <c r="AA19" i="18" s="1"/>
  <c r="AB19" i="18" s="1"/>
  <c r="AC19" i="18" s="1"/>
  <c r="AK19" i="18"/>
  <c r="AK37" i="18"/>
  <c r="AK28" i="18"/>
  <c r="AK37" i="19"/>
  <c r="AK19" i="19"/>
  <c r="AK28" i="19"/>
  <c r="AL32" i="19"/>
  <c r="W20" i="19"/>
  <c r="X20" i="19" s="1"/>
  <c r="Y20" i="19" s="1"/>
  <c r="AA20" i="19" s="1"/>
  <c r="AB20" i="19" s="1"/>
  <c r="AC20" i="19" s="1"/>
  <c r="W19" i="19"/>
  <c r="X19" i="19" s="1"/>
  <c r="Y19" i="19" s="1"/>
  <c r="AA19" i="19" s="1"/>
  <c r="AB19" i="19" s="1"/>
  <c r="AC19" i="19" s="1"/>
  <c r="AL31" i="19"/>
  <c r="AL30" i="18"/>
  <c r="W18" i="18"/>
  <c r="X18" i="18" s="1"/>
  <c r="Y18" i="18" s="1"/>
  <c r="AA18" i="18" s="1"/>
  <c r="AB18" i="18" s="1"/>
  <c r="AC18" i="18" s="1"/>
  <c r="W20" i="18"/>
  <c r="X20" i="18" s="1"/>
  <c r="Y20" i="18" s="1"/>
  <c r="AA20" i="18" s="1"/>
  <c r="AB20" i="18" s="1"/>
  <c r="AC20" i="18" s="1"/>
  <c r="AL32" i="18"/>
  <c r="AL29" i="19"/>
  <c r="W17" i="19"/>
  <c r="X17" i="19" s="1"/>
  <c r="Y17" i="19" s="1"/>
  <c r="AA17" i="19" s="1"/>
  <c r="AB17" i="19" s="1"/>
  <c r="AC17" i="19" s="1"/>
  <c r="AE14" i="11"/>
  <c r="AK17" i="11" s="1"/>
  <c r="AK41" i="11"/>
  <c r="V20" i="11"/>
  <c r="AK39" i="11"/>
  <c r="AE12" i="11"/>
  <c r="AK15" i="11" s="1"/>
  <c r="V18" i="11"/>
  <c r="AE11" i="11"/>
  <c r="AK14" i="11" s="1"/>
  <c r="AK38" i="11"/>
  <c r="V17" i="11"/>
  <c r="V19" i="11"/>
  <c r="AE13" i="11"/>
  <c r="AK16" i="11" s="1"/>
  <c r="AK40" i="11"/>
  <c r="AF20" i="18" l="1"/>
  <c r="AL23" i="18" s="1"/>
  <c r="AD20" i="18"/>
  <c r="AF17" i="19"/>
  <c r="AL20" i="19" s="1"/>
  <c r="AD17" i="19"/>
  <c r="AF20" i="19"/>
  <c r="AL23" i="19" s="1"/>
  <c r="AD20" i="19"/>
  <c r="AF19" i="18"/>
  <c r="AL22" i="18" s="1"/>
  <c r="AD19" i="18"/>
  <c r="AF18" i="19"/>
  <c r="AL21" i="19" s="1"/>
  <c r="AD18" i="19"/>
  <c r="AF19" i="19"/>
  <c r="AL22" i="19" s="1"/>
  <c r="AD19" i="19"/>
  <c r="AF17" i="18"/>
  <c r="AL20" i="18" s="1"/>
  <c r="AD17" i="18"/>
  <c r="AF18" i="18"/>
  <c r="AL21" i="18" s="1"/>
  <c r="AD18" i="18"/>
  <c r="AL32" i="11"/>
  <c r="W20" i="11"/>
  <c r="X20" i="11" s="1"/>
  <c r="Y20" i="11" s="1"/>
  <c r="AA20" i="11" s="1"/>
  <c r="AB20" i="11" s="1"/>
  <c r="AC20" i="11" s="1"/>
  <c r="W18" i="11"/>
  <c r="X18" i="11" s="1"/>
  <c r="Y18" i="11" s="1"/>
  <c r="AA18" i="11" s="1"/>
  <c r="AB18" i="11" s="1"/>
  <c r="AC18" i="11" s="1"/>
  <c r="AL30" i="11"/>
  <c r="AK28" i="11"/>
  <c r="AK37" i="11"/>
  <c r="AK19" i="11"/>
  <c r="W19" i="11"/>
  <c r="X19" i="11" s="1"/>
  <c r="Y19" i="11" s="1"/>
  <c r="AA19" i="11" s="1"/>
  <c r="AB19" i="11" s="1"/>
  <c r="AC19" i="11" s="1"/>
  <c r="AL31" i="11"/>
  <c r="AL29" i="11"/>
  <c r="W17" i="11"/>
  <c r="X17" i="11" s="1"/>
  <c r="Y17" i="11" s="1"/>
  <c r="AA17" i="11" s="1"/>
  <c r="AB17" i="11" s="1"/>
  <c r="AC17" i="11" s="1"/>
  <c r="AE18" i="18" l="1"/>
  <c r="AL15" i="18" s="1"/>
  <c r="AL39" i="18"/>
  <c r="V24" i="18"/>
  <c r="AL40" i="19"/>
  <c r="V25" i="19"/>
  <c r="AE19" i="19"/>
  <c r="AL16" i="19" s="1"/>
  <c r="AL40" i="18"/>
  <c r="AE19" i="18"/>
  <c r="AL16" i="18" s="1"/>
  <c r="V25" i="18"/>
  <c r="V23" i="19"/>
  <c r="AE17" i="19"/>
  <c r="AL14" i="19" s="1"/>
  <c r="AL38" i="19"/>
  <c r="V23" i="18"/>
  <c r="AE17" i="18"/>
  <c r="AL14" i="18" s="1"/>
  <c r="AL38" i="18"/>
  <c r="AL39" i="19"/>
  <c r="V24" i="19"/>
  <c r="AE18" i="19"/>
  <c r="AL15" i="19" s="1"/>
  <c r="AE20" i="19"/>
  <c r="AL17" i="19" s="1"/>
  <c r="AL41" i="19"/>
  <c r="V26" i="19"/>
  <c r="AE20" i="18"/>
  <c r="AL17" i="18" s="1"/>
  <c r="V26" i="18"/>
  <c r="AL41" i="18"/>
  <c r="AF19" i="11"/>
  <c r="AL22" i="11" s="1"/>
  <c r="AD19" i="11"/>
  <c r="AF18" i="11"/>
  <c r="AL21" i="11" s="1"/>
  <c r="AD18" i="11"/>
  <c r="AF20" i="11"/>
  <c r="AL23" i="11" s="1"/>
  <c r="AD20" i="11"/>
  <c r="AF17" i="11"/>
  <c r="AL20" i="11" s="1"/>
  <c r="AD17" i="11"/>
  <c r="AL37" i="18" l="1"/>
  <c r="AL19" i="18"/>
  <c r="AL28" i="18"/>
  <c r="AL19" i="19"/>
  <c r="AL37" i="19"/>
  <c r="AL28" i="19"/>
  <c r="AM30" i="18"/>
  <c r="W24" i="18"/>
  <c r="X24" i="18" s="1"/>
  <c r="Y24" i="18" s="1"/>
  <c r="AA24" i="18" s="1"/>
  <c r="AB24" i="18" s="1"/>
  <c r="AC24" i="18" s="1"/>
  <c r="AM32" i="18"/>
  <c r="W26" i="18"/>
  <c r="X26" i="18" s="1"/>
  <c r="Y26" i="18" s="1"/>
  <c r="AA26" i="18" s="1"/>
  <c r="AB26" i="18" s="1"/>
  <c r="AC26" i="18" s="1"/>
  <c r="AM29" i="19"/>
  <c r="W23" i="19"/>
  <c r="X23" i="19" s="1"/>
  <c r="Y23" i="19" s="1"/>
  <c r="AA23" i="19" s="1"/>
  <c r="AB23" i="19" s="1"/>
  <c r="AC23" i="19" s="1"/>
  <c r="AM32" i="19"/>
  <c r="W26" i="19"/>
  <c r="X26" i="19" s="1"/>
  <c r="Y26" i="19" s="1"/>
  <c r="AA26" i="19" s="1"/>
  <c r="AB26" i="19" s="1"/>
  <c r="AC26" i="19" s="1"/>
  <c r="AM30" i="19"/>
  <c r="W24" i="19"/>
  <c r="X24" i="19" s="1"/>
  <c r="Y24" i="19" s="1"/>
  <c r="AA24" i="19" s="1"/>
  <c r="AB24" i="19" s="1"/>
  <c r="AC24" i="19" s="1"/>
  <c r="W23" i="18"/>
  <c r="X23" i="18" s="1"/>
  <c r="Y23" i="18" s="1"/>
  <c r="AA23" i="18" s="1"/>
  <c r="AB23" i="18" s="1"/>
  <c r="AC23" i="18" s="1"/>
  <c r="AM29" i="18"/>
  <c r="W25" i="18"/>
  <c r="X25" i="18" s="1"/>
  <c r="Y25" i="18" s="1"/>
  <c r="AA25" i="18" s="1"/>
  <c r="AB25" i="18" s="1"/>
  <c r="AC25" i="18" s="1"/>
  <c r="AM31" i="18"/>
  <c r="W25" i="19"/>
  <c r="X25" i="19" s="1"/>
  <c r="Y25" i="19" s="1"/>
  <c r="AA25" i="19" s="1"/>
  <c r="AB25" i="19" s="1"/>
  <c r="AC25" i="19" s="1"/>
  <c r="AM31" i="19"/>
  <c r="AE18" i="11"/>
  <c r="AL15" i="11" s="1"/>
  <c r="AL39" i="11"/>
  <c r="V24" i="11"/>
  <c r="AE19" i="11"/>
  <c r="AL16" i="11" s="1"/>
  <c r="AL40" i="11"/>
  <c r="V25" i="11"/>
  <c r="AL38" i="11"/>
  <c r="V23" i="11"/>
  <c r="AE17" i="11"/>
  <c r="AL14" i="11" s="1"/>
  <c r="AE20" i="11"/>
  <c r="AL17" i="11" s="1"/>
  <c r="AL41" i="11"/>
  <c r="V26" i="11"/>
  <c r="AF24" i="18" l="1"/>
  <c r="AM21" i="18" s="1"/>
  <c r="AD24" i="18"/>
  <c r="AF24" i="19"/>
  <c r="AM21" i="19" s="1"/>
  <c r="AD24" i="19"/>
  <c r="AF25" i="18"/>
  <c r="AM22" i="18" s="1"/>
  <c r="AD25" i="18"/>
  <c r="AF26" i="19"/>
  <c r="AM23" i="19" s="1"/>
  <c r="AD26" i="19"/>
  <c r="AF26" i="18"/>
  <c r="AM23" i="18" s="1"/>
  <c r="AD26" i="18"/>
  <c r="AF23" i="19"/>
  <c r="AM20" i="19" s="1"/>
  <c r="AD23" i="19"/>
  <c r="AF25" i="19"/>
  <c r="AM22" i="19" s="1"/>
  <c r="AD25" i="19"/>
  <c r="AF23" i="18"/>
  <c r="AM20" i="18" s="1"/>
  <c r="AD23" i="18"/>
  <c r="AL37" i="11"/>
  <c r="AL28" i="11"/>
  <c r="AL19" i="11"/>
  <c r="AM30" i="11"/>
  <c r="W24" i="11"/>
  <c r="X24" i="11" s="1"/>
  <c r="Y24" i="11" s="1"/>
  <c r="AA24" i="11" s="1"/>
  <c r="AB24" i="11" s="1"/>
  <c r="AC24" i="11" s="1"/>
  <c r="AM29" i="11"/>
  <c r="W23" i="11"/>
  <c r="X23" i="11" s="1"/>
  <c r="Y23" i="11" s="1"/>
  <c r="AA23" i="11" s="1"/>
  <c r="AB23" i="11" s="1"/>
  <c r="AC23" i="11" s="1"/>
  <c r="AM32" i="11"/>
  <c r="W26" i="11"/>
  <c r="X26" i="11" s="1"/>
  <c r="Y26" i="11" s="1"/>
  <c r="AA26" i="11" s="1"/>
  <c r="AB26" i="11" s="1"/>
  <c r="AC26" i="11" s="1"/>
  <c r="AM31" i="11"/>
  <c r="W25" i="11"/>
  <c r="X25" i="11" s="1"/>
  <c r="Y25" i="11" s="1"/>
  <c r="AA25" i="11" s="1"/>
  <c r="AB25" i="11" s="1"/>
  <c r="AC25" i="11" s="1"/>
  <c r="AM38" i="18" l="1"/>
  <c r="V29" i="18"/>
  <c r="AE23" i="18"/>
  <c r="AM14" i="18" s="1"/>
  <c r="AM38" i="19"/>
  <c r="V29" i="19"/>
  <c r="AE23" i="19"/>
  <c r="AM14" i="19" s="1"/>
  <c r="AE26" i="19"/>
  <c r="AM17" i="19" s="1"/>
  <c r="AM41" i="19"/>
  <c r="V32" i="19"/>
  <c r="V30" i="19"/>
  <c r="AE24" i="19"/>
  <c r="AM15" i="19" s="1"/>
  <c r="AM39" i="19"/>
  <c r="AM40" i="19"/>
  <c r="V31" i="19"/>
  <c r="AE25" i="19"/>
  <c r="AM16" i="19" s="1"/>
  <c r="V32" i="18"/>
  <c r="AE26" i="18"/>
  <c r="AM17" i="18" s="1"/>
  <c r="AM41" i="18"/>
  <c r="AE25" i="18"/>
  <c r="AM16" i="18" s="1"/>
  <c r="V31" i="18"/>
  <c r="AM40" i="18"/>
  <c r="V30" i="18"/>
  <c r="AE24" i="18"/>
  <c r="AM15" i="18" s="1"/>
  <c r="AM39" i="18"/>
  <c r="AF25" i="11"/>
  <c r="AM22" i="11" s="1"/>
  <c r="AD25" i="11"/>
  <c r="AF23" i="11"/>
  <c r="AM20" i="11" s="1"/>
  <c r="AD23" i="11"/>
  <c r="AF26" i="11"/>
  <c r="AM23" i="11" s="1"/>
  <c r="AD26" i="11"/>
  <c r="AF24" i="11"/>
  <c r="AM21" i="11" s="1"/>
  <c r="AD24" i="11"/>
  <c r="AN32" i="18" l="1"/>
  <c r="W32" i="18"/>
  <c r="X32" i="18" s="1"/>
  <c r="Y32" i="18" s="1"/>
  <c r="AA32" i="18" s="1"/>
  <c r="AB32" i="18" s="1"/>
  <c r="AC32" i="18" s="1"/>
  <c r="AM28" i="18"/>
  <c r="AM37" i="18"/>
  <c r="AM19" i="18"/>
  <c r="AN30" i="18"/>
  <c r="W30" i="18"/>
  <c r="X30" i="18" s="1"/>
  <c r="Y30" i="18" s="1"/>
  <c r="AA30" i="18" s="1"/>
  <c r="AB30" i="18" s="1"/>
  <c r="AC30" i="18" s="1"/>
  <c r="W31" i="19"/>
  <c r="X31" i="19" s="1"/>
  <c r="Y31" i="19" s="1"/>
  <c r="AA31" i="19" s="1"/>
  <c r="AB31" i="19" s="1"/>
  <c r="AC31" i="19" s="1"/>
  <c r="AN31" i="19"/>
  <c r="AN30" i="19"/>
  <c r="W30" i="19"/>
  <c r="X30" i="19" s="1"/>
  <c r="Y30" i="19" s="1"/>
  <c r="AA30" i="19" s="1"/>
  <c r="AB30" i="19" s="1"/>
  <c r="AC30" i="19" s="1"/>
  <c r="AM19" i="19"/>
  <c r="AM28" i="19"/>
  <c r="AM37" i="19"/>
  <c r="W29" i="18"/>
  <c r="X29" i="18" s="1"/>
  <c r="Y29" i="18" s="1"/>
  <c r="AA29" i="18" s="1"/>
  <c r="AB29" i="18" s="1"/>
  <c r="AC29" i="18" s="1"/>
  <c r="AN29" i="18"/>
  <c r="AN31" i="18"/>
  <c r="W31" i="18"/>
  <c r="X31" i="18" s="1"/>
  <c r="Y31" i="18" s="1"/>
  <c r="AA31" i="18" s="1"/>
  <c r="AB31" i="18" s="1"/>
  <c r="AC31" i="18" s="1"/>
  <c r="AN32" i="19"/>
  <c r="W32" i="19"/>
  <c r="X32" i="19" s="1"/>
  <c r="Y32" i="19" s="1"/>
  <c r="AA32" i="19" s="1"/>
  <c r="AB32" i="19" s="1"/>
  <c r="AC32" i="19" s="1"/>
  <c r="W29" i="19"/>
  <c r="X29" i="19" s="1"/>
  <c r="Y29" i="19" s="1"/>
  <c r="AA29" i="19" s="1"/>
  <c r="AB29" i="19" s="1"/>
  <c r="AC29" i="19" s="1"/>
  <c r="AN29" i="19"/>
  <c r="AE24" i="11"/>
  <c r="AM15" i="11" s="1"/>
  <c r="AM39" i="11"/>
  <c r="V30" i="11"/>
  <c r="AE23" i="11"/>
  <c r="AM14" i="11" s="1"/>
  <c r="AM38" i="11"/>
  <c r="V29" i="11"/>
  <c r="AM41" i="11"/>
  <c r="AE26" i="11"/>
  <c r="AM17" i="11" s="1"/>
  <c r="V32" i="11"/>
  <c r="AM40" i="11"/>
  <c r="AE25" i="11"/>
  <c r="AM16" i="11" s="1"/>
  <c r="V31" i="11"/>
  <c r="AF32" i="19" l="1"/>
  <c r="AN23" i="19" s="1"/>
  <c r="AD32" i="19"/>
  <c r="AF31" i="19"/>
  <c r="AN22" i="19" s="1"/>
  <c r="AD31" i="19"/>
  <c r="AF30" i="19"/>
  <c r="AN21" i="19" s="1"/>
  <c r="AD30" i="19"/>
  <c r="AF30" i="18"/>
  <c r="AN21" i="18" s="1"/>
  <c r="AD30" i="18"/>
  <c r="AF31" i="18"/>
  <c r="AN22" i="18" s="1"/>
  <c r="AD31" i="18"/>
  <c r="AF32" i="18"/>
  <c r="AN23" i="18" s="1"/>
  <c r="AD32" i="18"/>
  <c r="AF29" i="18"/>
  <c r="AN20" i="18" s="1"/>
  <c r="AD29" i="18"/>
  <c r="AF29" i="19"/>
  <c r="AN20" i="19" s="1"/>
  <c r="AD29" i="19"/>
  <c r="AN32" i="11"/>
  <c r="W32" i="11"/>
  <c r="X32" i="11" s="1"/>
  <c r="Y32" i="11" s="1"/>
  <c r="AA32" i="11" s="1"/>
  <c r="AB32" i="11" s="1"/>
  <c r="AC32" i="11" s="1"/>
  <c r="AN31" i="11"/>
  <c r="W31" i="11"/>
  <c r="X31" i="11" s="1"/>
  <c r="Y31" i="11" s="1"/>
  <c r="AA31" i="11" s="1"/>
  <c r="AB31" i="11" s="1"/>
  <c r="AC31" i="11" s="1"/>
  <c r="AM19" i="11"/>
  <c r="AM28" i="11"/>
  <c r="AM37" i="11"/>
  <c r="AN30" i="11"/>
  <c r="W30" i="11"/>
  <c r="X30" i="11" s="1"/>
  <c r="Y30" i="11" s="1"/>
  <c r="AA30" i="11" s="1"/>
  <c r="AB30" i="11" s="1"/>
  <c r="AC30" i="11" s="1"/>
  <c r="AN29" i="11"/>
  <c r="W29" i="11"/>
  <c r="X29" i="11" s="1"/>
  <c r="Y29" i="11" s="1"/>
  <c r="AA29" i="11" s="1"/>
  <c r="AB29" i="11" s="1"/>
  <c r="AC29" i="11" s="1"/>
  <c r="AE29" i="19" l="1"/>
  <c r="AN14" i="19" s="1"/>
  <c r="AN38" i="19"/>
  <c r="V35" i="19"/>
  <c r="AN41" i="18"/>
  <c r="AE32" i="18"/>
  <c r="AN17" i="18" s="1"/>
  <c r="V38" i="18"/>
  <c r="V36" i="18"/>
  <c r="AN39" i="18"/>
  <c r="AE30" i="18"/>
  <c r="AN15" i="18" s="1"/>
  <c r="V37" i="19"/>
  <c r="AN40" i="19"/>
  <c r="AE31" i="19"/>
  <c r="AN16" i="19" s="1"/>
  <c r="AE29" i="18"/>
  <c r="AN14" i="18" s="1"/>
  <c r="AN38" i="18"/>
  <c r="V35" i="18"/>
  <c r="V37" i="18"/>
  <c r="AN40" i="18"/>
  <c r="AE31" i="18"/>
  <c r="AN16" i="18" s="1"/>
  <c r="AE30" i="19"/>
  <c r="AN15" i="19" s="1"/>
  <c r="V36" i="19"/>
  <c r="AN39" i="19"/>
  <c r="AN41" i="19"/>
  <c r="AE32" i="19"/>
  <c r="AN17" i="19" s="1"/>
  <c r="V38" i="19"/>
  <c r="AF29" i="11"/>
  <c r="AN20" i="11" s="1"/>
  <c r="AD29" i="11"/>
  <c r="AF32" i="11"/>
  <c r="AN23" i="11" s="1"/>
  <c r="AD32" i="11"/>
  <c r="AF31" i="11"/>
  <c r="AN22" i="11" s="1"/>
  <c r="AD31" i="11"/>
  <c r="AF30" i="11"/>
  <c r="AN21" i="11" s="1"/>
  <c r="AD30" i="11"/>
  <c r="AO29" i="18" l="1"/>
  <c r="W35" i="18"/>
  <c r="X35" i="18" s="1"/>
  <c r="Y35" i="18" s="1"/>
  <c r="AA35" i="18" s="1"/>
  <c r="AB35" i="18" s="1"/>
  <c r="AC35" i="18" s="1"/>
  <c r="AO30" i="18"/>
  <c r="W36" i="18"/>
  <c r="X36" i="18" s="1"/>
  <c r="Y36" i="18" s="1"/>
  <c r="AA36" i="18" s="1"/>
  <c r="AB36" i="18" s="1"/>
  <c r="AC36" i="18" s="1"/>
  <c r="AO29" i="19"/>
  <c r="W35" i="19"/>
  <c r="X35" i="19" s="1"/>
  <c r="Y35" i="19" s="1"/>
  <c r="AA35" i="19" s="1"/>
  <c r="AB35" i="19" s="1"/>
  <c r="AC35" i="19" s="1"/>
  <c r="W38" i="19"/>
  <c r="X38" i="19" s="1"/>
  <c r="Y38" i="19" s="1"/>
  <c r="AA38" i="19" s="1"/>
  <c r="AB38" i="19" s="1"/>
  <c r="AC38" i="19" s="1"/>
  <c r="AO32" i="19"/>
  <c r="W37" i="18"/>
  <c r="X37" i="18" s="1"/>
  <c r="Y37" i="18" s="1"/>
  <c r="AA37" i="18" s="1"/>
  <c r="AB37" i="18" s="1"/>
  <c r="AC37" i="18" s="1"/>
  <c r="AO31" i="18"/>
  <c r="AN19" i="18"/>
  <c r="AN28" i="18"/>
  <c r="AN37" i="18"/>
  <c r="W37" i="19"/>
  <c r="X37" i="19" s="1"/>
  <c r="Y37" i="19" s="1"/>
  <c r="AA37" i="19" s="1"/>
  <c r="AB37" i="19" s="1"/>
  <c r="AC37" i="19" s="1"/>
  <c r="AO31" i="19"/>
  <c r="W38" i="18"/>
  <c r="X38" i="18" s="1"/>
  <c r="Y38" i="18" s="1"/>
  <c r="AA38" i="18" s="1"/>
  <c r="AB38" i="18" s="1"/>
  <c r="AC38" i="18" s="1"/>
  <c r="AO32" i="18"/>
  <c r="AO30" i="19"/>
  <c r="W36" i="19"/>
  <c r="X36" i="19" s="1"/>
  <c r="Y36" i="19" s="1"/>
  <c r="AA36" i="19" s="1"/>
  <c r="AB36" i="19" s="1"/>
  <c r="AC36" i="19" s="1"/>
  <c r="AN19" i="19"/>
  <c r="AN37" i="19"/>
  <c r="AN28" i="19"/>
  <c r="AE30" i="11"/>
  <c r="AN15" i="11" s="1"/>
  <c r="AN39" i="11"/>
  <c r="V36" i="11"/>
  <c r="AN41" i="11"/>
  <c r="AE32" i="11"/>
  <c r="AN17" i="11" s="1"/>
  <c r="V38" i="11"/>
  <c r="AN40" i="11"/>
  <c r="AE31" i="11"/>
  <c r="AN16" i="11" s="1"/>
  <c r="V37" i="11"/>
  <c r="AN38" i="11"/>
  <c r="AE29" i="11"/>
  <c r="AN14" i="11" s="1"/>
  <c r="V35" i="11"/>
  <c r="AF36" i="18" l="1"/>
  <c r="AO21" i="18" s="1"/>
  <c r="AD36" i="18"/>
  <c r="AF36" i="19"/>
  <c r="AO21" i="19" s="1"/>
  <c r="AD36" i="19"/>
  <c r="AF38" i="19"/>
  <c r="AO23" i="19" s="1"/>
  <c r="AD38" i="19"/>
  <c r="AF37" i="19"/>
  <c r="AO22" i="19" s="1"/>
  <c r="AD37" i="19"/>
  <c r="AF35" i="19"/>
  <c r="AO20" i="19" s="1"/>
  <c r="AD35" i="19"/>
  <c r="AF35" i="18"/>
  <c r="AO20" i="18" s="1"/>
  <c r="AD35" i="18"/>
  <c r="AF38" i="18"/>
  <c r="AO23" i="18" s="1"/>
  <c r="AD38" i="18"/>
  <c r="AF37" i="18"/>
  <c r="AO22" i="18" s="1"/>
  <c r="AD37" i="18"/>
  <c r="AN19" i="11"/>
  <c r="AN37" i="11"/>
  <c r="AN28" i="11"/>
  <c r="W36" i="11"/>
  <c r="X36" i="11" s="1"/>
  <c r="Y36" i="11" s="1"/>
  <c r="AA36" i="11" s="1"/>
  <c r="AB36" i="11" s="1"/>
  <c r="AC36" i="11" s="1"/>
  <c r="AO30" i="11"/>
  <c r="W38" i="11"/>
  <c r="X38" i="11" s="1"/>
  <c r="Y38" i="11" s="1"/>
  <c r="AA38" i="11" s="1"/>
  <c r="AB38" i="11" s="1"/>
  <c r="AC38" i="11" s="1"/>
  <c r="AO32" i="11"/>
  <c r="AO29" i="11"/>
  <c r="W35" i="11"/>
  <c r="X35" i="11" s="1"/>
  <c r="Y35" i="11" s="1"/>
  <c r="AA35" i="11" s="1"/>
  <c r="AB35" i="11" s="1"/>
  <c r="AC35" i="11" s="1"/>
  <c r="AO31" i="11"/>
  <c r="W37" i="11"/>
  <c r="X37" i="11" s="1"/>
  <c r="Y37" i="11" s="1"/>
  <c r="AA37" i="11" s="1"/>
  <c r="AB37" i="11" s="1"/>
  <c r="AC37" i="11" s="1"/>
  <c r="AO40" i="18" l="1"/>
  <c r="AE37" i="18"/>
  <c r="AO16" i="18" s="1"/>
  <c r="V43" i="18"/>
  <c r="V44" i="18"/>
  <c r="AE38" i="18"/>
  <c r="AO17" i="18" s="1"/>
  <c r="AO41" i="18"/>
  <c r="AE35" i="19"/>
  <c r="AO14" i="19" s="1"/>
  <c r="AO38" i="19"/>
  <c r="V41" i="19"/>
  <c r="AO41" i="19"/>
  <c r="V44" i="19"/>
  <c r="AE38" i="19"/>
  <c r="AO17" i="19" s="1"/>
  <c r="AE36" i="19"/>
  <c r="AO15" i="19" s="1"/>
  <c r="V42" i="19"/>
  <c r="AO39" i="19"/>
  <c r="AE36" i="18"/>
  <c r="AO15" i="18" s="1"/>
  <c r="AO39" i="18"/>
  <c r="V42" i="18"/>
  <c r="AO38" i="18"/>
  <c r="V41" i="18"/>
  <c r="AE35" i="18"/>
  <c r="AO14" i="18" s="1"/>
  <c r="V43" i="19"/>
  <c r="AE37" i="19"/>
  <c r="AO16" i="19" s="1"/>
  <c r="AO40" i="19"/>
  <c r="AF36" i="11"/>
  <c r="AO21" i="11" s="1"/>
  <c r="AD36" i="11"/>
  <c r="AF37" i="11"/>
  <c r="AO22" i="11" s="1"/>
  <c r="AD37" i="11"/>
  <c r="AF38" i="11"/>
  <c r="AO23" i="11" s="1"/>
  <c r="AD38" i="11"/>
  <c r="AF35" i="11"/>
  <c r="AO20" i="11" s="1"/>
  <c r="AD35" i="11"/>
  <c r="AP32" i="18" l="1"/>
  <c r="W44" i="18"/>
  <c r="X44" i="18" s="1"/>
  <c r="Y44" i="18" s="1"/>
  <c r="AA44" i="18" s="1"/>
  <c r="AB44" i="18" s="1"/>
  <c r="AC44" i="18" s="1"/>
  <c r="W44" i="19"/>
  <c r="X44" i="19" s="1"/>
  <c r="Y44" i="19" s="1"/>
  <c r="AA44" i="19" s="1"/>
  <c r="AB44" i="19" s="1"/>
  <c r="AC44" i="19" s="1"/>
  <c r="AP32" i="19"/>
  <c r="AO37" i="19"/>
  <c r="AO19" i="19"/>
  <c r="AO28" i="19"/>
  <c r="AP31" i="18"/>
  <c r="W43" i="18"/>
  <c r="X43" i="18" s="1"/>
  <c r="Y43" i="18" s="1"/>
  <c r="AA43" i="18" s="1"/>
  <c r="AB43" i="18" s="1"/>
  <c r="AC43" i="18" s="1"/>
  <c r="W41" i="18"/>
  <c r="X41" i="18" s="1"/>
  <c r="Y41" i="18" s="1"/>
  <c r="AA41" i="18" s="1"/>
  <c r="AB41" i="18" s="1"/>
  <c r="AC41" i="18" s="1"/>
  <c r="AP29" i="18"/>
  <c r="W42" i="18"/>
  <c r="X42" i="18" s="1"/>
  <c r="Y42" i="18" s="1"/>
  <c r="AA42" i="18" s="1"/>
  <c r="AB42" i="18" s="1"/>
  <c r="AC42" i="18" s="1"/>
  <c r="AP30" i="18"/>
  <c r="W42" i="19"/>
  <c r="X42" i="19" s="1"/>
  <c r="Y42" i="19" s="1"/>
  <c r="AA42" i="19" s="1"/>
  <c r="AB42" i="19" s="1"/>
  <c r="AC42" i="19" s="1"/>
  <c r="AP30" i="19"/>
  <c r="AO37" i="18"/>
  <c r="AO19" i="18"/>
  <c r="AO28" i="18"/>
  <c r="AP31" i="19"/>
  <c r="W43" i="19"/>
  <c r="X43" i="19" s="1"/>
  <c r="Y43" i="19" s="1"/>
  <c r="AA43" i="19" s="1"/>
  <c r="AB43" i="19" s="1"/>
  <c r="AC43" i="19" s="1"/>
  <c r="W41" i="19"/>
  <c r="X41" i="19" s="1"/>
  <c r="Y41" i="19" s="1"/>
  <c r="AA41" i="19" s="1"/>
  <c r="AB41" i="19" s="1"/>
  <c r="AC41" i="19" s="1"/>
  <c r="AP29" i="19"/>
  <c r="AE37" i="11"/>
  <c r="AO16" i="11" s="1"/>
  <c r="AO40" i="11"/>
  <c r="V43" i="11"/>
  <c r="AO38" i="11"/>
  <c r="V41" i="11"/>
  <c r="AE35" i="11"/>
  <c r="AO14" i="11" s="1"/>
  <c r="AO39" i="11"/>
  <c r="AE36" i="11"/>
  <c r="AO15" i="11" s="1"/>
  <c r="V42" i="11"/>
  <c r="AE38" i="11"/>
  <c r="AO17" i="11" s="1"/>
  <c r="AO41" i="11"/>
  <c r="V44" i="11"/>
  <c r="AF42" i="18" l="1"/>
  <c r="AP21" i="18" s="1"/>
  <c r="AD42" i="18"/>
  <c r="AF44" i="19"/>
  <c r="AP23" i="19" s="1"/>
  <c r="AD44" i="19"/>
  <c r="AF41" i="18"/>
  <c r="AP20" i="18" s="1"/>
  <c r="AD41" i="18"/>
  <c r="AF44" i="18"/>
  <c r="AP23" i="18" s="1"/>
  <c r="AD44" i="18"/>
  <c r="AF43" i="19"/>
  <c r="AP22" i="19" s="1"/>
  <c r="AD43" i="19"/>
  <c r="AF42" i="19"/>
  <c r="AP21" i="19" s="1"/>
  <c r="AD42" i="19"/>
  <c r="AF41" i="19"/>
  <c r="AP20" i="19" s="1"/>
  <c r="AD41" i="19"/>
  <c r="AF43" i="18"/>
  <c r="AP22" i="18" s="1"/>
  <c r="AD43" i="18"/>
  <c r="AP32" i="11"/>
  <c r="W44" i="11"/>
  <c r="X44" i="11" s="1"/>
  <c r="Y44" i="11" s="1"/>
  <c r="AA44" i="11" s="1"/>
  <c r="AB44" i="11" s="1"/>
  <c r="AC44" i="11" s="1"/>
  <c r="AP31" i="11"/>
  <c r="W43" i="11"/>
  <c r="X43" i="11" s="1"/>
  <c r="Y43" i="11" s="1"/>
  <c r="AA43" i="11" s="1"/>
  <c r="AB43" i="11" s="1"/>
  <c r="AC43" i="11" s="1"/>
  <c r="AP30" i="11"/>
  <c r="W42" i="11"/>
  <c r="X42" i="11" s="1"/>
  <c r="Y42" i="11" s="1"/>
  <c r="AA42" i="11" s="1"/>
  <c r="AB42" i="11" s="1"/>
  <c r="AC42" i="11" s="1"/>
  <c r="AP29" i="11"/>
  <c r="W41" i="11"/>
  <c r="X41" i="11" s="1"/>
  <c r="Y41" i="11" s="1"/>
  <c r="AA41" i="11" s="1"/>
  <c r="AB41" i="11" s="1"/>
  <c r="AC41" i="11" s="1"/>
  <c r="AO28" i="11"/>
  <c r="AO19" i="11"/>
  <c r="AO37" i="11"/>
  <c r="AE42" i="19" l="1"/>
  <c r="AP15" i="19" s="1"/>
  <c r="AP39" i="19"/>
  <c r="V48" i="19"/>
  <c r="V49" i="19"/>
  <c r="AE43" i="19"/>
  <c r="AP16" i="19" s="1"/>
  <c r="AP40" i="19"/>
  <c r="AE41" i="18"/>
  <c r="AP14" i="18" s="1"/>
  <c r="AP38" i="18"/>
  <c r="V47" i="18"/>
  <c r="AP39" i="18"/>
  <c r="V48" i="18"/>
  <c r="AE42" i="18"/>
  <c r="AP15" i="18" s="1"/>
  <c r="AE43" i="18"/>
  <c r="AP16" i="18" s="1"/>
  <c r="AP40" i="18"/>
  <c r="V49" i="18"/>
  <c r="V50" i="18"/>
  <c r="AE44" i="18"/>
  <c r="AP17" i="18" s="1"/>
  <c r="AP41" i="18"/>
  <c r="AP41" i="19"/>
  <c r="V50" i="19"/>
  <c r="AE44" i="19"/>
  <c r="AP17" i="19" s="1"/>
  <c r="AE41" i="19"/>
  <c r="AP14" i="19" s="1"/>
  <c r="V47" i="19"/>
  <c r="AP38" i="19"/>
  <c r="AF43" i="11"/>
  <c r="AP22" i="11" s="1"/>
  <c r="AD43" i="11"/>
  <c r="AF44" i="11"/>
  <c r="AP23" i="11" s="1"/>
  <c r="AD44" i="11"/>
  <c r="AF41" i="11"/>
  <c r="AP20" i="11" s="1"/>
  <c r="AD41" i="11"/>
  <c r="AF42" i="11"/>
  <c r="AP21" i="11" s="1"/>
  <c r="AD42" i="11"/>
  <c r="AQ31" i="19" l="1"/>
  <c r="W49" i="19"/>
  <c r="X49" i="19" s="1"/>
  <c r="Y49" i="19" s="1"/>
  <c r="AA49" i="19" s="1"/>
  <c r="AB49" i="19" s="1"/>
  <c r="AC49" i="19" s="1"/>
  <c r="W50" i="18"/>
  <c r="X50" i="18" s="1"/>
  <c r="Y50" i="18" s="1"/>
  <c r="AA50" i="18" s="1"/>
  <c r="AB50" i="18" s="1"/>
  <c r="AC50" i="18" s="1"/>
  <c r="AQ32" i="18"/>
  <c r="W47" i="19"/>
  <c r="X47" i="19" s="1"/>
  <c r="Y47" i="19" s="1"/>
  <c r="AA47" i="19" s="1"/>
  <c r="AB47" i="19" s="1"/>
  <c r="AC47" i="19" s="1"/>
  <c r="AQ29" i="19"/>
  <c r="W49" i="18"/>
  <c r="X49" i="18" s="1"/>
  <c r="Y49" i="18" s="1"/>
  <c r="AA49" i="18" s="1"/>
  <c r="AB49" i="18" s="1"/>
  <c r="AC49" i="18" s="1"/>
  <c r="AQ31" i="18"/>
  <c r="AQ30" i="18"/>
  <c r="W48" i="18"/>
  <c r="X48" i="18" s="1"/>
  <c r="Y48" i="18" s="1"/>
  <c r="AA48" i="18" s="1"/>
  <c r="AB48" i="18" s="1"/>
  <c r="AC48" i="18" s="1"/>
  <c r="W48" i="19"/>
  <c r="X48" i="19" s="1"/>
  <c r="Y48" i="19" s="1"/>
  <c r="AA48" i="19" s="1"/>
  <c r="AB48" i="19" s="1"/>
  <c r="AC48" i="19" s="1"/>
  <c r="AQ30" i="19"/>
  <c r="W50" i="19"/>
  <c r="X50" i="19" s="1"/>
  <c r="Y50" i="19" s="1"/>
  <c r="AA50" i="19" s="1"/>
  <c r="AB50" i="19" s="1"/>
  <c r="AC50" i="19" s="1"/>
  <c r="AQ32" i="19"/>
  <c r="AP19" i="19"/>
  <c r="AP28" i="19"/>
  <c r="AP37" i="19"/>
  <c r="AP37" i="18"/>
  <c r="AP28" i="18"/>
  <c r="AP19" i="18"/>
  <c r="AQ29" i="18"/>
  <c r="W47" i="18"/>
  <c r="X47" i="18" s="1"/>
  <c r="Y47" i="18" s="1"/>
  <c r="AA47" i="18" s="1"/>
  <c r="AB47" i="18" s="1"/>
  <c r="AC47" i="18" s="1"/>
  <c r="V48" i="11"/>
  <c r="AE42" i="11"/>
  <c r="AP15" i="11" s="1"/>
  <c r="AP39" i="11"/>
  <c r="AP41" i="11"/>
  <c r="AE44" i="11"/>
  <c r="AP17" i="11" s="1"/>
  <c r="V50" i="11"/>
  <c r="AP38" i="11"/>
  <c r="AE41" i="11"/>
  <c r="AP14" i="11" s="1"/>
  <c r="V47" i="11"/>
  <c r="AE43" i="11"/>
  <c r="AP16" i="11" s="1"/>
  <c r="AP40" i="11"/>
  <c r="V49" i="11"/>
  <c r="AF48" i="19" l="1"/>
  <c r="AQ21" i="19" s="1"/>
  <c r="AD48" i="19"/>
  <c r="AF49" i="18"/>
  <c r="AQ22" i="18" s="1"/>
  <c r="AD49" i="18"/>
  <c r="AF50" i="18"/>
  <c r="AQ23" i="18" s="1"/>
  <c r="AD50" i="18"/>
  <c r="AF48" i="18"/>
  <c r="AQ21" i="18" s="1"/>
  <c r="AD48" i="18"/>
  <c r="AF49" i="19"/>
  <c r="AQ22" i="19" s="1"/>
  <c r="AD49" i="19"/>
  <c r="AF47" i="18"/>
  <c r="AQ20" i="18" s="1"/>
  <c r="AD47" i="18"/>
  <c r="AF50" i="19"/>
  <c r="AQ23" i="19" s="1"/>
  <c r="AD50" i="19"/>
  <c r="AF47" i="19"/>
  <c r="AQ20" i="19" s="1"/>
  <c r="AD47" i="19"/>
  <c r="AQ31" i="11"/>
  <c r="W49" i="11"/>
  <c r="X49" i="11" s="1"/>
  <c r="Y49" i="11" s="1"/>
  <c r="AA49" i="11" s="1"/>
  <c r="AB49" i="11" s="1"/>
  <c r="AC49" i="11" s="1"/>
  <c r="AP37" i="11"/>
  <c r="AP19" i="11"/>
  <c r="AP28" i="11"/>
  <c r="AQ32" i="11"/>
  <c r="W50" i="11"/>
  <c r="X50" i="11" s="1"/>
  <c r="Y50" i="11" s="1"/>
  <c r="AA50" i="11" s="1"/>
  <c r="AB50" i="11" s="1"/>
  <c r="AC50" i="11" s="1"/>
  <c r="AQ29" i="11"/>
  <c r="W47" i="11"/>
  <c r="X47" i="11" s="1"/>
  <c r="Y47" i="11" s="1"/>
  <c r="AA47" i="11" s="1"/>
  <c r="AB47" i="11" s="1"/>
  <c r="AC47" i="11" s="1"/>
  <c r="AQ30" i="11"/>
  <c r="W48" i="11"/>
  <c r="X48" i="11" s="1"/>
  <c r="Y48" i="11" s="1"/>
  <c r="AA48" i="11" s="1"/>
  <c r="AB48" i="11" s="1"/>
  <c r="AC48" i="11" s="1"/>
  <c r="AQ38" i="19" l="1"/>
  <c r="V53" i="19"/>
  <c r="AE47" i="19"/>
  <c r="AQ14" i="19" s="1"/>
  <c r="AQ38" i="18"/>
  <c r="AE47" i="18"/>
  <c r="AQ14" i="18" s="1"/>
  <c r="V53" i="18"/>
  <c r="AE48" i="18"/>
  <c r="AQ15" i="18" s="1"/>
  <c r="V54" i="18"/>
  <c r="AQ39" i="18"/>
  <c r="AQ41" i="18"/>
  <c r="V56" i="18"/>
  <c r="AE50" i="18"/>
  <c r="AQ17" i="18" s="1"/>
  <c r="V54" i="19"/>
  <c r="AQ39" i="19"/>
  <c r="AE48" i="19"/>
  <c r="AQ15" i="19" s="1"/>
  <c r="AE50" i="19"/>
  <c r="AQ17" i="19" s="1"/>
  <c r="V56" i="19"/>
  <c r="AQ41" i="19"/>
  <c r="AE49" i="19"/>
  <c r="AQ16" i="19" s="1"/>
  <c r="V55" i="19"/>
  <c r="AQ40" i="19"/>
  <c r="AQ40" i="18"/>
  <c r="V55" i="18"/>
  <c r="AE49" i="18"/>
  <c r="AQ16" i="18" s="1"/>
  <c r="AF50" i="11"/>
  <c r="AQ23" i="11" s="1"/>
  <c r="AD50" i="11"/>
  <c r="AF48" i="11"/>
  <c r="AQ21" i="11" s="1"/>
  <c r="AD48" i="11"/>
  <c r="AF49" i="11"/>
  <c r="AQ22" i="11" s="1"/>
  <c r="AD49" i="11"/>
  <c r="AF47" i="11"/>
  <c r="AQ20" i="11" s="1"/>
  <c r="AD47" i="11"/>
  <c r="W54" i="18" l="1"/>
  <c r="X54" i="18" s="1"/>
  <c r="Y54" i="18" s="1"/>
  <c r="AA54" i="18" s="1"/>
  <c r="AB54" i="18" s="1"/>
  <c r="AC54" i="18" s="1"/>
  <c r="AR30" i="18"/>
  <c r="AQ28" i="19"/>
  <c r="AQ37" i="19"/>
  <c r="AQ19" i="19"/>
  <c r="AQ28" i="18"/>
  <c r="AQ19" i="18"/>
  <c r="AQ37" i="18"/>
  <c r="W55" i="19"/>
  <c r="X55" i="19" s="1"/>
  <c r="Y55" i="19" s="1"/>
  <c r="AA55" i="19" s="1"/>
  <c r="AB55" i="19" s="1"/>
  <c r="AC55" i="19" s="1"/>
  <c r="AR31" i="19"/>
  <c r="W53" i="18"/>
  <c r="X53" i="18" s="1"/>
  <c r="Y53" i="18" s="1"/>
  <c r="AA53" i="18" s="1"/>
  <c r="AB53" i="18" s="1"/>
  <c r="AC53" i="18" s="1"/>
  <c r="AR29" i="18"/>
  <c r="W53" i="19"/>
  <c r="X53" i="19" s="1"/>
  <c r="Y53" i="19" s="1"/>
  <c r="AA53" i="19" s="1"/>
  <c r="AB53" i="19" s="1"/>
  <c r="AC53" i="19" s="1"/>
  <c r="AR29" i="19"/>
  <c r="W55" i="18"/>
  <c r="X55" i="18" s="1"/>
  <c r="Y55" i="18" s="1"/>
  <c r="AA55" i="18" s="1"/>
  <c r="AB55" i="18" s="1"/>
  <c r="AC55" i="18" s="1"/>
  <c r="AR31" i="18"/>
  <c r="W56" i="18"/>
  <c r="X56" i="18" s="1"/>
  <c r="Y56" i="18" s="1"/>
  <c r="AA56" i="18" s="1"/>
  <c r="AB56" i="18" s="1"/>
  <c r="AC56" i="18" s="1"/>
  <c r="AR32" i="18"/>
  <c r="AR32" i="19"/>
  <c r="W56" i="19"/>
  <c r="X56" i="19" s="1"/>
  <c r="Y56" i="19" s="1"/>
  <c r="AA56" i="19" s="1"/>
  <c r="AB56" i="19" s="1"/>
  <c r="AC56" i="19" s="1"/>
  <c r="AR30" i="19"/>
  <c r="W54" i="19"/>
  <c r="X54" i="19" s="1"/>
  <c r="Y54" i="19" s="1"/>
  <c r="AA54" i="19" s="1"/>
  <c r="AB54" i="19" s="1"/>
  <c r="AC54" i="19" s="1"/>
  <c r="AQ38" i="11"/>
  <c r="V53" i="11"/>
  <c r="AE47" i="11"/>
  <c r="AQ14" i="11" s="1"/>
  <c r="AQ40" i="11"/>
  <c r="AE49" i="11"/>
  <c r="AQ16" i="11" s="1"/>
  <c r="V55" i="11"/>
  <c r="AE48" i="11"/>
  <c r="AQ15" i="11" s="1"/>
  <c r="AQ39" i="11"/>
  <c r="V54" i="11"/>
  <c r="V56" i="11"/>
  <c r="AE50" i="11"/>
  <c r="AQ17" i="11" s="1"/>
  <c r="AQ41" i="11"/>
  <c r="AF56" i="19" l="1"/>
  <c r="AR23" i="19" s="1"/>
  <c r="AD56" i="19"/>
  <c r="AF53" i="18"/>
  <c r="AR20" i="18" s="1"/>
  <c r="AD53" i="18"/>
  <c r="AF55" i="18"/>
  <c r="AR22" i="18" s="1"/>
  <c r="AD55" i="18"/>
  <c r="AF54" i="19"/>
  <c r="AR21" i="19" s="1"/>
  <c r="AD54" i="19"/>
  <c r="AF56" i="18"/>
  <c r="AR23" i="18" s="1"/>
  <c r="AD56" i="18"/>
  <c r="AF53" i="19"/>
  <c r="AR20" i="19" s="1"/>
  <c r="AD53" i="19"/>
  <c r="AF55" i="19"/>
  <c r="AR22" i="19" s="1"/>
  <c r="AD55" i="19"/>
  <c r="AF54" i="18"/>
  <c r="AR21" i="18" s="1"/>
  <c r="AD54" i="18"/>
  <c r="AR32" i="11"/>
  <c r="W56" i="11"/>
  <c r="X56" i="11" s="1"/>
  <c r="Y56" i="11" s="1"/>
  <c r="AA56" i="11" s="1"/>
  <c r="AB56" i="11" s="1"/>
  <c r="AC56" i="11" s="1"/>
  <c r="AR31" i="11"/>
  <c r="W55" i="11"/>
  <c r="X55" i="11" s="1"/>
  <c r="Y55" i="11" s="1"/>
  <c r="AA55" i="11" s="1"/>
  <c r="AB55" i="11" s="1"/>
  <c r="AC55" i="11" s="1"/>
  <c r="AR29" i="11"/>
  <c r="W53" i="11"/>
  <c r="X53" i="11" s="1"/>
  <c r="Y53" i="11" s="1"/>
  <c r="AA53" i="11" s="1"/>
  <c r="AB53" i="11" s="1"/>
  <c r="AC53" i="11" s="1"/>
  <c r="AR30" i="11"/>
  <c r="W54" i="11"/>
  <c r="X54" i="11" s="1"/>
  <c r="Y54" i="11" s="1"/>
  <c r="AA54" i="11" s="1"/>
  <c r="AB54" i="11" s="1"/>
  <c r="AC54" i="11" s="1"/>
  <c r="AQ28" i="11"/>
  <c r="AQ37" i="11"/>
  <c r="AQ19" i="11"/>
  <c r="AE55" i="19" l="1"/>
  <c r="AR16" i="19" s="1"/>
  <c r="AR40" i="19"/>
  <c r="AE56" i="18"/>
  <c r="AR17" i="18" s="1"/>
  <c r="AR41" i="18"/>
  <c r="AE54" i="19"/>
  <c r="AR15" i="19" s="1"/>
  <c r="AR39" i="19"/>
  <c r="AR38" i="18"/>
  <c r="AE53" i="18"/>
  <c r="AR14" i="18" s="1"/>
  <c r="AR38" i="19"/>
  <c r="AE53" i="19"/>
  <c r="AR14" i="19" s="1"/>
  <c r="AE55" i="18"/>
  <c r="AR16" i="18" s="1"/>
  <c r="AR40" i="18"/>
  <c r="AE56" i="19"/>
  <c r="AR17" i="19" s="1"/>
  <c r="AR41" i="19"/>
  <c r="AR39" i="18"/>
  <c r="AE54" i="18"/>
  <c r="AR15" i="18" s="1"/>
  <c r="AF55" i="11"/>
  <c r="AR22" i="11" s="1"/>
  <c r="AD55" i="11"/>
  <c r="AF56" i="11"/>
  <c r="AR23" i="11" s="1"/>
  <c r="AD56" i="11"/>
  <c r="AF54" i="11"/>
  <c r="AR21" i="11" s="1"/>
  <c r="AD54" i="11"/>
  <c r="AF53" i="11"/>
  <c r="AR20" i="11" s="1"/>
  <c r="AD53" i="11"/>
  <c r="AR19" i="18" l="1"/>
  <c r="AR28" i="18"/>
  <c r="AR37" i="18"/>
  <c r="AJ44" i="18" s="1"/>
  <c r="AR37" i="19"/>
  <c r="AJ44" i="19" s="1"/>
  <c r="AR28" i="19"/>
  <c r="AR19" i="19"/>
  <c r="AR39" i="11"/>
  <c r="AE54" i="11"/>
  <c r="AR15" i="11" s="1"/>
  <c r="AR40" i="11"/>
  <c r="AE55" i="11"/>
  <c r="AR16" i="11" s="1"/>
  <c r="AE53" i="11"/>
  <c r="AR14" i="11" s="1"/>
  <c r="AR38" i="11"/>
  <c r="AR41" i="11"/>
  <c r="AE56" i="11"/>
  <c r="AR17" i="11" s="1"/>
  <c r="E11" i="19" l="1"/>
  <c r="AJ35" i="19"/>
  <c r="AJ35" i="18"/>
  <c r="E11" i="18"/>
  <c r="AJ26" i="19"/>
  <c r="H15" i="19"/>
  <c r="H25" i="19" s="1"/>
  <c r="E6" i="19" s="1"/>
  <c r="L20" i="25" s="1"/>
  <c r="AJ26" i="18"/>
  <c r="H15" i="18"/>
  <c r="H25" i="18" s="1"/>
  <c r="E6" i="18" s="1"/>
  <c r="L12" i="25" s="1"/>
  <c r="AR19" i="11"/>
  <c r="AR37" i="11"/>
  <c r="AJ44" i="11" s="1"/>
  <c r="AR28" i="11"/>
  <c r="E37" i="18" l="1"/>
  <c r="E39" i="18" s="1"/>
  <c r="C7" i="25" s="1"/>
  <c r="J6" i="18"/>
  <c r="E5" i="18"/>
  <c r="E29" i="18" s="1"/>
  <c r="E31" i="18" s="1"/>
  <c r="J6" i="19"/>
  <c r="E5" i="19"/>
  <c r="E11" i="11"/>
  <c r="AJ35" i="11"/>
  <c r="H15" i="11"/>
  <c r="AJ26" i="11"/>
  <c r="D7" i="25" l="1"/>
  <c r="P3" i="5"/>
  <c r="O40" i="5" s="1"/>
  <c r="C527" i="25"/>
  <c r="E527" i="25" s="1"/>
  <c r="C528" i="25"/>
  <c r="E528" i="25" s="1"/>
  <c r="C521" i="25"/>
  <c r="E521" i="25" s="1"/>
  <c r="C515" i="25"/>
  <c r="E515" i="25" s="1"/>
  <c r="C511" i="25"/>
  <c r="E511" i="25" s="1"/>
  <c r="C501" i="25"/>
  <c r="E501" i="25" s="1"/>
  <c r="C496" i="25"/>
  <c r="E496" i="25" s="1"/>
  <c r="C492" i="25"/>
  <c r="E492" i="25" s="1"/>
  <c r="C489" i="25"/>
  <c r="E489" i="25" s="1"/>
  <c r="C483" i="25"/>
  <c r="E483" i="25" s="1"/>
  <c r="C479" i="25"/>
  <c r="E479" i="25" s="1"/>
  <c r="C470" i="25"/>
  <c r="E470" i="25" s="1"/>
  <c r="C466" i="25"/>
  <c r="E466" i="25" s="1"/>
  <c r="C459" i="25"/>
  <c r="E459" i="25" s="1"/>
  <c r="C454" i="25"/>
  <c r="E454" i="25" s="1"/>
  <c r="C450" i="25"/>
  <c r="E450" i="25" s="1"/>
  <c r="C438" i="25"/>
  <c r="E438" i="25" s="1"/>
  <c r="C431" i="25"/>
  <c r="E431" i="25" s="1"/>
  <c r="C427" i="25"/>
  <c r="E427" i="25" s="1"/>
  <c r="C418" i="25"/>
  <c r="E418" i="25" s="1"/>
  <c r="C409" i="25"/>
  <c r="E409" i="25" s="1"/>
  <c r="C405" i="25"/>
  <c r="E405" i="25" s="1"/>
  <c r="C399" i="25"/>
  <c r="E399" i="25" s="1"/>
  <c r="C395" i="25"/>
  <c r="E395" i="25" s="1"/>
  <c r="C390" i="25"/>
  <c r="E390" i="25" s="1"/>
  <c r="C386" i="25"/>
  <c r="E386" i="25" s="1"/>
  <c r="C387" i="25"/>
  <c r="E387" i="25" s="1"/>
  <c r="C407" i="25"/>
  <c r="E407" i="25" s="1"/>
  <c r="C526" i="25"/>
  <c r="E526" i="25" s="1"/>
  <c r="C520" i="25"/>
  <c r="E520" i="25" s="1"/>
  <c r="C514" i="25"/>
  <c r="E514" i="25" s="1"/>
  <c r="C510" i="25"/>
  <c r="E510" i="25" s="1"/>
  <c r="C500" i="25"/>
  <c r="E500" i="25" s="1"/>
  <c r="C491" i="25"/>
  <c r="E491" i="25" s="1"/>
  <c r="C488" i="25"/>
  <c r="E488" i="25" s="1"/>
  <c r="C482" i="25"/>
  <c r="E482" i="25" s="1"/>
  <c r="C478" i="25"/>
  <c r="E478" i="25" s="1"/>
  <c r="C469" i="25"/>
  <c r="E469" i="25" s="1"/>
  <c r="C463" i="25"/>
  <c r="E463" i="25" s="1"/>
  <c r="C458" i="25"/>
  <c r="E458" i="25" s="1"/>
  <c r="C453" i="25"/>
  <c r="E453" i="25" s="1"/>
  <c r="C449" i="25"/>
  <c r="E449" i="25" s="1"/>
  <c r="C436" i="25"/>
  <c r="E436" i="25" s="1"/>
  <c r="C430" i="25"/>
  <c r="E430" i="25" s="1"/>
  <c r="C426" i="25"/>
  <c r="E426" i="25" s="1"/>
  <c r="C417" i="25"/>
  <c r="E417" i="25" s="1"/>
  <c r="C408" i="25"/>
  <c r="E408" i="25" s="1"/>
  <c r="C404" i="25"/>
  <c r="E404" i="25" s="1"/>
  <c r="C391" i="25"/>
  <c r="E391" i="25" s="1"/>
  <c r="C416" i="25"/>
  <c r="E416" i="25" s="1"/>
  <c r="C388" i="25"/>
  <c r="E388" i="25" s="1"/>
  <c r="C523" i="25"/>
  <c r="E523" i="25" s="1"/>
  <c r="C519" i="25"/>
  <c r="E519" i="25" s="1"/>
  <c r="C513" i="25"/>
  <c r="E513" i="25" s="1"/>
  <c r="C498" i="25"/>
  <c r="E498" i="25" s="1"/>
  <c r="C490" i="25"/>
  <c r="E490" i="25" s="1"/>
  <c r="C480" i="25"/>
  <c r="E480" i="25" s="1"/>
  <c r="C472" i="25"/>
  <c r="E472" i="25" s="1"/>
  <c r="C468" i="25"/>
  <c r="E468" i="25" s="1"/>
  <c r="C462" i="25"/>
  <c r="E462" i="25" s="1"/>
  <c r="C457" i="25"/>
  <c r="E457" i="25" s="1"/>
  <c r="C452" i="25"/>
  <c r="E452" i="25" s="1"/>
  <c r="C448" i="25"/>
  <c r="E448" i="25" s="1"/>
  <c r="C435" i="25"/>
  <c r="E435" i="25" s="1"/>
  <c r="C429" i="25"/>
  <c r="E429" i="25" s="1"/>
  <c r="C421" i="25"/>
  <c r="E421" i="25" s="1"/>
  <c r="C522" i="25"/>
  <c r="E522" i="25" s="1"/>
  <c r="C518" i="25"/>
  <c r="E518" i="25" s="1"/>
  <c r="C512" i="25"/>
  <c r="E512" i="25" s="1"/>
  <c r="C497" i="25"/>
  <c r="E497" i="25" s="1"/>
  <c r="C493" i="25"/>
  <c r="E493" i="25" s="1"/>
  <c r="C487" i="25"/>
  <c r="E487" i="25" s="1"/>
  <c r="C471" i="25"/>
  <c r="E471" i="25" s="1"/>
  <c r="C467" i="25"/>
  <c r="E467" i="25" s="1"/>
  <c r="C461" i="25"/>
  <c r="E461" i="25" s="1"/>
  <c r="C451" i="25"/>
  <c r="E451" i="25" s="1"/>
  <c r="C439" i="25"/>
  <c r="E439" i="25" s="1"/>
  <c r="C434" i="25"/>
  <c r="E434" i="25" s="1"/>
  <c r="C428" i="25"/>
  <c r="E428" i="25" s="1"/>
  <c r="C420" i="25"/>
  <c r="E420" i="25" s="1"/>
  <c r="C410" i="25"/>
  <c r="E410" i="25" s="1"/>
  <c r="C406" i="25"/>
  <c r="E406" i="25" s="1"/>
  <c r="C400" i="25"/>
  <c r="E400" i="25" s="1"/>
  <c r="C396" i="25"/>
  <c r="E396" i="25" s="1"/>
  <c r="C389" i="25"/>
  <c r="E389" i="25" s="1"/>
  <c r="C425" i="25"/>
  <c r="E425" i="25" s="1"/>
  <c r="C397" i="25"/>
  <c r="E397" i="25" s="1"/>
  <c r="C392" i="25"/>
  <c r="E392" i="25" s="1"/>
  <c r="C219" i="25"/>
  <c r="G219" i="25" s="1"/>
  <c r="C10" i="25"/>
  <c r="G10" i="25" s="1"/>
  <c r="C172" i="25"/>
  <c r="E172" i="25" s="1"/>
  <c r="C296" i="25"/>
  <c r="E296" i="25" s="1"/>
  <c r="C276" i="25"/>
  <c r="E276" i="25" s="1"/>
  <c r="C308" i="25"/>
  <c r="C359" i="25"/>
  <c r="E359" i="25" s="1"/>
  <c r="C354" i="25"/>
  <c r="E354" i="25" s="1"/>
  <c r="C349" i="25"/>
  <c r="E349" i="25" s="1"/>
  <c r="C345" i="25"/>
  <c r="C337" i="25"/>
  <c r="E337" i="25" s="1"/>
  <c r="C332" i="25"/>
  <c r="E332" i="25" s="1"/>
  <c r="C289" i="25"/>
  <c r="C376" i="25"/>
  <c r="C372" i="25"/>
  <c r="C367" i="25"/>
  <c r="C305" i="25"/>
  <c r="C176" i="25"/>
  <c r="C248" i="25"/>
  <c r="C223" i="25"/>
  <c r="C177" i="25"/>
  <c r="C147" i="25"/>
  <c r="C162" i="25"/>
  <c r="C246" i="25"/>
  <c r="C171" i="25"/>
  <c r="C91" i="25"/>
  <c r="C66" i="25"/>
  <c r="C62" i="25"/>
  <c r="C34" i="25"/>
  <c r="C68" i="25"/>
  <c r="C77" i="25"/>
  <c r="C35" i="25"/>
  <c r="C275" i="25"/>
  <c r="C269" i="25"/>
  <c r="C249" i="25"/>
  <c r="C357" i="25"/>
  <c r="C353" i="25"/>
  <c r="C348" i="25"/>
  <c r="C344" i="25"/>
  <c r="C318" i="25"/>
  <c r="C294" i="25"/>
  <c r="C380" i="25"/>
  <c r="C375" i="25"/>
  <c r="C370" i="25"/>
  <c r="C366" i="25"/>
  <c r="C164" i="25"/>
  <c r="C140" i="25"/>
  <c r="C245" i="25"/>
  <c r="C184" i="25"/>
  <c r="C156" i="25"/>
  <c r="C120" i="25"/>
  <c r="C237" i="25"/>
  <c r="C163" i="25"/>
  <c r="C307" i="25"/>
  <c r="C278" i="25"/>
  <c r="C274" i="25"/>
  <c r="C268" i="25"/>
  <c r="C356" i="25"/>
  <c r="C352" i="25"/>
  <c r="C347" i="25"/>
  <c r="C343" i="25"/>
  <c r="C322" i="25"/>
  <c r="C291" i="25"/>
  <c r="C378" i="25"/>
  <c r="C374" i="25"/>
  <c r="C369" i="25"/>
  <c r="C365" i="25"/>
  <c r="C295" i="25"/>
  <c r="C160" i="25"/>
  <c r="C132" i="25"/>
  <c r="C236" i="25"/>
  <c r="C161" i="25"/>
  <c r="C178" i="25"/>
  <c r="C260" i="25"/>
  <c r="C235" i="25"/>
  <c r="C179" i="25"/>
  <c r="C157" i="25"/>
  <c r="C131" i="25"/>
  <c r="C93" i="25"/>
  <c r="C51" i="25"/>
  <c r="C55" i="25"/>
  <c r="C64" i="25"/>
  <c r="C27" i="25"/>
  <c r="C63" i="25"/>
  <c r="C277" i="25"/>
  <c r="C282" i="25"/>
  <c r="C355" i="25"/>
  <c r="C351" i="25"/>
  <c r="C346" i="25"/>
  <c r="C333" i="25"/>
  <c r="C304" i="25"/>
  <c r="C290" i="25"/>
  <c r="C377" i="25"/>
  <c r="C373" i="25"/>
  <c r="C368" i="25"/>
  <c r="C364" i="25"/>
  <c r="C180" i="25"/>
  <c r="C154" i="25"/>
  <c r="C231" i="25"/>
  <c r="C183" i="25"/>
  <c r="C155" i="25"/>
  <c r="C119" i="25"/>
  <c r="C232" i="25"/>
  <c r="C169" i="25"/>
  <c r="C175" i="25"/>
  <c r="C153" i="25"/>
  <c r="C92" i="25"/>
  <c r="C67" i="25"/>
  <c r="C48" i="25"/>
  <c r="C78" i="25"/>
  <c r="C26" i="25"/>
  <c r="C58" i="25"/>
  <c r="C41" i="25"/>
  <c r="R2" i="4"/>
  <c r="P2" i="5"/>
  <c r="H25" i="11"/>
  <c r="E6" i="11" s="1"/>
  <c r="E10" i="25" l="1"/>
  <c r="D83" i="25"/>
  <c r="E83" i="25" s="1"/>
  <c r="E219" i="25"/>
  <c r="Q40" i="5"/>
  <c r="P40" i="5"/>
  <c r="P42" i="5" s="1"/>
  <c r="L17" i="25" s="1"/>
  <c r="L18" i="25" s="1"/>
  <c r="L21" i="25" s="1"/>
  <c r="E155" i="25"/>
  <c r="G155" i="25"/>
  <c r="E154" i="25"/>
  <c r="G154" i="25"/>
  <c r="E364" i="25"/>
  <c r="G364" i="25"/>
  <c r="E346" i="25"/>
  <c r="G346" i="25"/>
  <c r="E277" i="25"/>
  <c r="G277" i="25"/>
  <c r="E64" i="25"/>
  <c r="G64" i="25"/>
  <c r="E235" i="25"/>
  <c r="G235" i="25"/>
  <c r="E160" i="25"/>
  <c r="G160" i="25"/>
  <c r="E369" i="25"/>
  <c r="G369" i="25"/>
  <c r="E291" i="25"/>
  <c r="G291" i="25"/>
  <c r="E352" i="25"/>
  <c r="G352" i="25"/>
  <c r="E307" i="25"/>
  <c r="G307" i="25"/>
  <c r="E156" i="25"/>
  <c r="G156" i="25"/>
  <c r="E245" i="25"/>
  <c r="G245" i="25"/>
  <c r="E375" i="25"/>
  <c r="G375" i="25"/>
  <c r="E357" i="25"/>
  <c r="G357" i="25"/>
  <c r="E269" i="25"/>
  <c r="G269" i="25"/>
  <c r="E34" i="25"/>
  <c r="G34" i="25"/>
  <c r="E91" i="25"/>
  <c r="G91" i="25"/>
  <c r="E162" i="25"/>
  <c r="G162" i="25"/>
  <c r="E177" i="25"/>
  <c r="G177" i="25"/>
  <c r="E372" i="25"/>
  <c r="G372" i="25"/>
  <c r="E78" i="25"/>
  <c r="G78" i="25"/>
  <c r="E169" i="25"/>
  <c r="G169" i="25"/>
  <c r="E183" i="25"/>
  <c r="G183" i="25"/>
  <c r="E368" i="25"/>
  <c r="G368" i="25"/>
  <c r="E290" i="25"/>
  <c r="G290" i="25"/>
  <c r="E351" i="25"/>
  <c r="G351" i="25"/>
  <c r="E55" i="25"/>
  <c r="G55" i="25"/>
  <c r="E131" i="25"/>
  <c r="G131" i="25"/>
  <c r="E260" i="25"/>
  <c r="G260" i="25"/>
  <c r="E161" i="25"/>
  <c r="G161" i="25"/>
  <c r="E374" i="25"/>
  <c r="G374" i="25"/>
  <c r="E356" i="25"/>
  <c r="G356" i="25"/>
  <c r="E268" i="25"/>
  <c r="G268" i="25"/>
  <c r="E163" i="25"/>
  <c r="G163" i="25"/>
  <c r="E184" i="25"/>
  <c r="G184" i="25"/>
  <c r="E140" i="25"/>
  <c r="G140" i="25"/>
  <c r="E380" i="25"/>
  <c r="G380" i="25"/>
  <c r="E318" i="25"/>
  <c r="G318" i="25"/>
  <c r="E344" i="25"/>
  <c r="G344" i="25"/>
  <c r="E275" i="25"/>
  <c r="G275" i="25"/>
  <c r="E77" i="25"/>
  <c r="G77" i="25"/>
  <c r="E62" i="25"/>
  <c r="G62" i="25"/>
  <c r="E223" i="25"/>
  <c r="G223" i="25"/>
  <c r="E376" i="25"/>
  <c r="G376" i="25"/>
  <c r="E345" i="25"/>
  <c r="G345" i="25"/>
  <c r="E308" i="25"/>
  <c r="G308" i="25"/>
  <c r="E41" i="25"/>
  <c r="G41" i="25"/>
  <c r="E153" i="25"/>
  <c r="G153" i="25"/>
  <c r="E180" i="25"/>
  <c r="G180" i="25"/>
  <c r="E175" i="25"/>
  <c r="G175" i="25"/>
  <c r="E232" i="25"/>
  <c r="G232" i="25"/>
  <c r="E231" i="25"/>
  <c r="G231" i="25"/>
  <c r="E373" i="25"/>
  <c r="G373" i="25"/>
  <c r="E304" i="25"/>
  <c r="G304" i="25"/>
  <c r="E333" i="25"/>
  <c r="G333" i="25"/>
  <c r="E355" i="25"/>
  <c r="G355" i="25"/>
  <c r="E63" i="25"/>
  <c r="G63" i="25"/>
  <c r="E51" i="25"/>
  <c r="G51" i="25"/>
  <c r="E157" i="25"/>
  <c r="G157" i="25"/>
  <c r="E178" i="25"/>
  <c r="G178" i="25"/>
  <c r="E236" i="25"/>
  <c r="G236" i="25"/>
  <c r="E295" i="25"/>
  <c r="G295" i="25"/>
  <c r="E378" i="25"/>
  <c r="G378" i="25"/>
  <c r="E343" i="25"/>
  <c r="G343" i="25"/>
  <c r="E274" i="25"/>
  <c r="G274" i="25"/>
  <c r="E237" i="25"/>
  <c r="G237" i="25"/>
  <c r="E164" i="25"/>
  <c r="G164" i="25"/>
  <c r="E366" i="25"/>
  <c r="G366" i="25"/>
  <c r="E348" i="25"/>
  <c r="G348" i="25"/>
  <c r="E249" i="25"/>
  <c r="G249" i="25"/>
  <c r="E171" i="25"/>
  <c r="G171" i="25"/>
  <c r="E248" i="25"/>
  <c r="G248" i="25"/>
  <c r="E305" i="25"/>
  <c r="G305" i="25"/>
  <c r="E26" i="25"/>
  <c r="G26" i="25"/>
  <c r="E58" i="25"/>
  <c r="G58" i="25"/>
  <c r="E67" i="25"/>
  <c r="G67" i="25"/>
  <c r="E48" i="25"/>
  <c r="G48" i="25"/>
  <c r="E92" i="25"/>
  <c r="G92" i="25"/>
  <c r="E119" i="25"/>
  <c r="G119" i="25"/>
  <c r="E377" i="25"/>
  <c r="G377" i="25"/>
  <c r="E282" i="25"/>
  <c r="G282" i="25"/>
  <c r="E27" i="25"/>
  <c r="G27" i="25"/>
  <c r="E93" i="25"/>
  <c r="G93" i="25"/>
  <c r="E179" i="25"/>
  <c r="G179" i="25"/>
  <c r="E132" i="25"/>
  <c r="G132" i="25"/>
  <c r="E365" i="25"/>
  <c r="G365" i="25"/>
  <c r="E322" i="25"/>
  <c r="G322" i="25"/>
  <c r="E347" i="25"/>
  <c r="G347" i="25"/>
  <c r="E278" i="25"/>
  <c r="G278" i="25"/>
  <c r="E120" i="25"/>
  <c r="G120" i="25"/>
  <c r="E370" i="25"/>
  <c r="G370" i="25"/>
  <c r="E294" i="25"/>
  <c r="G294" i="25"/>
  <c r="E353" i="25"/>
  <c r="G353" i="25"/>
  <c r="E35" i="25"/>
  <c r="G35" i="25"/>
  <c r="E68" i="25"/>
  <c r="G68" i="25"/>
  <c r="E66" i="25"/>
  <c r="G66" i="25"/>
  <c r="E246" i="25"/>
  <c r="G246" i="25"/>
  <c r="E147" i="25"/>
  <c r="G147" i="25"/>
  <c r="E176" i="25"/>
  <c r="G176" i="25"/>
  <c r="E367" i="25"/>
  <c r="G367" i="25"/>
  <c r="E289" i="25"/>
  <c r="G289" i="25"/>
  <c r="G172" i="25"/>
  <c r="G387" i="25"/>
  <c r="G407" i="25"/>
  <c r="G429" i="25"/>
  <c r="G453" i="25"/>
  <c r="G472" i="25"/>
  <c r="G496" i="25"/>
  <c r="G420" i="25"/>
  <c r="G469" i="25"/>
  <c r="G491" i="25"/>
  <c r="G399" i="25"/>
  <c r="G421" i="25"/>
  <c r="G466" i="25"/>
  <c r="G488" i="25"/>
  <c r="G332" i="25"/>
  <c r="G354" i="25"/>
  <c r="G400" i="25"/>
  <c r="G448" i="25"/>
  <c r="G467" i="25"/>
  <c r="G489" i="25"/>
  <c r="G391" i="25"/>
  <c r="G435" i="25"/>
  <c r="G459" i="25"/>
  <c r="G480" i="25"/>
  <c r="G500" i="25"/>
  <c r="G404" i="25"/>
  <c r="G426" i="25"/>
  <c r="G450" i="25"/>
  <c r="G497" i="25"/>
  <c r="G405" i="25"/>
  <c r="G427" i="25"/>
  <c r="G451" i="25"/>
  <c r="G470" i="25"/>
  <c r="G492" i="25"/>
  <c r="G337" i="25"/>
  <c r="G359" i="25"/>
  <c r="G386" i="25"/>
  <c r="G406" i="25"/>
  <c r="G428" i="25"/>
  <c r="G452" i="25"/>
  <c r="G471" i="25"/>
  <c r="G493" i="25"/>
  <c r="G397" i="25"/>
  <c r="G439" i="25"/>
  <c r="G463" i="25"/>
  <c r="G388" i="25"/>
  <c r="G408" i="25"/>
  <c r="G430" i="25"/>
  <c r="G454" i="25"/>
  <c r="G501" i="25"/>
  <c r="G389" i="25"/>
  <c r="G409" i="25"/>
  <c r="G431" i="25"/>
  <c r="G457" i="25"/>
  <c r="G478" i="25"/>
  <c r="G498" i="25"/>
  <c r="G296" i="25"/>
  <c r="G390" i="25"/>
  <c r="G410" i="25"/>
  <c r="G434" i="25"/>
  <c r="G458" i="25"/>
  <c r="G479" i="25"/>
  <c r="G425" i="25"/>
  <c r="G449" i="25"/>
  <c r="G468" i="25"/>
  <c r="G490" i="25"/>
  <c r="G276" i="25"/>
  <c r="G392" i="25"/>
  <c r="G416" i="25"/>
  <c r="G436" i="25"/>
  <c r="G487" i="25"/>
  <c r="G395" i="25"/>
  <c r="G417" i="25"/>
  <c r="G461" i="25"/>
  <c r="G482" i="25"/>
  <c r="G349" i="25"/>
  <c r="G396" i="25"/>
  <c r="G418" i="25"/>
  <c r="G438" i="25"/>
  <c r="G462" i="25"/>
  <c r="G483" i="25"/>
  <c r="O146" i="5"/>
  <c r="O143" i="5"/>
  <c r="O141" i="5"/>
  <c r="C401" i="25" s="1"/>
  <c r="O121" i="5"/>
  <c r="O115" i="5"/>
  <c r="C222" i="25" s="1"/>
  <c r="O112" i="5"/>
  <c r="C200" i="25" s="1"/>
  <c r="O110" i="5"/>
  <c r="C199" i="25" s="1"/>
  <c r="O105" i="5"/>
  <c r="C240" i="25" s="1"/>
  <c r="O99" i="5"/>
  <c r="C229" i="25" s="1"/>
  <c r="O96" i="5"/>
  <c r="C227" i="25" s="1"/>
  <c r="O94" i="5"/>
  <c r="C217" i="25" s="1"/>
  <c r="O89" i="5"/>
  <c r="O83" i="5"/>
  <c r="R83" i="5" s="1"/>
  <c r="C321" i="25" s="1"/>
  <c r="O80" i="5"/>
  <c r="R80" i="5" s="1"/>
  <c r="C317" i="25" s="1"/>
  <c r="O78" i="5"/>
  <c r="O73" i="5"/>
  <c r="O67" i="5"/>
  <c r="O64" i="5"/>
  <c r="O62" i="5"/>
  <c r="O57" i="5"/>
  <c r="O51" i="5"/>
  <c r="O48" i="5"/>
  <c r="R48" i="5" s="1"/>
  <c r="C204" i="25" s="1"/>
  <c r="O14" i="5"/>
  <c r="C73" i="25" s="1"/>
  <c r="O20" i="5"/>
  <c r="O147" i="5"/>
  <c r="C413" i="25" s="1"/>
  <c r="O145" i="5"/>
  <c r="C440" i="25" s="1"/>
  <c r="O140" i="5"/>
  <c r="C419" i="25" s="1"/>
  <c r="O119" i="5"/>
  <c r="O116" i="5"/>
  <c r="C18" i="25" s="1"/>
  <c r="O114" i="5"/>
  <c r="O109" i="5"/>
  <c r="C243" i="25" s="1"/>
  <c r="O103" i="5"/>
  <c r="C241" i="25" s="1"/>
  <c r="O100" i="5"/>
  <c r="C230" i="25" s="1"/>
  <c r="O98" i="5"/>
  <c r="C228" i="25" s="1"/>
  <c r="O93" i="5"/>
  <c r="C216" i="25" s="1"/>
  <c r="O87" i="5"/>
  <c r="C313" i="25" s="1"/>
  <c r="O84" i="5"/>
  <c r="O82" i="5"/>
  <c r="C323" i="25" s="1"/>
  <c r="O77" i="5"/>
  <c r="R77" i="5" s="1"/>
  <c r="C312" i="25" s="1"/>
  <c r="O71" i="5"/>
  <c r="O68" i="5"/>
  <c r="O66" i="5"/>
  <c r="O61" i="5"/>
  <c r="R61" i="5" s="1"/>
  <c r="C207" i="25" s="1"/>
  <c r="O55" i="5"/>
  <c r="O52" i="5"/>
  <c r="R52" i="5" s="1"/>
  <c r="C205" i="25" s="1"/>
  <c r="O50" i="5"/>
  <c r="O13" i="5"/>
  <c r="C81" i="25" s="1"/>
  <c r="O15" i="5"/>
  <c r="C74" i="25" s="1"/>
  <c r="O18" i="5"/>
  <c r="C79" i="25" s="1"/>
  <c r="O24" i="5"/>
  <c r="O144" i="5"/>
  <c r="C437" i="25" s="1"/>
  <c r="O120" i="5"/>
  <c r="C42" i="25" s="1"/>
  <c r="O118" i="5"/>
  <c r="O113" i="5"/>
  <c r="C201" i="25" s="1"/>
  <c r="O107" i="5"/>
  <c r="C242" i="25" s="1"/>
  <c r="O104" i="5"/>
  <c r="C195" i="25" s="1"/>
  <c r="O102" i="5"/>
  <c r="C196" i="25" s="1"/>
  <c r="O97" i="5"/>
  <c r="C226" i="25" s="1"/>
  <c r="O91" i="5"/>
  <c r="C214" i="25" s="1"/>
  <c r="O88" i="5"/>
  <c r="O86" i="5"/>
  <c r="C314" i="25" s="1"/>
  <c r="O81" i="5"/>
  <c r="O75" i="5"/>
  <c r="O72" i="5"/>
  <c r="O70" i="5"/>
  <c r="O65" i="5"/>
  <c r="R65" i="5" s="1"/>
  <c r="C208" i="25" s="1"/>
  <c r="O59" i="5"/>
  <c r="O56" i="5"/>
  <c r="O54" i="5"/>
  <c r="O49" i="5"/>
  <c r="O17" i="5"/>
  <c r="C76" i="25" s="1"/>
  <c r="O19" i="5"/>
  <c r="O22" i="5"/>
  <c r="O12" i="5"/>
  <c r="C72" i="25" s="1"/>
  <c r="O148" i="5"/>
  <c r="C442" i="25" s="1"/>
  <c r="O142" i="5"/>
  <c r="C422" i="25" s="1"/>
  <c r="O139" i="5"/>
  <c r="C398" i="25" s="1"/>
  <c r="O117" i="5"/>
  <c r="R117" i="5" s="1"/>
  <c r="O111" i="5"/>
  <c r="C244" i="25" s="1"/>
  <c r="O108" i="5"/>
  <c r="C198" i="25" s="1"/>
  <c r="O106" i="5"/>
  <c r="C197" i="25" s="1"/>
  <c r="O101" i="5"/>
  <c r="O95" i="5"/>
  <c r="C218" i="25" s="1"/>
  <c r="O92" i="5"/>
  <c r="C215" i="25" s="1"/>
  <c r="O90" i="5"/>
  <c r="C213" i="25" s="1"/>
  <c r="O85" i="5"/>
  <c r="O79" i="5"/>
  <c r="C319" i="25" s="1"/>
  <c r="O76" i="5"/>
  <c r="C315" i="25" s="1"/>
  <c r="O74" i="5"/>
  <c r="R74" i="5" s="1"/>
  <c r="C210" i="25" s="1"/>
  <c r="O69" i="5"/>
  <c r="R69" i="5" s="1"/>
  <c r="C209" i="25" s="1"/>
  <c r="O63" i="5"/>
  <c r="O60" i="5"/>
  <c r="O58" i="5"/>
  <c r="R58" i="5" s="1"/>
  <c r="C206" i="25" s="1"/>
  <c r="O53" i="5"/>
  <c r="O16" i="5"/>
  <c r="C75" i="25" s="1"/>
  <c r="O21" i="5"/>
  <c r="C80" i="25" s="1"/>
  <c r="O23" i="5"/>
  <c r="C102" i="25" s="1"/>
  <c r="O26" i="5"/>
  <c r="O25" i="5"/>
  <c r="C100" i="25" s="1"/>
  <c r="G100" i="25" s="1"/>
  <c r="O33" i="5"/>
  <c r="C19" i="25" s="1"/>
  <c r="O35" i="5"/>
  <c r="O28" i="5"/>
  <c r="O32" i="5"/>
  <c r="R32" i="5" s="1"/>
  <c r="O30" i="5"/>
  <c r="R30" i="5" s="1"/>
  <c r="C47" i="25" s="1"/>
  <c r="G47" i="25" s="1"/>
  <c r="O27" i="5"/>
  <c r="C23" i="25" s="1"/>
  <c r="O29" i="5"/>
  <c r="O34" i="5"/>
  <c r="C14" i="25" s="1"/>
  <c r="O31" i="5"/>
  <c r="R31" i="5" s="1"/>
  <c r="C54" i="25" s="1"/>
  <c r="G54" i="25" s="1"/>
  <c r="Q89" i="4"/>
  <c r="C504" i="25" s="1"/>
  <c r="Q83" i="4"/>
  <c r="C481" i="25" s="1"/>
  <c r="Q74" i="4"/>
  <c r="T74" i="4" s="1"/>
  <c r="Q72" i="4"/>
  <c r="C281" i="25" s="1"/>
  <c r="Q67" i="4"/>
  <c r="C257" i="25" s="1"/>
  <c r="Q61" i="4"/>
  <c r="C255" i="25" s="1"/>
  <c r="Q58" i="4"/>
  <c r="Q56" i="4"/>
  <c r="C287" i="25" s="1"/>
  <c r="Q51" i="4"/>
  <c r="C329" i="25" s="1"/>
  <c r="Q45" i="4"/>
  <c r="Q42" i="4"/>
  <c r="Q40" i="4"/>
  <c r="T40" i="4" s="1"/>
  <c r="C265" i="25" s="1"/>
  <c r="Q11" i="4"/>
  <c r="C96" i="25" s="1"/>
  <c r="Q15" i="4"/>
  <c r="C94" i="25" s="1"/>
  <c r="Q19" i="4"/>
  <c r="Q23" i="4"/>
  <c r="Q27" i="4"/>
  <c r="C40" i="25" s="1"/>
  <c r="Q87" i="4"/>
  <c r="C502" i="25" s="1"/>
  <c r="Q84" i="4"/>
  <c r="C484" i="25" s="1"/>
  <c r="Q71" i="4"/>
  <c r="C259" i="25" s="1"/>
  <c r="Q65" i="4"/>
  <c r="C256" i="25" s="1"/>
  <c r="Q62" i="4"/>
  <c r="C300" i="25" s="1"/>
  <c r="Q60" i="4"/>
  <c r="Q55" i="4"/>
  <c r="C286" i="25" s="1"/>
  <c r="Q49" i="4"/>
  <c r="C338" i="25" s="1"/>
  <c r="Q46" i="4"/>
  <c r="C330" i="25" s="1"/>
  <c r="Q44" i="4"/>
  <c r="Q39" i="4"/>
  <c r="Q12" i="4"/>
  <c r="C88" i="25" s="1"/>
  <c r="Q16" i="4"/>
  <c r="Q20" i="4"/>
  <c r="Q24" i="4"/>
  <c r="C31" i="25" s="1"/>
  <c r="Q28" i="4"/>
  <c r="Q88" i="4"/>
  <c r="C475" i="25" s="1"/>
  <c r="Q86" i="4"/>
  <c r="C499" i="25" s="1"/>
  <c r="Q75" i="4"/>
  <c r="Q69" i="4"/>
  <c r="C258" i="25" s="1"/>
  <c r="Q66" i="4"/>
  <c r="C301" i="25" s="1"/>
  <c r="Q64" i="4"/>
  <c r="C299" i="25" s="1"/>
  <c r="Q59" i="4"/>
  <c r="C328" i="25" s="1"/>
  <c r="Q53" i="4"/>
  <c r="C273" i="25" s="1"/>
  <c r="Q50" i="4"/>
  <c r="T50" i="4" s="1"/>
  <c r="C336" i="25" s="1"/>
  <c r="Q48" i="4"/>
  <c r="C334" i="25" s="1"/>
  <c r="Q43" i="4"/>
  <c r="T43" i="4" s="1"/>
  <c r="C267" i="25" s="1"/>
  <c r="Q37" i="4"/>
  <c r="T37" i="4" s="1"/>
  <c r="C264" i="25" s="1"/>
  <c r="Q13" i="4"/>
  <c r="C89" i="25" s="1"/>
  <c r="Q17" i="4"/>
  <c r="C95" i="25" s="1"/>
  <c r="Q21" i="4"/>
  <c r="C106" i="25" s="1"/>
  <c r="G106" i="25" s="1"/>
  <c r="Q25" i="4"/>
  <c r="Q29" i="4"/>
  <c r="Q82" i="4"/>
  <c r="C460" i="25" s="1"/>
  <c r="Q85" i="4"/>
  <c r="Q73" i="4"/>
  <c r="T73" i="4" s="1"/>
  <c r="Q70" i="4"/>
  <c r="C303" i="25" s="1"/>
  <c r="Q68" i="4"/>
  <c r="C302" i="25" s="1"/>
  <c r="Q63" i="4"/>
  <c r="C254" i="25" s="1"/>
  <c r="Q57" i="4"/>
  <c r="C288" i="25" s="1"/>
  <c r="Q54" i="4"/>
  <c r="C285" i="25" s="1"/>
  <c r="Q52" i="4"/>
  <c r="C272" i="25" s="1"/>
  <c r="Q47" i="4"/>
  <c r="T47" i="4" s="1"/>
  <c r="C327" i="25" s="1"/>
  <c r="Q41" i="4"/>
  <c r="T41" i="4" s="1"/>
  <c r="C266" i="25" s="1"/>
  <c r="Q38" i="4"/>
  <c r="Q36" i="4"/>
  <c r="T36" i="4" s="1"/>
  <c r="C263" i="25" s="1"/>
  <c r="Q14" i="4"/>
  <c r="C90" i="25" s="1"/>
  <c r="Q18" i="4"/>
  <c r="Q22" i="4"/>
  <c r="Q26" i="4"/>
  <c r="T26" i="4" s="1"/>
  <c r="Q10" i="4"/>
  <c r="C87" i="25" s="1"/>
  <c r="J6" i="11"/>
  <c r="E5" i="11"/>
  <c r="G83" i="25" l="1"/>
  <c r="G302" i="25"/>
  <c r="E302" i="25"/>
  <c r="G334" i="25"/>
  <c r="E334" i="25"/>
  <c r="E75" i="25"/>
  <c r="G75" i="25"/>
  <c r="G218" i="25"/>
  <c r="E218" i="25"/>
  <c r="E76" i="25"/>
  <c r="G76" i="25"/>
  <c r="E214" i="25"/>
  <c r="G214" i="25"/>
  <c r="G242" i="25"/>
  <c r="E242" i="25"/>
  <c r="E437" i="25"/>
  <c r="G437" i="25"/>
  <c r="E81" i="25"/>
  <c r="G81" i="25"/>
  <c r="G312" i="25"/>
  <c r="E312" i="25"/>
  <c r="E216" i="25"/>
  <c r="G216" i="25"/>
  <c r="G243" i="25"/>
  <c r="E243" i="25"/>
  <c r="E419" i="25"/>
  <c r="G419" i="25"/>
  <c r="E73" i="25"/>
  <c r="G73" i="25"/>
  <c r="E217" i="25"/>
  <c r="G217" i="25"/>
  <c r="E199" i="25"/>
  <c r="G199" i="25"/>
  <c r="E401" i="25"/>
  <c r="G401" i="25"/>
  <c r="G272" i="25"/>
  <c r="E272" i="25"/>
  <c r="E95" i="25"/>
  <c r="G95" i="25"/>
  <c r="E499" i="25"/>
  <c r="G499" i="25"/>
  <c r="E484" i="25"/>
  <c r="G484" i="25"/>
  <c r="E14" i="25"/>
  <c r="G14" i="25"/>
  <c r="G319" i="25"/>
  <c r="E319" i="25"/>
  <c r="G244" i="25"/>
  <c r="E244" i="25"/>
  <c r="E442" i="25"/>
  <c r="G442" i="25"/>
  <c r="E207" i="25"/>
  <c r="G207" i="25"/>
  <c r="G285" i="25"/>
  <c r="E285" i="25"/>
  <c r="G303" i="25"/>
  <c r="E303" i="25"/>
  <c r="E89" i="25"/>
  <c r="G89" i="25"/>
  <c r="G336" i="25"/>
  <c r="E336" i="25"/>
  <c r="G301" i="25"/>
  <c r="E301" i="25"/>
  <c r="E475" i="25"/>
  <c r="G475" i="25"/>
  <c r="G330" i="25"/>
  <c r="E330" i="25"/>
  <c r="G300" i="25"/>
  <c r="E300" i="25"/>
  <c r="E502" i="25"/>
  <c r="G502" i="25"/>
  <c r="E94" i="25"/>
  <c r="G94" i="25"/>
  <c r="G255" i="25"/>
  <c r="E255" i="25"/>
  <c r="E481" i="25"/>
  <c r="G481" i="25"/>
  <c r="E209" i="25"/>
  <c r="G209" i="25"/>
  <c r="E72" i="25"/>
  <c r="G72" i="25"/>
  <c r="E208" i="25"/>
  <c r="G208" i="25"/>
  <c r="G226" i="25"/>
  <c r="E226" i="25"/>
  <c r="E201" i="25"/>
  <c r="G201" i="25"/>
  <c r="G323" i="25"/>
  <c r="E323" i="25"/>
  <c r="G228" i="25"/>
  <c r="E228" i="25"/>
  <c r="E440" i="25"/>
  <c r="G440" i="25"/>
  <c r="E204" i="25"/>
  <c r="G204" i="25"/>
  <c r="G317" i="25"/>
  <c r="E317" i="25"/>
  <c r="G227" i="25"/>
  <c r="E227" i="25"/>
  <c r="E200" i="25"/>
  <c r="G200" i="25"/>
  <c r="E460" i="25"/>
  <c r="G460" i="25"/>
  <c r="G299" i="25"/>
  <c r="E299" i="25"/>
  <c r="G266" i="25"/>
  <c r="E266" i="25"/>
  <c r="G288" i="25"/>
  <c r="E288" i="25"/>
  <c r="G264" i="25"/>
  <c r="E264" i="25"/>
  <c r="G273" i="25"/>
  <c r="E273" i="25"/>
  <c r="G258" i="25"/>
  <c r="E258" i="25"/>
  <c r="E88" i="25"/>
  <c r="G88" i="25"/>
  <c r="G338" i="25"/>
  <c r="E338" i="25"/>
  <c r="G256" i="25"/>
  <c r="E256" i="25"/>
  <c r="E40" i="25"/>
  <c r="G40" i="25"/>
  <c r="E96" i="25"/>
  <c r="G96" i="25"/>
  <c r="G329" i="25"/>
  <c r="E329" i="25"/>
  <c r="G257" i="25"/>
  <c r="E257" i="25"/>
  <c r="E504" i="25"/>
  <c r="G504" i="25"/>
  <c r="E23" i="25"/>
  <c r="G23" i="25"/>
  <c r="E102" i="25"/>
  <c r="G102" i="25"/>
  <c r="E206" i="25"/>
  <c r="G206" i="25"/>
  <c r="E210" i="25"/>
  <c r="G210" i="25"/>
  <c r="E213" i="25"/>
  <c r="G213" i="25"/>
  <c r="E197" i="25"/>
  <c r="G197" i="25"/>
  <c r="E398" i="25"/>
  <c r="G398" i="25"/>
  <c r="G314" i="25"/>
  <c r="E314" i="25"/>
  <c r="E196" i="25"/>
  <c r="G196" i="25"/>
  <c r="E79" i="25"/>
  <c r="G79" i="25"/>
  <c r="E205" i="25"/>
  <c r="G205" i="25"/>
  <c r="G230" i="25"/>
  <c r="E230" i="25"/>
  <c r="E18" i="25"/>
  <c r="G18" i="25"/>
  <c r="E413" i="25"/>
  <c r="G413" i="25"/>
  <c r="G321" i="25"/>
  <c r="E321" i="25"/>
  <c r="G229" i="25"/>
  <c r="E229" i="25"/>
  <c r="G222" i="25"/>
  <c r="E222" i="25"/>
  <c r="G263" i="25"/>
  <c r="E263" i="25"/>
  <c r="E87" i="25"/>
  <c r="G87" i="25"/>
  <c r="E90" i="25"/>
  <c r="G90" i="25"/>
  <c r="G327" i="25"/>
  <c r="E327" i="25"/>
  <c r="G254" i="25"/>
  <c r="E254" i="25"/>
  <c r="G267" i="25"/>
  <c r="E267" i="25"/>
  <c r="G328" i="25"/>
  <c r="E328" i="25"/>
  <c r="E31" i="25"/>
  <c r="G31" i="25"/>
  <c r="G286" i="25"/>
  <c r="E286" i="25"/>
  <c r="G259" i="25"/>
  <c r="E259" i="25"/>
  <c r="G265" i="25"/>
  <c r="E265" i="25"/>
  <c r="G287" i="25"/>
  <c r="E287" i="25"/>
  <c r="G281" i="25"/>
  <c r="E281" i="25"/>
  <c r="E19" i="25"/>
  <c r="G19" i="25"/>
  <c r="E80" i="25"/>
  <c r="G80" i="25"/>
  <c r="G315" i="25"/>
  <c r="E315" i="25"/>
  <c r="E215" i="25"/>
  <c r="G215" i="25"/>
  <c r="E198" i="25"/>
  <c r="G198" i="25"/>
  <c r="E422" i="25"/>
  <c r="G422" i="25"/>
  <c r="E195" i="25"/>
  <c r="G195" i="25"/>
  <c r="E42" i="25"/>
  <c r="G42" i="25"/>
  <c r="E74" i="25"/>
  <c r="G74" i="25"/>
  <c r="G313" i="25"/>
  <c r="E313" i="25"/>
  <c r="G241" i="25"/>
  <c r="E241" i="25"/>
  <c r="G240" i="25"/>
  <c r="E240" i="25"/>
  <c r="C107" i="25"/>
  <c r="E106" i="25"/>
  <c r="C57" i="25"/>
  <c r="E54" i="25"/>
  <c r="C50" i="25"/>
  <c r="E47" i="25"/>
  <c r="R119" i="5"/>
  <c r="C168" i="25"/>
  <c r="S20" i="4"/>
  <c r="C108" i="25"/>
  <c r="C101" i="25"/>
  <c r="E100" i="25"/>
  <c r="C128" i="25"/>
  <c r="C129" i="25"/>
  <c r="C126" i="25"/>
  <c r="C130" i="25"/>
  <c r="C127" i="25"/>
  <c r="C125" i="25"/>
  <c r="C118" i="25"/>
  <c r="C114" i="25"/>
  <c r="C117" i="25"/>
  <c r="C113" i="25"/>
  <c r="C116" i="25"/>
  <c r="C115" i="25"/>
  <c r="C145" i="25"/>
  <c r="C138" i="25"/>
  <c r="C144" i="25"/>
  <c r="C137" i="25"/>
  <c r="C148" i="25"/>
  <c r="C141" i="25"/>
  <c r="C146" i="25"/>
  <c r="C139" i="25"/>
  <c r="R26" i="4"/>
  <c r="S26" i="4"/>
  <c r="S52" i="4"/>
  <c r="R52" i="4"/>
  <c r="S68" i="4"/>
  <c r="R68" i="4"/>
  <c r="S82" i="4"/>
  <c r="R82" i="4"/>
  <c r="R17" i="4"/>
  <c r="S17" i="4"/>
  <c r="S48" i="4"/>
  <c r="R48" i="4"/>
  <c r="S64" i="4"/>
  <c r="R64" i="4"/>
  <c r="S86" i="4"/>
  <c r="R86" i="4"/>
  <c r="R24" i="4"/>
  <c r="S24" i="4"/>
  <c r="S39" i="4"/>
  <c r="R39" i="4"/>
  <c r="S55" i="4"/>
  <c r="R55" i="4"/>
  <c r="S71" i="4"/>
  <c r="R71" i="4"/>
  <c r="S23" i="4"/>
  <c r="R23" i="4"/>
  <c r="S40" i="4"/>
  <c r="R40" i="4"/>
  <c r="S56" i="4"/>
  <c r="R56" i="4"/>
  <c r="S72" i="4"/>
  <c r="R72" i="4"/>
  <c r="Q31" i="5"/>
  <c r="P31" i="5"/>
  <c r="P30" i="5"/>
  <c r="Q30" i="5"/>
  <c r="P33" i="5"/>
  <c r="Q33" i="5"/>
  <c r="P21" i="5"/>
  <c r="Q21" i="5"/>
  <c r="P60" i="5"/>
  <c r="Q60" i="5"/>
  <c r="P76" i="5"/>
  <c r="Q76" i="5"/>
  <c r="P92" i="5"/>
  <c r="Q92" i="5"/>
  <c r="P108" i="5"/>
  <c r="Q108" i="5"/>
  <c r="Q142" i="5"/>
  <c r="P142" i="5"/>
  <c r="Q19" i="5"/>
  <c r="P19" i="5"/>
  <c r="P56" i="5"/>
  <c r="Q56" i="5"/>
  <c r="P72" i="5"/>
  <c r="Q72" i="5"/>
  <c r="P88" i="5"/>
  <c r="Q88" i="5"/>
  <c r="P104" i="5"/>
  <c r="Q104" i="5"/>
  <c r="P120" i="5"/>
  <c r="Q120" i="5"/>
  <c r="Q15" i="5"/>
  <c r="P15" i="5"/>
  <c r="P55" i="5"/>
  <c r="Q55" i="5"/>
  <c r="P71" i="5"/>
  <c r="Q71" i="5"/>
  <c r="P87" i="5"/>
  <c r="Q87" i="5"/>
  <c r="P103" i="5"/>
  <c r="Q103" i="5"/>
  <c r="P119" i="5"/>
  <c r="Q119" i="5"/>
  <c r="P20" i="5"/>
  <c r="Q20" i="5"/>
  <c r="Q57" i="5"/>
  <c r="P57" i="5"/>
  <c r="Q73" i="5"/>
  <c r="P73" i="5"/>
  <c r="Q89" i="5"/>
  <c r="P89" i="5"/>
  <c r="Q105" i="5"/>
  <c r="P105" i="5"/>
  <c r="Q121" i="5"/>
  <c r="P121" i="5"/>
  <c r="R38" i="4"/>
  <c r="S38" i="4"/>
  <c r="S29" i="4"/>
  <c r="R29" i="4"/>
  <c r="R50" i="4"/>
  <c r="S50" i="4"/>
  <c r="R88" i="4"/>
  <c r="S88" i="4"/>
  <c r="S44" i="4"/>
  <c r="R44" i="4"/>
  <c r="S60" i="4"/>
  <c r="R60" i="4"/>
  <c r="R84" i="4"/>
  <c r="S84" i="4"/>
  <c r="R19" i="4"/>
  <c r="S19" i="4"/>
  <c r="R42" i="4"/>
  <c r="S42" i="4"/>
  <c r="R58" i="4"/>
  <c r="S58" i="4"/>
  <c r="R74" i="4"/>
  <c r="S74" i="4"/>
  <c r="P34" i="5"/>
  <c r="Q34" i="5"/>
  <c r="Q32" i="5"/>
  <c r="P32" i="5"/>
  <c r="Q25" i="5"/>
  <c r="P25" i="5"/>
  <c r="P16" i="5"/>
  <c r="Q16" i="5"/>
  <c r="Q63" i="5"/>
  <c r="P63" i="5"/>
  <c r="Q79" i="5"/>
  <c r="P79" i="5"/>
  <c r="Q95" i="5"/>
  <c r="P95" i="5"/>
  <c r="Q111" i="5"/>
  <c r="P111" i="5"/>
  <c r="Q148" i="5"/>
  <c r="P148" i="5"/>
  <c r="Q17" i="5"/>
  <c r="P17" i="5"/>
  <c r="Q59" i="5"/>
  <c r="P59" i="5"/>
  <c r="Q75" i="5"/>
  <c r="P75" i="5"/>
  <c r="Q91" i="5"/>
  <c r="P91" i="5"/>
  <c r="Q107" i="5"/>
  <c r="P107" i="5"/>
  <c r="Q144" i="5"/>
  <c r="P144" i="5"/>
  <c r="P13" i="5"/>
  <c r="Q13" i="5"/>
  <c r="Q61" i="5"/>
  <c r="P61" i="5"/>
  <c r="Q77" i="5"/>
  <c r="P77" i="5"/>
  <c r="Q93" i="5"/>
  <c r="P93" i="5"/>
  <c r="Q109" i="5"/>
  <c r="P109" i="5"/>
  <c r="Q140" i="5"/>
  <c r="P140" i="5"/>
  <c r="P14" i="5"/>
  <c r="Q14" i="5"/>
  <c r="Q62" i="5"/>
  <c r="P62" i="5"/>
  <c r="Q78" i="5"/>
  <c r="P78" i="5"/>
  <c r="Q94" i="5"/>
  <c r="P94" i="5"/>
  <c r="Q110" i="5"/>
  <c r="P110" i="5"/>
  <c r="P141" i="5"/>
  <c r="Q141" i="5"/>
  <c r="R70" i="4"/>
  <c r="S70" i="4"/>
  <c r="R66" i="4"/>
  <c r="S66" i="4"/>
  <c r="S41" i="4"/>
  <c r="R41" i="4"/>
  <c r="S25" i="4"/>
  <c r="R25" i="4"/>
  <c r="S53" i="4"/>
  <c r="R53" i="4"/>
  <c r="R16" i="4"/>
  <c r="S16" i="4"/>
  <c r="R46" i="4"/>
  <c r="S46" i="4"/>
  <c r="R62" i="4"/>
  <c r="S62" i="4"/>
  <c r="R87" i="4"/>
  <c r="S87" i="4"/>
  <c r="R15" i="4"/>
  <c r="S15" i="4"/>
  <c r="S45" i="4"/>
  <c r="R45" i="4"/>
  <c r="S61" i="4"/>
  <c r="R61" i="4"/>
  <c r="S83" i="4"/>
  <c r="R83" i="4"/>
  <c r="P29" i="5"/>
  <c r="Q29" i="5"/>
  <c r="P28" i="5"/>
  <c r="Q28" i="5"/>
  <c r="P26" i="5"/>
  <c r="Q26" i="5"/>
  <c r="Q53" i="5"/>
  <c r="P53" i="5"/>
  <c r="Q69" i="5"/>
  <c r="P69" i="5"/>
  <c r="Q85" i="5"/>
  <c r="P85" i="5"/>
  <c r="Q101" i="5"/>
  <c r="P101" i="5"/>
  <c r="Q117" i="5"/>
  <c r="P117" i="5"/>
  <c r="P12" i="5"/>
  <c r="Q12" i="5"/>
  <c r="Q49" i="5"/>
  <c r="P49" i="5"/>
  <c r="Q65" i="5"/>
  <c r="P65" i="5"/>
  <c r="Q81" i="5"/>
  <c r="P81" i="5"/>
  <c r="Q97" i="5"/>
  <c r="P97" i="5"/>
  <c r="Q113" i="5"/>
  <c r="P113" i="5"/>
  <c r="P24" i="5"/>
  <c r="Q24" i="5"/>
  <c r="Q50" i="5"/>
  <c r="P50" i="5"/>
  <c r="Q66" i="5"/>
  <c r="P66" i="5"/>
  <c r="Q82" i="5"/>
  <c r="P82" i="5"/>
  <c r="Q98" i="5"/>
  <c r="P98" i="5"/>
  <c r="Q114" i="5"/>
  <c r="P114" i="5"/>
  <c r="Q145" i="5"/>
  <c r="P145" i="5"/>
  <c r="P48" i="5"/>
  <c r="Q48" i="5"/>
  <c r="P64" i="5"/>
  <c r="Q64" i="5"/>
  <c r="P80" i="5"/>
  <c r="Q80" i="5"/>
  <c r="P96" i="5"/>
  <c r="Q96" i="5"/>
  <c r="P112" i="5"/>
  <c r="Q112" i="5"/>
  <c r="P143" i="5"/>
  <c r="Q143" i="5"/>
  <c r="S36" i="4"/>
  <c r="R36" i="4"/>
  <c r="R22" i="4"/>
  <c r="S22" i="4"/>
  <c r="R54" i="4"/>
  <c r="S54" i="4"/>
  <c r="R13" i="4"/>
  <c r="S13" i="4"/>
  <c r="R18" i="4"/>
  <c r="S18" i="4"/>
  <c r="S57" i="4"/>
  <c r="R57" i="4"/>
  <c r="S73" i="4"/>
  <c r="R73" i="4"/>
  <c r="S37" i="4"/>
  <c r="R37" i="4"/>
  <c r="S69" i="4"/>
  <c r="R69" i="4"/>
  <c r="S10" i="4"/>
  <c r="R10" i="4"/>
  <c r="R20" i="4" s="1"/>
  <c r="R14" i="4"/>
  <c r="S14" i="4"/>
  <c r="S47" i="4"/>
  <c r="R47" i="4"/>
  <c r="S63" i="4"/>
  <c r="R63" i="4"/>
  <c r="S85" i="4"/>
  <c r="R85" i="4"/>
  <c r="S21" i="4"/>
  <c r="R21" i="4"/>
  <c r="S43" i="4"/>
  <c r="R43" i="4"/>
  <c r="S59" i="4"/>
  <c r="R59" i="4"/>
  <c r="S75" i="4"/>
  <c r="R75" i="4"/>
  <c r="R28" i="4"/>
  <c r="S28" i="4"/>
  <c r="R12" i="4"/>
  <c r="S12" i="4"/>
  <c r="R49" i="4"/>
  <c r="S49" i="4"/>
  <c r="R65" i="4"/>
  <c r="S65" i="4"/>
  <c r="R27" i="4"/>
  <c r="S27" i="4"/>
  <c r="R11" i="4"/>
  <c r="S11" i="4"/>
  <c r="S51" i="4"/>
  <c r="R51" i="4"/>
  <c r="S67" i="4"/>
  <c r="R67" i="4"/>
  <c r="S89" i="4"/>
  <c r="R89" i="4"/>
  <c r="Q27" i="5"/>
  <c r="P27" i="5"/>
  <c r="Q35" i="5"/>
  <c r="P35" i="5"/>
  <c r="Q23" i="5"/>
  <c r="P23" i="5"/>
  <c r="Q58" i="5"/>
  <c r="P58" i="5"/>
  <c r="Q74" i="5"/>
  <c r="P74" i="5"/>
  <c r="Q90" i="5"/>
  <c r="P90" i="5"/>
  <c r="Q106" i="5"/>
  <c r="P106" i="5"/>
  <c r="P139" i="5"/>
  <c r="Q139" i="5"/>
  <c r="P22" i="5"/>
  <c r="Q22" i="5"/>
  <c r="Q54" i="5"/>
  <c r="P54" i="5"/>
  <c r="Q70" i="5"/>
  <c r="P70" i="5"/>
  <c r="Q86" i="5"/>
  <c r="P86" i="5"/>
  <c r="Q102" i="5"/>
  <c r="P102" i="5"/>
  <c r="Q118" i="5"/>
  <c r="P118" i="5"/>
  <c r="P18" i="5"/>
  <c r="Q18" i="5"/>
  <c r="P52" i="5"/>
  <c r="Q52" i="5"/>
  <c r="P68" i="5"/>
  <c r="Q68" i="5"/>
  <c r="P84" i="5"/>
  <c r="Q84" i="5"/>
  <c r="P100" i="5"/>
  <c r="Q100" i="5"/>
  <c r="P116" i="5"/>
  <c r="Q116" i="5"/>
  <c r="P147" i="5"/>
  <c r="Q147" i="5"/>
  <c r="Q51" i="5"/>
  <c r="P51" i="5"/>
  <c r="Q67" i="5"/>
  <c r="P67" i="5"/>
  <c r="Q83" i="5"/>
  <c r="P83" i="5"/>
  <c r="Q99" i="5"/>
  <c r="P99" i="5"/>
  <c r="Q115" i="5"/>
  <c r="P115" i="5"/>
  <c r="Q146" i="5"/>
  <c r="P146" i="5"/>
  <c r="E141" i="25" l="1"/>
  <c r="G141" i="25"/>
  <c r="E138" i="25"/>
  <c r="G138" i="25"/>
  <c r="E113" i="25"/>
  <c r="G113" i="25"/>
  <c r="E125" i="25"/>
  <c r="G125" i="25"/>
  <c r="E129" i="25"/>
  <c r="G129" i="25"/>
  <c r="E108" i="25"/>
  <c r="G108" i="25"/>
  <c r="E148" i="25"/>
  <c r="G148" i="25"/>
  <c r="E145" i="25"/>
  <c r="G145" i="25"/>
  <c r="E117" i="25"/>
  <c r="G117" i="25"/>
  <c r="E127" i="25"/>
  <c r="G127" i="25"/>
  <c r="E128" i="25"/>
  <c r="G128" i="25"/>
  <c r="E50" i="25"/>
  <c r="G50" i="25"/>
  <c r="E107" i="25"/>
  <c r="G107" i="25"/>
  <c r="E139" i="25"/>
  <c r="G139" i="25"/>
  <c r="E137" i="25"/>
  <c r="G137" i="25"/>
  <c r="E115" i="25"/>
  <c r="G115" i="25"/>
  <c r="E114" i="25"/>
  <c r="G114" i="25"/>
  <c r="E130" i="25"/>
  <c r="G130" i="25"/>
  <c r="E168" i="25"/>
  <c r="G168" i="25"/>
  <c r="E146" i="25"/>
  <c r="G146" i="25"/>
  <c r="E144" i="25"/>
  <c r="G144" i="25"/>
  <c r="E116" i="25"/>
  <c r="G116" i="25"/>
  <c r="E118" i="25"/>
  <c r="G118" i="25"/>
  <c r="E126" i="25"/>
  <c r="G126" i="25"/>
  <c r="E101" i="25"/>
  <c r="G101" i="25"/>
  <c r="E57" i="25"/>
  <c r="G57" i="25"/>
  <c r="R91" i="4"/>
  <c r="R77" i="4"/>
  <c r="R31" i="4"/>
  <c r="P123" i="5"/>
  <c r="P37" i="5"/>
  <c r="P150" i="5"/>
  <c r="L9" i="25" l="1"/>
  <c r="L8" i="25"/>
  <c r="L10" i="25" l="1"/>
  <c r="L13" i="25" s="1"/>
  <c r="L14" i="25" s="1"/>
</calcChain>
</file>

<file path=xl/comments1.xml><?xml version="1.0" encoding="utf-8"?>
<comments xmlns="http://schemas.openxmlformats.org/spreadsheetml/2006/main">
  <authors>
    <author>Heather Garland</author>
  </authors>
  <commentList>
    <comment ref="E8" authorId="0">
      <text>
        <r>
          <rPr>
            <b/>
            <sz val="9"/>
            <color indexed="81"/>
            <rFont val="Tahoma"/>
            <family val="2"/>
          </rPr>
          <t>Heather Garland:</t>
        </r>
        <r>
          <rPr>
            <sz val="9"/>
            <color indexed="81"/>
            <rFont val="Tahoma"/>
            <family val="2"/>
          </rPr>
          <t xml:space="preserve">
Data from "Empire Non-Regulated Price Out YE 6-30-2016.xls."</t>
        </r>
      </text>
    </comment>
  </commentList>
</comments>
</file>

<file path=xl/comments10.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H8" authorId="1">
      <text>
        <r>
          <rPr>
            <b/>
            <sz val="9"/>
            <color indexed="81"/>
            <rFont val="Tahoma"/>
            <family val="2"/>
          </rPr>
          <t>Current Month - 15 days</t>
        </r>
      </text>
    </comment>
    <comment ref="G12" authorId="0">
      <text>
        <r>
          <rPr>
            <b/>
            <sz val="8"/>
            <color indexed="81"/>
            <rFont val="Tahoma"/>
            <family val="2"/>
          </rPr>
          <t>If blank: defaults to current month minus 15 days</t>
        </r>
      </text>
    </comment>
    <comment ref="K12" authorId="1">
      <text>
        <r>
          <rPr>
            <b/>
            <sz val="9"/>
            <color indexed="81"/>
            <rFont val="Tahoma"/>
            <family val="2"/>
          </rPr>
          <t>If Distict is blank, selects all districts. Can use F9 Groupings.</t>
        </r>
      </text>
    </comment>
    <comment ref="N12" authorId="1">
      <text>
        <r>
          <rPr>
            <b/>
            <sz val="9"/>
            <color indexed="81"/>
            <rFont val="Tahoma"/>
            <family val="2"/>
          </rPr>
          <t>Leave blank to search all</t>
        </r>
      </text>
    </comment>
    <comment ref="G13" authorId="0">
      <text>
        <r>
          <rPr>
            <b/>
            <sz val="8"/>
            <color indexed="81"/>
            <rFont val="Tahoma"/>
            <family val="2"/>
          </rPr>
          <t>If blank: defaults to current month minus 15 days</t>
        </r>
      </text>
    </comment>
    <comment ref="K13" authorId="1">
      <text>
        <r>
          <rPr>
            <b/>
            <sz val="9"/>
            <color indexed="81"/>
            <rFont val="Tahoma"/>
            <family val="2"/>
          </rPr>
          <t>If Accounts is blank, selects all accounts. Can use F9 Groupings.</t>
        </r>
      </text>
    </comment>
    <comment ref="N13" authorId="1">
      <text>
        <r>
          <rPr>
            <b/>
            <sz val="9"/>
            <color indexed="81"/>
            <rFont val="Tahoma"/>
            <family val="2"/>
          </rPr>
          <t>Will search absolute values.</t>
        </r>
      </text>
    </comment>
    <comment ref="K14" authorId="1">
      <text>
        <r>
          <rPr>
            <b/>
            <sz val="9"/>
            <color indexed="81"/>
            <rFont val="Tahoma"/>
            <family val="2"/>
          </rPr>
          <t>If System is blank, selects all systems. Can use F9 Groupings.</t>
        </r>
      </text>
    </comment>
    <comment ref="N14" authorId="1">
      <text>
        <r>
          <rPr>
            <b/>
            <sz val="9"/>
            <color indexed="81"/>
            <rFont val="Tahoma"/>
            <family val="2"/>
          </rPr>
          <t>Will search absolute values</t>
        </r>
      </text>
    </comment>
    <comment ref="K15" authorId="1">
      <text>
        <r>
          <rPr>
            <b/>
            <sz val="9"/>
            <color indexed="81"/>
            <rFont val="Tahoma"/>
            <family val="2"/>
          </rPr>
          <t>If Subsystem is blank, selects all subsystems. Can use F9 Groupings.</t>
        </r>
      </text>
    </comment>
  </commentList>
</comments>
</file>

<file path=xl/comments11.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H8" authorId="1">
      <text>
        <r>
          <rPr>
            <b/>
            <sz val="9"/>
            <color indexed="81"/>
            <rFont val="Tahoma"/>
            <family val="2"/>
          </rPr>
          <t>Current Month - 15 days</t>
        </r>
      </text>
    </comment>
    <comment ref="G12" authorId="0">
      <text>
        <r>
          <rPr>
            <b/>
            <sz val="8"/>
            <color indexed="81"/>
            <rFont val="Tahoma"/>
            <family val="2"/>
          </rPr>
          <t>If blank: defaults to current month minus 15 days</t>
        </r>
      </text>
    </comment>
    <comment ref="K12" authorId="1">
      <text>
        <r>
          <rPr>
            <b/>
            <sz val="9"/>
            <color indexed="81"/>
            <rFont val="Tahoma"/>
            <family val="2"/>
          </rPr>
          <t>If Distict is blank, selects all districts. Can use F9 Groupings.</t>
        </r>
      </text>
    </comment>
    <comment ref="N12" authorId="1">
      <text>
        <r>
          <rPr>
            <b/>
            <sz val="9"/>
            <color indexed="81"/>
            <rFont val="Tahoma"/>
            <family val="2"/>
          </rPr>
          <t>Leave blank to search all</t>
        </r>
      </text>
    </comment>
    <comment ref="G13" authorId="0">
      <text>
        <r>
          <rPr>
            <b/>
            <sz val="8"/>
            <color indexed="81"/>
            <rFont val="Tahoma"/>
            <family val="2"/>
          </rPr>
          <t>If blank: defaults to current month minus 15 days</t>
        </r>
      </text>
    </comment>
    <comment ref="K13" authorId="1">
      <text>
        <r>
          <rPr>
            <b/>
            <sz val="9"/>
            <color indexed="81"/>
            <rFont val="Tahoma"/>
            <family val="2"/>
          </rPr>
          <t>If Accounts is blank, selects all accounts. Can use F9 Groupings.</t>
        </r>
      </text>
    </comment>
    <comment ref="N13" authorId="1">
      <text>
        <r>
          <rPr>
            <b/>
            <sz val="9"/>
            <color indexed="81"/>
            <rFont val="Tahoma"/>
            <family val="2"/>
          </rPr>
          <t>Will search absolute values.</t>
        </r>
      </text>
    </comment>
    <comment ref="K14" authorId="1">
      <text>
        <r>
          <rPr>
            <b/>
            <sz val="9"/>
            <color indexed="81"/>
            <rFont val="Tahoma"/>
            <family val="2"/>
          </rPr>
          <t>If System is blank, selects all systems. Can use F9 Groupings.</t>
        </r>
      </text>
    </comment>
    <comment ref="N14" authorId="1">
      <text>
        <r>
          <rPr>
            <b/>
            <sz val="9"/>
            <color indexed="81"/>
            <rFont val="Tahoma"/>
            <family val="2"/>
          </rPr>
          <t>Will search absolute values</t>
        </r>
      </text>
    </comment>
    <comment ref="K15" authorId="1">
      <text>
        <r>
          <rPr>
            <b/>
            <sz val="9"/>
            <color indexed="81"/>
            <rFont val="Tahoma"/>
            <family val="2"/>
          </rPr>
          <t>If Subsystem is blank, selects all subsystems. Can use F9 Groupings.</t>
        </r>
      </text>
    </comment>
  </commentList>
</comments>
</file>

<file path=xl/comments2.xml><?xml version="1.0" encoding="utf-8"?>
<comments xmlns="http://schemas.openxmlformats.org/spreadsheetml/2006/main">
  <authors>
    <author>Heather Garland</author>
  </authors>
  <commentList>
    <comment ref="D13" authorId="0">
      <text>
        <r>
          <rPr>
            <b/>
            <sz val="9"/>
            <color indexed="81"/>
            <rFont val="Tahoma"/>
            <family val="2"/>
          </rPr>
          <t>Heather Garland:</t>
        </r>
        <r>
          <rPr>
            <sz val="9"/>
            <color indexed="81"/>
            <rFont val="Tahoma"/>
            <family val="2"/>
          </rPr>
          <t xml:space="preserve">
Per Office Manager.</t>
        </r>
      </text>
    </comment>
    <comment ref="B14" authorId="0">
      <text>
        <r>
          <rPr>
            <b/>
            <sz val="9"/>
            <color indexed="81"/>
            <rFont val="Tahoma"/>
            <family val="2"/>
          </rPr>
          <t>Heather Garland:</t>
        </r>
        <r>
          <rPr>
            <sz val="9"/>
            <color indexed="81"/>
            <rFont val="Tahoma"/>
            <family val="2"/>
          </rPr>
          <t xml:space="preserve">
Data from "RO Cust Counts.xls"</t>
        </r>
      </text>
    </comment>
    <comment ref="C14" authorId="0">
      <text>
        <r>
          <rPr>
            <b/>
            <sz val="9"/>
            <color indexed="81"/>
            <rFont val="Tahoma"/>
            <family val="2"/>
          </rPr>
          <t>Heather Garland:</t>
        </r>
        <r>
          <rPr>
            <sz val="9"/>
            <color indexed="81"/>
            <rFont val="Tahoma"/>
            <family val="2"/>
          </rPr>
          <t xml:space="preserve">
Data from "RO Cust Counts.xls"</t>
        </r>
      </text>
    </comment>
    <comment ref="F14" authorId="0">
      <text>
        <r>
          <rPr>
            <b/>
            <sz val="9"/>
            <color indexed="81"/>
            <rFont val="Tahoma"/>
            <family val="2"/>
          </rPr>
          <t>Heather Garland:</t>
        </r>
        <r>
          <rPr>
            <sz val="9"/>
            <color indexed="81"/>
            <rFont val="Tahoma"/>
            <family val="2"/>
          </rPr>
          <t xml:space="preserve">
Data from "RO Cust Counts.xls"</t>
        </r>
      </text>
    </comment>
    <comment ref="F15" authorId="0">
      <text>
        <r>
          <rPr>
            <b/>
            <sz val="9"/>
            <color indexed="81"/>
            <rFont val="Tahoma"/>
            <family val="2"/>
          </rPr>
          <t>Heather Garland:</t>
        </r>
        <r>
          <rPr>
            <sz val="9"/>
            <color indexed="81"/>
            <rFont val="Tahoma"/>
            <family val="2"/>
          </rPr>
          <t xml:space="preserve">
Data from "RO Cust Counts.xls"</t>
        </r>
      </text>
    </comment>
  </commentList>
</comments>
</file>

<file path=xl/comments3.xml><?xml version="1.0" encoding="utf-8"?>
<comments xmlns="http://schemas.openxmlformats.org/spreadsheetml/2006/main">
  <authors>
    <author>WCNX</author>
  </authors>
  <commentList>
    <comment ref="B1" authorId="0">
      <text>
        <r>
          <rPr>
            <b/>
            <sz val="8"/>
            <color indexed="81"/>
            <rFont val="Tahoma"/>
            <family val="2"/>
          </rPr>
          <t>WCNX:</t>
        </r>
        <r>
          <rPr>
            <sz val="8"/>
            <color indexed="81"/>
            <rFont val="Tahoma"/>
            <family val="2"/>
          </rPr>
          <t xml:space="preserve">
Includes bill areas: Spokane Co., Town of Latah.</t>
        </r>
      </text>
    </comment>
  </commentList>
</comments>
</file>

<file path=xl/comments4.xml><?xml version="1.0" encoding="utf-8"?>
<comments xmlns="http://schemas.openxmlformats.org/spreadsheetml/2006/main">
  <authors>
    <author>WCNX</author>
  </authors>
  <commentList>
    <comment ref="B1" authorId="0">
      <text>
        <r>
          <rPr>
            <b/>
            <sz val="8"/>
            <color indexed="81"/>
            <rFont val="Tahoma"/>
            <family val="2"/>
          </rPr>
          <t>WCNX:</t>
        </r>
        <r>
          <rPr>
            <sz val="8"/>
            <color indexed="81"/>
            <rFont val="Tahoma"/>
            <family val="2"/>
          </rPr>
          <t xml:space="preserve">
Includes bill areas: Albion, Colfax, Malden, Oakesdale, Palouse, Uniontown, Whitman County.</t>
        </r>
      </text>
    </comment>
  </commentList>
</comments>
</file>

<file path=xl/comments5.xml><?xml version="1.0" encoding="utf-8"?>
<comments xmlns="http://schemas.openxmlformats.org/spreadsheetml/2006/main">
  <authors>
    <author>Melissa Cheesman</author>
  </authors>
  <commentList>
    <comment ref="B38" authorId="0">
      <text>
        <r>
          <rPr>
            <b/>
            <sz val="9"/>
            <color indexed="81"/>
            <rFont val="Tahoma"/>
            <family val="2"/>
          </rPr>
          <t>Melissa Cheesman:</t>
        </r>
        <r>
          <rPr>
            <sz val="9"/>
            <color indexed="81"/>
            <rFont val="Tahoma"/>
            <family val="2"/>
          </rPr>
          <t xml:space="preserve">
Shop and Office
Based on preivoius owers bases (purchase) of the property. Property address - 905 N Sumner, Colfax, WA 99111
</t>
        </r>
      </text>
    </comment>
    <comment ref="B40" authorId="0">
      <text>
        <r>
          <rPr>
            <b/>
            <sz val="9"/>
            <color indexed="81"/>
            <rFont val="Tahoma"/>
            <family val="2"/>
          </rPr>
          <t>Melissa Cheesman:</t>
        </r>
        <r>
          <rPr>
            <sz val="9"/>
            <color indexed="81"/>
            <rFont val="Tahoma"/>
            <family val="2"/>
          </rPr>
          <t xml:space="preserve">
Empty lots used to store containers.
Based on preivoius owers bases (purchase) of the property. Property has no address. Approx location is 1/2 mile form the Main Yard - SR 26, Mile Marker 34, Whitman County</t>
        </r>
      </text>
    </comment>
  </commentList>
</comments>
</file>

<file path=xl/comments6.xml><?xml version="1.0" encoding="utf-8"?>
<comments xmlns="http://schemas.openxmlformats.org/spreadsheetml/2006/main">
  <authors>
    <author>Melissa Cheesman</author>
    <author>Heather Garland</author>
  </authors>
  <commentList>
    <comment ref="C124" authorId="0">
      <text>
        <r>
          <rPr>
            <b/>
            <sz val="9"/>
            <color indexed="81"/>
            <rFont val="Tahoma"/>
            <family val="2"/>
          </rPr>
          <t>Melissa Cheesman:</t>
        </r>
        <r>
          <rPr>
            <sz val="9"/>
            <color indexed="81"/>
            <rFont val="Tahoma"/>
            <family val="2"/>
          </rPr>
          <t xml:space="preserve">
Company does not know what the actual amount of purchased containers prior to its purchase of Empire in 2004.
Without a phyiscial count, there is no way to determine the actual number of containers in service.</t>
        </r>
      </text>
    </comment>
    <comment ref="C218" authorId="1">
      <text>
        <r>
          <rPr>
            <b/>
            <sz val="9"/>
            <color indexed="81"/>
            <rFont val="Tahoma"/>
            <family val="2"/>
          </rPr>
          <t>Heather Garland:</t>
        </r>
        <r>
          <rPr>
            <sz val="9"/>
            <color indexed="81"/>
            <rFont val="Tahoma"/>
            <family val="2"/>
          </rPr>
          <t xml:space="preserve">
65 Gallons are used for both garbage and recycling.  A sticker is applied to the cart to indicate recycilng.</t>
        </r>
      </text>
    </comment>
    <comment ref="I267" authorId="0">
      <text>
        <r>
          <rPr>
            <b/>
            <sz val="9"/>
            <color indexed="81"/>
            <rFont val="Tahoma"/>
            <family val="2"/>
          </rPr>
          <t>Melissa Cheesman:</t>
        </r>
        <r>
          <rPr>
            <sz val="9"/>
            <color indexed="81"/>
            <rFont val="Tahoma"/>
            <family val="2"/>
          </rPr>
          <t xml:space="preserve">
10 years based on Metalworking Machinery and Weilding Equipment, see source - http://www.ofm.wa.gov/policy/30.50.htm</t>
        </r>
      </text>
    </comment>
    <comment ref="I269" authorId="0">
      <text>
        <r>
          <rPr>
            <b/>
            <sz val="9"/>
            <color indexed="81"/>
            <rFont val="Tahoma"/>
            <family val="2"/>
          </rPr>
          <t>Melissa Cheesman:</t>
        </r>
        <r>
          <rPr>
            <sz val="9"/>
            <color indexed="81"/>
            <rFont val="Tahoma"/>
            <family val="2"/>
          </rPr>
          <t xml:space="preserve">
10 years based on Metalworking Machinery and Weilding Equipment, see source - http://www.ofm.wa.gov/policy/30.50.htm</t>
        </r>
      </text>
    </comment>
    <comment ref="I294" authorId="0">
      <text>
        <r>
          <rPr>
            <b/>
            <sz val="9"/>
            <color indexed="81"/>
            <rFont val="Tahoma"/>
            <family val="2"/>
          </rPr>
          <t>Melissa Cheesman:</t>
        </r>
        <r>
          <rPr>
            <sz val="9"/>
            <color indexed="81"/>
            <rFont val="Tahoma"/>
            <family val="2"/>
          </rPr>
          <t xml:space="preserve">
based on parking lot construction
http://www.gfoa.org/services/nl/GAAFRmay-2002-focusarticle.pdf</t>
        </r>
      </text>
    </comment>
    <comment ref="I295" authorId="0">
      <text>
        <r>
          <rPr>
            <b/>
            <sz val="9"/>
            <color indexed="81"/>
            <rFont val="Tahoma"/>
            <family val="2"/>
          </rPr>
          <t>Melissa Cheesman:</t>
        </r>
        <r>
          <rPr>
            <sz val="9"/>
            <color indexed="81"/>
            <rFont val="Tahoma"/>
            <family val="2"/>
          </rPr>
          <t xml:space="preserve">
based on parking lot construction
http://www.gfoa.org/services/nl/GAAFRmay-2002-focusarticle.pdf</t>
        </r>
      </text>
    </comment>
    <comment ref="I296" authorId="0">
      <text>
        <r>
          <rPr>
            <b/>
            <sz val="9"/>
            <color indexed="81"/>
            <rFont val="Tahoma"/>
            <family val="2"/>
          </rPr>
          <t>Melissa Cheesman:</t>
        </r>
        <r>
          <rPr>
            <sz val="9"/>
            <color indexed="81"/>
            <rFont val="Tahoma"/>
            <family val="2"/>
          </rPr>
          <t xml:space="preserve">
25 years based on http://www.ohiohome.org/lihtc/CapitalNeeds.pdf</t>
        </r>
      </text>
    </comment>
    <comment ref="I297" authorId="0">
      <text>
        <r>
          <rPr>
            <b/>
            <sz val="9"/>
            <color indexed="81"/>
            <rFont val="Tahoma"/>
            <family val="2"/>
          </rPr>
          <t>Melissa Cheesman:</t>
        </r>
        <r>
          <rPr>
            <sz val="9"/>
            <color indexed="81"/>
            <rFont val="Tahoma"/>
            <family val="2"/>
          </rPr>
          <t xml:space="preserve">
12 years 10 years based on energy efficient lighting, see source - http://www.ofm.wa.gov/policy/30.50.htm</t>
        </r>
      </text>
    </comment>
  </commentList>
</comments>
</file>

<file path=xl/comments7.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comments8.xml><?xml version="1.0" encoding="utf-8"?>
<comments xmlns="http://schemas.openxmlformats.org/spreadsheetml/2006/main">
  <authors>
    <author>Jennifer Bergheim</author>
  </authors>
  <commentList>
    <comment ref="N6" authorId="0">
      <text>
        <r>
          <rPr>
            <b/>
            <sz val="9"/>
            <color indexed="81"/>
            <rFont val="Tahoma"/>
            <family val="2"/>
          </rPr>
          <t>Jennifer Bergheim:</t>
        </r>
        <r>
          <rPr>
            <sz val="9"/>
            <color indexed="81"/>
            <rFont val="Tahoma"/>
            <family val="2"/>
          </rPr>
          <t xml:space="preserve">
This column represents driver safety bonuses and customer service tooty bonuses. 7/15/16</t>
        </r>
      </text>
    </comment>
  </commentList>
</comments>
</file>

<file path=xl/comments9.xml><?xml version="1.0" encoding="utf-8"?>
<comments xmlns="http://schemas.openxmlformats.org/spreadsheetml/2006/main">
  <authors>
    <author>igort</author>
    <author>Interject</author>
  </authors>
  <commentList>
    <comment ref="C6" authorId="0">
      <text>
        <r>
          <rPr>
            <b/>
            <sz val="9"/>
            <color indexed="81"/>
            <rFont val="Tahoma"/>
            <family val="2"/>
          </rPr>
          <t>(1-10000),
&gt;10000 admins only, default: 10000</t>
        </r>
      </text>
    </comment>
    <comment ref="I8" authorId="1">
      <text>
        <r>
          <rPr>
            <b/>
            <sz val="9"/>
            <color indexed="81"/>
            <rFont val="Tahoma"/>
            <family val="2"/>
          </rPr>
          <t>Current Month - 15 days</t>
        </r>
      </text>
    </comment>
    <comment ref="H12" authorId="0">
      <text>
        <r>
          <rPr>
            <b/>
            <sz val="8"/>
            <color indexed="81"/>
            <rFont val="Tahoma"/>
            <family val="2"/>
          </rPr>
          <t>If blank: defaults to current month minus 15 days</t>
        </r>
      </text>
    </comment>
    <comment ref="L12" authorId="1">
      <text>
        <r>
          <rPr>
            <b/>
            <sz val="9"/>
            <color indexed="81"/>
            <rFont val="Tahoma"/>
            <family val="2"/>
          </rPr>
          <t>If Distict is blank, selects all districts. Can use F9 Groupings.</t>
        </r>
      </text>
    </comment>
    <comment ref="O12" authorId="1">
      <text>
        <r>
          <rPr>
            <b/>
            <sz val="9"/>
            <color indexed="81"/>
            <rFont val="Tahoma"/>
            <family val="2"/>
          </rPr>
          <t>Leave blank to search all</t>
        </r>
      </text>
    </comment>
    <comment ref="H13" authorId="0">
      <text>
        <r>
          <rPr>
            <b/>
            <sz val="8"/>
            <color indexed="81"/>
            <rFont val="Tahoma"/>
            <family val="2"/>
          </rPr>
          <t>If blank: defaults to current month minus 15 days</t>
        </r>
      </text>
    </comment>
    <comment ref="L13" authorId="1">
      <text>
        <r>
          <rPr>
            <b/>
            <sz val="9"/>
            <color indexed="81"/>
            <rFont val="Tahoma"/>
            <family val="2"/>
          </rPr>
          <t>If Accounts is blank, selects all accounts. Can use F9 Groupings.</t>
        </r>
      </text>
    </comment>
    <comment ref="O13" authorId="1">
      <text>
        <r>
          <rPr>
            <b/>
            <sz val="9"/>
            <color indexed="81"/>
            <rFont val="Tahoma"/>
            <family val="2"/>
          </rPr>
          <t>Will search absolute values.</t>
        </r>
      </text>
    </comment>
    <comment ref="L14" authorId="1">
      <text>
        <r>
          <rPr>
            <b/>
            <sz val="9"/>
            <color indexed="81"/>
            <rFont val="Tahoma"/>
            <family val="2"/>
          </rPr>
          <t>If System is blank, selects all systems. Can use F9 Groupings.</t>
        </r>
      </text>
    </comment>
    <comment ref="O14" authorId="1">
      <text>
        <r>
          <rPr>
            <b/>
            <sz val="9"/>
            <color indexed="81"/>
            <rFont val="Tahoma"/>
            <family val="2"/>
          </rPr>
          <t>Will search absolute values</t>
        </r>
      </text>
    </comment>
    <comment ref="L15" authorId="1">
      <text>
        <r>
          <rPr>
            <b/>
            <sz val="9"/>
            <color indexed="81"/>
            <rFont val="Tahoma"/>
            <family val="2"/>
          </rPr>
          <t>If Subsystem is blank, selects all subsystems. Can use F9 Groupings.</t>
        </r>
      </text>
    </comment>
  </commentList>
</comments>
</file>

<file path=xl/sharedStrings.xml><?xml version="1.0" encoding="utf-8"?>
<sst xmlns="http://schemas.openxmlformats.org/spreadsheetml/2006/main" count="6692" uniqueCount="2256">
  <si>
    <t>Consolidated Income Statement</t>
  </si>
  <si>
    <t>District</t>
  </si>
  <si>
    <t>Restating</t>
  </si>
  <si>
    <t>Total</t>
  </si>
  <si>
    <t>Pro Forma</t>
  </si>
  <si>
    <t xml:space="preserve">Per Book </t>
  </si>
  <si>
    <t>Allocated</t>
  </si>
  <si>
    <t>Adjustments</t>
  </si>
  <si>
    <t>Adjusted</t>
  </si>
  <si>
    <t>Check</t>
  </si>
  <si>
    <t>Revenue:</t>
  </si>
  <si>
    <t>Residential</t>
  </si>
  <si>
    <t>RS-1</t>
  </si>
  <si>
    <t>Actual</t>
  </si>
  <si>
    <t xml:space="preserve">Commercial </t>
  </si>
  <si>
    <t>Drop Box</t>
  </si>
  <si>
    <t>Pass Thru</t>
  </si>
  <si>
    <t>Service Charge</t>
  </si>
  <si>
    <t>P-Card Rebate</t>
  </si>
  <si>
    <t>Expenses:</t>
  </si>
  <si>
    <t>Repair-Shop, Bldg</t>
  </si>
  <si>
    <t>Rt Hrs</t>
  </si>
  <si>
    <t>Wages-Regular</t>
  </si>
  <si>
    <t>Wages-OT</t>
  </si>
  <si>
    <t>Safety Bonus</t>
  </si>
  <si>
    <t>Other Bonus</t>
  </si>
  <si>
    <t>Vacation Pay</t>
  </si>
  <si>
    <t>Sick Pay</t>
  </si>
  <si>
    <t>Wages Mechanics</t>
  </si>
  <si>
    <t>Parts &amp; Materials</t>
  </si>
  <si>
    <t>Operating Supplies</t>
  </si>
  <si>
    <t>Total Parts &amp; Materials</t>
  </si>
  <si>
    <t>Outside Repair</t>
  </si>
  <si>
    <t>Tires &amp; Tubes</t>
  </si>
  <si>
    <t>Towing</t>
  </si>
  <si>
    <t>Drive Cam Fees</t>
  </si>
  <si>
    <t xml:space="preserve">Other Maint </t>
  </si>
  <si>
    <t>Salaries-Supervisor</t>
  </si>
  <si>
    <t>Wages-Supervisor</t>
  </si>
  <si>
    <t>Wages Regular</t>
  </si>
  <si>
    <t>Wages OT</t>
  </si>
  <si>
    <t>Total Driver Wages</t>
  </si>
  <si>
    <t>Fuel Expense</t>
  </si>
  <si>
    <t>Oil and Grease</t>
  </si>
  <si>
    <t>Total Fuel and Oil</t>
  </si>
  <si>
    <t>Safety &amp; Training</t>
  </si>
  <si>
    <t>Uniforms</t>
  </si>
  <si>
    <t>Other Collection Exp</t>
  </si>
  <si>
    <t>Disposal Landfill</t>
  </si>
  <si>
    <t>DF Sched</t>
  </si>
  <si>
    <t>Pass Through</t>
  </si>
  <si>
    <t>Dump Fee and Charges</t>
  </si>
  <si>
    <t>UTC Fee</t>
  </si>
  <si>
    <t>WUTC Fee</t>
  </si>
  <si>
    <t>Self Insurance Premium</t>
  </si>
  <si>
    <t>Public Liability</t>
  </si>
  <si>
    <t>Bond Exp-WC</t>
  </si>
  <si>
    <t>Workmen's Comp</t>
  </si>
  <si>
    <t>Salaries</t>
  </si>
  <si>
    <t>Cust</t>
  </si>
  <si>
    <t>Vacation</t>
  </si>
  <si>
    <t>Sick Leave</t>
  </si>
  <si>
    <t>Salaries-Office</t>
  </si>
  <si>
    <t>Corp OH Allocation</t>
  </si>
  <si>
    <t>Revenue</t>
  </si>
  <si>
    <t>Management Fee</t>
  </si>
  <si>
    <t>Bldg &amp; Property Maint</t>
  </si>
  <si>
    <t>Equip/Vehicle Rental</t>
  </si>
  <si>
    <t>Postage</t>
  </si>
  <si>
    <t>Office Supplies</t>
  </si>
  <si>
    <t>Payroll Processing Fee</t>
  </si>
  <si>
    <t>Data Processing</t>
  </si>
  <si>
    <t>Customer Notification</t>
  </si>
  <si>
    <t>Credit and Collection</t>
  </si>
  <si>
    <t>Office &amp; Other Exp</t>
  </si>
  <si>
    <t>Communication</t>
  </si>
  <si>
    <t>Group Insurance</t>
  </si>
  <si>
    <t>Employee Welfare</t>
  </si>
  <si>
    <t>Pension</t>
  </si>
  <si>
    <t>Bad Debt Provision</t>
  </si>
  <si>
    <t>Bad Debts</t>
  </si>
  <si>
    <t>Employee Comm Activity</t>
  </si>
  <si>
    <t>Contributions</t>
  </si>
  <si>
    <t>Alloc Exp In Distr</t>
  </si>
  <si>
    <t>Utlilities</t>
  </si>
  <si>
    <t>Cell Phones</t>
  </si>
  <si>
    <t>Entertainment</t>
  </si>
  <si>
    <t>Excursion Meetings</t>
  </si>
  <si>
    <t>Lodging</t>
  </si>
  <si>
    <t>Travel Auto</t>
  </si>
  <si>
    <t>Credit Card Fees</t>
  </si>
  <si>
    <t>Other Professional Fees</t>
  </si>
  <si>
    <t>Coffee Bar</t>
  </si>
  <si>
    <t>Other General Expenses</t>
  </si>
  <si>
    <t>Depreciation Trks</t>
  </si>
  <si>
    <t>Depreciation Cont, DB</t>
  </si>
  <si>
    <t>Depreciation Service</t>
  </si>
  <si>
    <t>Depreciation Shop</t>
  </si>
  <si>
    <t>Depreciation Office</t>
  </si>
  <si>
    <t>Leasehold Improvements</t>
  </si>
  <si>
    <t>Sale of Asset</t>
  </si>
  <si>
    <t>Taxes &amp; Pass Thru Fees</t>
  </si>
  <si>
    <t>State Excise Tax</t>
  </si>
  <si>
    <t>Licenses</t>
  </si>
  <si>
    <t>Permits</t>
  </si>
  <si>
    <t>Vehicle Licenses</t>
  </si>
  <si>
    <t>Payroll Taxes</t>
  </si>
  <si>
    <t>Real Estate Rental</t>
  </si>
  <si>
    <t>Rent-Land, Structures</t>
  </si>
  <si>
    <t>Operating Ratio</t>
  </si>
  <si>
    <t>Net Income (Loss)</t>
  </si>
  <si>
    <t>Average Investment</t>
  </si>
  <si>
    <t>Empire Disposal, Inc.</t>
  </si>
  <si>
    <t>Pro Forma Test Period Ending 6-30-2016</t>
  </si>
  <si>
    <t/>
  </si>
  <si>
    <t>Hauling Revenue - Roll Off Permanent</t>
  </si>
  <si>
    <t>Corporate Roll Off Disposal Charge</t>
  </si>
  <si>
    <t>Hauling Revenue - Roll Off Extras</t>
  </si>
  <si>
    <t>Hauling Revenue - Residential MSW</t>
  </si>
  <si>
    <t>Hauling Revenue - Residential MSW Extras</t>
  </si>
  <si>
    <t>Hauling Revenue - Commercial FEL</t>
  </si>
  <si>
    <t>Hauling Revenue - Commercial FEL Extras</t>
  </si>
  <si>
    <t>Hauling Revenue - Commercial REL Extras</t>
  </si>
  <si>
    <t>Hauling Revenue</t>
  </si>
  <si>
    <t>Transfer and MRF</t>
  </si>
  <si>
    <t>Proceeds - Metal</t>
  </si>
  <si>
    <t>Proceeds - Commingled</t>
  </si>
  <si>
    <t>Recycling Proceeds</t>
  </si>
  <si>
    <t>Landfill Revenue</t>
  </si>
  <si>
    <t>Intermodal</t>
  </si>
  <si>
    <t>Corporate Other Revenue</t>
  </si>
  <si>
    <t>Other Revenue</t>
  </si>
  <si>
    <t>Disposal Incineration</t>
  </si>
  <si>
    <t>Disposal Transfer</t>
  </si>
  <si>
    <t>Disposal</t>
  </si>
  <si>
    <t>MRF Processing</t>
  </si>
  <si>
    <t>Rebates and Revenue Sharing</t>
  </si>
  <si>
    <t>Taxes and Pass Thru Fees</t>
  </si>
  <si>
    <t>WUTC Taxes</t>
  </si>
  <si>
    <t>Brok. and Taxes</t>
  </si>
  <si>
    <t>Cost of Materials - OCC</t>
  </si>
  <si>
    <t>Cost of Materials - Other Recyclables</t>
  </si>
  <si>
    <t>Cost of Materials</t>
  </si>
  <si>
    <t>Other Expense</t>
  </si>
  <si>
    <t>Rev Reductions</t>
  </si>
  <si>
    <t>Net Revenue</t>
  </si>
  <si>
    <t>Wages O.T.</t>
  </si>
  <si>
    <t>Safety Bonuses</t>
  </si>
  <si>
    <t>Safety and Training</t>
  </si>
  <si>
    <t>Pension and Profit Sharing</t>
  </si>
  <si>
    <t>Labor</t>
  </si>
  <si>
    <t>Truck Fixed</t>
  </si>
  <si>
    <t>Drug Screening</t>
  </si>
  <si>
    <t>Parts and Materials</t>
  </si>
  <si>
    <t>Tires</t>
  </si>
  <si>
    <t>Outside Repairs</t>
  </si>
  <si>
    <t>Utilities</t>
  </si>
  <si>
    <t>Communications</t>
  </si>
  <si>
    <t>Freight</t>
  </si>
  <si>
    <t>Towing Expense</t>
  </si>
  <si>
    <t>Truck Variable</t>
  </si>
  <si>
    <t>Container Exp</t>
  </si>
  <si>
    <t>Empl &amp; Commun Activ</t>
  </si>
  <si>
    <t>Superv. Ex</t>
  </si>
  <si>
    <t>Equip Maintenance and Repair</t>
  </si>
  <si>
    <t>Bldg &amp; Property</t>
  </si>
  <si>
    <t>Real Estate Rentals</t>
  </si>
  <si>
    <t>Other Prof Fees</t>
  </si>
  <si>
    <t>Property Taxes</t>
  </si>
  <si>
    <t>Monitoring and Maint</t>
  </si>
  <si>
    <t>Bonds Expense</t>
  </si>
  <si>
    <t>Other Operating</t>
  </si>
  <si>
    <t>Closure Exp</t>
  </si>
  <si>
    <t>WC - Current Year Claims</t>
  </si>
  <si>
    <t>WC - Prior Year Claims</t>
  </si>
  <si>
    <t>Workers Comp Prem</t>
  </si>
  <si>
    <t>Insurance Exp</t>
  </si>
  <si>
    <t>Gain/Loss on Sale of Asset</t>
  </si>
  <si>
    <t>G/L on Ops</t>
  </si>
  <si>
    <t>Cost of Ops</t>
  </si>
  <si>
    <t>Gross Profit</t>
  </si>
  <si>
    <t>Advertising and Promotions</t>
  </si>
  <si>
    <t>Sales Exp</t>
  </si>
  <si>
    <t>Other Bonus/Commission - Non-Safety</t>
  </si>
  <si>
    <t>Employee Relocation</t>
  </si>
  <si>
    <t>Allocated Exp In - District</t>
  </si>
  <si>
    <t>Cellular Telephone</t>
  </si>
  <si>
    <t>Dues and Subscriptions</t>
  </si>
  <si>
    <t>Travel</t>
  </si>
  <si>
    <t>Excursions Meetings</t>
  </si>
  <si>
    <t>Travel - Auto</t>
  </si>
  <si>
    <t>Meals</t>
  </si>
  <si>
    <t>Office Supplies and Equip</t>
  </si>
  <si>
    <t>Bank Charges</t>
  </si>
  <si>
    <t>Payroll Processing Fees</t>
  </si>
  <si>
    <t>Computer Software</t>
  </si>
  <si>
    <t>G&amp;A</t>
  </si>
  <si>
    <t>Corporate Overhead Allocation In</t>
  </si>
  <si>
    <t>Corp Overhead</t>
  </si>
  <si>
    <t>Total SG&amp;A</t>
  </si>
  <si>
    <t>EBITDA</t>
  </si>
  <si>
    <t>Watch list EBITDA</t>
  </si>
  <si>
    <t>Depreciation</t>
  </si>
  <si>
    <t>Airspace Amort</t>
  </si>
  <si>
    <t>Long Term Contract Amort</t>
  </si>
  <si>
    <t>Intangible Amort</t>
  </si>
  <si>
    <t>Total DDA</t>
  </si>
  <si>
    <t>EBIT From Ops</t>
  </si>
  <si>
    <t>Interest Exp</t>
  </si>
  <si>
    <t>Interest Income</t>
  </si>
  <si>
    <t>Other Inc/Exp</t>
  </si>
  <si>
    <t>NI b/ Taxes &amp; Extra</t>
  </si>
  <si>
    <t>Extra. Items</t>
  </si>
  <si>
    <t>NI b/ Taxes</t>
  </si>
  <si>
    <t>Taxes</t>
  </si>
  <si>
    <t>Net Income</t>
  </si>
  <si>
    <t>Non Controlling Int</t>
  </si>
  <si>
    <t>Net Income Attrib</t>
  </si>
  <si>
    <t>Data Not Included</t>
  </si>
  <si>
    <t>Income Statement</t>
  </si>
  <si>
    <t>July 1, 2015 - June 30, 2016</t>
  </si>
  <si>
    <t>Processing Fees</t>
  </si>
  <si>
    <t>Franchise Fees</t>
  </si>
  <si>
    <t>Wages-Salary</t>
  </si>
  <si>
    <t>Building/Grounds Repair</t>
  </si>
  <si>
    <t>Amortization</t>
  </si>
  <si>
    <t>Communications &amp; Utilities</t>
  </si>
  <si>
    <t>Restating Adjustments</t>
  </si>
  <si>
    <t>RS-1: Restate Revenue to Billing Records</t>
  </si>
  <si>
    <t>Resi MSW</t>
  </si>
  <si>
    <t>Resi Recycle</t>
  </si>
  <si>
    <t>Comm MSW</t>
  </si>
  <si>
    <t>Commercial Recycling</t>
  </si>
  <si>
    <t>Med Waste</t>
  </si>
  <si>
    <t>Roll Off MSW</t>
  </si>
  <si>
    <t>Roll Off Recycling</t>
  </si>
  <si>
    <t>Pass-Through</t>
  </si>
  <si>
    <t>Service Charges</t>
  </si>
  <si>
    <t>Spokane Co. Reg</t>
  </si>
  <si>
    <t>Whitman Co. Reg</t>
  </si>
  <si>
    <t xml:space="preserve">City Contract/Non-Reg </t>
  </si>
  <si>
    <t>Medical Waste</t>
  </si>
  <si>
    <t>Total Revenue per Billing</t>
  </si>
  <si>
    <t>Per IS</t>
  </si>
  <si>
    <t>Difference</t>
  </si>
  <si>
    <t>Empire Disposal Inc.</t>
  </si>
  <si>
    <t>Spokane Co. Regulated - Price Out</t>
  </si>
  <si>
    <t>Note:  Revenue below is from the datailed billing system records, and connot be linked.</t>
  </si>
  <si>
    <t>July 15-Dec 15</t>
  </si>
  <si>
    <t>Jan 16-June 16</t>
  </si>
  <si>
    <t>Average</t>
  </si>
  <si>
    <t>Unit</t>
  </si>
  <si>
    <t>Annual</t>
  </si>
  <si>
    <t>Service Code</t>
  </si>
  <si>
    <t>Service Code Description</t>
  </si>
  <si>
    <t>Rate</t>
  </si>
  <si>
    <t>Customers</t>
  </si>
  <si>
    <t>Cust Count</t>
  </si>
  <si>
    <t>Count</t>
  </si>
  <si>
    <t>RESIDENTIAL SERVICES</t>
  </si>
  <si>
    <t>RESIDENTIAL GARBAGE</t>
  </si>
  <si>
    <t>RL020.0G1W001</t>
  </si>
  <si>
    <t>RL 20 GL 1X WK 1</t>
  </si>
  <si>
    <t>RL032.0G1M001</t>
  </si>
  <si>
    <t>RL 32 GL 1X MO 1</t>
  </si>
  <si>
    <t>RL032.0G1W001</t>
  </si>
  <si>
    <t>RL 32 GL 1X WK 1</t>
  </si>
  <si>
    <t>RL032.0G1W002</t>
  </si>
  <si>
    <t>RL 32 GL 1X WK 2</t>
  </si>
  <si>
    <t>RL032.0G1W003</t>
  </si>
  <si>
    <t>RL 32 GL 1X WK 3</t>
  </si>
  <si>
    <t>RL065.0G1W001</t>
  </si>
  <si>
    <t>RL 65 GL 1X WK 1</t>
  </si>
  <si>
    <t>RL065.0G1W002</t>
  </si>
  <si>
    <t>RL 65 GL 1X WK 2</t>
  </si>
  <si>
    <t>RL090.0G1W001</t>
  </si>
  <si>
    <t>RL 90 GL 1X WK 1</t>
  </si>
  <si>
    <t>RL090.0G1W002</t>
  </si>
  <si>
    <t>RL 90 GL 1X WK 2</t>
  </si>
  <si>
    <t>RL090.0G1W003</t>
  </si>
  <si>
    <t>RL 90 GL 1X WK 3</t>
  </si>
  <si>
    <t>RL32R-OC</t>
  </si>
  <si>
    <t>1 RL 32 GL ON CALL-RES</t>
  </si>
  <si>
    <t>EXTRA-RES</t>
  </si>
  <si>
    <t>EXTRA CAN, BAG, BOX-RES</t>
  </si>
  <si>
    <t>EXTRYDG-RES</t>
  </si>
  <si>
    <t>EXTRA YARDAGE - RES</t>
  </si>
  <si>
    <t>BULKY-RES</t>
  </si>
  <si>
    <t>BULKY ITEM PICK UP-RES</t>
  </si>
  <si>
    <t>OS-RES</t>
  </si>
  <si>
    <t>OVERSIZE CAN - RES</t>
  </si>
  <si>
    <t>OW-RES</t>
  </si>
  <si>
    <t>OVERFILL/WEIGHT CAN-RES</t>
  </si>
  <si>
    <t>DRIVEIN1-RES</t>
  </si>
  <si>
    <t xml:space="preserve">DRIVE IN 125-250' - RES </t>
  </si>
  <si>
    <t>TRIP-RES</t>
  </si>
  <si>
    <t>TRIP FEE - RES</t>
  </si>
  <si>
    <t>REDEL-RES</t>
  </si>
  <si>
    <t>REDELIVERY FEE - RES</t>
  </si>
  <si>
    <t>REINSTATE-RES</t>
  </si>
  <si>
    <t>REINSTATE FEE - RES</t>
  </si>
  <si>
    <t>TOTAL RESIDENTIAL GARBAGE</t>
  </si>
  <si>
    <t>COMMERCIAL SERVICES</t>
  </si>
  <si>
    <t>COMMERCIAL GARBAGE</t>
  </si>
  <si>
    <t>RL001.0Y1W001</t>
  </si>
  <si>
    <t>RL 1 YD 1X WK 1</t>
  </si>
  <si>
    <t>RL001.5Y1W001</t>
  </si>
  <si>
    <t>RL 1.5 YD 1X WK 1</t>
  </si>
  <si>
    <t>RL001.5Y1W002</t>
  </si>
  <si>
    <t>RL 1.5 YD 1X WK 2</t>
  </si>
  <si>
    <t>RL001.5Y1W003</t>
  </si>
  <si>
    <t>RL 1.5 YD 1X WK 3</t>
  </si>
  <si>
    <t>RL002.0Y1W001</t>
  </si>
  <si>
    <t>RL 2 YD 1X WK 1</t>
  </si>
  <si>
    <t>RL003.0Y1W001</t>
  </si>
  <si>
    <t>RL 3 YD 1X WK 1</t>
  </si>
  <si>
    <t>RL003.0Y1W002</t>
  </si>
  <si>
    <t>RL 3 YD 1X WK 2</t>
  </si>
  <si>
    <t>RL004.0Y1W001</t>
  </si>
  <si>
    <t>RL 4 YD 1X WK 1</t>
  </si>
  <si>
    <t>RL004.0Y1W002</t>
  </si>
  <si>
    <t>RL 4 YD 1X WK 2</t>
  </si>
  <si>
    <t>RL006.0Y1W002</t>
  </si>
  <si>
    <t>RL 6 YD 1X WK 2</t>
  </si>
  <si>
    <t>RL032.0G1W001COMM</t>
  </si>
  <si>
    <t>RL 32 GL 1X WK COMM 1</t>
  </si>
  <si>
    <t>RL032.0G1W002COMM</t>
  </si>
  <si>
    <t>RL 32 GL 1X WK COMM 2</t>
  </si>
  <si>
    <t>RL065.0G1W001COMM</t>
  </si>
  <si>
    <t>RL 65 GL 1X WK COMM 1</t>
  </si>
  <si>
    <t>RL090.0G1W001COMM</t>
  </si>
  <si>
    <t>RL 90 GL 1X WK COMM 1</t>
  </si>
  <si>
    <t>RL090.0G1W002COMM</t>
  </si>
  <si>
    <t>RL 90 GL 1X WK COMM 2</t>
  </si>
  <si>
    <t>RL32C-OC</t>
  </si>
  <si>
    <t>1 RL 32 GL ON CALL - COMM</t>
  </si>
  <si>
    <t>RL1C-OC</t>
  </si>
  <si>
    <t>1 RL 1 YD ON CALL-COMM</t>
  </si>
  <si>
    <t>RL1.5C-OC</t>
  </si>
  <si>
    <t>1 RL 1.5 YD ON CALL-COMM</t>
  </si>
  <si>
    <t>RL1TC-COMM</t>
  </si>
  <si>
    <t>RL TEMPORARY 1 YD-COMM</t>
  </si>
  <si>
    <t>RL1.5TC-COMM</t>
  </si>
  <si>
    <t>RL TEMPORARY 1.5 YD-COMM</t>
  </si>
  <si>
    <t>RL2TC-COMM</t>
  </si>
  <si>
    <t>RL TEMPORARY 2 YD-COMM</t>
  </si>
  <si>
    <t>RL3TC-COMM</t>
  </si>
  <si>
    <t>RL TEMPORARY 3 YD - COMM</t>
  </si>
  <si>
    <t>RL4TC-COMM</t>
  </si>
  <si>
    <t>RL TEMPORARY 4 YD-COMM</t>
  </si>
  <si>
    <t>EXTRA-COMM</t>
  </si>
  <si>
    <t>EXTRA CAN, BAG, BOX-COMM</t>
  </si>
  <si>
    <t>EXTRAYDG-COMM</t>
  </si>
  <si>
    <t>EXTRA YARDAGE - COMM</t>
  </si>
  <si>
    <t>RENT1.5-COMM</t>
  </si>
  <si>
    <t>RENTAL FEE 1.5 YD COMM</t>
  </si>
  <si>
    <t>RENT1.5TEMP-COMM</t>
  </si>
  <si>
    <t xml:space="preserve">RENTAL FEE 1.5 YD TEMP - </t>
  </si>
  <si>
    <t>RENT1-COMM</t>
  </si>
  <si>
    <t>RENTAL FEE 1 YD COMM MA</t>
  </si>
  <si>
    <t>RENT1TEMP-COMM</t>
  </si>
  <si>
    <t>RENTAL FEE 1 YD TEMP - COMM</t>
  </si>
  <si>
    <t>RENT2-COMM</t>
  </si>
  <si>
    <t>RENTAL FEE 2 YD COMM</t>
  </si>
  <si>
    <t>RENT2TEMP-COMM</t>
  </si>
  <si>
    <t>RENTAL FEE 2 YD TEMP - COMM</t>
  </si>
  <si>
    <t>RENT3-COMM</t>
  </si>
  <si>
    <t>RENTAL FEE 3 YD COMM</t>
  </si>
  <si>
    <t>RENT3TEMP-COMM</t>
  </si>
  <si>
    <t>RENTAL FEE 3 YD TEMP - CO</t>
  </si>
  <si>
    <t>RENT4-COMM</t>
  </si>
  <si>
    <t>RENTAL FEE 4 YD COMM</t>
  </si>
  <si>
    <t>RENT4TEMP-COMM</t>
  </si>
  <si>
    <t>RENTAL FEE 4YD TEMP - COM</t>
  </si>
  <si>
    <t>RENT6-COMM</t>
  </si>
  <si>
    <t>RENTAL FEE 6 YD COMM</t>
  </si>
  <si>
    <t>DELTEMP-COMM</t>
  </si>
  <si>
    <t>DELIVERY FEE TEMP-COMM</t>
  </si>
  <si>
    <t>DIST-COM</t>
  </si>
  <si>
    <t>DISTANCE FEE - COMM</t>
  </si>
  <si>
    <t xml:space="preserve">DRIVEIN1-COMM </t>
  </si>
  <si>
    <t>DRIVE IN 125-250' - COMM</t>
  </si>
  <si>
    <t>REINSTATE-COMM</t>
  </si>
  <si>
    <t>REINSTATE FEE - COMM</t>
  </si>
  <si>
    <t>TOTAL COMMERCIAL GARBAGE</t>
  </si>
  <si>
    <t>DROP BOX SERVICES</t>
  </si>
  <si>
    <t>DROP BOX HAULS/RENTAL</t>
  </si>
  <si>
    <t>HAUL25-RO</t>
  </si>
  <si>
    <t>HAUL 25 YD - RO</t>
  </si>
  <si>
    <t>HAUL25TEMP-RO</t>
  </si>
  <si>
    <t>HAUL 25 YD TEMP - RO</t>
  </si>
  <si>
    <t>HAUL40TEMP-RO</t>
  </si>
  <si>
    <t>HAUL 40 YD TEMP - RO</t>
  </si>
  <si>
    <t>HAUL-CP</t>
  </si>
  <si>
    <t>COMPACTOR HAUL - RO</t>
  </si>
  <si>
    <t>RENT25MO-RO</t>
  </si>
  <si>
    <t>RENTAL FEE 25YD MONTHLY</t>
  </si>
  <si>
    <t>RENT40MO-RO</t>
  </si>
  <si>
    <t>RENTAL FEE 40 YD MONTHLY</t>
  </si>
  <si>
    <t>DEL-RO</t>
  </si>
  <si>
    <t>DELIVERY FEE - RO</t>
  </si>
  <si>
    <t>MILE-RO</t>
  </si>
  <si>
    <t>MILEAGE FEE - RO</t>
  </si>
  <si>
    <t>TOTAL DROP BOX HAULS/RENTAL</t>
  </si>
  <si>
    <t>DROP BOX RECYLING</t>
  </si>
  <si>
    <t>HAULREC-RO</t>
  </si>
  <si>
    <t>HAUL RECYCLE - RO</t>
  </si>
  <si>
    <t>TOTAL DROP BOX RECYCLING</t>
  </si>
  <si>
    <t>PASSTHROUGH DISPOSAL</t>
  </si>
  <si>
    <t>DISP-RO</t>
  </si>
  <si>
    <t>DISPOSAL CHARGE - RO</t>
  </si>
  <si>
    <t>TOTAL PASSTHROUGH DISPOSAL</t>
  </si>
  <si>
    <t>FINCHG</t>
  </si>
  <si>
    <t>FINANCE CHARGE</t>
  </si>
  <si>
    <t>RETCKC</t>
  </si>
  <si>
    <t>RETURN CHECK CHARGE</t>
  </si>
  <si>
    <t>TOTAL SERVICE CHARGES</t>
  </si>
  <si>
    <t>TOTAL REVENUE</t>
  </si>
  <si>
    <t>Whitman Co. Regulated - Price Out</t>
  </si>
  <si>
    <t>July 15-June 16</t>
  </si>
  <si>
    <t>RL032.0G1W004</t>
  </si>
  <si>
    <t>RL 32 GL 1X WK 4</t>
  </si>
  <si>
    <t>RL065.0G1W003</t>
  </si>
  <si>
    <t>RL 65 GL 1X WK 3</t>
  </si>
  <si>
    <t>RL90R-OC</t>
  </si>
  <si>
    <t>RL 90 GL ON CALL - RES</t>
  </si>
  <si>
    <t>DIST-RES</t>
  </si>
  <si>
    <t>DISTANCE FEE - RES</t>
  </si>
  <si>
    <t>WI1-RES</t>
  </si>
  <si>
    <t>WALK IN 5-25 FT - RES</t>
  </si>
  <si>
    <t>TIME-RES</t>
  </si>
  <si>
    <t>TIME FEE 1 - RES</t>
  </si>
  <si>
    <t>RESIDENTIAL RECYCLING</t>
  </si>
  <si>
    <t>RRECWGBG</t>
  </si>
  <si>
    <t>RESI RECYCLE WITH GARBAGE</t>
  </si>
  <si>
    <t>TOTAL RESIDENTIAL RECYCLING</t>
  </si>
  <si>
    <t>RL001.0Y1M001</t>
  </si>
  <si>
    <t>RL 1 YD 1X MO 1</t>
  </si>
  <si>
    <t>RL001.0Y3W001</t>
  </si>
  <si>
    <t>RL 1 YD 3X WK 1</t>
  </si>
  <si>
    <t>RL001.5Y1M001</t>
  </si>
  <si>
    <t>RL 1.5 YD 1X MO 1</t>
  </si>
  <si>
    <t>RL001.5Y2W001</t>
  </si>
  <si>
    <t>RL 1.5 YD 2X WK 1</t>
  </si>
  <si>
    <t>RL001.5Y3W001</t>
  </si>
  <si>
    <t>RL 1.5 YD 3X WK 1</t>
  </si>
  <si>
    <t>RL002.0Y1M001</t>
  </si>
  <si>
    <t>RL 2 YD 1X MO 1</t>
  </si>
  <si>
    <t>RL002.0Y2W001</t>
  </si>
  <si>
    <t>RL 2 YD 2X WK 1</t>
  </si>
  <si>
    <t>RL002.0Y3W001</t>
  </si>
  <si>
    <t>RL 2 YD 3X WK 1</t>
  </si>
  <si>
    <t>RL003.0Y2W001</t>
  </si>
  <si>
    <t>RL 3 YD 2X WK 1</t>
  </si>
  <si>
    <t>RL003.0Y3W001</t>
  </si>
  <si>
    <t>RL 3 YD 3X WK 1</t>
  </si>
  <si>
    <t>RL004.0Y3W001</t>
  </si>
  <si>
    <t>RL 4 YD 3X WK 1</t>
  </si>
  <si>
    <t>RL004.0Y4W001</t>
  </si>
  <si>
    <t>RL 4 YD 4X WK 1</t>
  </si>
  <si>
    <t>RL006.0Y1W001</t>
  </si>
  <si>
    <t>RL 6 YD 1X WK 1</t>
  </si>
  <si>
    <t>RL006.0Y2W001</t>
  </si>
  <si>
    <t>RL 6 YD 2X WK 1</t>
  </si>
  <si>
    <t>RL006.0Y4W001</t>
  </si>
  <si>
    <t>RL 6 YD 4X WK 1</t>
  </si>
  <si>
    <t>RL006.0Y5W001</t>
  </si>
  <si>
    <t>RL 6 YD 5X WEEK</t>
  </si>
  <si>
    <t>RL008.0Y1W001</t>
  </si>
  <si>
    <t>RL 8 YD 1X WK 1</t>
  </si>
  <si>
    <t>RL008.0Y2W001</t>
  </si>
  <si>
    <t>RL 8 YD 2X WK 1</t>
  </si>
  <si>
    <t>RL032.0G1W003COMM</t>
  </si>
  <si>
    <t>RL 32 GL 1X WK COMM 3</t>
  </si>
  <si>
    <t>RL065.0G1W002COMM</t>
  </si>
  <si>
    <t>RL 65 GL 1X WK COMM 2</t>
  </si>
  <si>
    <t>RL065.0G1W005COMM</t>
  </si>
  <si>
    <t>RL 65 GL 1X WK COMM 5</t>
  </si>
  <si>
    <t>RL090.0G2W001COMM</t>
  </si>
  <si>
    <t>RL 90 GL 2X WK COMM 1</t>
  </si>
  <si>
    <t>RL090.0G2W004COMM</t>
  </si>
  <si>
    <t>RL 90 GL 2X WK COMM 4</t>
  </si>
  <si>
    <t>OS-COMM</t>
  </si>
  <si>
    <t>OVERSIZE CAN - COMM</t>
  </si>
  <si>
    <t>OW-COMM</t>
  </si>
  <si>
    <t>OVERFILL/WEIGHT CAN-COMM</t>
  </si>
  <si>
    <t>RL2C-OC</t>
  </si>
  <si>
    <t>1 RL 2 YD ON CALL-COMM</t>
  </si>
  <si>
    <t>RL3C-OC</t>
  </si>
  <si>
    <t>1 RL 3 YD ON CALL-COMM</t>
  </si>
  <si>
    <t>RL4C-OC</t>
  </si>
  <si>
    <t>1 RL 4 YD ON CALL-COMM</t>
  </si>
  <si>
    <t>RL6C-OC</t>
  </si>
  <si>
    <t>1 RL 6 YD ON CALL - COMM</t>
  </si>
  <si>
    <t>RENT8-COMM</t>
  </si>
  <si>
    <t>RENTAL FEE 8 YD COMM</t>
  </si>
  <si>
    <t>ADJ-COM</t>
  </si>
  <si>
    <t>ADJUSTMENT COMMERCIAL</t>
  </si>
  <si>
    <t>REDEL-COMM</t>
  </si>
  <si>
    <t>REDELIVERY FEE - COMM</t>
  </si>
  <si>
    <t>ROLL-COMM</t>
  </si>
  <si>
    <t>ROLL OUT CHARGE - COMM</t>
  </si>
  <si>
    <t>TRIP1-COMM</t>
  </si>
  <si>
    <t>TRIP FEE - COMM</t>
  </si>
  <si>
    <t>UNLCKC</t>
  </si>
  <si>
    <t>UNLOCKING FEE - COMM</t>
  </si>
  <si>
    <t>COMMERCIAL RECYCLING</t>
  </si>
  <si>
    <t>RECCOMSVC</t>
  </si>
  <si>
    <t>COMMERCIAL RECYCLE SERVICE</t>
  </si>
  <si>
    <t>RECCOMSVC1W001</t>
  </si>
  <si>
    <t>COMMERCIAL RECYCLE WEEKLY</t>
  </si>
  <si>
    <t>TOTAL COMMERCIAL RECYCLING</t>
  </si>
  <si>
    <t>MEDICAL WASTE</t>
  </si>
  <si>
    <t>HAULMED-COMM</t>
  </si>
  <si>
    <t>MEDICAL WASTE SERVICE - COMM</t>
  </si>
  <si>
    <t>TOTAL MEDICAL WASTE</t>
  </si>
  <si>
    <t>HAUL40-RO</t>
  </si>
  <si>
    <t>HAUL 40 YD - RO</t>
  </si>
  <si>
    <t>ROSVC</t>
  </si>
  <si>
    <t>ROLL OFF SERVICE</t>
  </si>
  <si>
    <t xml:space="preserve">TOTAL DROP BOX </t>
  </si>
  <si>
    <t>ADJ-FIN</t>
  </si>
  <si>
    <t>ADJUSTMENT FINANCE CHARGE</t>
  </si>
  <si>
    <t>DROP BOX RECYLING - NON_REG</t>
  </si>
  <si>
    <t>Regulated</t>
  </si>
  <si>
    <t>Non-Regulated</t>
  </si>
  <si>
    <t>Allocator</t>
  </si>
  <si>
    <t>% Exp.</t>
  </si>
  <si>
    <t>Allocation Ratios</t>
  </si>
  <si>
    <t>General Rate Filing YE 6/30/2016</t>
  </si>
  <si>
    <t>Customer Counts (CUST)</t>
  </si>
  <si>
    <t>Total Reg</t>
  </si>
  <si>
    <t>Billed Customer Counts (BILLED)</t>
  </si>
  <si>
    <t>Non Reg</t>
  </si>
  <si>
    <t>Spok Co</t>
  </si>
  <si>
    <t>Whit Co</t>
  </si>
  <si>
    <t>Army</t>
  </si>
  <si>
    <t>Harrington</t>
  </si>
  <si>
    <t>Latah Co</t>
  </si>
  <si>
    <t>Rockford</t>
  </si>
  <si>
    <t>Spangle</t>
  </si>
  <si>
    <t>Starbuck</t>
  </si>
  <si>
    <t>Tekoa</t>
  </si>
  <si>
    <t>Resi</t>
  </si>
  <si>
    <t>Comm</t>
  </si>
  <si>
    <t>RO</t>
  </si>
  <si>
    <t>Resi Rec</t>
  </si>
  <si>
    <t>Non-Reg Recycle</t>
  </si>
  <si>
    <t>Total City/Non-Reg Customers</t>
  </si>
  <si>
    <t>Less Army (Empire Bills)</t>
  </si>
  <si>
    <t>City Bills &amp; Collects</t>
  </si>
  <si>
    <t>10% "Loading" factor to allocate expense to city billed customers</t>
  </si>
  <si>
    <t>Calculation of City Billed Customers</t>
  </si>
  <si>
    <t>Adjusted City Billed Customers</t>
  </si>
  <si>
    <t>Whitman County</t>
  </si>
  <si>
    <t>Spokane County</t>
  </si>
  <si>
    <t>Non-Reg</t>
  </si>
  <si>
    <t>Garbage</t>
  </si>
  <si>
    <t>Recycling</t>
  </si>
  <si>
    <t>Route Hours (RT HRS)</t>
  </si>
  <si>
    <t>Billed</t>
  </si>
  <si>
    <t>Total Billed</t>
  </si>
  <si>
    <t>Restating Adjustment Summary</t>
  </si>
  <si>
    <t>Revenue Adjustments</t>
  </si>
  <si>
    <t>RS-2</t>
  </si>
  <si>
    <t>Disposal Increase</t>
  </si>
  <si>
    <t>RS-4</t>
  </si>
  <si>
    <t>OH Adjustments</t>
  </si>
  <si>
    <t>RS-3</t>
  </si>
  <si>
    <t>Unallowable Expenses</t>
  </si>
  <si>
    <t>RS-5</t>
  </si>
  <si>
    <t>Restate Raises</t>
  </si>
  <si>
    <t>RS-6</t>
  </si>
  <si>
    <t>B&amp;O Tax</t>
  </si>
  <si>
    <t>RS-7</t>
  </si>
  <si>
    <t>RS-8</t>
  </si>
  <si>
    <t>Adjust Deprec to UTC Method</t>
  </si>
  <si>
    <t>Spokane Co. Waste to Energy Tons (7/1/2015-12/31/2015)</t>
  </si>
  <si>
    <t>Rate Increase</t>
  </si>
  <si>
    <t>Gross Up Factors</t>
  </si>
  <si>
    <t>B&amp;O tax</t>
  </si>
  <si>
    <t>WUTC fees</t>
  </si>
  <si>
    <t>Factor</t>
  </si>
  <si>
    <t>With Gross-Up</t>
  </si>
  <si>
    <t>6-Month Adjust</t>
  </si>
  <si>
    <t>RS-2: Adjust In 6 Months of Dump Fee Increase (1-1-2016 DF Increase in Spokane Co. TG-152154) &amp; Reclass Pass-through</t>
  </si>
  <si>
    <t>Reclass Pass-Through</t>
  </si>
  <si>
    <t>RS-3: Region &amp; Corp OH Adjustments</t>
  </si>
  <si>
    <t>Corporate OH Adjust:</t>
  </si>
  <si>
    <t>Adjusted OH %</t>
  </si>
  <si>
    <t>Adjustment Needed</t>
  </si>
  <si>
    <t>101*</t>
  </si>
  <si>
    <t>*</t>
  </si>
  <si>
    <t>Corp</t>
  </si>
  <si>
    <t>Waste Connections, Inc.</t>
  </si>
  <si>
    <t>Corporate P&amp;L Detail</t>
  </si>
  <si>
    <t xml:space="preserve">Adjusted </t>
  </si>
  <si>
    <t>Corp Payroll Tax %</t>
  </si>
  <si>
    <t>YTD 12</t>
  </si>
  <si>
    <t>12 Months</t>
  </si>
  <si>
    <t>Ended</t>
  </si>
  <si>
    <t>12/31/2015</t>
  </si>
  <si>
    <t>Termination Pay</t>
  </si>
  <si>
    <t>remove non-regulated operating assets and R360 assets in TG-130501 and TG-130502</t>
  </si>
  <si>
    <t>Property and Liability Insurance</t>
  </si>
  <si>
    <t>RM Fixed Costs</t>
  </si>
  <si>
    <t>Deferred Comp Earnings</t>
  </si>
  <si>
    <t>Corp Allocated Bonus</t>
  </si>
  <si>
    <t>Contract Labor</t>
  </si>
  <si>
    <t>WCN Training</t>
  </si>
  <si>
    <t>Corporate Office Relocation</t>
  </si>
  <si>
    <t>Political Contributions</t>
  </si>
  <si>
    <t>Plane Parts &amp; Materials</t>
  </si>
  <si>
    <t>Aircraft Lubricants &amp; Consumables</t>
  </si>
  <si>
    <t>Registration Fees</t>
  </si>
  <si>
    <t>removed stock listing per TG-130501, TG-130502, TG-121777 and TG-121791</t>
  </si>
  <si>
    <t>Club Dues</t>
  </si>
  <si>
    <t>Outside Storages</t>
  </si>
  <si>
    <t>External Recruiter Fees</t>
  </si>
  <si>
    <t>Recruitment Advertising &amp; Expenses</t>
  </si>
  <si>
    <t>Recruitment Travel Expenses</t>
  </si>
  <si>
    <t>Legal</t>
  </si>
  <si>
    <t>Accounting Professional Fees</t>
  </si>
  <si>
    <t>Acquisition Cost Write Off</t>
  </si>
  <si>
    <t>removed costs not recoverable from regulated ratepayers TG-130501 and TG-130502</t>
  </si>
  <si>
    <t>Directors and Officers Insurance</t>
  </si>
  <si>
    <t>Computer Supplies</t>
  </si>
  <si>
    <t>Penalties and Violations</t>
  </si>
  <si>
    <t>Security Services</t>
  </si>
  <si>
    <t>Board of Directors Fees</t>
  </si>
  <si>
    <t>Board of Directors Expense Report</t>
  </si>
  <si>
    <t>Trade Shows</t>
  </si>
  <si>
    <t xml:space="preserve">     Total expenses</t>
  </si>
  <si>
    <t xml:space="preserve">     Total eliminated revenues</t>
  </si>
  <si>
    <t>Inter-co elimiation rev</t>
  </si>
  <si>
    <t>Gross Revenue before eliminations</t>
  </si>
  <si>
    <t xml:space="preserve">     Total eligible allocation rate</t>
  </si>
  <si>
    <t>Staff - TG-160424</t>
  </si>
  <si>
    <t>Region OH Adjust:</t>
  </si>
  <si>
    <t>Depreciation &amp; Average Investment Summary:</t>
  </si>
  <si>
    <t>Empire Disposal</t>
  </si>
  <si>
    <t>Beginning</t>
  </si>
  <si>
    <t>Ending</t>
  </si>
  <si>
    <t>Equipment</t>
  </si>
  <si>
    <t>Cost</t>
  </si>
  <si>
    <t>Salvage</t>
  </si>
  <si>
    <t>Depr</t>
  </si>
  <si>
    <t>Test Year</t>
  </si>
  <si>
    <t>Accum Depr</t>
  </si>
  <si>
    <t>Investment</t>
  </si>
  <si>
    <t>Trucks</t>
  </si>
  <si>
    <t>Garbage - Shared</t>
  </si>
  <si>
    <t>Roll-off</t>
  </si>
  <si>
    <t>Curbside Recycling</t>
  </si>
  <si>
    <t>Total Trucks</t>
  </si>
  <si>
    <t xml:space="preserve"> </t>
  </si>
  <si>
    <t>Containers:</t>
  </si>
  <si>
    <t>Drop Boxes</t>
  </si>
  <si>
    <t>Total Cont, Carts,</t>
  </si>
  <si>
    <t>Service Equipment</t>
  </si>
  <si>
    <t>Shop Equipment</t>
  </si>
  <si>
    <t>Office Equipment</t>
  </si>
  <si>
    <t>Total Equipment</t>
  </si>
  <si>
    <t>Structures</t>
  </si>
  <si>
    <t>Land</t>
  </si>
  <si>
    <t xml:space="preserve">Land, Lot Colfax </t>
  </si>
  <si>
    <t>Container Storage</t>
  </si>
  <si>
    <t>Total Land &amp; LH</t>
  </si>
  <si>
    <t>Empire Disposal Co</t>
  </si>
  <si>
    <t>Depreciation Schedule</t>
  </si>
  <si>
    <t>Months in first year</t>
  </si>
  <si>
    <t>CONVENTIONS</t>
  </si>
  <si>
    <t>Months in second year</t>
  </si>
  <si>
    <t>A.</t>
  </si>
  <si>
    <t>Purchase date</t>
  </si>
  <si>
    <t>First year</t>
  </si>
  <si>
    <t>B.</t>
  </si>
  <si>
    <t>End of Test Period</t>
  </si>
  <si>
    <t xml:space="preserve">Calendar year test period: </t>
  </si>
  <si>
    <t>mos in first year</t>
  </si>
  <si>
    <t>Second year</t>
  </si>
  <si>
    <t>C</t>
  </si>
  <si>
    <t>Date fully Depr</t>
  </si>
  <si>
    <t>mos in 2nd year</t>
  </si>
  <si>
    <t>D.</t>
  </si>
  <si>
    <t>Beg of Test Period</t>
  </si>
  <si>
    <t>E.</t>
  </si>
  <si>
    <t>Disposition Date</t>
  </si>
  <si>
    <t>Second Year</t>
  </si>
  <si>
    <t>GARBAGE - SHARED</t>
  </si>
  <si>
    <t>Date in</t>
  </si>
  <si>
    <t>Year</t>
  </si>
  <si>
    <t>Asset</t>
  </si>
  <si>
    <t>%</t>
  </si>
  <si>
    <t>Accumulated</t>
  </si>
  <si>
    <t>Branch</t>
  </si>
  <si>
    <t>Accum.</t>
  </si>
  <si>
    <t>Truck</t>
  </si>
  <si>
    <t xml:space="preserve">Service </t>
  </si>
  <si>
    <t>Value</t>
  </si>
  <si>
    <t>Method</t>
  </si>
  <si>
    <t xml:space="preserve">Life </t>
  </si>
  <si>
    <t xml:space="preserve">Fully </t>
  </si>
  <si>
    <t xml:space="preserve"> Mo.</t>
  </si>
  <si>
    <t xml:space="preserve">Monthly </t>
  </si>
  <si>
    <t>Depn</t>
  </si>
  <si>
    <t>Test yr.</t>
  </si>
  <si>
    <t>Allo.</t>
  </si>
  <si>
    <t>Test year</t>
  </si>
  <si>
    <t>Depr.</t>
  </si>
  <si>
    <t>B</t>
  </si>
  <si>
    <t>C.</t>
  </si>
  <si>
    <t>Dispositions must be in test period</t>
  </si>
  <si>
    <t>Trk #</t>
  </si>
  <si>
    <t>No</t>
  </si>
  <si>
    <t>Asset Classification</t>
  </si>
  <si>
    <t>Mo</t>
  </si>
  <si>
    <t>-</t>
  </si>
  <si>
    <t>M</t>
  </si>
  <si>
    <t>Years</t>
  </si>
  <si>
    <t>Depn.</t>
  </si>
  <si>
    <t>SP</t>
  </si>
  <si>
    <t>SL</t>
  </si>
  <si>
    <t>Del</t>
  </si>
  <si>
    <t>1/2 ton PU F-450 (U)</t>
  </si>
  <si>
    <t>Trailer</t>
  </si>
  <si>
    <t>Container</t>
  </si>
  <si>
    <t>LH 200 Self Dump Hopper</t>
  </si>
  <si>
    <t>SL-R</t>
  </si>
  <si>
    <t>Isusu NQR-6 yd Heil</t>
  </si>
  <si>
    <t>RL-R,C</t>
  </si>
  <si>
    <t>Peterbilt M330-20 yd Leach</t>
  </si>
  <si>
    <t>Isusu FRR-10 yd Heil</t>
  </si>
  <si>
    <t>Peterbilt M330-25 yd Heil</t>
  </si>
  <si>
    <t>Capital Repair</t>
  </si>
  <si>
    <t>RL</t>
  </si>
  <si>
    <t>2010 Trk w/Pckr (N)</t>
  </si>
  <si>
    <t xml:space="preserve">2-Men </t>
  </si>
  <si>
    <t>2 Cart Tippers (N)</t>
  </si>
  <si>
    <t>19 Drive Cams</t>
  </si>
  <si>
    <t>SL Retriver</t>
  </si>
  <si>
    <t>2012 Peterbilt w/10 Pckr (N)</t>
  </si>
  <si>
    <t>REL</t>
  </si>
  <si>
    <t>2011 Int'l  w/Pckr (U)</t>
  </si>
  <si>
    <t>In-fram, Engine Repair</t>
  </si>
  <si>
    <t>Peterbilt REL Truck (N)</t>
  </si>
  <si>
    <t>McNeilus REL Truck (N)</t>
  </si>
  <si>
    <t>2016 Peterbilt REL Truck (N)</t>
  </si>
  <si>
    <t>Truck Tablets</t>
  </si>
  <si>
    <t>TOTAL SHARED GARBAGE TRUCKS</t>
  </si>
  <si>
    <t>2008 Int'l w/McNeilus Pckr</t>
  </si>
  <si>
    <t>ROLL-OFF</t>
  </si>
  <si>
    <t xml:space="preserve">87LNT 8000   </t>
  </si>
  <si>
    <t xml:space="preserve">Leach 2R II Int'l </t>
  </si>
  <si>
    <t>Stock #7-928-1 Roll-off</t>
  </si>
  <si>
    <t>Pete Rolloff</t>
  </si>
  <si>
    <t>Engine (Jim's Pacific)</t>
  </si>
  <si>
    <t>Rathburn FM Radio</t>
  </si>
  <si>
    <t>Inframe Engine</t>
  </si>
  <si>
    <t>Winch Upgrade, Multiple Boxes (N)</t>
  </si>
  <si>
    <t>Trasmission Truck #7</t>
  </si>
  <si>
    <t>TOTAL ROLL-OFF</t>
  </si>
  <si>
    <t xml:space="preserve">RL </t>
  </si>
  <si>
    <t>Peterbilt w/Leach 25 yd Pcker (U)</t>
  </si>
  <si>
    <t>TOTAL RESI RECYCLING</t>
  </si>
  <si>
    <t>GMC Truck</t>
  </si>
  <si>
    <t>TOTAL MED WASTE</t>
  </si>
  <si>
    <t>TOTAL TRUCKS</t>
  </si>
  <si>
    <t>CONTAINERS:</t>
  </si>
  <si>
    <t>Containers 10</t>
  </si>
  <si>
    <t>Containers 4</t>
  </si>
  <si>
    <t>Containers 12</t>
  </si>
  <si>
    <t xml:space="preserve">Containers </t>
  </si>
  <si>
    <t>Containers 1</t>
  </si>
  <si>
    <t>Containers 8</t>
  </si>
  <si>
    <t>Containers 23</t>
  </si>
  <si>
    <t>Containers 2</t>
  </si>
  <si>
    <t>Containers 6</t>
  </si>
  <si>
    <t>Containers &amp; Lids</t>
  </si>
  <si>
    <t>Containers 13</t>
  </si>
  <si>
    <t>Containers 43</t>
  </si>
  <si>
    <t>Rolloff 1</t>
  </si>
  <si>
    <t xml:space="preserve">Lids </t>
  </si>
  <si>
    <t>Wheels &amp; Lids</t>
  </si>
  <si>
    <t>6 Yd. Containers 1</t>
  </si>
  <si>
    <t>Caution Labels</t>
  </si>
  <si>
    <t>Lids &amp; Wheels</t>
  </si>
  <si>
    <t>1-4 Yd. Container</t>
  </si>
  <si>
    <t>Lids</t>
  </si>
  <si>
    <t>4 Yd. Cont.</t>
  </si>
  <si>
    <t>1-2 Yd. Container</t>
  </si>
  <si>
    <t>8 Lids</t>
  </si>
  <si>
    <t>4-2Yd.</t>
  </si>
  <si>
    <t>6-1.5Yd.</t>
  </si>
  <si>
    <t>10-5 Yard Containers</t>
  </si>
  <si>
    <t>1 Yd. Container</t>
  </si>
  <si>
    <t>2-4 Yd. Containers</t>
  </si>
  <si>
    <t>Saftey Decals</t>
  </si>
  <si>
    <t>Containers</t>
  </si>
  <si>
    <t>Solid Waste System</t>
  </si>
  <si>
    <t>2 Yd Cont.,</t>
  </si>
  <si>
    <t>3 Yd Cont.</t>
  </si>
  <si>
    <t>Containers (Western Sys.)</t>
  </si>
  <si>
    <t>4-RL Containers</t>
  </si>
  <si>
    <t>2-1 Yd. WSF RL-1</t>
  </si>
  <si>
    <t>2-1.5 Yd.WSF RL-1/2</t>
  </si>
  <si>
    <t>2-1 Yd.WSF RL-1</t>
  </si>
  <si>
    <t>2-2 Yd. WSF RL-2</t>
  </si>
  <si>
    <t>3-RL Containers</t>
  </si>
  <si>
    <t>1-3 yd RS Container</t>
  </si>
  <si>
    <t xml:space="preserve">4-1.5 yd RL Container </t>
  </si>
  <si>
    <t>3-1 yd RL Container</t>
  </si>
  <si>
    <t>15-2 yd RL Container</t>
  </si>
  <si>
    <t>2-2 yd RL Container</t>
  </si>
  <si>
    <t>13-1.5 yd + 19-2 yd Cont (U)</t>
  </si>
  <si>
    <t>1-6 yd RL Container</t>
  </si>
  <si>
    <t>Misc-Lids, Caster, Caution Label</t>
  </si>
  <si>
    <t>2-3 yd RL Container</t>
  </si>
  <si>
    <t>10-1.5 Yd RL Containers</t>
  </si>
  <si>
    <t>4-3 Yd RL Tall Containers</t>
  </si>
  <si>
    <t>5-1 Yd RL Containers</t>
  </si>
  <si>
    <t>6-3 Yd RL Long Containers</t>
  </si>
  <si>
    <t>3-4 Yd RL Containers</t>
  </si>
  <si>
    <t>8-1 RL, 5-1.5 RL, 2-2 RL</t>
  </si>
  <si>
    <t>3 Yd RL Cont w/Lids (N)</t>
  </si>
  <si>
    <t>4 Yd RL Cont w/Lids (N)</t>
  </si>
  <si>
    <t>2 Yd RL Cont w/Lids (N)</t>
  </si>
  <si>
    <t>1 Yd RL Cont w/Lids (N)</t>
  </si>
  <si>
    <t>1.5 Yd RL Cont w/Lids (N)</t>
  </si>
  <si>
    <t>1 Yd RL Cont w/Lids (U)</t>
  </si>
  <si>
    <t>1.5 Yd RL Cont w/Lids (U)</t>
  </si>
  <si>
    <t>2 Yd RL Cont w/Lids (U)</t>
  </si>
  <si>
    <t>3 Yd RL Cont w/Lids (U)</t>
  </si>
  <si>
    <t>1.5 yd REL Metal Containers</t>
  </si>
  <si>
    <t>3 yd REL Metal Containers</t>
  </si>
  <si>
    <t>4 yd REL Metal Containers</t>
  </si>
  <si>
    <t>1 yd Metal REL Containers</t>
  </si>
  <si>
    <t>8 yd REL Metal Container</t>
  </si>
  <si>
    <t>6 yd REL Metal Containers</t>
  </si>
  <si>
    <t>TOTAL CONTAINER</t>
  </si>
  <si>
    <t>GARBAGE CARTS</t>
  </si>
  <si>
    <t>325-98 Gal, 350-65 Gal</t>
  </si>
  <si>
    <t>96-Gal Cart (Schaefer) Gr (N)</t>
  </si>
  <si>
    <t>65-Gal Cart (Schaefer) Gr (N)</t>
  </si>
  <si>
    <t>65-Gal Cart  (N)</t>
  </si>
  <si>
    <t>95-Gal Cart  (N)</t>
  </si>
  <si>
    <t>65-Gal Cart Gr (N)</t>
  </si>
  <si>
    <t>95-Gal Cart Gr (N)</t>
  </si>
  <si>
    <t>64-Gal Cart (N)</t>
  </si>
  <si>
    <t>96-Gal Cart (N)</t>
  </si>
  <si>
    <t>TOTAL CARTS</t>
  </si>
  <si>
    <t>1-25 Yd Rolloff</t>
  </si>
  <si>
    <t>Rollofff Frame</t>
  </si>
  <si>
    <t>1-20 yd drop box</t>
  </si>
  <si>
    <t>3-40 yd drop box</t>
  </si>
  <si>
    <t>Roll-off hooks, Casters, etc</t>
  </si>
  <si>
    <t>1-40 Yd Rolloff</t>
  </si>
  <si>
    <t>25 yrd drop box</t>
  </si>
  <si>
    <t>1-2 Way Dome Screen Lid 25yd</t>
  </si>
  <si>
    <t>40 yd drop box</t>
  </si>
  <si>
    <t>25 yrd drop box (N)</t>
  </si>
  <si>
    <t>TOTAL ROLL OFF</t>
  </si>
  <si>
    <t>Service Equipment:</t>
  </si>
  <si>
    <t xml:space="preserve">Chevy Lilverado PU M2500 HD </t>
  </si>
  <si>
    <t>SHOP EQUIPMENT:</t>
  </si>
  <si>
    <t>Ford Pickup F450</t>
  </si>
  <si>
    <t>Ford F450 Deisel Tr.</t>
  </si>
  <si>
    <t>Air Compressor</t>
  </si>
  <si>
    <t>Steam Washer</t>
  </si>
  <si>
    <t>Hyster Forklift - Small</t>
  </si>
  <si>
    <t>Exit Awareness Sings,Lockout</t>
  </si>
  <si>
    <t>Eyewash Station</t>
  </si>
  <si>
    <t>Storage Cabinet</t>
  </si>
  <si>
    <t>Fire Extinguisher Signs</t>
  </si>
  <si>
    <t>Farm Plan</t>
  </si>
  <si>
    <t xml:space="preserve">Plasma Cutter </t>
  </si>
  <si>
    <t>2001 Ford F-150 (U)</t>
  </si>
  <si>
    <t>Gas Welder for Serv Trk</t>
  </si>
  <si>
    <t>RTA Equipment</t>
  </si>
  <si>
    <t>Fleet Diognostic Soltw. Laptop</t>
  </si>
  <si>
    <t>99980, 102020, 102021</t>
  </si>
  <si>
    <t>CAT Diognostic Softw installed</t>
  </si>
  <si>
    <t>TOTAL SHOP EQUIPMENT</t>
  </si>
  <si>
    <t>OFFICE EQUIPMENT:</t>
  </si>
  <si>
    <t>RM License</t>
  </si>
  <si>
    <t>HP Notebook</t>
  </si>
  <si>
    <t xml:space="preserve">Marlin Board </t>
  </si>
  <si>
    <t>HP ProBook</t>
  </si>
  <si>
    <t>Sony Internet TV</t>
  </si>
  <si>
    <t>HP ProBook 6570b (N)</t>
  </si>
  <si>
    <t>HP ProBook 600 G1 (N)</t>
  </si>
  <si>
    <t>HP ProBook 640 G1 (N)</t>
  </si>
  <si>
    <t>(5) Winterms</t>
  </si>
  <si>
    <t>Grandstream Phone System</t>
  </si>
  <si>
    <t>TOTAL OFFICE</t>
  </si>
  <si>
    <t>LH IMPROVEMENTS</t>
  </si>
  <si>
    <t>LH and Improvements</t>
  </si>
  <si>
    <t>Sewer Repair</t>
  </si>
  <si>
    <t>Planning &amp; Permitting Washpad for Shop</t>
  </si>
  <si>
    <t>Washpad for Shop</t>
  </si>
  <si>
    <t>Gutters, Shop-Office</t>
  </si>
  <si>
    <t>High Effic Lighting, Shop-Office</t>
  </si>
  <si>
    <t>Coat Metal Roof</t>
  </si>
  <si>
    <t>Paint Office &amp; Shop</t>
  </si>
  <si>
    <t>Paving - 5,250 Sq. Ft.</t>
  </si>
  <si>
    <t>Paving and Catch Basin- Stormwater</t>
  </si>
  <si>
    <t>TOTAL Leasehold Improvements</t>
  </si>
  <si>
    <t>TOTAL ASSETS</t>
  </si>
  <si>
    <t>Med-Waste</t>
  </si>
  <si>
    <t>Unit Counts (U Cnts)</t>
  </si>
  <si>
    <t>Non-Reg Customer Counts from "Empire Price Out 2015-2016.xls," "Customer Count Summary tab."</t>
  </si>
  <si>
    <t>Unit Counts from "Empire Price Out 2015-2016.xls," "Unit Counts tab."</t>
  </si>
  <si>
    <t>Garbage Carts</t>
  </si>
  <si>
    <t>Recycling Carts</t>
  </si>
  <si>
    <t>U Cnts</t>
  </si>
  <si>
    <t>GARBAGE/RECYCLING CARTS</t>
  </si>
  <si>
    <t>Garbage/Recycling Carts</t>
  </si>
  <si>
    <t>TOTAL GARBAGE/RECYLING CARTS</t>
  </si>
  <si>
    <t>Garbage/Recyling Cart Alloc</t>
  </si>
  <si>
    <t>Cust Counts</t>
  </si>
  <si>
    <t>RS-6: Restate B&amp;O Taxes</t>
  </si>
  <si>
    <t>RS-8: Adjust depreciation to UTC methodology</t>
  </si>
  <si>
    <t>Per UTC</t>
  </si>
  <si>
    <t>Adjustment</t>
  </si>
  <si>
    <t>!??!</t>
  </si>
  <si>
    <t>OP/RATIO</t>
  </si>
  <si>
    <t xml:space="preserve">      curve</t>
  </si>
  <si>
    <t>FORMULAS</t>
  </si>
  <si>
    <t>1st Revenue</t>
  </si>
  <si>
    <t>1st Turnover</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</si>
  <si>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</si>
  <si>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</si>
  <si>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</si>
  <si>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</si>
  <si>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</si>
  <si>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</si>
  <si>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</si>
  <si>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</si>
  <si>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</si>
  <si>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</si>
  <si>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</si>
  <si>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</si>
  <si>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</si>
  <si>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</si>
  <si>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Increase</t>
  </si>
  <si>
    <t xml:space="preserve"> 2. Between 50 and 125</t>
  </si>
  <si>
    <t>@EXP(5.70827-(.68367*@LN(T)))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</si>
  <si>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</si>
  <si>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</si>
  <si>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</si>
  <si>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</si>
  <si>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</si>
  <si>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</si>
  <si>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</si>
  <si>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</si>
  <si>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</si>
  <si>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</si>
  <si>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</si>
  <si>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</si>
  <si>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</si>
  <si>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</si>
  <si>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</si>
  <si>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</si>
  <si>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3rd Turnover</t>
  </si>
  <si>
    <t xml:space="preserve">Actual Debt Ratio </t>
  </si>
  <si>
    <t xml:space="preserve"> Conversion factor data:</t>
  </si>
  <si>
    <t>Actual Equity Ratio</t>
  </si>
  <si>
    <t xml:space="preserve"> B &amp; O Tax</t>
  </si>
  <si>
    <t>Actual Cost of Debt</t>
  </si>
  <si>
    <t xml:space="preserve"> WUTC Fee</t>
  </si>
  <si>
    <t>Basis Pts</t>
  </si>
  <si>
    <t>Corp OH</t>
  </si>
  <si>
    <t>Tax Rate</t>
  </si>
  <si>
    <t xml:space="preserve"> Bad Debts</t>
  </si>
  <si>
    <t>4th Turnover</t>
  </si>
  <si>
    <t>Revenue Sensitive</t>
  </si>
  <si>
    <t>Conversion Factor</t>
  </si>
  <si>
    <t>yes</t>
  </si>
  <si>
    <t>5th Turnover</t>
  </si>
  <si>
    <t>Revenue Requrement</t>
  </si>
  <si>
    <t>Less Pass Through DF</t>
  </si>
  <si>
    <t>6th Turnover</t>
  </si>
  <si>
    <t>Actual Increase Percent</t>
  </si>
  <si>
    <t>7th turnover</t>
  </si>
  <si>
    <t>8th turnover</t>
  </si>
  <si>
    <t>9th turnover</t>
  </si>
  <si>
    <t>NEW IMPROVED LURITO - GALLAGHER FORMULA - Total Company-Empire Disposal</t>
  </si>
  <si>
    <t>Recycle Rt. Hrs</t>
  </si>
  <si>
    <t>% Exp</t>
  </si>
  <si>
    <t>RS-4: Remove Unallowable Expenses</t>
  </si>
  <si>
    <t>Remove</t>
  </si>
  <si>
    <t>46900</t>
  </si>
  <si>
    <t>FullAcct</t>
  </si>
  <si>
    <t>date_applied</t>
  </si>
  <si>
    <t>balance_usd</t>
  </si>
  <si>
    <t>balance_cad</t>
  </si>
  <si>
    <t>currencycode</t>
  </si>
  <si>
    <t>Journal</t>
  </si>
  <si>
    <t>pstd</t>
  </si>
  <si>
    <t>journal_description</t>
  </si>
  <si>
    <t>User</t>
  </si>
  <si>
    <t>TypeCode</t>
  </si>
  <si>
    <t>vendor_code</t>
  </si>
  <si>
    <t>OneTime</t>
  </si>
  <si>
    <t>Description</t>
  </si>
  <si>
    <t>date_doc</t>
  </si>
  <si>
    <t>doc_desc</t>
  </si>
  <si>
    <t>doc_ctrl_num</t>
  </si>
  <si>
    <t>po_ctrl_num</t>
  </si>
  <si>
    <t>vend_order_num</t>
  </si>
  <si>
    <t>ticket_num</t>
  </si>
  <si>
    <t>document_2</t>
  </si>
  <si>
    <t>document_1</t>
  </si>
  <si>
    <t>class_code</t>
  </si>
  <si>
    <t>date_entered</t>
  </si>
  <si>
    <t>date_posted</t>
  </si>
  <si>
    <t>amt_net</t>
  </si>
  <si>
    <t>date_due</t>
  </si>
  <si>
    <t>DBase</t>
  </si>
  <si>
    <t>reversing_flag</t>
  </si>
  <si>
    <t>hold_flag</t>
  </si>
  <si>
    <t>recurring_flag</t>
  </si>
  <si>
    <t>repeating_flag</t>
  </si>
  <si>
    <t>type_flag</t>
  </si>
  <si>
    <t>posted_flag</t>
  </si>
  <si>
    <t>seg1_code</t>
  </si>
  <si>
    <t>seg2_code</t>
  </si>
  <si>
    <t>seg3_code</t>
  </si>
  <si>
    <t>seg4_code</t>
  </si>
  <si>
    <t>staged_refCode</t>
  </si>
  <si>
    <t>Staged_DocRef</t>
  </si>
  <si>
    <t>Staged_YearMonth</t>
  </si>
  <si>
    <t>Staged_District</t>
  </si>
  <si>
    <t>Formulas</t>
  </si>
  <si>
    <t>Entries Shown Limit Setup:</t>
  </si>
  <si>
    <t>Other</t>
  </si>
  <si>
    <t>FromMonth:</t>
  </si>
  <si>
    <t>ToMonth:</t>
  </si>
  <si>
    <t>Current Month:</t>
  </si>
  <si>
    <t>Journal Entry Query Tool</t>
  </si>
  <si>
    <t>NOTE: Ctrl+Shift+J to pull data</t>
  </si>
  <si>
    <t>v.4.6</t>
  </si>
  <si>
    <t>Date Range:</t>
  </si>
  <si>
    <t>Other Criteria</t>
  </si>
  <si>
    <t>From:</t>
  </si>
  <si>
    <t>2015-06</t>
  </si>
  <si>
    <t>Districts:</t>
  </si>
  <si>
    <t>2120</t>
  </si>
  <si>
    <t>Vendor Code:</t>
  </si>
  <si>
    <t>To:</t>
  </si>
  <si>
    <t>2016-07</t>
  </si>
  <si>
    <t>Accts:</t>
  </si>
  <si>
    <t>70095</t>
  </si>
  <si>
    <t>Amount From:</t>
  </si>
  <si>
    <t>System:</t>
  </si>
  <si>
    <t>Amount To:</t>
  </si>
  <si>
    <t>Subsystem:</t>
  </si>
  <si>
    <t>Posting:</t>
  </si>
  <si>
    <t>All</t>
  </si>
  <si>
    <t>Total of Entries:</t>
  </si>
  <si>
    <t>*pstd: P = Posted, U = Unposted, S = Staged, C:0 = I/C Unposted, -1 = Hanging out there.</t>
  </si>
  <si>
    <t>Num of Entries Shown:</t>
  </si>
  <si>
    <t>*records limit:</t>
  </si>
  <si>
    <t>Not included in print range</t>
  </si>
  <si>
    <t>Full Account</t>
  </si>
  <si>
    <t>Date</t>
  </si>
  <si>
    <t>Amount USD</t>
  </si>
  <si>
    <t>Amount CAD</t>
  </si>
  <si>
    <t>Nat Currency</t>
  </si>
  <si>
    <t>Journal Control Num</t>
  </si>
  <si>
    <t>Psted*</t>
  </si>
  <si>
    <t>Journal Description</t>
  </si>
  <si>
    <t>R/Type</t>
  </si>
  <si>
    <t>Vendor Code</t>
  </si>
  <si>
    <t>One Time Vendor</t>
  </si>
  <si>
    <t>Further Description</t>
  </si>
  <si>
    <t>Date Doc</t>
  </si>
  <si>
    <t>Doc Desc</t>
  </si>
  <si>
    <t>Doc Ctrl Num</t>
  </si>
  <si>
    <t>Po Ctrl Num</t>
  </si>
  <si>
    <t>Vendor Order Num</t>
  </si>
  <si>
    <t>Ticket Num</t>
  </si>
  <si>
    <t>Document 2</t>
  </si>
  <si>
    <t>Document 1</t>
  </si>
  <si>
    <t>Class Code</t>
  </si>
  <si>
    <t>Date Entered</t>
  </si>
  <si>
    <t>Date Posted</t>
  </si>
  <si>
    <t>Amt Net</t>
  </si>
  <si>
    <t>Date Due</t>
  </si>
  <si>
    <t>Database</t>
  </si>
  <si>
    <t>Reversing Flag</t>
  </si>
  <si>
    <t>Hold Flag</t>
  </si>
  <si>
    <t>Recurring Flag</t>
  </si>
  <si>
    <t>Repeating Flag</t>
  </si>
  <si>
    <t>Type Flag</t>
  </si>
  <si>
    <t>Posted Flag</t>
  </si>
  <si>
    <t>Seg1</t>
  </si>
  <si>
    <t>Seg2</t>
  </si>
  <si>
    <t>Seg3</t>
  </si>
  <si>
    <t>Seg4</t>
  </si>
  <si>
    <t>Staged_RefCode</t>
  </si>
  <si>
    <t>Staged Year Month</t>
  </si>
  <si>
    <t>Staged District</t>
  </si>
  <si>
    <t>VO Number</t>
  </si>
  <si>
    <t>70095-2120-000-00</t>
  </si>
  <si>
    <t>USD</t>
  </si>
  <si>
    <t>JRNLWA00318853</t>
  </si>
  <si>
    <t>P</t>
  </si>
  <si>
    <t>Hallmark Inv 053115WAST</t>
  </si>
  <si>
    <t>HeatherWe</t>
  </si>
  <si>
    <t>0/JE IC</t>
  </si>
  <si>
    <t>Hallmark Inv 053115WAST -SERVICE CHARGE</t>
  </si>
  <si>
    <t>JRNL00763907</t>
  </si>
  <si>
    <t>wci_wa</t>
  </si>
  <si>
    <t>JRNLWA00320508</t>
  </si>
  <si>
    <t>Hallmark Inv 063015WAST</t>
  </si>
  <si>
    <t>AdamJo</t>
  </si>
  <si>
    <t>Hallmark Inv 063015WAST -SERVICE CHARGE</t>
  </si>
  <si>
    <t>JRNL00767370</t>
  </si>
  <si>
    <t>JRNLWA00320549</t>
  </si>
  <si>
    <t>From Voucher Posting.</t>
  </si>
  <si>
    <t>MaribelV</t>
  </si>
  <si>
    <t>2120ALAWHEAD</t>
  </si>
  <si>
    <t>AARON LAWHEAD</t>
  </si>
  <si>
    <t>VO03730436</t>
  </si>
  <si>
    <t>JRNL00767597</t>
  </si>
  <si>
    <t>JRNLWA00321064</t>
  </si>
  <si>
    <t>PCARD ACTIVITY WESTERN JULY</t>
  </si>
  <si>
    <t>WASHINGTON STATE RECYCLIN~LAWHEAD</t>
  </si>
  <si>
    <t>JRNL00769142</t>
  </si>
  <si>
    <t>JRNLWA00321244</t>
  </si>
  <si>
    <t>WESTERN PCARD ACCRUAL JULY</t>
  </si>
  <si>
    <t>SQ  KQQQ KHTR, ~ AARON</t>
  </si>
  <si>
    <t>JRNL00769465</t>
  </si>
  <si>
    <t>PALOUSE EMPIRE FAIR, ~ AARON</t>
  </si>
  <si>
    <t>JRNLWA00321733</t>
  </si>
  <si>
    <t>OPEX14- AP Accrual</t>
  </si>
  <si>
    <t>PO 00713 : PALOUSE EMPIRE FAIR : PCard</t>
  </si>
  <si>
    <t>JRNL00770157</t>
  </si>
  <si>
    <t>PO 00729 : PULLMAN RADIO STATIONS : PCar</t>
  </si>
  <si>
    <t>JRNLWA00321331</t>
  </si>
  <si>
    <t>07/01-07/30/2015</t>
  </si>
  <si>
    <t>VO03746203</t>
  </si>
  <si>
    <t>JRNL00769534</t>
  </si>
  <si>
    <t>JRNLWA00322133</t>
  </si>
  <si>
    <t>Hallmark Inv 073115WAST</t>
  </si>
  <si>
    <t>Hallmark Inv 073115WAST -SERVICE CHARGE</t>
  </si>
  <si>
    <t>JRNL00770779</t>
  </si>
  <si>
    <t>JRNLWA00321329</t>
  </si>
  <si>
    <t>JRNL00769468</t>
  </si>
  <si>
    <t>JRNLWA00321763</t>
  </si>
  <si>
    <t>JRNL00770187</t>
  </si>
  <si>
    <t>JRNLWA00323782</t>
  </si>
  <si>
    <t>Hallmark Inv 083115WAST</t>
  </si>
  <si>
    <t>Hallmark Inv 083115WAST -SERVICE CHARGE</t>
  </si>
  <si>
    <t>JRNL00774496</t>
  </si>
  <si>
    <t>JRNLWA00325517</t>
  </si>
  <si>
    <t>Hallmark Inv 093015WAST</t>
  </si>
  <si>
    <t>Hallmark Inv 093015WAST -SERVICE CHARGE</t>
  </si>
  <si>
    <t>JRNL00778160</t>
  </si>
  <si>
    <t>JRNLWA00327359</t>
  </si>
  <si>
    <t>PCARD ACTIVITY WESTERN NOVEMBE</t>
  </si>
  <si>
    <t>ROSAUERS SUPERMARKE~LAWHEAD</t>
  </si>
  <si>
    <t>JRNL00781910</t>
  </si>
  <si>
    <t>JRNLWA00327627</t>
  </si>
  <si>
    <t>OPEX13- Expense Report Accrual</t>
  </si>
  <si>
    <t>Meals - employee</t>
  </si>
  <si>
    <t>JRNL00782138</t>
  </si>
  <si>
    <t>JRNLWA00328300</t>
  </si>
  <si>
    <t>VO03831825</t>
  </si>
  <si>
    <t>JRNL00783128</t>
  </si>
  <si>
    <t>JRNLWA00328366</t>
  </si>
  <si>
    <t>Hallmark Inv 113015WAST</t>
  </si>
  <si>
    <t>Hallmark Inv 113015WAST -SERVICE CHARGE</t>
  </si>
  <si>
    <t>JRNL00783451</t>
  </si>
  <si>
    <t>JRNLWA00327679</t>
  </si>
  <si>
    <t>JRNL00782188</t>
  </si>
  <si>
    <t>JRNLWA00328945</t>
  </si>
  <si>
    <t>PCARD ACTIVITY WESTERN DECEMBE</t>
  </si>
  <si>
    <t>ROSAUERS #70~LAWHEAD</t>
  </si>
  <si>
    <t>JRNL00784926</t>
  </si>
  <si>
    <t>AMAZON MKTPLACE PMTS~LAWHEAD</t>
  </si>
  <si>
    <t>JRNLWA00329556</t>
  </si>
  <si>
    <t>TAX2-Accr Use Tax</t>
  </si>
  <si>
    <t>Accr Use Tax for Pcard Transactions</t>
  </si>
  <si>
    <t>JRNL00785849</t>
  </si>
  <si>
    <t>JRNLWA00330577</t>
  </si>
  <si>
    <t>PCARD ACTIVITY WESTERN JANUARY</t>
  </si>
  <si>
    <t>SQ  LUNCH BOX DELI~LAWHEAD</t>
  </si>
  <si>
    <t>JRNL00788167</t>
  </si>
  <si>
    <t>JRNLWA00331278</t>
  </si>
  <si>
    <t>OPEX14- AP and Exp Report Accr</t>
  </si>
  <si>
    <t>2120ALAWHEAD : Meals - employee</t>
  </si>
  <si>
    <t>JRNL00789278</t>
  </si>
  <si>
    <t>2120ALAWHEAD : Meals</t>
  </si>
  <si>
    <t>JRNLWA00331593</t>
  </si>
  <si>
    <t>VO03881604</t>
  </si>
  <si>
    <t>JRNL00789964</t>
  </si>
  <si>
    <t>JRNLWA00331292</t>
  </si>
  <si>
    <t>JRNL00789295</t>
  </si>
  <si>
    <t>JRNLWA00332213</t>
  </si>
  <si>
    <t>PCARD ACTIVITY WESTERN FEBRUAR</t>
  </si>
  <si>
    <t>WESTSIDE PIZZA - COLFA~LAWHEAD</t>
  </si>
  <si>
    <t>JRNL00791435</t>
  </si>
  <si>
    <t>JRNLWA00333200</t>
  </si>
  <si>
    <t>RosemaryS</t>
  </si>
  <si>
    <t>2120COLROT</t>
  </si>
  <si>
    <t>COLFAX ROTARY CLUB</t>
  </si>
  <si>
    <t>DUES 3/28/2016</t>
  </si>
  <si>
    <t>2016 advertising</t>
  </si>
  <si>
    <t>PO-2120-16-00336</t>
  </si>
  <si>
    <t>VO03910598</t>
  </si>
  <si>
    <t>JRNL00793597</t>
  </si>
  <si>
    <t>JRNLWA00333479</t>
  </si>
  <si>
    <t>VO03914486</t>
  </si>
  <si>
    <t>JRNL00794173</t>
  </si>
  <si>
    <t>JRNLWA00333546</t>
  </si>
  <si>
    <t>PCARD ACTIVITY WESTERN MARCH</t>
  </si>
  <si>
    <t>JRNL00794293</t>
  </si>
  <si>
    <t>JRNLWA00335100</t>
  </si>
  <si>
    <t>PCARD ACTIVITY WESTERN APRIL 2</t>
  </si>
  <si>
    <t>WESTSIDE PIZZA - COLFAX~LAWHEAD</t>
  </si>
  <si>
    <t>JRNL00797157</t>
  </si>
  <si>
    <t>JRNLWA00338211</t>
  </si>
  <si>
    <t>PCARD ACTIVITY WESTERN JUNE 20</t>
  </si>
  <si>
    <t>JRNL00802926</t>
  </si>
  <si>
    <t>End of List</t>
  </si>
  <si>
    <t>Row Labels</t>
  </si>
  <si>
    <t>Sum of Amount USD</t>
  </si>
  <si>
    <t>X</t>
  </si>
  <si>
    <t>Grand Total</t>
  </si>
  <si>
    <t>Sum of X = Unallowable</t>
  </si>
  <si>
    <t>70195</t>
  </si>
  <si>
    <t>70195-2120-000-00</t>
  </si>
  <si>
    <t>JRNLWA00318048</t>
  </si>
  <si>
    <t>25WRRA</t>
  </si>
  <si>
    <t>WASHINGTON REFUSE &amp; RECYCLING ASSOC</t>
  </si>
  <si>
    <t>WRRA - REGULAR DUES</t>
  </si>
  <si>
    <t>PO-2000-15-00215</t>
  </si>
  <si>
    <t>VO03702653</t>
  </si>
  <si>
    <t>JRNL00762591</t>
  </si>
  <si>
    <t>JRNLWA00318792</t>
  </si>
  <si>
    <t>May District 2000 PO Log Accru</t>
  </si>
  <si>
    <t>JRNL00763573</t>
  </si>
  <si>
    <t>JRNL00763650</t>
  </si>
  <si>
    <t>JRNLWA00319134</t>
  </si>
  <si>
    <t>Desert Micro Maintenance_June</t>
  </si>
  <si>
    <t>Desert Micro Maintenance_June 15</t>
  </si>
  <si>
    <t>JRNL00765046</t>
  </si>
  <si>
    <t>JRNLWA00320495</t>
  </si>
  <si>
    <t>WRRA MONTHLY INVOICE</t>
  </si>
  <si>
    <t>PO-2000-15-00264</t>
  </si>
  <si>
    <t>VO03728934</t>
  </si>
  <si>
    <t>JRNL00767324</t>
  </si>
  <si>
    <t>JRNLWA00320915</t>
  </si>
  <si>
    <t>Desert Micro Maintenance_July</t>
  </si>
  <si>
    <t>Desert Micro Maintenance_July 15</t>
  </si>
  <si>
    <t>JRNL00768878</t>
  </si>
  <si>
    <t>JRNLWA00321332</t>
  </si>
  <si>
    <t>WRRA - REGULAR DUES - AUGUST 2015</t>
  </si>
  <si>
    <t>PO-2000-15-00307</t>
  </si>
  <si>
    <t>VO03746278</t>
  </si>
  <si>
    <t>JRNL00769541</t>
  </si>
  <si>
    <t>JRNLWA00322414</t>
  </si>
  <si>
    <t>JRNL00771820</t>
  </si>
  <si>
    <t>JRNLWA00323238</t>
  </si>
  <si>
    <t>August District 2000 PO Log Ac</t>
  </si>
  <si>
    <t>WRRA - SEPTEMBER 2015 BILLING</t>
  </si>
  <si>
    <t>JRNL00773199</t>
  </si>
  <si>
    <t>JRNLWA00322942</t>
  </si>
  <si>
    <t>PO-2000-15-00343</t>
  </si>
  <si>
    <t>VO03767579</t>
  </si>
  <si>
    <t>JRNL00772631</t>
  </si>
  <si>
    <t>JRNLWA00323247</t>
  </si>
  <si>
    <t>JRNL00773209</t>
  </si>
  <si>
    <t>JRNLWA00324289</t>
  </si>
  <si>
    <t>PCARD ACTIVITY WESTERN SEPTEMB</t>
  </si>
  <si>
    <t>WASHINGTON STATE RECYCLIN~HERBST</t>
  </si>
  <si>
    <t>JRNL00775533</t>
  </si>
  <si>
    <t>JRNLWA00325291</t>
  </si>
  <si>
    <t>WRRA - REGULAR DUES OCTOBER 2015</t>
  </si>
  <si>
    <t>PO-2000-15-00376</t>
  </si>
  <si>
    <t>VO03793186</t>
  </si>
  <si>
    <t>JRNL00777138</t>
  </si>
  <si>
    <t>JRNLWA00326352</t>
  </si>
  <si>
    <t>PO-2000-15-00445</t>
  </si>
  <si>
    <t>VO03812020</t>
  </si>
  <si>
    <t>JRNL00779629</t>
  </si>
  <si>
    <t>JRNLWA00327641</t>
  </si>
  <si>
    <t>PO-2000-15-00493</t>
  </si>
  <si>
    <t>VO03831136</t>
  </si>
  <si>
    <t>JRNL00782175</t>
  </si>
  <si>
    <t>JRNLWA00328336</t>
  </si>
  <si>
    <t>2120COLCHAM</t>
  </si>
  <si>
    <t>COLFAX CHAMBER OF COMMERCE</t>
  </si>
  <si>
    <t>2016 membership dues inv#13415</t>
  </si>
  <si>
    <t>PO-2120-15-01207</t>
  </si>
  <si>
    <t>VO03835131</t>
  </si>
  <si>
    <t>JRNL00783282</t>
  </si>
  <si>
    <t>JRNLWA00328552</t>
  </si>
  <si>
    <t>2120WESTSTAT</t>
  </si>
  <si>
    <t>WESTERN STATES EQUIPMENT CO., INC.</t>
  </si>
  <si>
    <t>yearly subscription for our Cat soft wer</t>
  </si>
  <si>
    <t>PC000479835</t>
  </si>
  <si>
    <t>PO-2120-15-01281</t>
  </si>
  <si>
    <t>VO03845832</t>
  </si>
  <si>
    <t>JRNL00784068</t>
  </si>
  <si>
    <t>CUMMINS NW PDC~YOUNG</t>
  </si>
  <si>
    <t>JRNLWA00330041</t>
  </si>
  <si>
    <t>WRRA JANUARY 2016</t>
  </si>
  <si>
    <t>PO-2000-16-00008</t>
  </si>
  <si>
    <t>VO03859937</t>
  </si>
  <si>
    <t>JRNL00786692</t>
  </si>
  <si>
    <t>WHITMAN COUNTY GAZETTE~LAWHEAD</t>
  </si>
  <si>
    <t>JRNLWA00331086</t>
  </si>
  <si>
    <t>PO Log and Expense Report Accr</t>
  </si>
  <si>
    <t>25WRRA : WRRA - REGULAR MONTHLY DUES 201</t>
  </si>
  <si>
    <t>JRNL00789056</t>
  </si>
  <si>
    <t>JRNLWA00331464</t>
  </si>
  <si>
    <t>Reverse PO Log and Expense Rep</t>
  </si>
  <si>
    <t>JRNL00789463</t>
  </si>
  <si>
    <t>JRNLWA00331465</t>
  </si>
  <si>
    <t>JRNL00789464</t>
  </si>
  <si>
    <t>JRNLWA00331476</t>
  </si>
  <si>
    <t>REVERSE 25WRRA : WRRA - REGULAR MONTHLY</t>
  </si>
  <si>
    <t>JRNL00789477</t>
  </si>
  <si>
    <t>JRNLWA00331128</t>
  </si>
  <si>
    <t>WRRA - REGULAR MONTHLY DUES 2016-02</t>
  </si>
  <si>
    <t>PO-2000-16-00041</t>
  </si>
  <si>
    <t>VO03875666</t>
  </si>
  <si>
    <t>JRNL00789110</t>
  </si>
  <si>
    <t>JRNLWA00331156</t>
  </si>
  <si>
    <t>JRNL00789153</t>
  </si>
  <si>
    <t>JRNLWA00331479</t>
  </si>
  <si>
    <t>JRNL00789470</t>
  </si>
  <si>
    <t>JRNLWA00331480</t>
  </si>
  <si>
    <t>JRNL00789471</t>
  </si>
  <si>
    <t>JRNLWA00331491</t>
  </si>
  <si>
    <t>JRNL00789482</t>
  </si>
  <si>
    <t>JRNLWA00331787</t>
  </si>
  <si>
    <t>212AWB</t>
  </si>
  <si>
    <t>ASSOCIATION OF WASHINGTON BUSINESS</t>
  </si>
  <si>
    <t>ASSOCIATION OF WASHINGTON BUSNIESS</t>
  </si>
  <si>
    <t>PO-2000-16-00068</t>
  </si>
  <si>
    <t>VO03891713</t>
  </si>
  <si>
    <t>JRNL00790905</t>
  </si>
  <si>
    <t>JRNLWA00332806</t>
  </si>
  <si>
    <t>WRRA REGULAR DUES MARCH 2016</t>
  </si>
  <si>
    <t>PO-2000-16-00075</t>
  </si>
  <si>
    <t>VO03895389</t>
  </si>
  <si>
    <t>JRNL00792392</t>
  </si>
  <si>
    <t>AWB DUES - SUSTAINING 3.01.16 - 2.28.17</t>
  </si>
  <si>
    <t>PO-2000-16-00076</t>
  </si>
  <si>
    <t>VO03895390</t>
  </si>
  <si>
    <t>WASHINGTON STATE RECYCLIN~BROOKES</t>
  </si>
  <si>
    <t>JRNLWA00334224</t>
  </si>
  <si>
    <t>MISC9-PL Reclasses</t>
  </si>
  <si>
    <t>Rcls Fleetcharge</t>
  </si>
  <si>
    <t>JRNL00795289</t>
  </si>
  <si>
    <t>JRNLWA00334618</t>
  </si>
  <si>
    <t>WRRA - REGULAR DUES FOR 2016-04</t>
  </si>
  <si>
    <t>PO-2000-16-00130</t>
  </si>
  <si>
    <t>VO03922746</t>
  </si>
  <si>
    <t>JRNL00795930</t>
  </si>
  <si>
    <t>JRNLWA00335681</t>
  </si>
  <si>
    <t>PO-2000-16-00159</t>
  </si>
  <si>
    <t>VO03935382</t>
  </si>
  <si>
    <t>JRNL00797972</t>
  </si>
  <si>
    <t>JRNLWA00337553</t>
  </si>
  <si>
    <t>JeffS</t>
  </si>
  <si>
    <t>WRRA REGULAR DUES</t>
  </si>
  <si>
    <t>PO-2000-16-00208</t>
  </si>
  <si>
    <t>VO03959040</t>
  </si>
  <si>
    <t>JRNL00801146</t>
  </si>
  <si>
    <t>JRNLWA00338765</t>
  </si>
  <si>
    <t>DocuSign Subscription</t>
  </si>
  <si>
    <t>DocuSign: 6/30/16-6/29/17</t>
  </si>
  <si>
    <t>JRNL00804069</t>
  </si>
  <si>
    <t>JRNLWA00339227</t>
  </si>
  <si>
    <t>July WRRA Invoice</t>
  </si>
  <si>
    <t>PO-2000-16-00267</t>
  </si>
  <si>
    <t>VO03988345</t>
  </si>
  <si>
    <t>JRNL00805088</t>
  </si>
  <si>
    <t>Regulated Revenue</t>
  </si>
  <si>
    <t>RS-7: Adjust WUTC Fees to actual</t>
  </si>
  <si>
    <t>Test Period Fees</t>
  </si>
  <si>
    <t>PER IS</t>
  </si>
  <si>
    <t>46800</t>
  </si>
  <si>
    <t>Whitman County Transfer Station Disposal Data</t>
  </si>
  <si>
    <t>Source: Disposal invoices, cannot be linked.</t>
  </si>
  <si>
    <t>Transfer Station</t>
  </si>
  <si>
    <t>Roll Off</t>
  </si>
  <si>
    <t>MSW</t>
  </si>
  <si>
    <t>Tons</t>
  </si>
  <si>
    <t>$</t>
  </si>
  <si>
    <t>City of Spokane Transfer Stations Disposal Data</t>
  </si>
  <si>
    <t>Gate Rate 2015</t>
  </si>
  <si>
    <t>$102.39/Ton</t>
  </si>
  <si>
    <t>Gate Rate</t>
  </si>
  <si>
    <t>$101/Ton</t>
  </si>
  <si>
    <t>Gate Rate 2016</t>
  </si>
  <si>
    <t>$105.36/Ton</t>
  </si>
  <si>
    <t>Incinerator</t>
  </si>
  <si>
    <t>Per GL</t>
  </si>
  <si>
    <t>Less Med Waste</t>
  </si>
  <si>
    <t>2015-07</t>
  </si>
  <si>
    <t>2016-06</t>
  </si>
  <si>
    <t>40131</t>
  </si>
  <si>
    <t>40131-2120-000-00</t>
  </si>
  <si>
    <t>JRNLWA00320666</t>
  </si>
  <si>
    <t>2120SPOCOUNT</t>
  </si>
  <si>
    <t>SPOKANE COUNTY UTILITIES</t>
  </si>
  <si>
    <t>SPOKANE TRANSFER STATION ACCT#4005</t>
  </si>
  <si>
    <t>4005-31840</t>
  </si>
  <si>
    <t>PO-2120-15-00040</t>
  </si>
  <si>
    <t>VO03737575</t>
  </si>
  <si>
    <t>JRNL00768065</t>
  </si>
  <si>
    <t>JRNLWA00320338</t>
  </si>
  <si>
    <t>OPEX14- PO Log Accrual</t>
  </si>
  <si>
    <t>JessH</t>
  </si>
  <si>
    <t>PO 00029 : STERICYCLE : PCard</t>
  </si>
  <si>
    <t>JRNL00766739</t>
  </si>
  <si>
    <t>JRNL00766991</t>
  </si>
  <si>
    <t>PO 00040 : SPOKANE COUNTY UTILITIES : CH</t>
  </si>
  <si>
    <t>STERICYCLE~LAWHEAD</t>
  </si>
  <si>
    <t>JRNLWA00322217</t>
  </si>
  <si>
    <t>20150806-4005</t>
  </si>
  <si>
    <t>VO03757771</t>
  </si>
  <si>
    <t>JRNL00771154</t>
  </si>
  <si>
    <t>JRNLWA00322728</t>
  </si>
  <si>
    <t>PCARD ACTIVITY WESTERN AUGUST</t>
  </si>
  <si>
    <t>JRNL00772244</t>
  </si>
  <si>
    <t>JRNLWA00322917</t>
  </si>
  <si>
    <t>WESTERN PCARD ACCRUAL AUG</t>
  </si>
  <si>
    <t>STERICYCLE, ~ AARON</t>
  </si>
  <si>
    <t>JRNL00772596</t>
  </si>
  <si>
    <t>JRNLWA00323299</t>
  </si>
  <si>
    <t>JRNL00773289</t>
  </si>
  <si>
    <t>JRNLWA00323717</t>
  </si>
  <si>
    <t>20150903-4005</t>
  </si>
  <si>
    <t>VO03777222</t>
  </si>
  <si>
    <t>JRNL00774243</t>
  </si>
  <si>
    <t>JRNLWA00323012</t>
  </si>
  <si>
    <t>JRNL00772710</t>
  </si>
  <si>
    <t>JRNLWA00323315</t>
  </si>
  <si>
    <t>JRNL00773308</t>
  </si>
  <si>
    <t>JRNLWA00324857</t>
  </si>
  <si>
    <t>OPEX 14- AP Accrual</t>
  </si>
  <si>
    <t>JRNL00776456</t>
  </si>
  <si>
    <t>JRNLWA00325573</t>
  </si>
  <si>
    <t>20151008-4005</t>
  </si>
  <si>
    <t>VO03807416</t>
  </si>
  <si>
    <t>JRNL00778369</t>
  </si>
  <si>
    <t>JRNLWA00324877</t>
  </si>
  <si>
    <t>JRNL00776484</t>
  </si>
  <si>
    <t>JRNLWA00325715</t>
  </si>
  <si>
    <t>PCARD ACTIVITY WESTERN OCTOBER</t>
  </si>
  <si>
    <t>JRNL00778665</t>
  </si>
  <si>
    <t>JRNLWA00326506</t>
  </si>
  <si>
    <t>JRNL00779848</t>
  </si>
  <si>
    <t>JRNLWA00326889</t>
  </si>
  <si>
    <t>20151104-4005</t>
  </si>
  <si>
    <t>VO03818135</t>
  </si>
  <si>
    <t>JRNL00780518</t>
  </si>
  <si>
    <t>JRNLWA00326525</t>
  </si>
  <si>
    <t>JRNL00779919</t>
  </si>
  <si>
    <t>JRNLWA00328123</t>
  </si>
  <si>
    <t>JRNL00782861</t>
  </si>
  <si>
    <t>JRNLWA00328542</t>
  </si>
  <si>
    <t>20151209-4005-32</t>
  </si>
  <si>
    <t>VO03845289</t>
  </si>
  <si>
    <t>JRNL00784046</t>
  </si>
  <si>
    <t>JRNLWA00328233</t>
  </si>
  <si>
    <t>JRNL00782953</t>
  </si>
  <si>
    <t>JRNLWA00329675</t>
  </si>
  <si>
    <t>OPEX14-AP and Exp Report Accru</t>
  </si>
  <si>
    <t>PCARD : PO 00029 : STERICYCLE : PCard</t>
  </si>
  <si>
    <t>JRNL00785979</t>
  </si>
  <si>
    <t>2120SPOCOUNT : PO 00040 : SPOKANE COUNTY</t>
  </si>
  <si>
    <t>JRNLWA00330125</t>
  </si>
  <si>
    <t>20160106-4005</t>
  </si>
  <si>
    <t>VO03864597</t>
  </si>
  <si>
    <t>JRNL00787121</t>
  </si>
  <si>
    <t>JRNLWA00329712</t>
  </si>
  <si>
    <t>JRNL00786010</t>
  </si>
  <si>
    <t>2120SPOCOUNT : PO 01318 : SPOKANE COUNTY</t>
  </si>
  <si>
    <t>PCARD : PO 01319 : STERICYCLE : PCard</t>
  </si>
  <si>
    <t>JRNLWA00331571</t>
  </si>
  <si>
    <t>20160205-4005</t>
  </si>
  <si>
    <t>PO-2120-15-01318</t>
  </si>
  <si>
    <t>VO03880155</t>
  </si>
  <si>
    <t>JRNL00789830</t>
  </si>
  <si>
    <t>JRNLWA00332608</t>
  </si>
  <si>
    <t>JRNL00792200</t>
  </si>
  <si>
    <t>JRNLWA00332981</t>
  </si>
  <si>
    <t>20160304-4005</t>
  </si>
  <si>
    <t>VO03899627</t>
  </si>
  <si>
    <t>JRNL00792721</t>
  </si>
  <si>
    <t>JRNLWA00332630</t>
  </si>
  <si>
    <t>JRNL00792213</t>
  </si>
  <si>
    <t>JRNLWA00334223</t>
  </si>
  <si>
    <t>JRNL00795288</t>
  </si>
  <si>
    <t>JRNLWA00334597</t>
  </si>
  <si>
    <t>20160406-4005</t>
  </si>
  <si>
    <t>VO03920993</t>
  </si>
  <si>
    <t>JRNL00795876</t>
  </si>
  <si>
    <t>JRNLWA00334268</t>
  </si>
  <si>
    <t>JRNL00795317</t>
  </si>
  <si>
    <t>JRNLWA00335864</t>
  </si>
  <si>
    <t>JRNL00798125</t>
  </si>
  <si>
    <t>JRNLWA00336088</t>
  </si>
  <si>
    <t>20160505-4005-33</t>
  </si>
  <si>
    <t>VO03940989</t>
  </si>
  <si>
    <t>JRNL00798556</t>
  </si>
  <si>
    <t>JRNLWA00335961</t>
  </si>
  <si>
    <t>JRNL00798200</t>
  </si>
  <si>
    <t>JRNLWA00336721</t>
  </si>
  <si>
    <t>PCARD ACTIVITY WESTERN MAY 201</t>
  </si>
  <si>
    <t>JRNL00799815</t>
  </si>
  <si>
    <t>JRNLWA00337189</t>
  </si>
  <si>
    <t>JRNL00800573</t>
  </si>
  <si>
    <t>JRNLWA00337666</t>
  </si>
  <si>
    <t>20160607-4005-33</t>
  </si>
  <si>
    <t>VO03965934</t>
  </si>
  <si>
    <t>JRNL00801575</t>
  </si>
  <si>
    <t>JRNLWA00337359</t>
  </si>
  <si>
    <t>JRNL00800629</t>
  </si>
  <si>
    <t>JRNLWA00338967</t>
  </si>
  <si>
    <t>JRNL00804236</t>
  </si>
  <si>
    <t>Medwaste</t>
  </si>
  <si>
    <t>(A)</t>
  </si>
  <si>
    <t>Dump Fee Allocation</t>
  </si>
  <si>
    <t>Lbs</t>
  </si>
  <si>
    <t>From "Empire Disposal Allocation 6-30-2016.xls"</t>
  </si>
  <si>
    <t>Per GL 40131</t>
  </si>
  <si>
    <t>Per GL 40121</t>
  </si>
  <si>
    <t>Per GL 40101</t>
  </si>
  <si>
    <t>40101 - Whitman</t>
  </si>
  <si>
    <t>40121 - Incinerator</t>
  </si>
  <si>
    <t xml:space="preserve">40131 - Spokane </t>
  </si>
  <si>
    <t>B&amp;O Tax Rate</t>
  </si>
  <si>
    <t>Recycling Procceds</t>
  </si>
  <si>
    <t>Wholesaling Rate</t>
  </si>
  <si>
    <t>Total Expense</t>
  </si>
  <si>
    <t>Region OH Calculation</t>
  </si>
  <si>
    <t>Jul-Dec 2015 %</t>
  </si>
  <si>
    <t>2015</t>
  </si>
  <si>
    <t>2016</t>
  </si>
  <si>
    <t>Jan-Jun 2016 %</t>
  </si>
  <si>
    <t>Customer Count</t>
  </si>
  <si>
    <t>Allocation Percentage</t>
  </si>
  <si>
    <t>2015 Customer Count</t>
  </si>
  <si>
    <t>REGION G&amp;A STATEMENT</t>
  </si>
  <si>
    <t xml:space="preserve">Empire Disposal </t>
  </si>
  <si>
    <t>Adjust Out</t>
  </si>
  <si>
    <t>Adjusted Region</t>
  </si>
  <si>
    <t>Allocation</t>
  </si>
  <si>
    <t>Unallowable</t>
  </si>
  <si>
    <t>OH Allocation</t>
  </si>
  <si>
    <t>Gifts to Customers</t>
  </si>
  <si>
    <t>Meals with Customers</t>
  </si>
  <si>
    <t>Miscellaneous</t>
  </si>
  <si>
    <t>(A)  Immaterial variance</t>
  </si>
  <si>
    <t>Per Calc</t>
  </si>
  <si>
    <t>Adjust</t>
  </si>
  <si>
    <t>Empire 2120</t>
  </si>
  <si>
    <t>Payroll Schedule</t>
  </si>
  <si>
    <t>Raise Date</t>
  </si>
  <si>
    <t># of Restatment Days</t>
  </si>
  <si>
    <t>REGULAR</t>
  </si>
  <si>
    <t>OVERTIME</t>
  </si>
  <si>
    <t>VACATION/PTO</t>
  </si>
  <si>
    <t>HOLIDAY</t>
  </si>
  <si>
    <t>OTHER</t>
  </si>
  <si>
    <t>BONUS</t>
  </si>
  <si>
    <t>District #</t>
  </si>
  <si>
    <t>EE #</t>
  </si>
  <si>
    <t>Name</t>
  </si>
  <si>
    <t>Job</t>
  </si>
  <si>
    <t>Hours</t>
  </si>
  <si>
    <t>Pay</t>
  </si>
  <si>
    <t>Total Pay per Payroll Register</t>
  </si>
  <si>
    <t>Total Hours</t>
  </si>
  <si>
    <t>Total Non-Wrk Hrs</t>
  </si>
  <si>
    <t>Total Route Hrs</t>
  </si>
  <si>
    <t>Wage Base</t>
  </si>
  <si>
    <t>Raise %</t>
  </si>
  <si>
    <t>Restatement</t>
  </si>
  <si>
    <t>Proforma</t>
  </si>
  <si>
    <t>Drivers (50020)</t>
  </si>
  <si>
    <t>VANTINE, JOHN</t>
  </si>
  <si>
    <t>Resi/Comm</t>
  </si>
  <si>
    <t>MANNER, MELROY</t>
  </si>
  <si>
    <t>REUM, CHIPP</t>
  </si>
  <si>
    <t>WELCH, DANIEL</t>
  </si>
  <si>
    <t>HALL, JOHN</t>
  </si>
  <si>
    <t>SCOTT, TROY</t>
  </si>
  <si>
    <t>HIMES, BRIAN</t>
  </si>
  <si>
    <t>BAILEY, DWAYNE</t>
  </si>
  <si>
    <t>HOEKSTRA, MARC</t>
  </si>
  <si>
    <t>TOTAL PACKER</t>
  </si>
  <si>
    <t>JOHNSON, BRIAN</t>
  </si>
  <si>
    <t>Roll-Off/Lead Driver</t>
  </si>
  <si>
    <t>ROGERS, CHRIS</t>
  </si>
  <si>
    <t>Roll-Off/Relief Driver</t>
  </si>
  <si>
    <t>TOTAL ROLLOFF</t>
  </si>
  <si>
    <t>TOTAL DRIVERS</t>
  </si>
  <si>
    <t>Mechanics Hourly/Salary (52010/52020)</t>
  </si>
  <si>
    <t>YOUNG, DANIEL</t>
  </si>
  <si>
    <t>Maintenance Manager</t>
  </si>
  <si>
    <t>NILES, CHRISTOPHER</t>
  </si>
  <si>
    <t>Mechanic/Relief Driver</t>
  </si>
  <si>
    <t>TOTAL MECHANICS</t>
  </si>
  <si>
    <t>G&amp;A (Salary 70010 - Hourly 70020 )</t>
  </si>
  <si>
    <t>CARR, KATHLEEN</t>
  </si>
  <si>
    <t>Lead Office Admin</t>
  </si>
  <si>
    <t>BRETVELD, JAMIE</t>
  </si>
  <si>
    <t>Customer Svc Rep</t>
  </si>
  <si>
    <t>TOTAL G&amp;A</t>
  </si>
  <si>
    <t>Supervisor -  Salaried/Hourly 56010/56020</t>
  </si>
  <si>
    <t>LAWHEAD, AARON</t>
  </si>
  <si>
    <t>Site Manager</t>
  </si>
  <si>
    <t>TOTAL SUPERVISOR</t>
  </si>
  <si>
    <t>GRAND TOTALS</t>
  </si>
  <si>
    <t>Reconciliation of Payroll Register to General Ledger</t>
  </si>
  <si>
    <t>DRIVER WAGES PER PR REGISTER</t>
  </si>
  <si>
    <t>Accruals</t>
  </si>
  <si>
    <t xml:space="preserve">   (See Driver GL Detail tab for Details)</t>
  </si>
  <si>
    <t>GL</t>
  </si>
  <si>
    <t>MECHANICS -  HOURLY &amp; SALARY PER PR REGISTER</t>
  </si>
  <si>
    <t xml:space="preserve">   (See Detailed Schedule)</t>
  </si>
  <si>
    <t>CONTAINER</t>
  </si>
  <si>
    <t>55020 Prior Accrual</t>
  </si>
  <si>
    <t>55020 Current Accrual</t>
  </si>
  <si>
    <t>55025 Prior Accrual</t>
  </si>
  <si>
    <t>55025 Current Accrual</t>
  </si>
  <si>
    <t>55035 Accrual Adjustment</t>
  </si>
  <si>
    <t>55065 Prior Accrual</t>
  </si>
  <si>
    <t>55065 Current Accrual</t>
  </si>
  <si>
    <t>52070 Prior Accrual</t>
  </si>
  <si>
    <t>Unreconciled Difference</t>
  </si>
  <si>
    <t xml:space="preserve"> Qtr Total</t>
  </si>
  <si>
    <t>SUPERVISOR - SALARY &amp; HOURLY WAGES PER PR REGISTER</t>
  </si>
  <si>
    <t>Accruals, Division Payroll Alloc, Mgmt Bonus, Etc</t>
  </si>
  <si>
    <t xml:space="preserve">   (See Supervisor GL Detail tab for Details)</t>
  </si>
  <si>
    <t>G&amp;A - SALARY &amp; HOURLY WAGES PER PR REGISTER</t>
  </si>
  <si>
    <t>Accruals, Division Payroll Alloc., Region OH Alloc., Etc</t>
  </si>
  <si>
    <t xml:space="preserve">   (See G&amp;A GL Detail tab for Details)</t>
  </si>
  <si>
    <t>Tooty Bonuses</t>
  </si>
  <si>
    <t>Data from Payroll Register</t>
  </si>
  <si>
    <t>RS-5: Restate in 11/1/2015 raises so 12 months of the current wages are reflected in the rates</t>
  </si>
  <si>
    <t>Drivers</t>
  </si>
  <si>
    <t>Mechanics</t>
  </si>
  <si>
    <t>Supervisors</t>
  </si>
  <si>
    <t>Wages</t>
  </si>
  <si>
    <t>Pro forma Adjustments</t>
  </si>
  <si>
    <t>P-1 Pro forma 11/1/2016 raises into test period</t>
  </si>
  <si>
    <t>P-1</t>
  </si>
  <si>
    <t>P-2 - Pro forma customer notification expense into test period</t>
  </si>
  <si>
    <t>Packer</t>
  </si>
  <si>
    <t>Recycle</t>
  </si>
  <si>
    <t>Expense</t>
  </si>
  <si>
    <t>Amortize over 36 Months</t>
  </si>
  <si>
    <t>P-2</t>
  </si>
  <si>
    <t>Packer/RO</t>
  </si>
  <si>
    <t>Reg LOB Allocator</t>
  </si>
  <si>
    <t>Depreciation Expense Reg/Non-Reg</t>
  </si>
  <si>
    <t>Average Investment Reg/Non-Reg</t>
  </si>
  <si>
    <t>Depreciation Expense - Reg LOB</t>
  </si>
  <si>
    <t>Average Investment - Reg LOB</t>
  </si>
  <si>
    <t>In Districts:</t>
  </si>
  <si>
    <t>Company:</t>
  </si>
  <si>
    <t>Types:</t>
  </si>
  <si>
    <t>Balance Sheet Summary</t>
  </si>
  <si>
    <t>Assets</t>
  </si>
  <si>
    <t>Current assets:</t>
  </si>
  <si>
    <t>BS Cash</t>
  </si>
  <si>
    <t>Cash and equivalents</t>
  </si>
  <si>
    <t>BS AR</t>
  </si>
  <si>
    <t>Accounts receivable</t>
  </si>
  <si>
    <t>BS Current Def Asset</t>
  </si>
  <si>
    <t>Current deferred tax assets</t>
  </si>
  <si>
    <t>BS Inventory</t>
  </si>
  <si>
    <t>Inventory</t>
  </si>
  <si>
    <t>BS Prepaid</t>
  </si>
  <si>
    <t>Prepaid expenses</t>
  </si>
  <si>
    <t>Total current assets</t>
  </si>
  <si>
    <t>BS Fixed Asset</t>
  </si>
  <si>
    <t>Property and equipment</t>
  </si>
  <si>
    <t>BS Goodwill</t>
  </si>
  <si>
    <t>Goodwill</t>
  </si>
  <si>
    <t>BS Intangible</t>
  </si>
  <si>
    <t>Intangible assets</t>
  </si>
  <si>
    <t>BS Restricted</t>
  </si>
  <si>
    <t>Restricted assets</t>
  </si>
  <si>
    <t>BS Notes,BS Other Assets,BS Deposits,BS LOC Loan Fees</t>
  </si>
  <si>
    <t>Other assets</t>
  </si>
  <si>
    <t>BS Intercompany</t>
  </si>
  <si>
    <t>Intercompany</t>
  </si>
  <si>
    <t>Liabilities and Equity</t>
  </si>
  <si>
    <t>Current liabilities:</t>
  </si>
  <si>
    <t>BS AP</t>
  </si>
  <si>
    <t>Accounts payable</t>
  </si>
  <si>
    <t>BS Overdraft</t>
  </si>
  <si>
    <t>Book overdraft</t>
  </si>
  <si>
    <t>BS Accrued Liabilities</t>
  </si>
  <si>
    <t>Accrued liabilities</t>
  </si>
  <si>
    <t>BS ST Contingent Considerations</t>
  </si>
  <si>
    <t>ST Contingent Considerations</t>
  </si>
  <si>
    <t>BS Unearned Revenue</t>
  </si>
  <si>
    <t>Deferred revenue</t>
  </si>
  <si>
    <t>BS Current LTD</t>
  </si>
  <si>
    <t>Current portion of long-term debt</t>
  </si>
  <si>
    <t>Total current liabilities</t>
  </si>
  <si>
    <t>BS LTD,BS NP,BS Loan Fees</t>
  </si>
  <si>
    <t>Long-term debt</t>
  </si>
  <si>
    <t>BS LT Contingent Considerations</t>
  </si>
  <si>
    <t>LT Contingent Considerations</t>
  </si>
  <si>
    <t>BS Deferred Taxes</t>
  </si>
  <si>
    <t>Deferred income taxes</t>
  </si>
  <si>
    <t>BS Other LTD</t>
  </si>
  <si>
    <t>Other long-term liabilities</t>
  </si>
  <si>
    <t>Total liabilities</t>
  </si>
  <si>
    <t>Equity:</t>
  </si>
  <si>
    <t>BS Common Stock</t>
  </si>
  <si>
    <t>Common stock</t>
  </si>
  <si>
    <t>BS APIC</t>
  </si>
  <si>
    <t>Additional paid-in capital</t>
  </si>
  <si>
    <t>BS Deferred Comp</t>
  </si>
  <si>
    <t>Deferred stock compensation</t>
  </si>
  <si>
    <t>BS Treasury</t>
  </si>
  <si>
    <t>Treasury stock</t>
  </si>
  <si>
    <t>BS Other Equity</t>
  </si>
  <si>
    <t>Other equity</t>
  </si>
  <si>
    <t>BS RE</t>
  </si>
  <si>
    <t>Retained earnings</t>
  </si>
  <si>
    <t>BS Unrealized Swap Value</t>
  </si>
  <si>
    <t>Accumulated other comprehensive income</t>
  </si>
  <si>
    <t>Total Waste Connections' equity</t>
  </si>
  <si>
    <t>BS Noncontrolling</t>
  </si>
  <si>
    <t>Noncontrolling interests</t>
  </si>
  <si>
    <t>Total equity</t>
  </si>
  <si>
    <t xml:space="preserve">              Debt to Equity Ratio</t>
  </si>
  <si>
    <t>Debt</t>
  </si>
  <si>
    <t>Equity</t>
  </si>
  <si>
    <t>Total Debt &amp; Equity</t>
  </si>
  <si>
    <t xml:space="preserve">          Interest as a % of Debt</t>
  </si>
  <si>
    <t>Interest Expense</t>
  </si>
  <si>
    <t>Interest as a % of Debt</t>
  </si>
  <si>
    <t>District:</t>
  </si>
  <si>
    <t>Period 1</t>
  </si>
  <si>
    <t>Period 2</t>
  </si>
  <si>
    <t>Closed Year Balance Sheet Period:</t>
  </si>
  <si>
    <t>Current Year Balance Sheet Period:</t>
  </si>
  <si>
    <t>IS SECELIM Revenue</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</si>
  <si>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</si>
  <si>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</si>
  <si>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</si>
  <si>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</si>
  <si>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</si>
  <si>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</si>
  <si>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</si>
  <si>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</si>
  <si>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</si>
  <si>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t>
  </si>
  <si>
    <t xml:space="preserve">     Loss on sale of operations/assets</t>
  </si>
  <si>
    <t xml:space="preserve">     Loss on prior office leases</t>
  </si>
  <si>
    <t>Income from operations</t>
  </si>
  <si>
    <t>IS Interest</t>
  </si>
  <si>
    <t>Interest expense</t>
  </si>
  <si>
    <t>IS Interest Income</t>
  </si>
  <si>
    <t>Interest income</t>
  </si>
  <si>
    <t>IS OtherIncExp</t>
  </si>
  <si>
    <t>Other income (expense), net</t>
  </si>
  <si>
    <t>Income before tax provision</t>
  </si>
  <si>
    <t>IS Taxes</t>
  </si>
  <si>
    <t>Income tax provision</t>
  </si>
  <si>
    <t>Net income</t>
  </si>
  <si>
    <t xml:space="preserve">Less: net income attributable to </t>
  </si>
  <si>
    <t>IS NoncontrollingExp</t>
  </si>
  <si>
    <t xml:space="preserve">   noncontrolling interests</t>
  </si>
  <si>
    <t>Net income attributable to WCN</t>
  </si>
  <si>
    <t>RS-9</t>
  </si>
  <si>
    <t>Adjust Bad Debt</t>
  </si>
  <si>
    <t>Bad Debt:</t>
  </si>
  <si>
    <t>Write-off</t>
  </si>
  <si>
    <t>Beginning test period</t>
  </si>
  <si>
    <t>Ending test period</t>
  </si>
  <si>
    <t>Recovery</t>
  </si>
  <si>
    <t>Actual write-off expense</t>
  </si>
  <si>
    <t>Local Depository Account</t>
  </si>
  <si>
    <t>Local Petty Cash Account</t>
  </si>
  <si>
    <t>Proceeds from Sale of Assets</t>
  </si>
  <si>
    <t>Contra Proceeds from Sale of Assets</t>
  </si>
  <si>
    <t>Refunds - Customer</t>
  </si>
  <si>
    <t>EFT Pymt Clearning</t>
  </si>
  <si>
    <t>Credit Card Pymt Clearing</t>
  </si>
  <si>
    <t>Check &amp; Cash Pymt Clearing</t>
  </si>
  <si>
    <t>Cash</t>
  </si>
  <si>
    <t>Trade A/R Desert Micro</t>
  </si>
  <si>
    <t>Trade A/R Desert Micro Receipts</t>
  </si>
  <si>
    <t>Other Trade A/R</t>
  </si>
  <si>
    <t>Allow For Doubtful Accounts</t>
  </si>
  <si>
    <t>Provision for Bad Debts</t>
  </si>
  <si>
    <t>Bad Debt Write Offs</t>
  </si>
  <si>
    <t>Bad Debt Collected</t>
  </si>
  <si>
    <t>A/R</t>
  </si>
  <si>
    <t>Inventory Parts</t>
  </si>
  <si>
    <t>Inventory Oil and Lube</t>
  </si>
  <si>
    <t>Inventory Container</t>
  </si>
  <si>
    <t>Inventory Tires</t>
  </si>
  <si>
    <t>Prepaid Licenses and Permits</t>
  </si>
  <si>
    <t>Prepaid Insurance</t>
  </si>
  <si>
    <t>Prepaid Property Tax</t>
  </si>
  <si>
    <t>Prepaid Other</t>
  </si>
  <si>
    <t>Prepaids</t>
  </si>
  <si>
    <t>Curr Deferred</t>
  </si>
  <si>
    <t>Current Assets</t>
  </si>
  <si>
    <t>Acquisition Land</t>
  </si>
  <si>
    <t>Cap Ex Land Improvement</t>
  </si>
  <si>
    <t>Depre Expense Land Improv</t>
  </si>
  <si>
    <t>Cap Ex Trucks</t>
  </si>
  <si>
    <t>Acquisitions Trucks</t>
  </si>
  <si>
    <t>Transfer/Reclass Trucks</t>
  </si>
  <si>
    <t>Sale/Disposition Trucks</t>
  </si>
  <si>
    <t>Depre Exp Trucks</t>
  </si>
  <si>
    <t>Cap Ex Container</t>
  </si>
  <si>
    <t>Acquisition Container</t>
  </si>
  <si>
    <t>Transfer/Reclass Container</t>
  </si>
  <si>
    <t>Sale/Disposition Container</t>
  </si>
  <si>
    <t>Depre Exp Container</t>
  </si>
  <si>
    <t>Transfer/Reclass AD Container</t>
  </si>
  <si>
    <t>Sale/Disposition AD Container</t>
  </si>
  <si>
    <t>Cap Ex Shop Equipment</t>
  </si>
  <si>
    <t>Transfer/Reclass Shop Equipment</t>
  </si>
  <si>
    <t>Depr Exp Shop Equipment</t>
  </si>
  <si>
    <t>Transfer/Reclass AD Shop Equipment</t>
  </si>
  <si>
    <t>Cap Ex Building</t>
  </si>
  <si>
    <t>Acquisition Building</t>
  </si>
  <si>
    <t>Depr Expense Building</t>
  </si>
  <si>
    <t>Transfer/Reclass Office Equipment</t>
  </si>
  <si>
    <t>Depr Expense Office Equipment</t>
  </si>
  <si>
    <t>Transfer/Reclass AD Office Equipment</t>
  </si>
  <si>
    <t>Cap Ex Computer Equipment</t>
  </si>
  <si>
    <t>Transfer/Reclass Computer Equipment</t>
  </si>
  <si>
    <t>Depre Exp Computer Equipment</t>
  </si>
  <si>
    <t>Transfer/Reclass AD Computer Equipment</t>
  </si>
  <si>
    <t>Cap Ex Construction in Process</t>
  </si>
  <si>
    <t>Fixed Assets</t>
  </si>
  <si>
    <t>Notes Rec.</t>
  </si>
  <si>
    <t>Acquisition Goodwill</t>
  </si>
  <si>
    <t>Transfer/Reclass Goodwill</t>
  </si>
  <si>
    <t>Acquisition - Non Compete</t>
  </si>
  <si>
    <t>Amort Exp Non Compete</t>
  </si>
  <si>
    <t>Acquisition Long Term Contracts</t>
  </si>
  <si>
    <t>Amort Expense Long Term Contracts</t>
  </si>
  <si>
    <t>Acquisition Indefinite Lieved Intangibles</t>
  </si>
  <si>
    <t>Intangibles</t>
  </si>
  <si>
    <t>Deposits</t>
  </si>
  <si>
    <t>Restricted Funds</t>
  </si>
  <si>
    <t>Other Assets</t>
  </si>
  <si>
    <t>Loan Fees</t>
  </si>
  <si>
    <t>Intercompany Corporate</t>
  </si>
  <si>
    <t>Investment Corporate</t>
  </si>
  <si>
    <t>Total Assets</t>
  </si>
  <si>
    <t>Curr Portion LTD</t>
  </si>
  <si>
    <t>AP - Accrued</t>
  </si>
  <si>
    <t>AP - Accrued Procurement Card</t>
  </si>
  <si>
    <t>AP - Sales Tax</t>
  </si>
  <si>
    <t>AP - Other</t>
  </si>
  <si>
    <t>Pass Thru Taxes</t>
  </si>
  <si>
    <t>WUTC Tax Payable</t>
  </si>
  <si>
    <t>AP - Other Taxes</t>
  </si>
  <si>
    <t>A/P</t>
  </si>
  <si>
    <t>Unearned Revenue</t>
  </si>
  <si>
    <t>Unearned Rev</t>
  </si>
  <si>
    <t>Accrued Liabilities Wages Commissions</t>
  </si>
  <si>
    <t>Vacation Accrual</t>
  </si>
  <si>
    <t>Accrued Liabilities Safety Bonus</t>
  </si>
  <si>
    <t>Accrued Liabilities Ins. - Workers Comp</t>
  </si>
  <si>
    <t>Accrued Liabilities - Property Tax</t>
  </si>
  <si>
    <t>Accrued Liabilities - UP Tracker</t>
  </si>
  <si>
    <t>Accrued Liab</t>
  </si>
  <si>
    <t>Current Liab</t>
  </si>
  <si>
    <t>LTD</t>
  </si>
  <si>
    <t>Overdraft</t>
  </si>
  <si>
    <t>Other LTD</t>
  </si>
  <si>
    <t>Deferred Taxes</t>
  </si>
  <si>
    <t>Minority Int</t>
  </si>
  <si>
    <t>Total Liabilities</t>
  </si>
  <si>
    <t>Common Stock</t>
  </si>
  <si>
    <t>Other Equity</t>
  </si>
  <si>
    <t>Deferred Comp</t>
  </si>
  <si>
    <t>Unrealized Swap Val</t>
  </si>
  <si>
    <t>APIC</t>
  </si>
  <si>
    <t>Treasury</t>
  </si>
  <si>
    <t>Retained Earnings</t>
  </si>
  <si>
    <t>Total Liab &amp; Equity</t>
  </si>
  <si>
    <t>BS Balance</t>
  </si>
  <si>
    <t>Balance Sheet</t>
  </si>
  <si>
    <t>As of June 30, 2016</t>
  </si>
  <si>
    <t>As of June 30, 2015</t>
  </si>
  <si>
    <t>Pay ICT Inter District Receipts</t>
  </si>
  <si>
    <t>Prepaid Vehicle Use Tax</t>
  </si>
  <si>
    <t>RS-9: Adjust Bad Debt to Actual</t>
  </si>
  <si>
    <t>46700</t>
  </si>
  <si>
    <t>Bad Debt % for LG</t>
  </si>
  <si>
    <t xml:space="preserve">Garbage PI = </t>
  </si>
  <si>
    <t xml:space="preserve">Rate </t>
  </si>
  <si>
    <t>Increased</t>
  </si>
  <si>
    <t>New</t>
  </si>
  <si>
    <t>Total Spokane CO.</t>
  </si>
  <si>
    <t>Total Whitman CO.</t>
  </si>
  <si>
    <t>Per LG</t>
  </si>
  <si>
    <t>Reconcilation to LG's</t>
  </si>
  <si>
    <t>Lincoln County Transfer Station Disposal Data (City of Harrington only)</t>
  </si>
  <si>
    <t>Packer, RO</t>
  </si>
  <si>
    <t>Empire Disposal G-75</t>
  </si>
  <si>
    <t>Rate Sheet</t>
  </si>
  <si>
    <t>Packer Routes</t>
  </si>
  <si>
    <t>Whitman &amp; Spokane County</t>
  </si>
  <si>
    <t>1 yard</t>
  </si>
  <si>
    <t>1.5 yard</t>
  </si>
  <si>
    <t>Returned check charge</t>
  </si>
  <si>
    <t>2 yard</t>
  </si>
  <si>
    <t>3 yard</t>
  </si>
  <si>
    <t>4 yard</t>
  </si>
  <si>
    <t>6 yard</t>
  </si>
  <si>
    <t>Restart Fees</t>
  </si>
  <si>
    <t>8 yard</t>
  </si>
  <si>
    <t>Container delivery</t>
  </si>
  <si>
    <t>Cart delivery</t>
  </si>
  <si>
    <t>Outside Spokane County</t>
  </si>
  <si>
    <t>Over size</t>
  </si>
  <si>
    <t>Charge per hour</t>
  </si>
  <si>
    <t>Minumum charge</t>
  </si>
  <si>
    <t>Inside Spokane County</t>
  </si>
  <si>
    <t>Returned Trip</t>
  </si>
  <si>
    <t>Cans</t>
  </si>
  <si>
    <t>Carry-outs</t>
  </si>
  <si>
    <t>Can, units 5-25'</t>
  </si>
  <si>
    <t>Can, units +25'</t>
  </si>
  <si>
    <t>Drive-in</t>
  </si>
  <si>
    <t>Driveways over 125-250'</t>
  </si>
  <si>
    <t>Private roads over 125-</t>
  </si>
  <si>
    <t>Stairs (each step up or down)</t>
  </si>
  <si>
    <t>Overheard obstruction</t>
  </si>
  <si>
    <t>Sunken</t>
  </si>
  <si>
    <t xml:space="preserve">Mini can </t>
  </si>
  <si>
    <t>One can</t>
  </si>
  <si>
    <t>Two cans</t>
  </si>
  <si>
    <t>Three cans</t>
  </si>
  <si>
    <t>Four cans</t>
  </si>
  <si>
    <t>Five cans</t>
  </si>
  <si>
    <t>Six cans</t>
  </si>
  <si>
    <t>65 Gal Toter</t>
  </si>
  <si>
    <t>95 Gal Toter</t>
  </si>
  <si>
    <t>Extra Units</t>
  </si>
  <si>
    <t>Bag</t>
  </si>
  <si>
    <t>On Call</t>
  </si>
  <si>
    <t>Bulky</t>
  </si>
  <si>
    <t>Loose material</t>
  </si>
  <si>
    <t>Additional</t>
  </si>
  <si>
    <t>Minimum</t>
  </si>
  <si>
    <t>Carry Charge,per 5' over 8'</t>
  </si>
  <si>
    <t>Single Rear Drive Axle</t>
  </si>
  <si>
    <t>Non-packer truck</t>
  </si>
  <si>
    <t>Packer truck</t>
  </si>
  <si>
    <t>Drop-box truck</t>
  </si>
  <si>
    <t>Extra person</t>
  </si>
  <si>
    <t>Tandem Rear Drive Axle</t>
  </si>
  <si>
    <t>Roll-out charge up to 25'</t>
  </si>
  <si>
    <t>Container over 25' in 5' increments</t>
  </si>
  <si>
    <t>Carts, Toters</t>
  </si>
  <si>
    <t xml:space="preserve">Over 25' add </t>
  </si>
  <si>
    <t>Washing</t>
  </si>
  <si>
    <t>Minimum (3 yard)</t>
  </si>
  <si>
    <t>Steam Cleaning</t>
  </si>
  <si>
    <t>Sanitizing</t>
  </si>
  <si>
    <t>Pickup and redelivery, per container</t>
  </si>
  <si>
    <t>Up to 8 yard</t>
  </si>
  <si>
    <t>Over 8 yard</t>
  </si>
  <si>
    <t>Whitman County Transfer Station</t>
  </si>
  <si>
    <t xml:space="preserve">Spokane Co. Waste to Energy </t>
  </si>
  <si>
    <t>Spokane County Transfer Station</t>
  </si>
  <si>
    <t>Container Rent</t>
  </si>
  <si>
    <t>Containers Pickup</t>
  </si>
  <si>
    <t>Special Pickups</t>
  </si>
  <si>
    <t>Initial Delivery all sizes</t>
  </si>
  <si>
    <t>1-4 yard</t>
  </si>
  <si>
    <t>6-8 yard</t>
  </si>
  <si>
    <t>Temporary Service</t>
  </si>
  <si>
    <t>Daily Rent</t>
  </si>
  <si>
    <t xml:space="preserve">Rent Maximum </t>
  </si>
  <si>
    <t>Gate Chrg</t>
  </si>
  <si>
    <t>Unlocking, Locking</t>
  </si>
  <si>
    <t>1 32 gal can</t>
  </si>
  <si>
    <t xml:space="preserve">Each Additional </t>
  </si>
  <si>
    <t>Special pickups, p/can</t>
  </si>
  <si>
    <t>Minimum charge</t>
  </si>
  <si>
    <t>Minimum monthly charge</t>
  </si>
  <si>
    <t>Ratios</t>
  </si>
  <si>
    <t>Compacted Material, Cust Owned</t>
  </si>
  <si>
    <t>Special and Temporary</t>
  </si>
  <si>
    <t>Excess Miles</t>
  </si>
  <si>
    <t>Compacted, Cust Owned Cont</t>
  </si>
  <si>
    <t>Permanent</t>
  </si>
  <si>
    <t>Rent</t>
  </si>
  <si>
    <t>15 yard</t>
  </si>
  <si>
    <t>18 yard</t>
  </si>
  <si>
    <t>20 yard</t>
  </si>
  <si>
    <t>25 yard</t>
  </si>
  <si>
    <t>30 yard</t>
  </si>
  <si>
    <t>35 yard</t>
  </si>
  <si>
    <t>40 yard</t>
  </si>
  <si>
    <t>First Pickup</t>
  </si>
  <si>
    <t>Each Additional Pickup</t>
  </si>
  <si>
    <t>Temporary</t>
  </si>
  <si>
    <t>Initial delivery 15-40 yard</t>
  </si>
  <si>
    <t>Pickups</t>
  </si>
  <si>
    <t>Rent per day</t>
  </si>
  <si>
    <t>Maximum</t>
  </si>
  <si>
    <t>Excess miles</t>
  </si>
  <si>
    <t>Customer Owned Compactor</t>
  </si>
  <si>
    <t>36 yard</t>
  </si>
  <si>
    <t>Connect/Disconnect</t>
  </si>
  <si>
    <t>Lock/Unlock</t>
  </si>
  <si>
    <t>1/1/2016 Current Tariff Rate</t>
  </si>
  <si>
    <t>Proposed Rate 10/1/2016</t>
  </si>
  <si>
    <t>Effective 10/1/2016</t>
  </si>
  <si>
    <t>Item 50, Pg 19</t>
  </si>
  <si>
    <t>Item 51, Pg 20</t>
  </si>
  <si>
    <t>Item 52, Pg 20</t>
  </si>
  <si>
    <t>Item 55, Pg 21</t>
  </si>
  <si>
    <t>Item 60, Pg 21</t>
  </si>
  <si>
    <t>Item 55, Pg 21-A</t>
  </si>
  <si>
    <t>Item 60, Pg 21-A</t>
  </si>
  <si>
    <t>Item 70, Pg 22</t>
  </si>
  <si>
    <t>Item 80, Pg 24</t>
  </si>
  <si>
    <t>Item 90, Pg 25</t>
  </si>
  <si>
    <t>Item 100, pg 26</t>
  </si>
  <si>
    <t>Item 100, pg 26A</t>
  </si>
  <si>
    <t>Item 100, pg 27</t>
  </si>
  <si>
    <t>Item 100, pg 27A</t>
  </si>
  <si>
    <t>Item 150, pg 30</t>
  </si>
  <si>
    <t>Item 150, pg 30A</t>
  </si>
  <si>
    <t>Item 160, Pg 31</t>
  </si>
  <si>
    <t>Item 160, Pg 31A</t>
  </si>
  <si>
    <t>Item 205, Pg 33</t>
  </si>
  <si>
    <t>Item 210, Pg 35</t>
  </si>
  <si>
    <t>Item 230, pg 36</t>
  </si>
  <si>
    <t>Item 240, pg 37</t>
  </si>
  <si>
    <t>Item 240, pg 37A</t>
  </si>
  <si>
    <t>Item 245, pg 38</t>
  </si>
  <si>
    <t>Item 245, pg 38A</t>
  </si>
  <si>
    <t>Item 255, pg 39</t>
  </si>
  <si>
    <t>Item 255, pg 39A</t>
  </si>
  <si>
    <t>Item 260, Pg 40</t>
  </si>
  <si>
    <t>Item 260, Pg 40A</t>
  </si>
  <si>
    <t>Item 275, Pg 42</t>
  </si>
  <si>
    <t>Monthly Rate</t>
  </si>
  <si>
    <t>Increase per Pick-Up</t>
  </si>
  <si>
    <t>Spokane Co. Waste to Energy DF Calc 1-1-2016</t>
  </si>
  <si>
    <t>Reference Sheet</t>
  </si>
  <si>
    <t>Monthly Factor</t>
  </si>
  <si>
    <t>Pickups:</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</si>
  <si>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</si>
  <si>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</si>
  <si>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</si>
  <si>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</si>
  <si>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</si>
  <si>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</si>
  <si>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</si>
  <si>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</si>
  <si>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</si>
  <si>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</si>
  <si>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</si>
  <si>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</si>
  <si>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</si>
  <si>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</si>
  <si>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Meeks Weights</t>
  </si>
  <si>
    <t>Res'l</t>
  </si>
  <si>
    <t>Pounds per Pickup</t>
  </si>
  <si>
    <t>20 gal minican</t>
  </si>
  <si>
    <t>1 can</t>
  </si>
  <si>
    <t>2 cans</t>
  </si>
  <si>
    <t>3 cans</t>
  </si>
  <si>
    <t>Lbs. per ton</t>
  </si>
  <si>
    <t>4 cans</t>
  </si>
  <si>
    <t>Yds. Per ton</t>
  </si>
  <si>
    <t>n/a</t>
  </si>
  <si>
    <t>5 cans</t>
  </si>
  <si>
    <t>6 cans</t>
  </si>
  <si>
    <t>Supercan 60</t>
  </si>
  <si>
    <t>Supercan 90</t>
  </si>
  <si>
    <t>Once a month</t>
  </si>
  <si>
    <t>Extras</t>
  </si>
  <si>
    <t>Com'l</t>
  </si>
  <si>
    <t>1 yd container</t>
  </si>
  <si>
    <t>1.5 yd container</t>
  </si>
  <si>
    <t>2 yd container</t>
  </si>
  <si>
    <t>3 yd container</t>
  </si>
  <si>
    <t>4 yd container</t>
  </si>
  <si>
    <t>6 yd container</t>
  </si>
  <si>
    <t>8 yd container</t>
  </si>
  <si>
    <t>3 yd packer/compactor</t>
  </si>
  <si>
    <t>4 yd packer/compactor</t>
  </si>
  <si>
    <t>5 yd packer/compactor</t>
  </si>
  <si>
    <t>6 yd packer/compactor</t>
  </si>
  <si>
    <t>Yards</t>
  </si>
  <si>
    <t>* not on meeks - calculated by staff</t>
  </si>
  <si>
    <t>One can Monthly</t>
  </si>
  <si>
    <t>Remove PY Workers Comp Credit</t>
  </si>
  <si>
    <t>Management Compensation Allocation</t>
  </si>
  <si>
    <r>
      <rPr>
        <b/>
        <sz val="11"/>
        <rFont val="Calibri"/>
        <family val="2"/>
        <scheme val="minor"/>
      </rPr>
      <t>Note:</t>
    </r>
    <r>
      <rPr>
        <sz val="11"/>
        <rFont val="Calibri"/>
        <family val="2"/>
        <scheme val="minor"/>
      </rPr>
      <t xml:space="preserve"> The Division Vice President and Division Controller's home district for payroll purposes is 2010.  During the year their regular compensation is coded to district 2010 and then allocated out to each of their districts based on the percentages of revenue shown below via a Journal Entry.  Their other compensation is not allocated out to each of the districts during the year therefore that must be done manually for this rate filing.</t>
    </r>
  </si>
  <si>
    <t>DVP/DivCon</t>
  </si>
  <si>
    <t>2010 - Vancouver Hauling</t>
  </si>
  <si>
    <t>2051 - CRC</t>
  </si>
  <si>
    <t>2053 - Triangle</t>
  </si>
  <si>
    <t>2120 - Empire Disposal</t>
  </si>
  <si>
    <t>2125 - Spokane Transfer</t>
  </si>
  <si>
    <t>2011 - OPF</t>
  </si>
  <si>
    <t>2025 - CRD</t>
  </si>
  <si>
    <t>2046 - EWSI</t>
  </si>
  <si>
    <t>2044 - The Dalles</t>
  </si>
  <si>
    <t>2045 - Hood River</t>
  </si>
  <si>
    <t>2195 - Yakima Waste</t>
  </si>
  <si>
    <t>Other Compensation</t>
  </si>
  <si>
    <t>Revenue - per 2015 Annual Reports</t>
  </si>
  <si>
    <t>Empire Allocation IN</t>
  </si>
  <si>
    <t>RS-10: Restate in division management compensation</t>
  </si>
  <si>
    <t>Comp Allocation In</t>
  </si>
  <si>
    <t>Taxes Allocation In</t>
  </si>
  <si>
    <t>RS-10</t>
  </si>
  <si>
    <t>Adjust in Management Comp</t>
  </si>
  <si>
    <t>Recycling PI</t>
  </si>
  <si>
    <t>Garbage:</t>
  </si>
  <si>
    <r>
      <rPr>
        <b/>
        <i/>
        <sz val="10"/>
        <rFont val="Calibri"/>
        <family val="2"/>
        <scheme val="minor"/>
      </rPr>
      <t>Note</t>
    </r>
    <r>
      <rPr>
        <i/>
        <sz val="10"/>
        <rFont val="Calibri"/>
        <family val="2"/>
        <scheme val="minor"/>
      </rPr>
      <t>:  Rate increases are linked to the Price Out if the service was provided during the test period.  If the service was not provided the LG % was applied to the current rate.</t>
    </r>
  </si>
  <si>
    <t>Cannot Increase Proceeds</t>
  </si>
  <si>
    <t>Immaterial</t>
  </si>
  <si>
    <t>Disposal donated to City for school track replacement job.  Tons are on disposal schedule, but weren't charged as pass-through to the customer.</t>
  </si>
  <si>
    <t>43001</t>
  </si>
  <si>
    <t>43001-2120-000-00</t>
  </si>
  <si>
    <t>JRNLWA00321654</t>
  </si>
  <si>
    <t>TAX3-Accr. B&amp;O Tax</t>
  </si>
  <si>
    <t>B&amp;O Tax Accrual</t>
  </si>
  <si>
    <t>JRNL00770067</t>
  </si>
  <si>
    <t>JRNLWA00322997</t>
  </si>
  <si>
    <t>JRNL00770096</t>
  </si>
  <si>
    <t>JRNLWA00324655</t>
  </si>
  <si>
    <t>JRNL00770172</t>
  </si>
  <si>
    <t>JRNLWA00326175</t>
  </si>
  <si>
    <t>JRNL00770191</t>
  </si>
  <si>
    <t>JRNLWA00327737</t>
  </si>
  <si>
    <t>JRNL00772817</t>
  </si>
  <si>
    <t>JRNLWA00329280</t>
  </si>
  <si>
    <t>JRNL00772852</t>
  </si>
  <si>
    <t>JRNLWA00330982</t>
  </si>
  <si>
    <t>JRNL00773343</t>
  </si>
  <si>
    <t>JRNLWA00332413</t>
  </si>
  <si>
    <t>JRNL00773352</t>
  </si>
  <si>
    <t>JRNLWA00333777</t>
  </si>
  <si>
    <t>JRNL00776134</t>
  </si>
  <si>
    <t>JRNLWA00335515</t>
  </si>
  <si>
    <t>JRNL00776352</t>
  </si>
  <si>
    <t>JRNLWA00336984</t>
  </si>
  <si>
    <t>JRNLWA00325590</t>
  </si>
  <si>
    <t>JRNLWA00338516</t>
  </si>
  <si>
    <t>JRNL00779323</t>
  </si>
  <si>
    <t>JRNLWA00328264</t>
  </si>
  <si>
    <t>Rcls DOR Assessment</t>
  </si>
  <si>
    <t>JRNL00779494</t>
  </si>
  <si>
    <t>MISC4-Reclass DOR Audit Paymen</t>
  </si>
  <si>
    <t>BrianBr</t>
  </si>
  <si>
    <t>1/JE STD</t>
  </si>
  <si>
    <t>Rcls DOR Audit Fee</t>
  </si>
  <si>
    <t>JRNL00780273</t>
  </si>
  <si>
    <t>JRNLWA00325625</t>
  </si>
  <si>
    <t>0/REVERSE</t>
  </si>
  <si>
    <t>43001-2120-000-99</t>
  </si>
  <si>
    <t>JRNLWA00331463</t>
  </si>
  <si>
    <t>WRO B&amp;O Tax Accrual 01/16</t>
  </si>
  <si>
    <t>JRNL00780274</t>
  </si>
  <si>
    <t>JRNLWA00331478</t>
  </si>
  <si>
    <t>JRNL00782305</t>
  </si>
  <si>
    <t>JRNLWA00332780</t>
  </si>
  <si>
    <t>WRO B&amp;O Tax Accrual 02/16</t>
  </si>
  <si>
    <t>JRNL00782520</t>
  </si>
  <si>
    <t>JRNLWA00332848</t>
  </si>
  <si>
    <t>JRNL00782897</t>
  </si>
  <si>
    <t>JRNLWA00334236</t>
  </si>
  <si>
    <t>WRO B&amp;O Tax Accrual</t>
  </si>
  <si>
    <t>WRO B&amp;O Tax Accrual 03/16</t>
  </si>
  <si>
    <t>JRNL00783040</t>
  </si>
  <si>
    <t>JRNLWA00334271</t>
  </si>
  <si>
    <t>JRNL00782965</t>
  </si>
  <si>
    <t>JRNLWA00337458</t>
  </si>
  <si>
    <t>WRO B&amp;O Tax Accrual 05/16</t>
  </si>
  <si>
    <t>JRNL00785291</t>
  </si>
  <si>
    <t>JRNLWA00337490</t>
  </si>
  <si>
    <t>JRNL00785393</t>
  </si>
  <si>
    <t>JRNLWA00339018</t>
  </si>
  <si>
    <t>WRO B&amp;O Tax Accrual 06/16</t>
  </si>
  <si>
    <t>JRNL00788307</t>
  </si>
  <si>
    <t>JRNLWA00326819</t>
  </si>
  <si>
    <t>WRO B&amp;O Tax Accrual 10/15</t>
  </si>
  <si>
    <t>JRNL00788827</t>
  </si>
  <si>
    <t>JRNLWA00326821</t>
  </si>
  <si>
    <t>JRNL00789462</t>
  </si>
  <si>
    <t>JRNLWA00328151</t>
  </si>
  <si>
    <t>WRO B&amp;O Tax Accrual 11/15</t>
  </si>
  <si>
    <t>JRNL00789469</t>
  </si>
  <si>
    <t>JRNLWA00328240</t>
  </si>
  <si>
    <t>JRNL00791784</t>
  </si>
  <si>
    <t>JRNLWA00321743</t>
  </si>
  <si>
    <t>WRO B&amp;O Tax Accrual 7/15</t>
  </si>
  <si>
    <t>JRNL00791865</t>
  </si>
  <si>
    <t>JRNLWA00321766</t>
  </si>
  <si>
    <t>JRNL00792337</t>
  </si>
  <si>
    <t>JRNLWA00323330</t>
  </si>
  <si>
    <t>WRO B&amp;O Tax Accrual 8/15</t>
  </si>
  <si>
    <t>JRNL00792404</t>
  </si>
  <si>
    <t>JRNLWA00323333</t>
  </si>
  <si>
    <t>JRNL00794561</t>
  </si>
  <si>
    <t>JRNLWA00321685</t>
  </si>
  <si>
    <t>WRO B&amp;O Tax Reclass</t>
  </si>
  <si>
    <t>JRNL00795096</t>
  </si>
  <si>
    <t>JRNLWA00323062</t>
  </si>
  <si>
    <t>JRNL00795306</t>
  </si>
  <si>
    <t>JRNLWA00324788</t>
  </si>
  <si>
    <t>JRNL00795323</t>
  </si>
  <si>
    <t>JRNLWA00326260</t>
  </si>
  <si>
    <t>JRNL00797683</t>
  </si>
  <si>
    <t>JRNLWA00327881</t>
  </si>
  <si>
    <t>JRNL00797922</t>
  </si>
  <si>
    <t>JRNLWA00329204</t>
  </si>
  <si>
    <t>JRNL00800237</t>
  </si>
  <si>
    <t>JRNLWA00330673</t>
  </si>
  <si>
    <t>JRNL00800538</t>
  </si>
  <si>
    <t>JRNLWA00332469</t>
  </si>
  <si>
    <t>JRNL00800841</t>
  </si>
  <si>
    <t>JRNLWA00334078</t>
  </si>
  <si>
    <t>JRNL00800850</t>
  </si>
  <si>
    <t>JRNLWA00335635</t>
  </si>
  <si>
    <t>JRNL00803515</t>
  </si>
  <si>
    <t>JRNLWA00337173</t>
  </si>
  <si>
    <t>JRNL00804021</t>
  </si>
  <si>
    <t>JRNLWA00338728</t>
  </si>
  <si>
    <t>JRNL00804359</t>
  </si>
  <si>
    <t>Audit Assessment</t>
  </si>
  <si>
    <t>Region B&amp;O Tax Alloc</t>
  </si>
  <si>
    <t>Route hours from "Empire 2120_Time Study_Jan 2016 thru June 2016.xls"</t>
  </si>
  <si>
    <t>NEW IMPROVED LURITO - GALLAGHER FORMULA -Packer &amp; RO-Empire Disposal</t>
  </si>
  <si>
    <t>NEW IMPROVED LURITO - GALLAGHER FORMULA - Recycling-Empire Disposal</t>
  </si>
  <si>
    <t xml:space="preserve">Residential </t>
  </si>
  <si>
    <t>Commerical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</si>
</sst>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quot;$&quot;#,##0\ ;\(&quot;$&quot;#,##0\)"/>
    <numFmt numFmtId="167" formatCode="0.0%"/>
    <numFmt numFmtId="168" formatCode="0%;\(0%\);&quot;&quot;"/>
    <numFmt numFmtId="169" formatCode="_(* #,##0,_);_(* \(#,##0,\);_(* &quot;-&quot;??_);_(@_)"/>
    <numFmt numFmtId="170" formatCode="_(&quot;$&quot;* #,##0_);_(&quot;$&quot;* \(#,##0\);_(&quot;$&quot;* &quot;-&quot;??_);_(@_)"/>
    <numFmt numFmtId="171" formatCode="_(* #,##0.000000_);_(* \(#,##0.000000\);_(* &quot;-&quot;??_);_(@_)"/>
    <numFmt numFmtId="172" formatCode="0.0000%"/>
    <numFmt numFmtId="173" formatCode="0.000000"/>
    <numFmt numFmtId="174" formatCode="[$-409]mmmm\ d\,\ yyyy;@"/>
    <numFmt numFmtId="175" formatCode="mm/dd/yy"/>
    <numFmt numFmtId="176" formatCode="m/d/yy;@"/>
    <numFmt numFmtId="177" formatCode="&quot;$&quot;#,##0"/>
    <numFmt numFmtId="178" formatCode="#,##0.0000"/>
    <numFmt numFmtId="179" formatCode="&quot;$&quot;#,##0.00"/>
    <numFmt numFmtId="180" formatCode="#,##0.000"/>
    <numFmt numFmtId="181" formatCode="#,##0.000000"/>
    <numFmt numFmtId="182" formatCode="0.000%"/>
    <numFmt numFmtId="183" formatCode="m/d/yy\ h:mm\ AM/PM"/>
    <numFmt numFmtId="184" formatCode="m/d/yy"/>
    <numFmt numFmtId="185" formatCode="[$-409]mmm\-yy;@"/>
  </numFmts>
  <fonts count="143">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sz val="10"/>
      <name val="Arial"/>
      <family val="2"/>
    </font>
    <font>
      <b/>
      <sz val="8"/>
      <name val="Arial"/>
      <family val="2"/>
    </font>
    <font>
      <sz val="8"/>
      <name val="Arial"/>
      <family val="2"/>
    </font>
    <font>
      <b/>
      <sz val="8"/>
      <color rgb="FF5D34F4"/>
      <name val="Arial"/>
      <family val="2"/>
    </font>
    <font>
      <i/>
      <sz val="8"/>
      <name val="Arial"/>
      <family val="2"/>
    </font>
    <font>
      <sz val="12"/>
      <name val="Helv"/>
    </font>
    <font>
      <sz val="8"/>
      <color indexed="8"/>
      <name val="Arial"/>
      <family val="2"/>
    </font>
    <font>
      <b/>
      <sz val="8"/>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indexed="8"/>
      <name val="Arial"/>
      <family val="2"/>
    </font>
    <font>
      <sz val="12"/>
      <name val="CG Omega"/>
    </font>
    <font>
      <sz val="10"/>
      <color indexed="8"/>
      <name val="Arial"/>
      <family val="2"/>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1"/>
      <color indexed="61"/>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60"/>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8"/>
      <color indexed="61"/>
      <name val="Cambria"/>
      <family val="2"/>
    </font>
    <font>
      <b/>
      <sz val="18"/>
      <color indexed="56"/>
      <name val="Cambria"/>
      <family val="2"/>
    </font>
    <font>
      <b/>
      <sz val="11"/>
      <color indexed="8"/>
      <name val="Calibri"/>
      <family val="2"/>
    </font>
    <font>
      <sz val="11"/>
      <color indexed="10"/>
      <name val="Calibri"/>
      <family val="2"/>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b/>
      <sz val="11"/>
      <color rgb="FF0000FF"/>
      <name val="Calibri"/>
      <family val="2"/>
      <scheme val="minor"/>
    </font>
    <font>
      <b/>
      <sz val="10"/>
      <color theme="1"/>
      <name val="Calibri"/>
      <family val="2"/>
      <scheme val="minor"/>
    </font>
    <font>
      <sz val="10"/>
      <color indexed="8"/>
      <name val="Calibri"/>
      <family val="2"/>
      <scheme val="minor"/>
    </font>
    <font>
      <sz val="10"/>
      <color theme="1"/>
      <name val="Calibri"/>
      <family val="2"/>
      <scheme val="minor"/>
    </font>
    <font>
      <b/>
      <i/>
      <sz val="10"/>
      <color rgb="FFFF0000"/>
      <name val="Calibri"/>
      <family val="2"/>
      <scheme val="minor"/>
    </font>
    <font>
      <b/>
      <sz val="10"/>
      <color indexed="8"/>
      <name val="Calibri"/>
      <family val="2"/>
      <scheme val="minor"/>
    </font>
    <font>
      <b/>
      <sz val="10"/>
      <color indexed="50"/>
      <name val="Calibri"/>
      <family val="2"/>
      <scheme val="minor"/>
    </font>
    <font>
      <b/>
      <u/>
      <sz val="10"/>
      <color indexed="8"/>
      <name val="Calibri"/>
      <family val="2"/>
      <scheme val="minor"/>
    </font>
    <font>
      <sz val="10"/>
      <name val="Calibri"/>
      <family val="2"/>
      <scheme val="minor"/>
    </font>
    <font>
      <b/>
      <sz val="10"/>
      <name val="Calibri"/>
      <family val="2"/>
      <scheme val="minor"/>
    </font>
    <font>
      <b/>
      <sz val="8"/>
      <color indexed="81"/>
      <name val="Tahoma"/>
      <family val="2"/>
    </font>
    <font>
      <sz val="8"/>
      <color indexed="81"/>
      <name val="Tahoma"/>
      <family val="2"/>
    </font>
    <font>
      <sz val="10"/>
      <color rgb="FFFF0000"/>
      <name val="Calibri"/>
      <family val="2"/>
      <scheme val="minor"/>
    </font>
    <font>
      <sz val="10"/>
      <color rgb="FF3366FF"/>
      <name val="Calibri"/>
      <family val="2"/>
      <scheme val="minor"/>
    </font>
    <font>
      <sz val="9"/>
      <color indexed="81"/>
      <name val="Tahoma"/>
      <family val="2"/>
    </font>
    <font>
      <b/>
      <sz val="9"/>
      <color indexed="81"/>
      <name val="Tahoma"/>
      <family val="2"/>
    </font>
    <font>
      <i/>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b/>
      <sz val="11"/>
      <color indexed="10"/>
      <name val="Calibri"/>
      <family val="2"/>
    </font>
    <font>
      <sz val="11"/>
      <color indexed="19"/>
      <name val="Calibri"/>
      <family val="2"/>
    </font>
    <font>
      <b/>
      <sz val="18"/>
      <color indexed="62"/>
      <name val="Cambria"/>
      <family val="2"/>
    </font>
    <font>
      <b/>
      <sz val="11"/>
      <color indexed="51"/>
      <name val="Calibri"/>
      <family val="2"/>
    </font>
    <font>
      <b/>
      <sz val="15"/>
      <color indexed="61"/>
      <name val="Calibri"/>
      <family val="2"/>
    </font>
    <font>
      <b/>
      <sz val="13"/>
      <color indexed="61"/>
      <name val="Calibri"/>
      <family val="2"/>
    </font>
    <font>
      <sz val="11"/>
      <color indexed="51"/>
      <name val="Calibri"/>
      <family val="2"/>
    </font>
    <font>
      <sz val="11"/>
      <color indexed="59"/>
      <name val="Calibri"/>
      <family val="2"/>
    </font>
    <font>
      <b/>
      <sz val="11"/>
      <color rgb="FF7030A0"/>
      <name val="Calibri"/>
      <family val="2"/>
      <scheme val="minor"/>
    </font>
    <font>
      <sz val="11"/>
      <color rgb="FF7030A0"/>
      <name val="Calibri"/>
      <family val="2"/>
      <scheme val="minor"/>
    </font>
    <font>
      <b/>
      <sz val="11"/>
      <color theme="7" tint="-0.249977111117893"/>
      <name val="Calibri"/>
      <family val="2"/>
      <scheme val="minor"/>
    </font>
    <font>
      <sz val="11"/>
      <name val="Calibri"/>
      <family val="2"/>
    </font>
    <font>
      <b/>
      <sz val="9"/>
      <name val="Arial"/>
      <family val="2"/>
    </font>
    <font>
      <sz val="9"/>
      <name val="Arial"/>
      <family val="2"/>
    </font>
    <font>
      <sz val="8"/>
      <color rgb="FFFF0000"/>
      <name val="Arial"/>
      <family val="2"/>
    </font>
    <font>
      <sz val="8"/>
      <color indexed="9"/>
      <name val="Arial"/>
      <family val="2"/>
    </font>
    <font>
      <b/>
      <u/>
      <sz val="8"/>
      <name val="Arial"/>
      <family val="2"/>
    </font>
    <font>
      <b/>
      <sz val="8"/>
      <color rgb="FFC00000"/>
      <name val="Arial"/>
      <family val="2"/>
    </font>
    <font>
      <b/>
      <u/>
      <sz val="9"/>
      <color rgb="FFC00000"/>
      <name val="Arial"/>
      <family val="2"/>
    </font>
    <font>
      <sz val="9"/>
      <color rgb="FFC00000"/>
      <name val="Arial"/>
      <family val="2"/>
    </font>
    <font>
      <b/>
      <u/>
      <sz val="9"/>
      <name val="Arial"/>
      <family val="2"/>
    </font>
    <font>
      <sz val="8"/>
      <name val="Comic Sans MS"/>
      <family val="4"/>
    </font>
    <font>
      <sz val="8"/>
      <color indexed="8"/>
      <name val="Calibri"/>
      <family val="2"/>
    </font>
    <font>
      <i/>
      <sz val="8"/>
      <color rgb="FFFF0000"/>
      <name val="Comic Sans MS"/>
      <family val="4"/>
    </font>
    <font>
      <b/>
      <u/>
      <sz val="8"/>
      <name val="Comic Sans MS"/>
      <family val="4"/>
    </font>
    <font>
      <b/>
      <sz val="8"/>
      <name val="Comic Sans MS"/>
      <family val="4"/>
    </font>
    <font>
      <sz val="8"/>
      <color theme="1"/>
      <name val="Arial"/>
      <family val="2"/>
    </font>
    <font>
      <b/>
      <sz val="8"/>
      <color indexed="9"/>
      <name val="Arial"/>
      <family val="2"/>
    </font>
    <font>
      <b/>
      <sz val="8"/>
      <color theme="1"/>
      <name val="Arial"/>
      <family val="2"/>
    </font>
    <font>
      <b/>
      <sz val="14"/>
      <name val="Arial"/>
      <family val="2"/>
    </font>
    <font>
      <b/>
      <sz val="11"/>
      <color indexed="60"/>
      <name val="Arial"/>
      <family val="2"/>
    </font>
    <font>
      <i/>
      <sz val="10"/>
      <name val="Arial"/>
      <family val="2"/>
    </font>
    <font>
      <b/>
      <i/>
      <sz val="11"/>
      <color indexed="60"/>
      <name val="Arial"/>
      <family val="2"/>
    </font>
    <font>
      <sz val="10"/>
      <color indexed="30"/>
      <name val="Arial"/>
      <family val="2"/>
    </font>
    <font>
      <sz val="10"/>
      <color indexed="61"/>
      <name val="Arial"/>
      <family val="2"/>
    </font>
    <font>
      <b/>
      <i/>
      <sz val="10"/>
      <name val="Arial"/>
      <family val="2"/>
    </font>
    <font>
      <u val="singleAccounting"/>
      <sz val="10"/>
      <name val="Arial"/>
      <family val="2"/>
    </font>
    <font>
      <u/>
      <sz val="10"/>
      <name val="Arial"/>
      <family val="2"/>
    </font>
    <font>
      <b/>
      <sz val="11"/>
      <color rgb="FFFF0000"/>
      <name val="Calibri"/>
      <family val="2"/>
      <scheme val="minor"/>
    </font>
    <font>
      <b/>
      <i/>
      <sz val="11"/>
      <color theme="1"/>
      <name val="Calibri"/>
      <family val="2"/>
      <scheme val="minor"/>
    </font>
    <font>
      <b/>
      <sz val="8"/>
      <color rgb="FF0000FF"/>
      <name val="Arial"/>
      <family val="2"/>
    </font>
    <font>
      <b/>
      <sz val="10"/>
      <color indexed="16"/>
      <name val="Arial"/>
      <family val="2"/>
    </font>
    <font>
      <b/>
      <sz val="8"/>
      <color indexed="10"/>
      <name val="Arial"/>
      <family val="2"/>
    </font>
    <font>
      <b/>
      <sz val="8"/>
      <color rgb="FFFF0000"/>
      <name val="Arial"/>
      <family val="2"/>
    </font>
    <font>
      <b/>
      <sz val="8"/>
      <color indexed="12"/>
      <name val="Arial"/>
      <family val="2"/>
    </font>
    <font>
      <b/>
      <i/>
      <sz val="8"/>
      <color rgb="FFFF0000"/>
      <name val="Arial"/>
      <family val="2"/>
    </font>
    <font>
      <b/>
      <sz val="11"/>
      <color indexed="62"/>
      <name val="Calibri"/>
      <family val="2"/>
      <scheme val="minor"/>
    </font>
    <font>
      <strike/>
      <sz val="11"/>
      <name val="Calibri"/>
      <family val="2"/>
      <scheme val="minor"/>
    </font>
    <font>
      <sz val="9"/>
      <color theme="1"/>
      <name val="Calibri"/>
      <family val="2"/>
      <scheme val="minor"/>
    </font>
    <font>
      <b/>
      <sz val="9"/>
      <color theme="1"/>
      <name val="Calibri"/>
      <family val="2"/>
      <scheme val="minor"/>
    </font>
    <font>
      <b/>
      <u/>
      <sz val="11"/>
      <name val="Calibri"/>
      <family val="2"/>
      <scheme val="minor"/>
    </font>
    <font>
      <i/>
      <sz val="10"/>
      <color indexed="8"/>
      <name val="Arial"/>
      <family val="2"/>
    </font>
    <font>
      <sz val="11"/>
      <color indexed="8"/>
      <name val="Calibri"/>
      <family val="2"/>
      <scheme val="minor"/>
    </font>
    <font>
      <sz val="11"/>
      <color indexed="10"/>
      <name val="Calibri"/>
      <family val="2"/>
      <scheme val="minor"/>
    </font>
    <font>
      <sz val="11"/>
      <color rgb="FFFF0000"/>
      <name val="Calibri"/>
      <family val="2"/>
      <scheme val="minor"/>
    </font>
    <font>
      <i/>
      <sz val="10"/>
      <name val="Calibri"/>
      <family val="2"/>
      <scheme val="minor"/>
    </font>
    <font>
      <b/>
      <i/>
      <sz val="10"/>
      <name val="Calibri"/>
      <family val="2"/>
      <scheme val="minor"/>
    </font>
  </fonts>
  <fills count="61">
    <fill>
      <patternFill patternType="none"/>
    </fill>
    <fill>
      <patternFill patternType="gray125"/>
    </fill>
    <fill>
      <patternFill patternType="solid">
        <fgColor rgb="FFC6EFCE"/>
      </patternFill>
    </fill>
    <fill>
      <patternFill patternType="solid">
        <fgColor indexed="22"/>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8"/>
      </patternFill>
    </fill>
    <fill>
      <patternFill patternType="solid">
        <fgColor indexed="9"/>
      </patternFill>
    </fill>
    <fill>
      <patternFill patternType="solid">
        <fgColor indexed="63"/>
      </patternFill>
    </fill>
    <fill>
      <patternFill patternType="solid">
        <fgColor indexed="55"/>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56"/>
      </patternFill>
    </fill>
    <fill>
      <patternFill patternType="solid">
        <fgColor indexed="5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CC99"/>
        <bgColor indexed="64"/>
      </patternFill>
    </fill>
    <fill>
      <patternFill patternType="solid">
        <fgColor rgb="FF00B0F0"/>
        <bgColor indexed="64"/>
      </patternFill>
    </fill>
    <fill>
      <patternFill patternType="solid">
        <fgColor theme="6" tint="0.79998168889431442"/>
        <bgColor indexed="64"/>
      </patternFill>
    </fill>
    <fill>
      <patternFill patternType="solid">
        <fgColor indexed="40"/>
        <bgColor indexed="64"/>
      </patternFill>
    </fill>
    <fill>
      <patternFill patternType="solid">
        <fgColor rgb="FF92D050"/>
        <bgColor indexed="64"/>
      </patternFill>
    </fill>
    <fill>
      <patternFill patternType="solid">
        <fgColor indexed="41"/>
        <bgColor indexed="64"/>
      </patternFill>
    </fill>
    <fill>
      <patternFill patternType="solid">
        <fgColor indexed="1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4" tint="0.39997558519241921"/>
        <bgColor indexed="64"/>
      </patternFill>
    </fill>
  </fills>
  <borders count="51">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48"/>
      </bottom>
      <diagonal/>
    </border>
    <border>
      <left/>
      <right/>
      <top/>
      <bottom style="double">
        <color indexed="10"/>
      </bottom>
      <diagonal/>
    </border>
    <border>
      <left/>
      <right/>
      <top/>
      <bottom style="double">
        <color indexed="51"/>
      </bottom>
      <diagonal/>
    </border>
    <border>
      <left/>
      <right/>
      <top style="thin">
        <color indexed="56"/>
      </top>
      <bottom style="double">
        <color indexed="56"/>
      </bottom>
      <diagonal/>
    </border>
    <border>
      <left/>
      <right/>
      <top style="thin">
        <color indexed="48"/>
      </top>
      <bottom style="double">
        <color indexed="4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medium">
        <color indexed="62"/>
      </left>
      <right style="medium">
        <color indexed="62"/>
      </right>
      <top style="medium">
        <color indexed="62"/>
      </top>
      <bottom style="medium">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6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165" fontId="9" fillId="0" borderId="0"/>
    <xf numFmtId="0" fontId="4" fillId="0" borderId="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2" fillId="11"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5"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1" fontId="4" fillId="0" borderId="0"/>
    <xf numFmtId="41" fontId="4" fillId="0" borderId="0"/>
    <xf numFmtId="41" fontId="4" fillId="0" borderId="0"/>
    <xf numFmtId="41" fontId="4" fillId="0" borderId="0"/>
    <xf numFmtId="0" fontId="14" fillId="6" borderId="0" applyNumberFormat="0" applyBorder="0" applyAlignment="0" applyProtection="0"/>
    <xf numFmtId="0" fontId="14" fillId="6" borderId="0" applyNumberFormat="0" applyBorder="0" applyAlignment="0" applyProtection="0"/>
    <xf numFmtId="3" fontId="4" fillId="0" borderId="0"/>
    <xf numFmtId="3" fontId="4" fillId="0" borderId="0"/>
    <xf numFmtId="3" fontId="4" fillId="0" borderId="0"/>
    <xf numFmtId="3" fontId="4" fillId="0" borderId="0"/>
    <xf numFmtId="0" fontId="15" fillId="25" borderId="2" applyNumberFormat="0" applyAlignment="0" applyProtection="0"/>
    <xf numFmtId="0" fontId="15" fillId="25" borderId="2" applyNumberFormat="0" applyAlignment="0" applyProtection="0"/>
    <xf numFmtId="0" fontId="15" fillId="3" borderId="2" applyNumberFormat="0" applyAlignment="0" applyProtection="0"/>
    <xf numFmtId="0" fontId="15" fillId="3" borderId="2" applyNumberFormat="0" applyAlignment="0" applyProtection="0"/>
    <xf numFmtId="0" fontId="16" fillId="26" borderId="3" applyNumberFormat="0" applyAlignment="0" applyProtection="0"/>
    <xf numFmtId="0" fontId="16" fillId="27" borderId="4" applyNumberFormat="0" applyAlignment="0" applyProtection="0"/>
    <xf numFmtId="0" fontId="4" fillId="28" borderId="0">
      <alignment horizontal="center"/>
    </xf>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alignment vertical="top"/>
    </xf>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9" fillId="0" borderId="0"/>
    <xf numFmtId="3" fontId="20" fillId="0" borderId="0" applyFont="0" applyFill="0" applyBorder="0" applyAlignment="0" applyProtection="0"/>
    <xf numFmtId="0" fontId="21" fillId="0" borderId="0"/>
    <xf numFmtId="0" fontId="21" fillId="0" borderId="0"/>
    <xf numFmtId="0" fontId="22" fillId="29" borderId="1" applyAlignment="0">
      <alignment horizontal="right"/>
      <protection locked="0"/>
    </xf>
    <xf numFmtId="44" fontId="1"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2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20" fillId="0" borderId="0" applyFont="0" applyFill="0" applyBorder="0" applyAlignment="0" applyProtection="0"/>
    <xf numFmtId="0" fontId="24" fillId="30" borderId="0">
      <alignment horizontal="right"/>
      <protection locked="0"/>
    </xf>
    <xf numFmtId="14" fontId="4" fillId="0" borderId="0"/>
    <xf numFmtId="0" fontId="25" fillId="0" borderId="0" applyNumberFormat="0" applyFill="0" applyBorder="0" applyAlignment="0" applyProtection="0"/>
    <xf numFmtId="0" fontId="25" fillId="0" borderId="0" applyNumberFormat="0" applyFill="0" applyBorder="0" applyAlignment="0" applyProtection="0"/>
    <xf numFmtId="0" fontId="4" fillId="0" borderId="0"/>
    <xf numFmtId="2" fontId="24" fillId="30" borderId="0">
      <alignment horizontal="right"/>
      <protection locked="0"/>
    </xf>
    <xf numFmtId="1" fontId="4" fillId="0" borderId="0">
      <alignment horizontal="center"/>
    </xf>
    <xf numFmtId="0" fontId="26" fillId="8" borderId="0" applyNumberFormat="0" applyBorder="0" applyAlignment="0" applyProtection="0"/>
    <xf numFmtId="0" fontId="26" fillId="8" borderId="0" applyNumberFormat="0" applyBorder="0" applyAlignment="0" applyProtection="0"/>
    <xf numFmtId="0" fontId="2" fillId="2" borderId="0" applyNumberFormat="0" applyBorder="0" applyAlignment="0" applyProtection="0"/>
    <xf numFmtId="0" fontId="27" fillId="0" borderId="5" applyNumberFormat="0" applyFill="0" applyAlignment="0" applyProtection="0"/>
    <xf numFmtId="0" fontId="27"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13" borderId="2" applyNumberFormat="0" applyAlignment="0" applyProtection="0"/>
    <xf numFmtId="0" fontId="38" fillId="11" borderId="2" applyNumberFormat="0" applyAlignment="0" applyProtection="0"/>
    <xf numFmtId="3" fontId="39" fillId="31" borderId="0">
      <protection locked="0"/>
    </xf>
    <xf numFmtId="4" fontId="39" fillId="31" borderId="0">
      <protection locked="0"/>
    </xf>
    <xf numFmtId="0" fontId="40" fillId="0" borderId="10" applyNumberFormat="0" applyFill="0" applyAlignment="0" applyProtection="0"/>
    <xf numFmtId="0" fontId="40" fillId="0" borderId="10" applyNumberFormat="0" applyFill="0" applyAlignment="0" applyProtection="0"/>
    <xf numFmtId="0" fontId="40" fillId="0" borderId="10" applyNumberFormat="0" applyFill="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43" fontId="4"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1" fillId="0" borderId="0"/>
    <xf numFmtId="0" fontId="12" fillId="0" borderId="0"/>
    <xf numFmtId="0" fontId="12" fillId="0" borderId="0"/>
    <xf numFmtId="0" fontId="4"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12" fillId="0" borderId="0"/>
    <xf numFmtId="0" fontId="12" fillId="0" borderId="0"/>
    <xf numFmtId="0" fontId="42" fillId="0" borderId="0"/>
    <xf numFmtId="0" fontId="42" fillId="0" borderId="0"/>
    <xf numFmtId="0" fontId="12" fillId="0" borderId="0"/>
    <xf numFmtId="0" fontId="12" fillId="0" borderId="0"/>
    <xf numFmtId="0" fontId="18" fillId="0" borderId="0"/>
    <xf numFmtId="0" fontId="18"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9" fillId="0" borderId="0"/>
    <xf numFmtId="0" fontId="4" fillId="0" borderId="0"/>
    <xf numFmtId="0" fontId="12" fillId="0" borderId="0"/>
    <xf numFmtId="0" fontId="12" fillId="0" borderId="0"/>
    <xf numFmtId="0" fontId="12" fillId="0" borderId="0"/>
    <xf numFmtId="0" fontId="12" fillId="0" borderId="0"/>
    <xf numFmtId="0" fontId="12" fillId="0" borderId="0"/>
    <xf numFmtId="0" fontId="4" fillId="0" borderId="0">
      <alignment wrapText="1"/>
    </xf>
    <xf numFmtId="0" fontId="12" fillId="0" borderId="0"/>
    <xf numFmtId="0" fontId="4" fillId="0" borderId="0"/>
    <xf numFmtId="0" fontId="12" fillId="0" borderId="0"/>
    <xf numFmtId="0" fontId="4" fillId="0" borderId="0"/>
    <xf numFmtId="0" fontId="12" fillId="0" borderId="0"/>
    <xf numFmtId="0" fontId="4" fillId="0" borderId="0">
      <alignment wrapText="1"/>
    </xf>
    <xf numFmtId="0" fontId="4" fillId="0" borderId="0"/>
    <xf numFmtId="0" fontId="19" fillId="0" borderId="0">
      <alignment vertical="top"/>
    </xf>
    <xf numFmtId="0" fontId="4" fillId="0" borderId="0"/>
    <xf numFmtId="0" fontId="4" fillId="0" borderId="0"/>
    <xf numFmtId="0" fontId="20" fillId="0" borderId="0"/>
    <xf numFmtId="0" fontId="4" fillId="0" borderId="0"/>
    <xf numFmtId="0" fontId="4" fillId="0" borderId="0"/>
    <xf numFmtId="0" fontId="4" fillId="0" borderId="0"/>
    <xf numFmtId="0" fontId="1" fillId="0" borderId="0"/>
    <xf numFmtId="0" fontId="4" fillId="0" borderId="0"/>
    <xf numFmtId="0" fontId="1" fillId="0" borderId="0"/>
    <xf numFmtId="0" fontId="9" fillId="0" borderId="0"/>
    <xf numFmtId="0" fontId="12" fillId="0" borderId="0"/>
    <xf numFmtId="165" fontId="9" fillId="0" borderId="0"/>
    <xf numFmtId="0" fontId="19" fillId="0" borderId="0">
      <alignment vertical="top"/>
    </xf>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12"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2" fillId="0" borderId="0"/>
    <xf numFmtId="0" fontId="4"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37" fontId="43" fillId="32" borderId="0" applyFill="0"/>
    <xf numFmtId="0" fontId="12" fillId="7" borderId="11" applyNumberFormat="0" applyFont="0" applyAlignment="0" applyProtection="0"/>
    <xf numFmtId="0" fontId="12" fillId="7" borderId="11" applyNumberFormat="0" applyFont="0" applyAlignment="0" applyProtection="0"/>
    <xf numFmtId="0" fontId="6" fillId="7" borderId="11" applyNumberFormat="0" applyFont="0" applyAlignment="0" applyProtection="0"/>
    <xf numFmtId="0" fontId="6" fillId="7" borderId="11" applyNumberFormat="0" applyFont="0" applyAlignment="0" applyProtection="0"/>
    <xf numFmtId="167" fontId="44" fillId="0" borderId="0" applyNumberFormat="0"/>
    <xf numFmtId="0" fontId="31" fillId="25" borderId="12" applyNumberFormat="0" applyAlignment="0" applyProtection="0"/>
    <xf numFmtId="0" fontId="45" fillId="3" borderId="13"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0" fontId="4" fillId="0" borderId="0" applyFont="0" applyFill="0" applyBorder="0" applyAlignment="0" applyProtection="0"/>
    <xf numFmtId="0" fontId="4" fillId="0" borderId="0"/>
    <xf numFmtId="0" fontId="4" fillId="0" borderId="0"/>
    <xf numFmtId="0" fontId="4" fillId="0" borderId="0"/>
    <xf numFmtId="0" fontId="4" fillId="0" borderId="0"/>
    <xf numFmtId="38" fontId="46" fillId="0" borderId="0" applyNumberFormat="0" applyFont="0" applyFill="0" applyBorder="0">
      <alignment horizontal="left" indent="4"/>
      <protection locked="0"/>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47" fillId="0" borderId="14">
      <alignment horizontal="center"/>
    </xf>
    <xf numFmtId="3" fontId="20" fillId="0" borderId="0" applyFont="0" applyFill="0" applyBorder="0" applyAlignment="0" applyProtection="0"/>
    <xf numFmtId="0" fontId="20" fillId="33" borderId="0" applyNumberFormat="0" applyFon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9" fillId="0" borderId="0">
      <alignment vertical="top"/>
    </xf>
    <xf numFmtId="0" fontId="19" fillId="0" borderId="0">
      <alignment vertical="top"/>
    </xf>
    <xf numFmtId="0" fontId="19" fillId="0" borderId="0" applyNumberFormat="0" applyBorder="0" applyAlignment="0"/>
    <xf numFmtId="37" fontId="49" fillId="0" borderId="0"/>
    <xf numFmtId="0" fontId="50" fillId="0" borderId="0" applyNumberFormat="0" applyFill="0" applyBorder="0" applyAlignment="0" applyProtection="0"/>
    <xf numFmtId="0" fontId="51" fillId="0" borderId="0" applyNumberFormat="0" applyFill="0" applyBorder="0" applyAlignment="0" applyProtection="0"/>
    <xf numFmtId="0" fontId="52" fillId="0" borderId="15" applyNumberFormat="0" applyFill="0" applyAlignment="0" applyProtection="0"/>
    <xf numFmtId="0" fontId="52" fillId="0" borderId="15" applyNumberFormat="0" applyFill="0" applyAlignment="0" applyProtection="0"/>
    <xf numFmtId="0" fontId="52" fillId="0" borderId="16" applyNumberFormat="0" applyFill="0" applyAlignment="0" applyProtection="0"/>
    <xf numFmtId="0" fontId="52" fillId="0" borderId="16"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164" fontId="43" fillId="34" borderId="0" applyFont="0" applyFill="0" applyBorder="0" applyAlignment="0" applyProtection="0">
      <alignment wrapText="1"/>
    </xf>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9" fontId="19"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0" fontId="4" fillId="0" borderId="0"/>
    <xf numFmtId="0" fontId="12" fillId="12"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6" borderId="0" applyNumberFormat="0" applyBorder="0" applyAlignment="0" applyProtection="0"/>
    <xf numFmtId="0" fontId="12" fillId="10" borderId="0" applyNumberFormat="0" applyBorder="0" applyAlignment="0" applyProtection="0"/>
    <xf numFmtId="0" fontId="12" fillId="7" borderId="0" applyNumberFormat="0" applyBorder="0" applyAlignment="0" applyProtection="0"/>
    <xf numFmtId="0" fontId="13" fillId="10"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24" borderId="0" applyNumberFormat="0" applyBorder="0" applyAlignment="0" applyProtection="0"/>
    <xf numFmtId="0" fontId="13" fillId="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21" borderId="0" applyNumberFormat="0" applyBorder="0" applyAlignment="0" applyProtection="0"/>
    <xf numFmtId="0" fontId="13" fillId="19" borderId="0" applyNumberFormat="0" applyBorder="0" applyAlignment="0" applyProtection="0"/>
    <xf numFmtId="0" fontId="14" fillId="9" borderId="0" applyNumberFormat="0" applyBorder="0" applyAlignment="0" applyProtection="0"/>
    <xf numFmtId="0" fontId="86" fillId="25" borderId="2" applyNumberFormat="0" applyAlignment="0" applyProtection="0"/>
    <xf numFmtId="0" fontId="89" fillId="25" borderId="2" applyNumberFormat="0" applyAlignment="0" applyProtection="0"/>
    <xf numFmtId="43" fontId="4" fillId="0" borderId="0" applyFont="0" applyFill="0" applyBorder="0" applyAlignment="0" applyProtection="0"/>
    <xf numFmtId="44" fontId="23" fillId="0" borderId="0" applyFont="0" applyFill="0" applyBorder="0" applyAlignment="0" applyProtection="0"/>
    <xf numFmtId="0" fontId="26" fillId="10" borderId="0" applyNumberFormat="0" applyBorder="0" applyAlignment="0" applyProtection="0"/>
    <xf numFmtId="0" fontId="27" fillId="0" borderId="21" applyNumberFormat="0" applyFill="0" applyAlignment="0" applyProtection="0"/>
    <xf numFmtId="0" fontId="90" fillId="0" borderId="22" applyNumberFormat="0" applyFill="0" applyAlignment="0" applyProtection="0"/>
    <xf numFmtId="0" fontId="29" fillId="0" borderId="23" applyNumberFormat="0" applyFill="0" applyAlignment="0" applyProtection="0"/>
    <xf numFmtId="0" fontId="91" fillId="0" borderId="7" applyNumberFormat="0" applyFill="0" applyAlignment="0" applyProtection="0"/>
    <xf numFmtId="0" fontId="31" fillId="0" borderId="24" applyNumberFormat="0" applyFill="0" applyAlignment="0" applyProtection="0"/>
    <xf numFmtId="0" fontId="33" fillId="0" borderId="25" applyNumberFormat="0" applyFill="0" applyAlignment="0" applyProtection="0"/>
    <xf numFmtId="0" fontId="31" fillId="0" borderId="0" applyNumberFormat="0" applyFill="0" applyBorder="0" applyAlignment="0" applyProtection="0"/>
    <xf numFmtId="0" fontId="38" fillId="13" borderId="2" applyNumberFormat="0" applyAlignment="0" applyProtection="0"/>
    <xf numFmtId="0" fontId="53" fillId="0" borderId="26" applyNumberFormat="0" applyFill="0" applyAlignment="0" applyProtection="0"/>
    <xf numFmtId="0" fontId="92" fillId="0" borderId="27" applyNumberFormat="0" applyFill="0" applyAlignment="0" applyProtection="0"/>
    <xf numFmtId="0" fontId="87" fillId="13" borderId="0" applyNumberFormat="0" applyBorder="0" applyAlignment="0" applyProtection="0"/>
    <xf numFmtId="0" fontId="93"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7" borderId="11" applyNumberFormat="0" applyFont="0" applyAlignment="0" applyProtection="0"/>
    <xf numFmtId="0" fontId="19" fillId="7" borderId="11" applyNumberFormat="0" applyFont="0" applyAlignment="0" applyProtection="0"/>
    <xf numFmtId="0" fontId="45" fillId="25" borderId="13" applyNumberFormat="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88" fillId="0" borderId="0" applyNumberFormat="0" applyFill="0" applyBorder="0" applyAlignment="0" applyProtection="0"/>
    <xf numFmtId="0" fontId="52" fillId="0" borderId="28" applyNumberFormat="0" applyFill="0" applyAlignment="0" applyProtection="0"/>
    <xf numFmtId="0" fontId="52" fillId="0" borderId="29" applyNumberFormat="0" applyFill="0" applyAlignment="0" applyProtection="0"/>
    <xf numFmtId="43" fontId="4"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0" fontId="9" fillId="0" borderId="0"/>
    <xf numFmtId="0" fontId="12"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3" fillId="10"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45" borderId="0" applyNumberFormat="0" applyBorder="0" applyAlignment="0" applyProtection="0"/>
    <xf numFmtId="0" fontId="86" fillId="25" borderId="2" applyNumberFormat="0" applyAlignment="0" applyProtection="0"/>
    <xf numFmtId="0" fontId="27" fillId="0" borderId="21" applyNumberFormat="0" applyFill="0" applyAlignment="0" applyProtection="0"/>
    <xf numFmtId="0" fontId="29" fillId="0" borderId="23" applyNumberFormat="0" applyFill="0" applyAlignment="0" applyProtection="0"/>
    <xf numFmtId="0" fontId="31" fillId="0" borderId="24" applyNumberFormat="0" applyFill="0" applyAlignment="0" applyProtection="0"/>
    <xf numFmtId="0" fontId="9" fillId="7" borderId="11" applyNumberFormat="0" applyFont="0" applyAlignment="0" applyProtection="0"/>
    <xf numFmtId="0" fontId="52" fillId="0" borderId="28" applyNumberFormat="0" applyFill="0" applyAlignment="0" applyProtection="0"/>
    <xf numFmtId="0" fontId="1" fillId="0" borderId="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37" fontId="43" fillId="32" borderId="0" applyFill="0"/>
    <xf numFmtId="0" fontId="4" fillId="0" borderId="0"/>
    <xf numFmtId="0" fontId="4" fillId="0" borderId="0"/>
    <xf numFmtId="0" fontId="4" fillId="0" borderId="0"/>
    <xf numFmtId="0" fontId="4" fillId="0" borderId="0"/>
  </cellStyleXfs>
  <cellXfs count="1162">
    <xf numFmtId="0" fontId="0" fillId="0" borderId="0" xfId="0"/>
    <xf numFmtId="1" fontId="5" fillId="0" borderId="0" xfId="4" applyNumberFormat="1" applyFont="1" applyFill="1" applyBorder="1" applyAlignment="1">
      <alignment horizontal="left"/>
    </xf>
    <xf numFmtId="0" fontId="5" fillId="0" borderId="0" xfId="4" applyFont="1" applyBorder="1"/>
    <xf numFmtId="3" fontId="6" fillId="0" borderId="0" xfId="4" applyNumberFormat="1" applyFont="1" applyBorder="1"/>
    <xf numFmtId="37" fontId="5" fillId="0" borderId="0" xfId="4" applyNumberFormat="1" applyFont="1" applyFill="1" applyBorder="1" applyAlignment="1">
      <alignment horizontal="center"/>
    </xf>
    <xf numFmtId="37" fontId="7" fillId="0" borderId="0" xfId="4" applyNumberFormat="1" applyFont="1" applyFill="1" applyBorder="1" applyAlignment="1">
      <alignment horizontal="center"/>
    </xf>
    <xf numFmtId="37" fontId="6" fillId="0" borderId="0" xfId="4" applyNumberFormat="1" applyFont="1" applyFill="1" applyBorder="1" applyAlignment="1">
      <alignment horizontal="center"/>
    </xf>
    <xf numFmtId="37" fontId="6" fillId="0" borderId="0" xfId="4" applyNumberFormat="1" applyFont="1" applyFill="1" applyBorder="1"/>
    <xf numFmtId="0" fontId="6" fillId="0" borderId="0" xfId="4" applyFont="1" applyFill="1" applyBorder="1"/>
    <xf numFmtId="0" fontId="6" fillId="0" borderId="0" xfId="4" applyFont="1" applyBorder="1"/>
    <xf numFmtId="0" fontId="5" fillId="0" borderId="0" xfId="4" applyFont="1" applyBorder="1" applyAlignment="1"/>
    <xf numFmtId="3" fontId="5" fillId="0" borderId="0" xfId="0" applyNumberFormat="1" applyFont="1" applyBorder="1" applyAlignment="1">
      <alignment horizontal="center"/>
    </xf>
    <xf numFmtId="37" fontId="5" fillId="0" borderId="0" xfId="0" applyNumberFormat="1" applyFont="1" applyBorder="1" applyAlignment="1">
      <alignment horizontal="center"/>
    </xf>
    <xf numFmtId="1" fontId="6" fillId="0" borderId="0" xfId="4" applyNumberFormat="1" applyFont="1" applyFill="1" applyBorder="1" applyAlignment="1">
      <alignment horizontal="right"/>
    </xf>
    <xf numFmtId="37" fontId="7" fillId="0" borderId="1" xfId="4" applyNumberFormat="1" applyFont="1" applyFill="1" applyBorder="1" applyAlignment="1">
      <alignment horizontal="center"/>
    </xf>
    <xf numFmtId="0" fontId="5" fillId="0" borderId="1" xfId="4" applyNumberFormat="1" applyFont="1" applyFill="1" applyBorder="1" applyAlignment="1">
      <alignment horizontal="center"/>
    </xf>
    <xf numFmtId="0" fontId="6" fillId="0" borderId="0" xfId="4" applyNumberFormat="1" applyFont="1" applyBorder="1" applyAlignment="1">
      <alignment horizontal="center"/>
    </xf>
    <xf numFmtId="0" fontId="8" fillId="0" borderId="0" xfId="4" applyFont="1" applyBorder="1"/>
    <xf numFmtId="164" fontId="6" fillId="0" borderId="0" xfId="1" applyNumberFormat="1" applyFont="1" applyBorder="1"/>
    <xf numFmtId="164" fontId="6" fillId="0" borderId="0" xfId="1" applyNumberFormat="1" applyFont="1" applyFill="1" applyBorder="1" applyAlignment="1">
      <alignment horizontal="right"/>
    </xf>
    <xf numFmtId="37" fontId="6" fillId="0" borderId="0" xfId="4" applyNumberFormat="1" applyFont="1" applyFill="1" applyBorder="1" applyAlignment="1">
      <alignment horizontal="right"/>
    </xf>
    <xf numFmtId="164" fontId="6" fillId="0" borderId="0" xfId="1" applyNumberFormat="1" applyFont="1" applyFill="1" applyBorder="1"/>
    <xf numFmtId="164" fontId="6" fillId="0" borderId="0" xfId="4" applyNumberFormat="1" applyFont="1" applyBorder="1"/>
    <xf numFmtId="164" fontId="6" fillId="0" borderId="1" xfId="1" applyNumberFormat="1" applyFont="1" applyBorder="1"/>
    <xf numFmtId="164" fontId="6" fillId="0" borderId="1" xfId="1" applyNumberFormat="1" applyFont="1" applyFill="1" applyBorder="1" applyAlignment="1">
      <alignment horizontal="right"/>
    </xf>
    <xf numFmtId="164" fontId="5" fillId="0" borderId="1" xfId="1" applyNumberFormat="1" applyFont="1" applyFill="1" applyBorder="1" applyAlignment="1">
      <alignment horizontal="center"/>
    </xf>
    <xf numFmtId="37" fontId="6" fillId="0" borderId="1" xfId="4" applyNumberFormat="1" applyFont="1" applyFill="1" applyBorder="1" applyAlignment="1">
      <alignment horizontal="right"/>
    </xf>
    <xf numFmtId="164" fontId="6" fillId="0" borderId="1" xfId="1" applyNumberFormat="1" applyFont="1" applyFill="1" applyBorder="1"/>
    <xf numFmtId="164" fontId="5" fillId="0" borderId="0" xfId="1" applyNumberFormat="1" applyFont="1" applyBorder="1"/>
    <xf numFmtId="164" fontId="5" fillId="0" borderId="0" xfId="1" applyNumberFormat="1" applyFont="1" applyFill="1" applyBorder="1"/>
    <xf numFmtId="164" fontId="7" fillId="0" borderId="0" xfId="5" applyNumberFormat="1" applyFont="1" applyFill="1" applyBorder="1" applyAlignment="1">
      <alignment horizontal="center"/>
    </xf>
    <xf numFmtId="164" fontId="6" fillId="0" borderId="0" xfId="5" applyNumberFormat="1" applyFont="1" applyBorder="1"/>
    <xf numFmtId="3" fontId="6" fillId="0" borderId="0" xfId="4" applyNumberFormat="1" applyFont="1" applyFill="1" applyBorder="1"/>
    <xf numFmtId="164" fontId="5" fillId="0" borderId="0" xfId="1" applyNumberFormat="1" applyFont="1" applyFill="1" applyBorder="1" applyAlignment="1">
      <alignment horizontal="center"/>
    </xf>
    <xf numFmtId="10" fontId="6" fillId="0" borderId="0" xfId="1" applyNumberFormat="1" applyFont="1" applyFill="1" applyBorder="1"/>
    <xf numFmtId="1" fontId="6" fillId="0" borderId="0" xfId="6" applyNumberFormat="1" applyFont="1" applyFill="1" applyBorder="1" applyAlignment="1">
      <alignment horizontal="right"/>
    </xf>
    <xf numFmtId="165" fontId="6" fillId="0" borderId="0" xfId="6" applyFont="1" applyBorder="1"/>
    <xf numFmtId="37" fontId="6" fillId="0" borderId="1" xfId="4" applyNumberFormat="1" applyFont="1" applyFill="1" applyBorder="1" applyAlignment="1">
      <alignment horizontal="center"/>
    </xf>
    <xf numFmtId="1" fontId="5" fillId="0" borderId="0" xfId="6" applyNumberFormat="1" applyFont="1" applyFill="1" applyBorder="1" applyAlignment="1">
      <alignment horizontal="right"/>
    </xf>
    <xf numFmtId="1" fontId="10" fillId="0" borderId="0" xfId="7" quotePrefix="1" applyNumberFormat="1" applyFont="1" applyFill="1" applyBorder="1" applyAlignment="1">
      <alignment horizontal="right"/>
    </xf>
    <xf numFmtId="164" fontId="5" fillId="0" borderId="0" xfId="1" applyNumberFormat="1" applyFont="1" applyFill="1" applyBorder="1" applyAlignment="1">
      <alignment horizontal="right"/>
    </xf>
    <xf numFmtId="164" fontId="5" fillId="0" borderId="1" xfId="1" applyNumberFormat="1" applyFont="1" applyFill="1" applyBorder="1" applyAlignment="1">
      <alignment horizontal="right"/>
    </xf>
    <xf numFmtId="1" fontId="5" fillId="0" borderId="0" xfId="4" applyNumberFormat="1" applyFont="1" applyFill="1" applyBorder="1" applyAlignment="1">
      <alignment horizontal="right"/>
    </xf>
    <xf numFmtId="164" fontId="6" fillId="0" borderId="0" xfId="5" applyNumberFormat="1" applyFont="1" applyFill="1" applyBorder="1"/>
    <xf numFmtId="3" fontId="6" fillId="0" borderId="0" xfId="6" applyNumberFormat="1" applyFont="1" applyFill="1" applyBorder="1"/>
    <xf numFmtId="0" fontId="5" fillId="0" borderId="0" xfId="4" applyFont="1" applyFill="1" applyBorder="1"/>
    <xf numFmtId="37" fontId="6" fillId="0" borderId="1" xfId="4" quotePrefix="1" applyNumberFormat="1" applyFont="1" applyFill="1" applyBorder="1" applyAlignment="1">
      <alignment horizontal="center"/>
    </xf>
    <xf numFmtId="165" fontId="5" fillId="0" borderId="0" xfId="6" applyFont="1" applyFill="1" applyBorder="1"/>
    <xf numFmtId="1" fontId="10" fillId="0" borderId="0" xfId="7" applyNumberFormat="1" applyFont="1" applyFill="1" applyBorder="1" applyAlignment="1">
      <alignment horizontal="right"/>
    </xf>
    <xf numFmtId="164" fontId="6" fillId="0" borderId="0" xfId="1" applyNumberFormat="1" applyFont="1" applyFill="1" applyBorder="1" applyAlignment="1">
      <alignment horizontal="center"/>
    </xf>
    <xf numFmtId="43" fontId="0" fillId="0" borderId="0" xfId="0" applyNumberFormat="1"/>
    <xf numFmtId="164" fontId="6" fillId="0" borderId="1" xfId="1" applyNumberFormat="1" applyFont="1" applyFill="1" applyBorder="1" applyAlignment="1">
      <alignment horizontal="center"/>
    </xf>
    <xf numFmtId="164" fontId="5" fillId="0" borderId="0" xfId="5" applyNumberFormat="1" applyFont="1" applyFill="1" applyBorder="1"/>
    <xf numFmtId="1" fontId="11" fillId="0" borderId="0" xfId="7" quotePrefix="1" applyNumberFormat="1" applyFont="1" applyFill="1" applyBorder="1" applyAlignment="1">
      <alignment horizontal="right"/>
    </xf>
    <xf numFmtId="37" fontId="6" fillId="0" borderId="0" xfId="4" quotePrefix="1" applyNumberFormat="1" applyFont="1" applyFill="1" applyBorder="1" applyAlignment="1">
      <alignment horizontal="center"/>
    </xf>
    <xf numFmtId="10" fontId="5" fillId="0" borderId="0" xfId="4" applyNumberFormat="1" applyFont="1" applyBorder="1"/>
    <xf numFmtId="37" fontId="5" fillId="0" borderId="0" xfId="5" applyNumberFormat="1" applyFont="1" applyBorder="1"/>
    <xf numFmtId="164" fontId="5" fillId="0" borderId="0" xfId="4" applyNumberFormat="1" applyFont="1" applyFill="1" applyBorder="1"/>
    <xf numFmtId="164" fontId="0" fillId="0" borderId="0" xfId="0" applyNumberFormat="1"/>
    <xf numFmtId="0" fontId="0" fillId="0" borderId="0" xfId="0" applyFill="1"/>
    <xf numFmtId="37" fontId="4" fillId="0" borderId="0" xfId="397" applyFont="1" applyFill="1"/>
    <xf numFmtId="14" fontId="4" fillId="0" borderId="0" xfId="397" applyNumberFormat="1" applyFont="1" applyFill="1"/>
    <xf numFmtId="164" fontId="4" fillId="0" borderId="0" xfId="5" applyNumberFormat="1" applyFont="1" applyFill="1"/>
    <xf numFmtId="0" fontId="19" fillId="0" borderId="0" xfId="7" applyFont="1" applyAlignment="1">
      <alignment horizontal="left"/>
    </xf>
    <xf numFmtId="0" fontId="19" fillId="0" borderId="0" xfId="7" quotePrefix="1" applyFont="1" applyAlignment="1">
      <alignment horizontal="left"/>
    </xf>
    <xf numFmtId="0" fontId="19" fillId="0" borderId="0" xfId="7" applyFont="1"/>
    <xf numFmtId="164" fontId="19" fillId="0" borderId="0" xfId="114" applyNumberFormat="1" applyFont="1"/>
    <xf numFmtId="164" fontId="4" fillId="35" borderId="0" xfId="114" applyNumberFormat="1" applyFont="1" applyFill="1" applyBorder="1"/>
    <xf numFmtId="168" fontId="54" fillId="0" borderId="0" xfId="411" applyNumberFormat="1" applyFont="1" applyFill="1" applyBorder="1"/>
    <xf numFmtId="164" fontId="4" fillId="0" borderId="0" xfId="114" applyNumberFormat="1" applyFont="1" applyBorder="1"/>
    <xf numFmtId="0" fontId="4" fillId="0" borderId="0" xfId="261"/>
    <xf numFmtId="0" fontId="56" fillId="0" borderId="0" xfId="7" applyNumberFormat="1" applyFont="1"/>
    <xf numFmtId="0" fontId="55" fillId="0" borderId="0" xfId="7" applyNumberFormat="1" applyFont="1"/>
    <xf numFmtId="0" fontId="56" fillId="0" borderId="0" xfId="7" applyNumberFormat="1" applyFont="1" applyAlignment="1">
      <alignment horizontal="right"/>
    </xf>
    <xf numFmtId="49" fontId="57" fillId="0" borderId="0" xfId="7" applyNumberFormat="1" applyFont="1" applyAlignment="1">
      <alignment horizontal="right"/>
    </xf>
    <xf numFmtId="0" fontId="57" fillId="0" borderId="0" xfId="7" applyNumberFormat="1" applyFont="1" applyAlignment="1">
      <alignment horizontal="left"/>
    </xf>
    <xf numFmtId="0" fontId="58" fillId="0" borderId="0" xfId="7" applyNumberFormat="1" applyFont="1"/>
    <xf numFmtId="49" fontId="57" fillId="0" borderId="0" xfId="7" applyNumberFormat="1" applyFont="1" applyAlignment="1">
      <alignment horizontal="left"/>
    </xf>
    <xf numFmtId="49" fontId="59" fillId="0" borderId="0" xfId="7" applyNumberFormat="1" applyFont="1"/>
    <xf numFmtId="0" fontId="19" fillId="0" borderId="0" xfId="7" applyNumberFormat="1" applyFont="1"/>
    <xf numFmtId="164" fontId="60" fillId="0" borderId="1" xfId="114" applyNumberFormat="1" applyFont="1" applyFill="1" applyBorder="1" applyAlignment="1">
      <alignment horizontal="centerContinuous"/>
    </xf>
    <xf numFmtId="0" fontId="60" fillId="0" borderId="1" xfId="7" applyFont="1" applyFill="1" applyBorder="1" applyAlignment="1">
      <alignment horizontal="centerContinuous"/>
    </xf>
    <xf numFmtId="164" fontId="60" fillId="0" borderId="1" xfId="114" quotePrefix="1" applyNumberFormat="1" applyFont="1" applyFill="1" applyBorder="1" applyAlignment="1">
      <alignment horizontal="centerContinuous"/>
    </xf>
    <xf numFmtId="17" fontId="60" fillId="0" borderId="14" xfId="114" applyNumberFormat="1" applyFont="1" applyFill="1" applyBorder="1" applyAlignment="1">
      <alignment horizontal="centerContinuous"/>
    </xf>
    <xf numFmtId="0" fontId="60" fillId="0" borderId="0" xfId="7" applyFont="1" applyBorder="1"/>
    <xf numFmtId="0" fontId="60" fillId="0" borderId="0" xfId="7" applyFont="1"/>
    <xf numFmtId="17" fontId="60" fillId="0" borderId="14" xfId="114" applyNumberFormat="1" applyFont="1" applyBorder="1" applyAlignment="1">
      <alignment horizontal="centerContinuous"/>
    </xf>
    <xf numFmtId="17" fontId="5" fillId="0" borderId="14" xfId="114" applyNumberFormat="1" applyFont="1" applyFill="1" applyBorder="1" applyAlignment="1">
      <alignment horizontal="centerContinuous"/>
    </xf>
    <xf numFmtId="0" fontId="62" fillId="0" borderId="0" xfId="7" applyFont="1"/>
    <xf numFmtId="164" fontId="62" fillId="0" borderId="0" xfId="114" applyNumberFormat="1" applyFont="1"/>
    <xf numFmtId="37" fontId="4" fillId="0" borderId="0" xfId="397" applyFont="1" applyFill="1" applyBorder="1"/>
    <xf numFmtId="164" fontId="19" fillId="0" borderId="1" xfId="114" applyNumberFormat="1" applyFont="1" applyBorder="1"/>
    <xf numFmtId="164" fontId="19" fillId="34" borderId="0" xfId="5" applyNumberFormat="1" applyFont="1" applyFill="1" applyBorder="1"/>
    <xf numFmtId="164" fontId="55" fillId="0" borderId="0" xfId="5" applyNumberFormat="1" applyFont="1"/>
    <xf numFmtId="164" fontId="19" fillId="0" borderId="0" xfId="5" applyNumberFormat="1" applyFont="1"/>
    <xf numFmtId="164" fontId="19" fillId="0" borderId="1" xfId="5" applyNumberFormat="1" applyFont="1" applyBorder="1"/>
    <xf numFmtId="0" fontId="19" fillId="0" borderId="0" xfId="7" quotePrefix="1" applyFont="1"/>
    <xf numFmtId="0" fontId="61" fillId="0" borderId="0" xfId="7" applyFont="1" applyAlignment="1">
      <alignment horizontal="left"/>
    </xf>
    <xf numFmtId="164" fontId="19" fillId="34" borderId="17" xfId="5" applyNumberFormat="1" applyFont="1" applyFill="1" applyBorder="1"/>
    <xf numFmtId="0" fontId="61" fillId="0" borderId="0" xfId="7" applyFont="1"/>
    <xf numFmtId="0" fontId="61" fillId="0" borderId="0" xfId="7" quotePrefix="1" applyFont="1" applyAlignment="1">
      <alignment horizontal="left"/>
    </xf>
    <xf numFmtId="0" fontId="4" fillId="0" borderId="0" xfId="4"/>
    <xf numFmtId="164" fontId="4" fillId="0" borderId="0" xfId="5" applyNumberFormat="1" applyFont="1"/>
    <xf numFmtId="164" fontId="1" fillId="0" borderId="0" xfId="5" applyNumberFormat="1" applyFont="1"/>
    <xf numFmtId="0" fontId="4" fillId="0" borderId="0" xfId="4" applyFont="1"/>
    <xf numFmtId="0" fontId="61" fillId="36" borderId="0" xfId="7" quotePrefix="1" applyFont="1" applyFill="1" applyAlignment="1">
      <alignment horizontal="left"/>
    </xf>
    <xf numFmtId="0" fontId="19" fillId="36" borderId="0" xfId="7" applyFont="1" applyFill="1"/>
    <xf numFmtId="164" fontId="19" fillId="36" borderId="17" xfId="5" applyNumberFormat="1" applyFont="1" applyFill="1" applyBorder="1"/>
    <xf numFmtId="164" fontId="55" fillId="0" borderId="0" xfId="5" applyNumberFormat="1" applyFont="1" applyFill="1"/>
    <xf numFmtId="164" fontId="55" fillId="0" borderId="0" xfId="5" applyNumberFormat="1" applyFont="1" applyFill="1" applyBorder="1"/>
    <xf numFmtId="0" fontId="55" fillId="0" borderId="0" xfId="7" applyNumberFormat="1" applyFont="1" applyFill="1"/>
    <xf numFmtId="0" fontId="4" fillId="0" borderId="0" xfId="266" applyFont="1"/>
    <xf numFmtId="169" fontId="4" fillId="0" borderId="0" xfId="266" applyNumberFormat="1" applyFont="1"/>
    <xf numFmtId="164" fontId="62" fillId="0" borderId="0" xfId="5" applyNumberFormat="1" applyFont="1"/>
    <xf numFmtId="0" fontId="61" fillId="37" borderId="0" xfId="7" applyFont="1" applyFill="1" applyAlignment="1">
      <alignment horizontal="left"/>
    </xf>
    <xf numFmtId="0" fontId="19" fillId="37" borderId="0" xfId="7" applyFont="1" applyFill="1"/>
    <xf numFmtId="169" fontId="19" fillId="37" borderId="17" xfId="5" quotePrefix="1" applyNumberFormat="1" applyFont="1" applyFill="1" applyBorder="1"/>
    <xf numFmtId="164" fontId="54" fillId="0" borderId="0" xfId="5" applyNumberFormat="1" applyFont="1" applyFill="1" applyBorder="1"/>
    <xf numFmtId="164" fontId="19" fillId="34" borderId="18" xfId="5" applyNumberFormat="1" applyFont="1" applyFill="1" applyBorder="1"/>
    <xf numFmtId="164" fontId="4" fillId="0" borderId="0" xfId="114" applyNumberFormat="1" applyFont="1" applyFill="1"/>
    <xf numFmtId="164" fontId="19" fillId="38" borderId="0" xfId="5" applyNumberFormat="1" applyFont="1" applyFill="1" applyBorder="1"/>
    <xf numFmtId="164" fontId="19" fillId="38" borderId="0" xfId="5" applyNumberFormat="1" applyFont="1" applyFill="1"/>
    <xf numFmtId="164" fontId="54" fillId="38" borderId="0" xfId="5" applyNumberFormat="1" applyFont="1" applyFill="1" applyBorder="1"/>
    <xf numFmtId="164" fontId="63" fillId="0" borderId="0" xfId="114" applyNumberFormat="1" applyFont="1" applyFill="1" applyAlignment="1">
      <alignment horizontal="right"/>
    </xf>
    <xf numFmtId="0" fontId="64" fillId="0" borderId="0" xfId="7" applyNumberFormat="1" applyFont="1"/>
    <xf numFmtId="164" fontId="65" fillId="0" borderId="0" xfId="114" applyNumberFormat="1" applyFont="1" applyFill="1"/>
    <xf numFmtId="167" fontId="60" fillId="0" borderId="0" xfId="3" applyNumberFormat="1" applyFont="1" applyFill="1"/>
    <xf numFmtId="0" fontId="3" fillId="0" borderId="0" xfId="0" applyFont="1"/>
    <xf numFmtId="0" fontId="0" fillId="0" borderId="0" xfId="0" applyAlignment="1">
      <alignment horizontal="right"/>
    </xf>
    <xf numFmtId="0" fontId="3" fillId="0" borderId="1" xfId="0" applyFont="1" applyBorder="1" applyAlignment="1">
      <alignment horizontal="center" wrapText="1"/>
    </xf>
    <xf numFmtId="0" fontId="3" fillId="0" borderId="1" xfId="0" applyFont="1" applyFill="1" applyBorder="1" applyAlignment="1">
      <alignment horizontal="center" wrapText="1"/>
    </xf>
    <xf numFmtId="0" fontId="0" fillId="0" borderId="1" xfId="0" applyBorder="1"/>
    <xf numFmtId="0" fontId="16" fillId="24" borderId="0" xfId="67" applyFont="1"/>
    <xf numFmtId="0" fontId="67" fillId="0" borderId="0" xfId="0" applyFont="1" applyFill="1"/>
    <xf numFmtId="0" fontId="68" fillId="0" borderId="0" xfId="396" applyFont="1" applyFill="1"/>
    <xf numFmtId="0" fontId="68" fillId="0" borderId="0" xfId="396" applyFont="1" applyFill="1" applyAlignment="1">
      <alignment horizontal="center"/>
    </xf>
    <xf numFmtId="0" fontId="68" fillId="0" borderId="0" xfId="396" applyFont="1"/>
    <xf numFmtId="0" fontId="69" fillId="0" borderId="0" xfId="0" applyFont="1"/>
    <xf numFmtId="164" fontId="69" fillId="0" borderId="0" xfId="89" applyNumberFormat="1" applyFont="1"/>
    <xf numFmtId="0" fontId="70" fillId="0" borderId="0" xfId="396" applyFont="1"/>
    <xf numFmtId="0" fontId="71" fillId="0" borderId="0" xfId="396" applyFont="1" applyFill="1"/>
    <xf numFmtId="2" fontId="68" fillId="0" borderId="0" xfId="396" applyNumberFormat="1" applyFont="1"/>
    <xf numFmtId="0" fontId="71" fillId="0" borderId="0" xfId="396" applyFont="1" applyFill="1" applyAlignment="1">
      <alignment horizontal="center" wrapText="1"/>
    </xf>
    <xf numFmtId="0" fontId="71" fillId="40" borderId="0" xfId="396" applyFont="1" applyFill="1" applyAlignment="1">
      <alignment horizontal="center"/>
    </xf>
    <xf numFmtId="17" fontId="71" fillId="41" borderId="0" xfId="396" applyNumberFormat="1" applyFont="1" applyFill="1" applyAlignment="1">
      <alignment horizontal="center"/>
    </xf>
    <xf numFmtId="0" fontId="71" fillId="41" borderId="0" xfId="396" applyFont="1" applyFill="1" applyAlignment="1">
      <alignment horizontal="center" wrapText="1"/>
    </xf>
    <xf numFmtId="17" fontId="71" fillId="42" borderId="0" xfId="396" applyNumberFormat="1" applyFont="1" applyFill="1" applyAlignment="1">
      <alignment horizontal="center"/>
    </xf>
    <xf numFmtId="164" fontId="71" fillId="42" borderId="0" xfId="89" applyNumberFormat="1" applyFont="1" applyFill="1" applyAlignment="1">
      <alignment horizontal="center"/>
    </xf>
    <xf numFmtId="0" fontId="71" fillId="0" borderId="0" xfId="396" applyFont="1" applyFill="1" applyAlignment="1">
      <alignment horizontal="center"/>
    </xf>
    <xf numFmtId="14" fontId="71" fillId="40" borderId="0" xfId="396" applyNumberFormat="1" applyFont="1" applyFill="1" applyAlignment="1">
      <alignment horizontal="center" wrapText="1"/>
    </xf>
    <xf numFmtId="0" fontId="71" fillId="42" borderId="0" xfId="396" applyFont="1" applyFill="1" applyAlignment="1">
      <alignment horizontal="center" wrapText="1"/>
    </xf>
    <xf numFmtId="164" fontId="71" fillId="42" borderId="0" xfId="89" applyNumberFormat="1" applyFont="1" applyFill="1" applyAlignment="1">
      <alignment horizontal="center" wrapText="1"/>
    </xf>
    <xf numFmtId="0" fontId="69" fillId="0" borderId="0" xfId="0" applyFont="1" applyFill="1"/>
    <xf numFmtId="164" fontId="68" fillId="0" borderId="0" xfId="89" applyNumberFormat="1" applyFont="1"/>
    <xf numFmtId="0" fontId="72" fillId="0" borderId="0" xfId="396" applyFont="1" applyFill="1" applyAlignment="1">
      <alignment horizontal="center"/>
    </xf>
    <xf numFmtId="0" fontId="73" fillId="0" borderId="0" xfId="396" applyFont="1" applyAlignment="1">
      <alignment horizontal="left"/>
    </xf>
    <xf numFmtId="0" fontId="71" fillId="0" borderId="0" xfId="396" applyFont="1" applyAlignment="1">
      <alignment horizontal="left"/>
    </xf>
    <xf numFmtId="43" fontId="68" fillId="0" borderId="0" xfId="89" applyFont="1" applyFill="1" applyAlignment="1">
      <alignment horizontal="center"/>
    </xf>
    <xf numFmtId="43" fontId="68" fillId="0" borderId="0" xfId="396" applyNumberFormat="1" applyFont="1"/>
    <xf numFmtId="164" fontId="68" fillId="0" borderId="0" xfId="89" applyNumberFormat="1" applyFont="1" applyFill="1"/>
    <xf numFmtId="164" fontId="68" fillId="0" borderId="0" xfId="396" applyNumberFormat="1" applyFont="1"/>
    <xf numFmtId="0" fontId="74" fillId="0" borderId="0" xfId="0" applyFont="1"/>
    <xf numFmtId="0" fontId="68" fillId="0" borderId="0" xfId="396" applyFont="1" applyFill="1" applyBorder="1"/>
    <xf numFmtId="0" fontId="71" fillId="0" borderId="0" xfId="396" applyFont="1" applyBorder="1" applyAlignment="1">
      <alignment horizontal="right"/>
    </xf>
    <xf numFmtId="44" fontId="75" fillId="0" borderId="17" xfId="147" applyFont="1" applyFill="1" applyBorder="1"/>
    <xf numFmtId="164" fontId="71" fillId="0" borderId="19" xfId="396" applyNumberFormat="1" applyFont="1" applyFill="1" applyBorder="1"/>
    <xf numFmtId="0" fontId="73" fillId="0" borderId="0" xfId="396" applyFont="1" applyFill="1" applyAlignment="1">
      <alignment horizontal="left"/>
    </xf>
    <xf numFmtId="0" fontId="68" fillId="0" borderId="0" xfId="0" applyFont="1" applyFill="1" applyAlignment="1">
      <alignment vertical="top"/>
    </xf>
    <xf numFmtId="0" fontId="71" fillId="0" borderId="0" xfId="396" applyFont="1" applyFill="1" applyAlignment="1">
      <alignment horizontal="right"/>
    </xf>
    <xf numFmtId="164" fontId="67" fillId="0" borderId="19" xfId="0" applyNumberFormat="1" applyFont="1" applyBorder="1"/>
    <xf numFmtId="0" fontId="73" fillId="0" borderId="0" xfId="396" applyFont="1" applyFill="1" applyAlignment="1">
      <alignment horizontal="center"/>
    </xf>
    <xf numFmtId="0" fontId="71" fillId="0" borderId="0" xfId="396" applyFont="1" applyFill="1" applyBorder="1"/>
    <xf numFmtId="2" fontId="69" fillId="0" borderId="0" xfId="0" applyNumberFormat="1" applyFont="1"/>
    <xf numFmtId="0" fontId="71" fillId="0" borderId="0" xfId="396" applyFont="1" applyFill="1" applyBorder="1" applyAlignment="1">
      <alignment horizontal="right"/>
    </xf>
    <xf numFmtId="44" fontId="75" fillId="0" borderId="0" xfId="147" applyFont="1" applyFill="1" applyBorder="1"/>
    <xf numFmtId="0" fontId="71" fillId="0" borderId="0" xfId="396" applyFont="1" applyBorder="1" applyAlignment="1">
      <alignment horizontal="left"/>
    </xf>
    <xf numFmtId="0" fontId="68" fillId="0" borderId="0" xfId="396" applyFont="1" applyAlignment="1">
      <alignment horizontal="center"/>
    </xf>
    <xf numFmtId="43" fontId="68" fillId="0" borderId="0" xfId="89" applyFont="1" applyFill="1"/>
    <xf numFmtId="0" fontId="69" fillId="0" borderId="0" xfId="0" applyFont="1" applyFill="1" applyBorder="1"/>
    <xf numFmtId="43" fontId="69" fillId="0" borderId="0" xfId="89" applyFont="1"/>
    <xf numFmtId="0" fontId="73" fillId="0" borderId="0" xfId="396" applyFont="1" applyAlignment="1">
      <alignment horizontal="center"/>
    </xf>
    <xf numFmtId="0" fontId="68" fillId="0" borderId="0" xfId="396" applyFont="1" applyBorder="1"/>
    <xf numFmtId="43" fontId="69" fillId="0" borderId="0" xfId="0" applyNumberFormat="1" applyFont="1"/>
    <xf numFmtId="164" fontId="69" fillId="0" borderId="0" xfId="0" applyNumberFormat="1" applyFont="1"/>
    <xf numFmtId="43" fontId="68" fillId="0" borderId="0" xfId="89" applyFont="1"/>
    <xf numFmtId="0" fontId="78" fillId="0" borderId="0" xfId="0" applyFont="1" applyFill="1" applyBorder="1"/>
    <xf numFmtId="43" fontId="79" fillId="0" borderId="0" xfId="89" applyFont="1" applyFill="1" applyAlignment="1">
      <alignment horizontal="center"/>
    </xf>
    <xf numFmtId="0" fontId="79" fillId="0" borderId="0" xfId="396" applyFont="1"/>
    <xf numFmtId="0" fontId="71" fillId="0" borderId="0" xfId="396" applyFont="1" applyFill="1" applyAlignment="1">
      <alignment horizontal="left"/>
    </xf>
    <xf numFmtId="164" fontId="71" fillId="0" borderId="19" xfId="396" applyNumberFormat="1" applyFont="1" applyBorder="1"/>
    <xf numFmtId="44" fontId="69" fillId="0" borderId="0" xfId="0" applyNumberFormat="1" applyFont="1"/>
    <xf numFmtId="44" fontId="0" fillId="0" borderId="0" xfId="0" applyNumberFormat="1"/>
    <xf numFmtId="44" fontId="0" fillId="0" borderId="1" xfId="0" applyNumberFormat="1" applyBorder="1"/>
    <xf numFmtId="44" fontId="3" fillId="0" borderId="0" xfId="0" applyNumberFormat="1" applyFont="1"/>
    <xf numFmtId="0" fontId="0" fillId="0" borderId="0" xfId="0" applyBorder="1"/>
    <xf numFmtId="44" fontId="0" fillId="0" borderId="0" xfId="2" applyFont="1"/>
    <xf numFmtId="44" fontId="0" fillId="0" borderId="1" xfId="2" applyFont="1" applyBorder="1"/>
    <xf numFmtId="9" fontId="0" fillId="0" borderId="0" xfId="3" applyFont="1"/>
    <xf numFmtId="167" fontId="0" fillId="0" borderId="0" xfId="3" applyNumberFormat="1" applyFont="1"/>
    <xf numFmtId="0" fontId="66" fillId="0" borderId="0" xfId="0" applyFont="1" applyAlignment="1">
      <alignment horizontal="right"/>
    </xf>
    <xf numFmtId="164" fontId="0" fillId="0" borderId="0" xfId="1" applyNumberFormat="1" applyFont="1"/>
    <xf numFmtId="164" fontId="0" fillId="0" borderId="1" xfId="1" applyNumberFormat="1" applyFont="1" applyBorder="1"/>
    <xf numFmtId="164" fontId="3" fillId="0" borderId="0" xfId="1" applyNumberFormat="1" applyFont="1"/>
    <xf numFmtId="164" fontId="0" fillId="0" borderId="0" xfId="1" applyNumberFormat="1" applyFont="1" applyFill="1"/>
    <xf numFmtId="164" fontId="0" fillId="43" borderId="0" xfId="1" applyNumberFormat="1" applyFont="1" applyFill="1"/>
    <xf numFmtId="0" fontId="0" fillId="43" borderId="0" xfId="0" applyFill="1"/>
    <xf numFmtId="164" fontId="0" fillId="43" borderId="1" xfId="1" applyNumberFormat="1" applyFont="1" applyFill="1" applyBorder="1"/>
    <xf numFmtId="0" fontId="3" fillId="0" borderId="1" xfId="0" applyFont="1" applyBorder="1" applyAlignment="1">
      <alignment horizontal="center"/>
    </xf>
    <xf numFmtId="0" fontId="0" fillId="0" borderId="0" xfId="0" applyAlignment="1">
      <alignment horizontal="center"/>
    </xf>
    <xf numFmtId="164" fontId="0" fillId="0" borderId="0" xfId="89" applyNumberFormat="1" applyFont="1"/>
    <xf numFmtId="164" fontId="0" fillId="0" borderId="0" xfId="89" applyNumberFormat="1" applyFont="1" applyFill="1"/>
    <xf numFmtId="164" fontId="0" fillId="0" borderId="1" xfId="89" applyNumberFormat="1" applyFont="1" applyFill="1" applyBorder="1"/>
    <xf numFmtId="164" fontId="0" fillId="0" borderId="1" xfId="0" applyNumberFormat="1" applyBorder="1"/>
    <xf numFmtId="164" fontId="3" fillId="0" borderId="0" xfId="0" applyNumberFormat="1" applyFont="1"/>
    <xf numFmtId="0" fontId="3" fillId="0" borderId="0" xfId="0" applyFont="1" applyAlignment="1">
      <alignment horizontal="right"/>
    </xf>
    <xf numFmtId="43" fontId="0" fillId="0" borderId="1" xfId="0" applyNumberFormat="1" applyBorder="1"/>
    <xf numFmtId="0" fontId="83" fillId="0" borderId="0" xfId="0" applyFont="1" applyAlignment="1"/>
    <xf numFmtId="167" fontId="66" fillId="0" borderId="0" xfId="3" applyNumberFormat="1" applyFont="1"/>
    <xf numFmtId="167" fontId="66" fillId="0" borderId="0" xfId="0" applyNumberFormat="1" applyFont="1"/>
    <xf numFmtId="9" fontId="66" fillId="0" borderId="0" xfId="3" applyFont="1" applyFill="1" applyBorder="1"/>
    <xf numFmtId="43" fontId="0" fillId="0" borderId="0" xfId="1" applyFont="1" applyBorder="1"/>
    <xf numFmtId="43" fontId="3" fillId="0" borderId="0" xfId="1" applyFont="1" applyBorder="1"/>
    <xf numFmtId="10" fontId="0" fillId="0" borderId="0" xfId="3" applyNumberFormat="1" applyFont="1" applyBorder="1"/>
    <xf numFmtId="0" fontId="3" fillId="0" borderId="0" xfId="0" applyFont="1" applyBorder="1" applyAlignment="1">
      <alignment horizontal="right"/>
    </xf>
    <xf numFmtId="43" fontId="3" fillId="0" borderId="0" xfId="0" applyNumberFormat="1" applyFont="1" applyBorder="1"/>
    <xf numFmtId="10" fontId="3" fillId="0" borderId="0" xfId="0" applyNumberFormat="1" applyFont="1" applyBorder="1"/>
    <xf numFmtId="43" fontId="0" fillId="0" borderId="14" xfId="1" applyFont="1" applyBorder="1"/>
    <xf numFmtId="10" fontId="66" fillId="0" borderId="0" xfId="3" applyNumberFormat="1" applyFont="1" applyBorder="1"/>
    <xf numFmtId="0" fontId="3" fillId="0" borderId="1" xfId="0" applyFont="1" applyBorder="1" applyAlignment="1"/>
    <xf numFmtId="10" fontId="66" fillId="0" borderId="0" xfId="3" applyNumberFormat="1" applyFont="1" applyFill="1" applyBorder="1"/>
    <xf numFmtId="0" fontId="0" fillId="0" borderId="0" xfId="0" applyAlignment="1">
      <alignment wrapText="1"/>
    </xf>
    <xf numFmtId="0" fontId="66" fillId="0" borderId="0" xfId="0" applyFont="1" applyAlignment="1">
      <alignment horizontal="center"/>
    </xf>
    <xf numFmtId="0" fontId="85" fillId="0" borderId="0" xfId="0" applyFont="1"/>
    <xf numFmtId="170" fontId="96" fillId="0" borderId="0" xfId="2" applyNumberFormat="1" applyFont="1" applyFill="1" applyBorder="1"/>
    <xf numFmtId="0" fontId="96" fillId="0" borderId="0" xfId="0" applyFont="1" applyFill="1" applyBorder="1"/>
    <xf numFmtId="44" fontId="96" fillId="0" borderId="0" xfId="0" applyNumberFormat="1" applyFont="1" applyFill="1" applyBorder="1"/>
    <xf numFmtId="10" fontId="0" fillId="0" borderId="1" xfId="0" applyNumberFormat="1" applyFill="1" applyBorder="1"/>
    <xf numFmtId="43" fontId="94" fillId="47" borderId="0" xfId="91" applyFont="1" applyFill="1" applyBorder="1"/>
    <xf numFmtId="170" fontId="3" fillId="0" borderId="0" xfId="0" applyNumberFormat="1" applyFont="1"/>
    <xf numFmtId="43" fontId="94" fillId="0" borderId="0" xfId="91" applyFont="1"/>
    <xf numFmtId="10" fontId="96" fillId="0" borderId="0" xfId="3" applyNumberFormat="1" applyFont="1" applyFill="1" applyBorder="1"/>
    <xf numFmtId="0" fontId="3" fillId="0" borderId="0" xfId="0" applyFont="1" applyAlignment="1">
      <alignment horizontal="center"/>
    </xf>
    <xf numFmtId="1" fontId="84" fillId="0" borderId="0" xfId="4" applyNumberFormat="1" applyFont="1" applyFill="1" applyBorder="1" applyAlignment="1">
      <alignment horizontal="right"/>
    </xf>
    <xf numFmtId="170" fontId="0" fillId="0" borderId="0" xfId="2" applyNumberFormat="1" applyFont="1"/>
    <xf numFmtId="170" fontId="0" fillId="0" borderId="0" xfId="0" applyNumberFormat="1"/>
    <xf numFmtId="10" fontId="85" fillId="0" borderId="20" xfId="422" applyNumberFormat="1" applyFont="1" applyFill="1" applyBorder="1"/>
    <xf numFmtId="10" fontId="1" fillId="0" borderId="0" xfId="422" applyNumberFormat="1" applyFont="1" applyBorder="1"/>
    <xf numFmtId="10" fontId="1" fillId="0" borderId="30" xfId="422" applyNumberFormat="1" applyFont="1" applyBorder="1"/>
    <xf numFmtId="170" fontId="1" fillId="0" borderId="0" xfId="2" applyNumberFormat="1" applyFont="1" applyBorder="1"/>
    <xf numFmtId="170" fontId="1" fillId="0" borderId="0" xfId="2" applyNumberFormat="1" applyFont="1"/>
    <xf numFmtId="37" fontId="97" fillId="0" borderId="0" xfId="397" applyFont="1" applyFill="1"/>
    <xf numFmtId="10" fontId="84" fillId="0" borderId="0" xfId="422" applyNumberFormat="1" applyFont="1" applyFill="1" applyBorder="1"/>
    <xf numFmtId="10" fontId="84" fillId="0" borderId="30" xfId="422" applyNumberFormat="1" applyFont="1" applyFill="1" applyBorder="1"/>
    <xf numFmtId="41" fontId="85" fillId="0" borderId="0" xfId="0" applyNumberFormat="1" applyFont="1"/>
    <xf numFmtId="41" fontId="84" fillId="0" borderId="1" xfId="105" applyNumberFormat="1" applyFont="1" applyFill="1" applyBorder="1"/>
    <xf numFmtId="170" fontId="84" fillId="0" borderId="0" xfId="2" applyNumberFormat="1" applyFont="1" applyFill="1" applyBorder="1" applyAlignment="1">
      <alignment horizontal="right"/>
    </xf>
    <xf numFmtId="164" fontId="85" fillId="0" borderId="0" xfId="0" applyNumberFormat="1" applyFont="1"/>
    <xf numFmtId="170" fontId="84" fillId="0" borderId="0" xfId="2" applyNumberFormat="1" applyFont="1" applyFill="1"/>
    <xf numFmtId="164" fontId="85" fillId="0" borderId="1" xfId="0" applyNumberFormat="1" applyFont="1" applyBorder="1"/>
    <xf numFmtId="164" fontId="0" fillId="0" borderId="1" xfId="0" applyNumberFormat="1" applyFont="1" applyBorder="1"/>
    <xf numFmtId="164" fontId="84" fillId="0" borderId="1" xfId="105" applyNumberFormat="1" applyFont="1" applyFill="1" applyBorder="1"/>
    <xf numFmtId="0" fontId="95" fillId="47" borderId="0" xfId="0" applyFont="1" applyFill="1" applyBorder="1"/>
    <xf numFmtId="164" fontId="85" fillId="0" borderId="0" xfId="0" applyNumberFormat="1" applyFont="1" applyFill="1" applyBorder="1"/>
    <xf numFmtId="1" fontId="84" fillId="0" borderId="0" xfId="397" applyNumberFormat="1" applyFont="1" applyFill="1" applyBorder="1"/>
    <xf numFmtId="10" fontId="95" fillId="0" borderId="0" xfId="413" applyNumberFormat="1" applyFont="1"/>
    <xf numFmtId="0" fontId="95" fillId="0" borderId="0" xfId="0" applyFont="1" applyBorder="1"/>
    <xf numFmtId="0" fontId="84" fillId="0" borderId="0" xfId="0" applyFont="1" applyAlignment="1">
      <alignment horizontal="center"/>
    </xf>
    <xf numFmtId="0" fontId="95" fillId="0" borderId="0" xfId="0" applyFont="1"/>
    <xf numFmtId="0" fontId="84" fillId="0" borderId="0" xfId="0" applyFont="1"/>
    <xf numFmtId="0" fontId="66" fillId="0" borderId="0" xfId="0" applyFont="1" applyAlignment="1">
      <alignment horizontal="left"/>
    </xf>
    <xf numFmtId="164" fontId="85" fillId="0" borderId="0" xfId="0" applyNumberFormat="1" applyFont="1" applyBorder="1"/>
    <xf numFmtId="0" fontId="83" fillId="0" borderId="0" xfId="0" applyFont="1"/>
    <xf numFmtId="0" fontId="85" fillId="0" borderId="0" xfId="4" applyFont="1" applyBorder="1" applyAlignment="1">
      <alignment horizontal="right"/>
    </xf>
    <xf numFmtId="0" fontId="84" fillId="0" borderId="0" xfId="4" applyFont="1" applyBorder="1" applyAlignment="1">
      <alignment horizontal="right"/>
    </xf>
    <xf numFmtId="43" fontId="94" fillId="0" borderId="0" xfId="91" applyFont="1" applyBorder="1"/>
    <xf numFmtId="164" fontId="0" fillId="0" borderId="0" xfId="0" applyNumberFormat="1" applyFont="1" applyBorder="1"/>
    <xf numFmtId="164" fontId="84" fillId="0" borderId="0" xfId="105" applyNumberFormat="1" applyFont="1" applyFill="1"/>
    <xf numFmtId="37" fontId="84" fillId="0" borderId="0" xfId="397" applyFont="1" applyFill="1"/>
    <xf numFmtId="0" fontId="3" fillId="0" borderId="0" xfId="0" quotePrefix="1" applyFont="1" applyAlignment="1">
      <alignment horizontal="center"/>
    </xf>
    <xf numFmtId="164" fontId="0" fillId="0" borderId="0" xfId="0" applyNumberFormat="1" applyFont="1" applyFill="1" applyBorder="1"/>
    <xf numFmtId="0" fontId="85" fillId="0" borderId="0" xfId="467" quotePrefix="1" applyFont="1" applyFill="1" applyBorder="1" applyAlignment="1">
      <alignment horizontal="center" wrapText="1"/>
    </xf>
    <xf numFmtId="49" fontId="3" fillId="0" borderId="0" xfId="0" applyNumberFormat="1" applyFont="1" applyAlignment="1">
      <alignment horizontal="center"/>
    </xf>
    <xf numFmtId="0" fontId="0" fillId="0" borderId="0" xfId="0"/>
    <xf numFmtId="0" fontId="3" fillId="0" borderId="0" xfId="0" applyFont="1"/>
    <xf numFmtId="0" fontId="0" fillId="0" borderId="0" xfId="0" applyFont="1"/>
    <xf numFmtId="44" fontId="3" fillId="0" borderId="0" xfId="0" applyNumberFormat="1" applyFont="1"/>
    <xf numFmtId="0" fontId="3" fillId="0" borderId="0" xfId="0" applyFont="1" applyBorder="1"/>
    <xf numFmtId="171" fontId="0" fillId="0" borderId="0" xfId="1" applyNumberFormat="1" applyFont="1"/>
    <xf numFmtId="171" fontId="0" fillId="0" borderId="0" xfId="1" applyNumberFormat="1" applyFont="1" applyBorder="1"/>
    <xf numFmtId="171" fontId="0" fillId="0" borderId="1" xfId="1" applyNumberFormat="1" applyFont="1" applyBorder="1"/>
    <xf numFmtId="0" fontId="0" fillId="0" borderId="0" xfId="0" applyFont="1" applyBorder="1"/>
    <xf numFmtId="172" fontId="0" fillId="0" borderId="0" xfId="0" applyNumberFormat="1" applyFont="1"/>
    <xf numFmtId="44" fontId="0" fillId="0" borderId="0" xfId="2" applyFont="1"/>
    <xf numFmtId="173" fontId="0" fillId="0" borderId="0" xfId="0" applyNumberFormat="1" applyFont="1"/>
    <xf numFmtId="164" fontId="0" fillId="0" borderId="0" xfId="0" applyNumberFormat="1" applyFont="1"/>
    <xf numFmtId="0" fontId="3" fillId="0" borderId="1" xfId="0" applyFont="1" applyBorder="1" applyAlignment="1">
      <alignment horizontal="center"/>
    </xf>
    <xf numFmtId="0" fontId="98" fillId="0" borderId="0" xfId="536" applyFont="1" applyBorder="1"/>
    <xf numFmtId="0" fontId="99" fillId="0" borderId="0" xfId="536" applyFont="1" applyBorder="1"/>
    <xf numFmtId="3" fontId="99" fillId="0" borderId="0" xfId="536" applyNumberFormat="1" applyFont="1" applyBorder="1"/>
    <xf numFmtId="0" fontId="98" fillId="0" borderId="0" xfId="536" applyFont="1" applyBorder="1" applyAlignment="1">
      <alignment horizontal="center"/>
    </xf>
    <xf numFmtId="0" fontId="98" fillId="0" borderId="0" xfId="536" quotePrefix="1" applyFont="1" applyBorder="1" applyAlignment="1">
      <alignment horizontal="center"/>
    </xf>
    <xf numFmtId="0" fontId="6" fillId="0" borderId="0" xfId="536" applyFont="1" applyBorder="1" applyAlignment="1">
      <alignment horizontal="center"/>
    </xf>
    <xf numFmtId="0" fontId="6" fillId="0" borderId="0" xfId="536" applyFont="1" applyBorder="1"/>
    <xf numFmtId="3" fontId="98" fillId="0" borderId="0" xfId="536" applyNumberFormat="1" applyFont="1" applyBorder="1"/>
    <xf numFmtId="3" fontId="6" fillId="0" borderId="0" xfId="536" applyNumberFormat="1" applyFont="1" applyBorder="1"/>
    <xf numFmtId="4" fontId="5" fillId="0" borderId="0" xfId="536" applyNumberFormat="1" applyFont="1" applyFill="1" applyBorder="1" applyAlignment="1">
      <alignment horizontal="left"/>
    </xf>
    <xf numFmtId="0" fontId="6" fillId="0" borderId="0" xfId="536" applyFont="1" applyFill="1" applyBorder="1"/>
    <xf numFmtId="0" fontId="100" fillId="0" borderId="0" xfId="536" applyFont="1" applyFill="1" applyBorder="1"/>
    <xf numFmtId="1" fontId="6" fillId="0" borderId="0" xfId="536" applyNumberFormat="1" applyFont="1" applyFill="1" applyBorder="1"/>
    <xf numFmtId="4" fontId="6" fillId="0" borderId="0" xfId="536" applyNumberFormat="1" applyFont="1" applyFill="1" applyBorder="1"/>
    <xf numFmtId="4" fontId="6" fillId="0" borderId="0" xfId="536" applyNumberFormat="1" applyFont="1" applyFill="1" applyBorder="1" applyAlignment="1">
      <alignment horizontal="right"/>
    </xf>
    <xf numFmtId="14" fontId="101" fillId="0" borderId="0" xfId="536" applyNumberFormat="1" applyFont="1" applyFill="1" applyBorder="1"/>
    <xf numFmtId="3" fontId="5" fillId="0" borderId="0" xfId="536" applyNumberFormat="1" applyFont="1" applyFill="1" applyBorder="1" applyAlignment="1">
      <alignment horizontal="right"/>
    </xf>
    <xf numFmtId="4" fontId="6" fillId="0" borderId="0" xfId="536" applyNumberFormat="1" applyFont="1" applyFill="1" applyBorder="1" applyAlignment="1">
      <alignment horizontal="left"/>
    </xf>
    <xf numFmtId="0" fontId="6" fillId="0" borderId="0" xfId="536" applyFont="1" applyFill="1" applyBorder="1" applyAlignment="1">
      <alignment horizontal="center"/>
    </xf>
    <xf numFmtId="0" fontId="5" fillId="0" borderId="0" xfId="536" applyNumberFormat="1" applyFont="1" applyFill="1" applyBorder="1" applyAlignment="1">
      <alignment horizontal="right"/>
    </xf>
    <xf numFmtId="0" fontId="5" fillId="0" borderId="0" xfId="536" applyFont="1" applyFill="1" applyBorder="1" applyAlignment="1">
      <alignment horizontal="center"/>
    </xf>
    <xf numFmtId="4" fontId="6" fillId="0" borderId="0" xfId="536" applyNumberFormat="1" applyFont="1" applyFill="1" applyBorder="1" applyAlignment="1">
      <alignment horizontal="center"/>
    </xf>
    <xf numFmtId="1" fontId="6" fillId="0" borderId="0" xfId="536" applyNumberFormat="1" applyFont="1" applyFill="1" applyBorder="1" applyAlignment="1">
      <alignment horizontal="right"/>
    </xf>
    <xf numFmtId="0" fontId="5" fillId="0" borderId="0" xfId="536" applyFont="1" applyFill="1" applyBorder="1" applyAlignment="1">
      <alignment horizontal="left"/>
    </xf>
    <xf numFmtId="9" fontId="5" fillId="0" borderId="0" xfId="536" applyNumberFormat="1" applyFont="1" applyFill="1" applyBorder="1" applyAlignment="1">
      <alignment horizontal="center"/>
    </xf>
    <xf numFmtId="1" fontId="5" fillId="0" borderId="0" xfId="536" applyNumberFormat="1" applyFont="1" applyFill="1" applyBorder="1" applyAlignment="1">
      <alignment horizontal="center"/>
    </xf>
    <xf numFmtId="4" fontId="5" fillId="0" borderId="0" xfId="536" applyNumberFormat="1" applyFont="1" applyFill="1" applyBorder="1" applyAlignment="1">
      <alignment horizontal="center"/>
    </xf>
    <xf numFmtId="0" fontId="102" fillId="0" borderId="0" xfId="536" applyFont="1" applyFill="1" applyBorder="1" applyAlignment="1">
      <alignment horizontal="center"/>
    </xf>
    <xf numFmtId="0" fontId="102" fillId="0" borderId="0" xfId="536" applyFont="1" applyFill="1" applyBorder="1" applyAlignment="1">
      <alignment horizontal="left"/>
    </xf>
    <xf numFmtId="9" fontId="102" fillId="0" borderId="0" xfId="536" applyNumberFormat="1" applyFont="1" applyFill="1" applyBorder="1" applyAlignment="1">
      <alignment horizontal="center"/>
    </xf>
    <xf numFmtId="1" fontId="102" fillId="0" borderId="0" xfId="536" applyNumberFormat="1" applyFont="1" applyFill="1" applyBorder="1" applyAlignment="1">
      <alignment horizontal="center"/>
    </xf>
    <xf numFmtId="0" fontId="6" fillId="0" borderId="0" xfId="536" applyFont="1" applyFill="1" applyBorder="1" applyAlignment="1">
      <alignment horizontal="fill"/>
    </xf>
    <xf numFmtId="4" fontId="102" fillId="0" borderId="0" xfId="536" applyNumberFormat="1" applyFont="1" applyFill="1" applyBorder="1" applyAlignment="1">
      <alignment horizontal="center"/>
    </xf>
    <xf numFmtId="175" fontId="5" fillId="0" borderId="0" xfId="536" applyNumberFormat="1" applyFont="1" applyFill="1" applyBorder="1" applyAlignment="1">
      <alignment horizontal="center"/>
    </xf>
    <xf numFmtId="176" fontId="5" fillId="0" borderId="0" xfId="536" applyNumberFormat="1" applyFont="1" applyFill="1" applyBorder="1" applyAlignment="1">
      <alignment horizontal="center"/>
    </xf>
    <xf numFmtId="0" fontId="6" fillId="0" borderId="0" xfId="536" applyFont="1" applyFill="1" applyBorder="1" applyAlignment="1">
      <alignment horizontal="left"/>
    </xf>
    <xf numFmtId="9" fontId="6" fillId="0" borderId="0" xfId="536" applyNumberFormat="1" applyFont="1" applyFill="1" applyBorder="1" applyAlignment="1" applyProtection="1">
      <alignment horizontal="center"/>
    </xf>
    <xf numFmtId="164" fontId="6" fillId="0" borderId="0" xfId="1" applyNumberFormat="1" applyFont="1" applyFill="1" applyBorder="1" applyProtection="1"/>
    <xf numFmtId="0" fontId="5" fillId="0" borderId="0" xfId="536" applyFont="1" applyBorder="1"/>
    <xf numFmtId="0" fontId="5" fillId="0" borderId="0" xfId="536" applyFont="1" applyFill="1" applyBorder="1"/>
    <xf numFmtId="0" fontId="5" fillId="0" borderId="17" xfId="536" applyFont="1" applyFill="1" applyBorder="1"/>
    <xf numFmtId="0" fontId="5" fillId="0" borderId="17" xfId="536" applyFont="1" applyFill="1" applyBorder="1" applyAlignment="1">
      <alignment horizontal="center"/>
    </xf>
    <xf numFmtId="1" fontId="5" fillId="0" borderId="17" xfId="536" applyNumberFormat="1" applyFont="1" applyFill="1" applyBorder="1"/>
    <xf numFmtId="164" fontId="5" fillId="0" borderId="17" xfId="1" applyNumberFormat="1" applyFont="1" applyFill="1" applyBorder="1"/>
    <xf numFmtId="1" fontId="5" fillId="0" borderId="0" xfId="536" applyNumberFormat="1" applyFont="1" applyFill="1" applyBorder="1"/>
    <xf numFmtId="0" fontId="5" fillId="0" borderId="17" xfId="536" applyFont="1" applyFill="1" applyBorder="1" applyAlignment="1">
      <alignment horizontal="left"/>
    </xf>
    <xf numFmtId="0" fontId="6" fillId="0" borderId="17" xfId="536" applyFont="1" applyFill="1" applyBorder="1" applyAlignment="1">
      <alignment horizontal="center"/>
    </xf>
    <xf numFmtId="0" fontId="6" fillId="0" borderId="17" xfId="536" applyFont="1" applyFill="1" applyBorder="1"/>
    <xf numFmtId="9" fontId="6" fillId="0" borderId="17" xfId="536" applyNumberFormat="1" applyFont="1" applyFill="1" applyBorder="1" applyAlignment="1" applyProtection="1">
      <alignment horizontal="center"/>
    </xf>
    <xf numFmtId="1" fontId="6" fillId="0" borderId="17" xfId="536" applyNumberFormat="1" applyFont="1" applyFill="1" applyBorder="1" applyAlignment="1">
      <alignment horizontal="right"/>
    </xf>
    <xf numFmtId="0" fontId="6" fillId="0" borderId="0" xfId="536" quotePrefix="1" applyFont="1" applyFill="1" applyBorder="1" applyAlignment="1">
      <alignment horizontal="left"/>
    </xf>
    <xf numFmtId="164" fontId="6" fillId="0" borderId="0" xfId="1" quotePrefix="1" applyNumberFormat="1" applyFont="1" applyFill="1" applyBorder="1" applyProtection="1"/>
    <xf numFmtId="0" fontId="5" fillId="0" borderId="30" xfId="536" applyFont="1" applyFill="1" applyBorder="1"/>
    <xf numFmtId="0" fontId="5" fillId="0" borderId="30" xfId="536" applyFont="1" applyFill="1" applyBorder="1" applyAlignment="1">
      <alignment horizontal="center"/>
    </xf>
    <xf numFmtId="1" fontId="5" fillId="0" borderId="30" xfId="536" applyNumberFormat="1" applyFont="1" applyFill="1" applyBorder="1"/>
    <xf numFmtId="164" fontId="5" fillId="0" borderId="30" xfId="1" applyNumberFormat="1" applyFont="1" applyFill="1" applyBorder="1"/>
    <xf numFmtId="9" fontId="6" fillId="0" borderId="0" xfId="536" applyNumberFormat="1" applyFont="1" applyFill="1" applyBorder="1" applyProtection="1"/>
    <xf numFmtId="37" fontId="6" fillId="0" borderId="0" xfId="536" applyNumberFormat="1" applyFont="1" applyFill="1" applyBorder="1" applyProtection="1"/>
    <xf numFmtId="0" fontId="103" fillId="0" borderId="0" xfId="536" applyFont="1" applyFill="1" applyBorder="1"/>
    <xf numFmtId="0" fontId="103" fillId="0" borderId="0" xfId="536" applyFont="1" applyFill="1" applyBorder="1" applyAlignment="1">
      <alignment horizontal="left"/>
    </xf>
    <xf numFmtId="3" fontId="103" fillId="0" borderId="0" xfId="536" applyNumberFormat="1" applyFont="1" applyFill="1" applyBorder="1" applyAlignment="1">
      <alignment horizontal="left"/>
    </xf>
    <xf numFmtId="3" fontId="103" fillId="0" borderId="0" xfId="536" applyNumberFormat="1" applyFont="1" applyFill="1" applyBorder="1" applyAlignment="1">
      <alignment horizontal="center"/>
    </xf>
    <xf numFmtId="0" fontId="103" fillId="0" borderId="17" xfId="536" applyFont="1" applyFill="1" applyBorder="1" applyAlignment="1">
      <alignment horizontal="center"/>
    </xf>
    <xf numFmtId="0" fontId="103" fillId="0" borderId="17" xfId="536" applyFont="1" applyFill="1" applyBorder="1"/>
    <xf numFmtId="1" fontId="6" fillId="0" borderId="17" xfId="536" applyNumberFormat="1" applyFont="1" applyFill="1" applyBorder="1"/>
    <xf numFmtId="37" fontId="5" fillId="0" borderId="17" xfId="536" applyNumberFormat="1" applyFont="1" applyFill="1" applyBorder="1" applyProtection="1"/>
    <xf numFmtId="164" fontId="5" fillId="0" borderId="17" xfId="1" applyNumberFormat="1" applyFont="1" applyFill="1" applyBorder="1" applyProtection="1"/>
    <xf numFmtId="164" fontId="6" fillId="0" borderId="17" xfId="1" applyNumberFormat="1" applyFont="1" applyFill="1" applyBorder="1"/>
    <xf numFmtId="0" fontId="103" fillId="0" borderId="0" xfId="536" applyFont="1" applyFill="1" applyBorder="1" applyAlignment="1">
      <alignment horizontal="center"/>
    </xf>
    <xf numFmtId="37" fontId="5" fillId="0" borderId="0" xfId="536" applyNumberFormat="1" applyFont="1" applyFill="1" applyBorder="1" applyProtection="1"/>
    <xf numFmtId="164" fontId="5" fillId="0" borderId="0" xfId="1" applyNumberFormat="1" applyFont="1" applyFill="1" applyBorder="1" applyProtection="1"/>
    <xf numFmtId="1" fontId="6" fillId="0" borderId="0" xfId="536" applyNumberFormat="1" applyFont="1" applyFill="1" applyBorder="1" applyAlignment="1">
      <alignment horizontal="center"/>
    </xf>
    <xf numFmtId="3" fontId="6" fillId="0" borderId="0" xfId="536" applyNumberFormat="1" applyFont="1" applyFill="1" applyBorder="1"/>
    <xf numFmtId="1" fontId="103" fillId="0" borderId="0" xfId="536" applyNumberFormat="1" applyFont="1" applyFill="1" applyBorder="1"/>
    <xf numFmtId="9" fontId="6" fillId="0" borderId="17" xfId="536" applyNumberFormat="1" applyFont="1" applyFill="1" applyBorder="1" applyProtection="1"/>
    <xf numFmtId="37" fontId="6" fillId="0" borderId="17" xfId="536" applyNumberFormat="1" applyFont="1" applyFill="1" applyBorder="1" applyProtection="1"/>
    <xf numFmtId="164" fontId="6" fillId="0" borderId="17" xfId="1" applyNumberFormat="1" applyFont="1" applyFill="1" applyBorder="1" applyAlignment="1">
      <alignment horizontal="right"/>
    </xf>
    <xf numFmtId="37" fontId="6" fillId="0" borderId="0" xfId="536" applyNumberFormat="1" applyFont="1" applyFill="1" applyBorder="1" applyAlignment="1" applyProtection="1">
      <alignment horizontal="fill"/>
    </xf>
    <xf numFmtId="164" fontId="6" fillId="0" borderId="0" xfId="1" applyNumberFormat="1" applyFont="1" applyFill="1" applyBorder="1" applyAlignment="1" applyProtection="1">
      <alignment horizontal="fill"/>
    </xf>
    <xf numFmtId="0" fontId="6" fillId="48" borderId="0" xfId="536" applyFont="1" applyFill="1" applyBorder="1" applyAlignment="1">
      <alignment horizontal="center"/>
    </xf>
    <xf numFmtId="3" fontId="5" fillId="0" borderId="17" xfId="536" applyNumberFormat="1" applyFont="1" applyFill="1" applyBorder="1"/>
    <xf numFmtId="3" fontId="5" fillId="0" borderId="0" xfId="536" applyNumberFormat="1" applyFont="1" applyFill="1" applyBorder="1"/>
    <xf numFmtId="37" fontId="6" fillId="0" borderId="0" xfId="536" applyNumberFormat="1" applyFont="1" applyFill="1" applyBorder="1"/>
    <xf numFmtId="37" fontId="5" fillId="0" borderId="17" xfId="536" applyNumberFormat="1" applyFont="1" applyFill="1" applyBorder="1"/>
    <xf numFmtId="0" fontId="5" fillId="0" borderId="18" xfId="536" applyFont="1" applyBorder="1" applyAlignment="1">
      <alignment horizontal="right"/>
    </xf>
    <xf numFmtId="0" fontId="6" fillId="0" borderId="18" xfId="536" applyFont="1" applyBorder="1" applyAlignment="1">
      <alignment horizontal="center"/>
    </xf>
    <xf numFmtId="0" fontId="6" fillId="0" borderId="18" xfId="536" applyFont="1" applyBorder="1"/>
    <xf numFmtId="1" fontId="6" fillId="0" borderId="18" xfId="536" applyNumberFormat="1" applyFont="1" applyBorder="1"/>
    <xf numFmtId="37" fontId="6" fillId="0" borderId="18" xfId="536" applyNumberFormat="1" applyFont="1" applyBorder="1"/>
    <xf numFmtId="37" fontId="5" fillId="0" borderId="18" xfId="536" applyNumberFormat="1" applyFont="1" applyBorder="1"/>
    <xf numFmtId="1" fontId="6" fillId="0" borderId="0" xfId="536" applyNumberFormat="1" applyFont="1" applyBorder="1"/>
    <xf numFmtId="37" fontId="6" fillId="0" borderId="0" xfId="536" applyNumberFormat="1" applyFont="1" applyBorder="1"/>
    <xf numFmtId="4" fontId="6" fillId="0" borderId="0" xfId="536" applyNumberFormat="1" applyFont="1" applyBorder="1"/>
    <xf numFmtId="1" fontId="5" fillId="0" borderId="0" xfId="536" applyNumberFormat="1" applyFont="1" applyBorder="1"/>
    <xf numFmtId="0" fontId="5" fillId="0" borderId="0" xfId="536" applyFont="1" applyBorder="1" applyAlignment="1">
      <alignment horizontal="center"/>
    </xf>
    <xf numFmtId="0" fontId="5" fillId="0" borderId="0" xfId="536" applyFont="1" applyBorder="1" applyAlignment="1">
      <alignment horizontal="left"/>
    </xf>
    <xf numFmtId="3" fontId="5" fillId="0" borderId="0" xfId="536" applyNumberFormat="1" applyFont="1" applyBorder="1"/>
    <xf numFmtId="0" fontId="99" fillId="0" borderId="0" xfId="536" applyFont="1" applyBorder="1" applyAlignment="1">
      <alignment horizontal="center"/>
    </xf>
    <xf numFmtId="3" fontId="99" fillId="0" borderId="0" xfId="536" applyNumberFormat="1" applyFont="1" applyFill="1" applyBorder="1"/>
    <xf numFmtId="3" fontId="99" fillId="0" borderId="0" xfId="536" applyNumberFormat="1" applyFont="1" applyBorder="1" applyAlignment="1">
      <alignment horizontal="center"/>
    </xf>
    <xf numFmtId="3" fontId="104" fillId="0" borderId="0" xfId="536" applyNumberFormat="1" applyFont="1" applyBorder="1" applyAlignment="1">
      <alignment horizontal="left"/>
    </xf>
    <xf numFmtId="3" fontId="105" fillId="0" borderId="0" xfId="536" applyNumberFormat="1" applyFont="1" applyBorder="1"/>
    <xf numFmtId="9" fontId="0" fillId="0" borderId="0" xfId="0" applyNumberFormat="1"/>
    <xf numFmtId="43" fontId="99" fillId="0" borderId="0" xfId="1" applyFont="1" applyBorder="1"/>
    <xf numFmtId="164" fontId="0" fillId="0" borderId="14" xfId="1" applyNumberFormat="1" applyFont="1" applyBorder="1"/>
    <xf numFmtId="0" fontId="0" fillId="0" borderId="0" xfId="0"/>
    <xf numFmtId="164" fontId="0" fillId="0" borderId="0" xfId="89" applyNumberFormat="1" applyFont="1"/>
    <xf numFmtId="0" fontId="3" fillId="0" borderId="0" xfId="0" applyFont="1" applyAlignment="1">
      <alignment horizontal="right"/>
    </xf>
    <xf numFmtId="1" fontId="0" fillId="0" borderId="0" xfId="0" applyNumberFormat="1"/>
    <xf numFmtId="0" fontId="83" fillId="0" borderId="0" xfId="0" applyFont="1" applyAlignment="1">
      <alignment horizontal="center"/>
    </xf>
    <xf numFmtId="0" fontId="107" fillId="0" borderId="0" xfId="0" applyFont="1"/>
    <xf numFmtId="0" fontId="108" fillId="0" borderId="0" xfId="0" applyFont="1"/>
    <xf numFmtId="0" fontId="107" fillId="0" borderId="0" xfId="0" applyFont="1" applyAlignment="1"/>
    <xf numFmtId="0" fontId="107" fillId="0" borderId="0" xfId="0" applyFont="1" applyAlignment="1">
      <alignment horizontal="center"/>
    </xf>
    <xf numFmtId="0" fontId="107" fillId="0" borderId="0" xfId="0" applyNumberFormat="1" applyFont="1"/>
    <xf numFmtId="177" fontId="107" fillId="0" borderId="0" xfId="0" applyNumberFormat="1" applyFont="1" applyAlignment="1"/>
    <xf numFmtId="3" fontId="107" fillId="0" borderId="0" xfId="0" applyNumberFormat="1" applyFont="1" applyAlignment="1"/>
    <xf numFmtId="0" fontId="107" fillId="0" borderId="0" xfId="0" applyNumberFormat="1" applyFont="1" applyAlignment="1"/>
    <xf numFmtId="10" fontId="107" fillId="0" borderId="0" xfId="0" applyNumberFormat="1" applyFont="1"/>
    <xf numFmtId="3" fontId="107" fillId="0" borderId="0" xfId="0" applyNumberFormat="1" applyFont="1"/>
    <xf numFmtId="4" fontId="107" fillId="0" borderId="0" xfId="0" applyNumberFormat="1" applyFont="1"/>
    <xf numFmtId="178" fontId="107" fillId="0" borderId="0" xfId="0" applyNumberFormat="1" applyFont="1"/>
    <xf numFmtId="1" fontId="107" fillId="0" borderId="0" xfId="0" applyNumberFormat="1" applyFont="1" applyAlignment="1"/>
    <xf numFmtId="179" fontId="107" fillId="0" borderId="0" xfId="0" applyNumberFormat="1" applyFont="1" applyAlignment="1"/>
    <xf numFmtId="10" fontId="107" fillId="0" borderId="0" xfId="415" applyNumberFormat="1" applyFont="1" applyAlignment="1"/>
    <xf numFmtId="0" fontId="107" fillId="0" borderId="0" xfId="0" applyNumberFormat="1" applyFont="1" applyAlignment="1">
      <alignment horizontal="right"/>
    </xf>
    <xf numFmtId="177" fontId="107" fillId="0" borderId="0" xfId="0" applyNumberFormat="1" applyFont="1" applyFill="1" applyAlignment="1"/>
    <xf numFmtId="0" fontId="109" fillId="0" borderId="0" xfId="0" applyFont="1" applyAlignment="1"/>
    <xf numFmtId="0" fontId="107" fillId="0" borderId="0" xfId="0" applyFont="1" applyFill="1" applyAlignment="1"/>
    <xf numFmtId="0" fontId="107" fillId="0" borderId="0" xfId="0" applyNumberFormat="1" applyFont="1" applyAlignment="1">
      <alignment horizontal="center"/>
    </xf>
    <xf numFmtId="180" fontId="107" fillId="0" borderId="0" xfId="0" applyNumberFormat="1" applyFont="1"/>
    <xf numFmtId="177" fontId="107" fillId="0" borderId="0" xfId="0" applyNumberFormat="1" applyFont="1" applyBorder="1" applyAlignment="1"/>
    <xf numFmtId="0" fontId="107" fillId="0" borderId="0" xfId="0" applyNumberFormat="1" applyFont="1" applyAlignment="1">
      <alignment horizontal="fill"/>
    </xf>
    <xf numFmtId="181" fontId="107" fillId="0" borderId="0" xfId="0" applyNumberFormat="1" applyFont="1"/>
    <xf numFmtId="10" fontId="107" fillId="0" borderId="0" xfId="0" applyNumberFormat="1" applyFont="1" applyFill="1"/>
    <xf numFmtId="172" fontId="107" fillId="0" borderId="0" xfId="0" applyNumberFormat="1" applyFont="1"/>
    <xf numFmtId="9" fontId="107" fillId="0" borderId="0" xfId="0" applyNumberFormat="1" applyFont="1"/>
    <xf numFmtId="164" fontId="107" fillId="0" borderId="0" xfId="1" applyNumberFormat="1" applyFont="1" applyAlignment="1"/>
    <xf numFmtId="164" fontId="107" fillId="0" borderId="0" xfId="0" applyNumberFormat="1" applyFont="1" applyAlignment="1"/>
    <xf numFmtId="43" fontId="107" fillId="0" borderId="0" xfId="0" applyNumberFormat="1" applyFont="1" applyAlignment="1"/>
    <xf numFmtId="3" fontId="110" fillId="0" borderId="0" xfId="0" applyNumberFormat="1" applyFont="1" applyAlignment="1">
      <alignment horizontal="center"/>
    </xf>
    <xf numFmtId="0" fontId="110" fillId="0" borderId="0" xfId="0" applyFont="1" applyAlignment="1">
      <alignment horizontal="center"/>
    </xf>
    <xf numFmtId="0" fontId="107" fillId="0" borderId="0" xfId="0" applyNumberFormat="1" applyFont="1" applyFill="1"/>
    <xf numFmtId="0" fontId="107" fillId="0" borderId="0" xfId="0" applyNumberFormat="1" applyFont="1" applyFill="1" applyAlignment="1">
      <alignment horizontal="right"/>
    </xf>
    <xf numFmtId="177" fontId="107" fillId="0" borderId="0" xfId="0" applyNumberFormat="1" applyFont="1" applyFill="1"/>
    <xf numFmtId="9" fontId="107" fillId="0" borderId="0" xfId="3" applyFont="1" applyFill="1"/>
    <xf numFmtId="0" fontId="107" fillId="0" borderId="31" xfId="0" applyFont="1" applyBorder="1" applyAlignment="1"/>
    <xf numFmtId="0" fontId="107" fillId="0" borderId="32" xfId="0" applyFont="1" applyBorder="1" applyAlignment="1">
      <alignment horizontal="right"/>
    </xf>
    <xf numFmtId="177" fontId="107" fillId="0" borderId="33" xfId="0" applyNumberFormat="1" applyFont="1" applyBorder="1" applyAlignment="1"/>
    <xf numFmtId="177" fontId="107" fillId="0" borderId="0" xfId="0" applyNumberFormat="1" applyFont="1"/>
    <xf numFmtId="9" fontId="107" fillId="0" borderId="0" xfId="3" applyFont="1"/>
    <xf numFmtId="0" fontId="107" fillId="0" borderId="34" xfId="0" applyFont="1" applyBorder="1" applyAlignment="1"/>
    <xf numFmtId="0" fontId="107" fillId="0" borderId="0" xfId="0" applyFont="1" applyBorder="1" applyAlignment="1">
      <alignment horizontal="right"/>
    </xf>
    <xf numFmtId="5" fontId="107" fillId="0" borderId="35" xfId="0" applyNumberFormat="1" applyFont="1" applyBorder="1" applyAlignment="1"/>
    <xf numFmtId="0" fontId="107" fillId="0" borderId="0" xfId="0" applyFont="1" applyBorder="1" applyAlignment="1"/>
    <xf numFmtId="177" fontId="107" fillId="0" borderId="36" xfId="415" applyNumberFormat="1" applyFont="1" applyBorder="1"/>
    <xf numFmtId="10" fontId="107" fillId="0" borderId="0" xfId="0" applyNumberFormat="1" applyFont="1" applyAlignment="1"/>
    <xf numFmtId="10" fontId="107" fillId="0" borderId="0" xfId="415" applyNumberFormat="1" applyFont="1"/>
    <xf numFmtId="167" fontId="107" fillId="0" borderId="0" xfId="3" applyNumberFormat="1" applyFont="1" applyAlignment="1"/>
    <xf numFmtId="0" fontId="109" fillId="0" borderId="0" xfId="0" applyFont="1" applyBorder="1" applyAlignment="1"/>
    <xf numFmtId="3" fontId="107" fillId="0" borderId="35" xfId="0" applyNumberFormat="1" applyFont="1" applyBorder="1"/>
    <xf numFmtId="177" fontId="107" fillId="0" borderId="35" xfId="0" applyNumberFormat="1" applyFont="1" applyBorder="1"/>
    <xf numFmtId="3" fontId="107" fillId="0" borderId="35" xfId="0" applyNumberFormat="1" applyFont="1" applyBorder="1" applyAlignment="1"/>
    <xf numFmtId="3" fontId="111" fillId="0" borderId="35" xfId="0" applyNumberFormat="1" applyFont="1" applyBorder="1" applyAlignment="1"/>
    <xf numFmtId="177" fontId="107" fillId="0" borderId="35" xfId="0" applyNumberFormat="1" applyFont="1" applyBorder="1" applyAlignment="1"/>
    <xf numFmtId="0" fontId="107" fillId="0" borderId="37" xfId="0" applyFont="1" applyBorder="1" applyAlignment="1"/>
    <xf numFmtId="0" fontId="107" fillId="0" borderId="14" xfId="0" applyFont="1" applyBorder="1" applyAlignment="1"/>
    <xf numFmtId="10" fontId="111" fillId="0" borderId="38" xfId="0" applyNumberFormat="1" applyFont="1" applyBorder="1" applyAlignment="1"/>
    <xf numFmtId="43" fontId="6" fillId="0" borderId="0" xfId="1" applyNumberFormat="1" applyFont="1" applyFill="1" applyBorder="1"/>
    <xf numFmtId="0" fontId="112" fillId="0" borderId="0" xfId="0" applyFont="1"/>
    <xf numFmtId="3" fontId="113" fillId="24" borderId="0" xfId="67" applyNumberFormat="1" applyFont="1" applyBorder="1" applyAlignment="1">
      <alignment horizontal="center"/>
    </xf>
    <xf numFmtId="37" fontId="113" fillId="22" borderId="0" xfId="62" applyNumberFormat="1" applyFont="1" applyBorder="1" applyAlignment="1">
      <alignment horizontal="center"/>
    </xf>
    <xf numFmtId="0" fontId="112" fillId="0" borderId="0" xfId="0" applyFont="1" applyFill="1"/>
    <xf numFmtId="0" fontId="113" fillId="24" borderId="1" xfId="67" applyNumberFormat="1" applyFont="1" applyBorder="1" applyAlignment="1">
      <alignment horizontal="center"/>
    </xf>
    <xf numFmtId="37" fontId="113" fillId="22" borderId="1" xfId="62" applyNumberFormat="1" applyFont="1" applyBorder="1" applyAlignment="1">
      <alignment horizontal="center"/>
    </xf>
    <xf numFmtId="0" fontId="113" fillId="22" borderId="0" xfId="62" applyNumberFormat="1" applyFont="1" applyBorder="1" applyAlignment="1">
      <alignment horizontal="center"/>
    </xf>
    <xf numFmtId="0" fontId="101" fillId="3" borderId="0" xfId="48" applyFont="1" applyAlignment="1">
      <alignment horizontal="center"/>
    </xf>
    <xf numFmtId="37" fontId="7" fillId="0" borderId="0" xfId="4" applyNumberFormat="1" applyFont="1" applyFill="1" applyBorder="1" applyAlignment="1">
      <alignment horizontal="left"/>
    </xf>
    <xf numFmtId="0" fontId="7" fillId="0" borderId="0" xfId="0" applyFont="1"/>
    <xf numFmtId="43" fontId="112" fillId="0" borderId="0" xfId="0" applyNumberFormat="1" applyFont="1"/>
    <xf numFmtId="37" fontId="7" fillId="0" borderId="1" xfId="4" applyNumberFormat="1" applyFont="1" applyFill="1" applyBorder="1" applyAlignment="1">
      <alignment horizontal="left"/>
    </xf>
    <xf numFmtId="164" fontId="112" fillId="0" borderId="0" xfId="0" applyNumberFormat="1" applyFont="1"/>
    <xf numFmtId="167" fontId="114" fillId="0" borderId="0" xfId="3" applyNumberFormat="1" applyFont="1"/>
    <xf numFmtId="0" fontId="114" fillId="0" borderId="0" xfId="0" applyFont="1" applyFill="1"/>
    <xf numFmtId="43" fontId="0" fillId="0" borderId="0" xfId="1" applyFont="1"/>
    <xf numFmtId="0" fontId="3" fillId="0" borderId="0" xfId="0" applyFont="1" applyBorder="1" applyAlignment="1">
      <alignment horizontal="center"/>
    </xf>
    <xf numFmtId="43" fontId="0" fillId="0" borderId="0" xfId="1" quotePrefix="1" applyFont="1" applyBorder="1"/>
    <xf numFmtId="0" fontId="4" fillId="49" borderId="0" xfId="216" applyFill="1"/>
    <xf numFmtId="0" fontId="4" fillId="0" borderId="0" xfId="216"/>
    <xf numFmtId="0" fontId="4" fillId="0" borderId="0" xfId="216" applyFont="1"/>
    <xf numFmtId="0" fontId="60" fillId="0" borderId="0" xfId="216" applyFont="1"/>
    <xf numFmtId="0" fontId="4" fillId="0" borderId="0" xfId="216" applyAlignment="1">
      <alignment horizontal="right"/>
    </xf>
    <xf numFmtId="0" fontId="4" fillId="0" borderId="0" xfId="216" applyAlignment="1">
      <alignment horizontal="left"/>
    </xf>
    <xf numFmtId="0" fontId="115" fillId="0" borderId="0" xfId="216" applyFont="1"/>
    <xf numFmtId="0" fontId="116" fillId="0" borderId="0" xfId="216" applyFont="1"/>
    <xf numFmtId="0" fontId="117" fillId="0" borderId="0" xfId="216" applyFont="1" applyAlignment="1">
      <alignment horizontal="right" vertical="top"/>
    </xf>
    <xf numFmtId="0" fontId="118" fillId="0" borderId="0" xfId="216" applyFont="1"/>
    <xf numFmtId="0" fontId="60" fillId="49" borderId="1" xfId="216" applyFont="1" applyFill="1" applyBorder="1" applyAlignment="1">
      <alignment horizontal="centerContinuous"/>
    </xf>
    <xf numFmtId="0" fontId="60" fillId="36" borderId="1" xfId="216" applyFont="1" applyFill="1" applyBorder="1" applyAlignment="1">
      <alignment horizontal="centerContinuous"/>
    </xf>
    <xf numFmtId="0" fontId="4" fillId="36" borderId="1" xfId="216" applyFill="1" applyBorder="1" applyAlignment="1">
      <alignment horizontal="centerContinuous"/>
    </xf>
    <xf numFmtId="0" fontId="60" fillId="0" borderId="0" xfId="216" applyFont="1" applyAlignment="1">
      <alignment horizontal="right"/>
    </xf>
    <xf numFmtId="49" fontId="119" fillId="0" borderId="0" xfId="216" applyNumberFormat="1" applyFont="1" applyAlignment="1">
      <alignment horizontal="left"/>
    </xf>
    <xf numFmtId="0" fontId="4" fillId="0" borderId="0" xfId="216" applyFont="1" applyAlignment="1">
      <alignment horizontal="right"/>
    </xf>
    <xf numFmtId="0" fontId="119" fillId="0" borderId="0" xfId="216" applyFont="1"/>
    <xf numFmtId="39" fontId="119" fillId="0" borderId="0" xfId="89" applyNumberFormat="1" applyFont="1" applyAlignment="1">
      <alignment horizontal="left"/>
    </xf>
    <xf numFmtId="0" fontId="4" fillId="0" borderId="0" xfId="216" applyAlignment="1"/>
    <xf numFmtId="0" fontId="119" fillId="0" borderId="0" xfId="216" applyFont="1" applyAlignment="1">
      <alignment horizontal="left"/>
    </xf>
    <xf numFmtId="0" fontId="60" fillId="34" borderId="0" xfId="216" applyFont="1" applyFill="1"/>
    <xf numFmtId="0" fontId="4" fillId="34" borderId="0" xfId="216" applyFill="1"/>
    <xf numFmtId="40" fontId="60" fillId="34" borderId="0" xfId="89" applyNumberFormat="1" applyFont="1" applyFill="1"/>
    <xf numFmtId="0" fontId="4" fillId="0" borderId="0" xfId="216" applyAlignment="1">
      <alignment horizontal="left" indent="1"/>
    </xf>
    <xf numFmtId="38" fontId="60" fillId="34" borderId="0" xfId="89" applyNumberFormat="1" applyFont="1" applyFill="1"/>
    <xf numFmtId="0" fontId="4" fillId="0" borderId="0" xfId="216" applyNumberFormat="1" applyAlignment="1">
      <alignment horizontal="left"/>
    </xf>
    <xf numFmtId="176" fontId="4" fillId="0" borderId="0" xfId="216" applyNumberFormat="1"/>
    <xf numFmtId="0" fontId="4" fillId="36" borderId="39" xfId="216" applyFont="1" applyFill="1" applyBorder="1" applyAlignment="1">
      <alignment horizontal="centerContinuous"/>
    </xf>
    <xf numFmtId="0" fontId="4" fillId="36" borderId="17" xfId="216" applyFont="1" applyFill="1" applyBorder="1" applyAlignment="1">
      <alignment horizontal="centerContinuous"/>
    </xf>
    <xf numFmtId="0" fontId="4" fillId="36" borderId="40" xfId="216" applyFont="1" applyFill="1" applyBorder="1" applyAlignment="1">
      <alignment horizontal="centerContinuous"/>
    </xf>
    <xf numFmtId="0" fontId="4" fillId="0" borderId="0" xfId="216" applyAlignment="1">
      <alignment vertical="top"/>
    </xf>
    <xf numFmtId="0" fontId="4" fillId="34" borderId="14" xfId="216" applyFill="1" applyBorder="1" applyAlignment="1">
      <alignment vertical="top"/>
    </xf>
    <xf numFmtId="0" fontId="4" fillId="34" borderId="14" xfId="216" applyFill="1" applyBorder="1" applyAlignment="1">
      <alignment horizontal="center" vertical="top"/>
    </xf>
    <xf numFmtId="0" fontId="60" fillId="34" borderId="14" xfId="216" applyFont="1" applyFill="1" applyBorder="1" applyAlignment="1">
      <alignment horizontal="center" vertical="top" wrapText="1"/>
    </xf>
    <xf numFmtId="0" fontId="120" fillId="34" borderId="14" xfId="216" applyFont="1" applyFill="1" applyBorder="1" applyAlignment="1">
      <alignment vertical="top"/>
    </xf>
    <xf numFmtId="176" fontId="4" fillId="34" borderId="14" xfId="216" applyNumberFormat="1" applyFill="1" applyBorder="1" applyAlignment="1">
      <alignment vertical="top"/>
    </xf>
    <xf numFmtId="0" fontId="4" fillId="34" borderId="14" xfId="216" applyFill="1" applyBorder="1" applyAlignment="1">
      <alignment horizontal="left" vertical="top" wrapText="1"/>
    </xf>
    <xf numFmtId="0" fontId="4" fillId="34" borderId="41" xfId="216" applyFont="1" applyFill="1" applyBorder="1" applyAlignment="1">
      <alignment horizontal="center" vertical="top"/>
    </xf>
    <xf numFmtId="14" fontId="4" fillId="0" borderId="0" xfId="216" applyNumberFormat="1"/>
    <xf numFmtId="40" fontId="60" fillId="0" borderId="0" xfId="216" applyNumberFormat="1" applyFont="1"/>
    <xf numFmtId="40" fontId="60" fillId="0" borderId="0" xfId="216" applyNumberFormat="1" applyFont="1" applyAlignment="1">
      <alignment horizontal="center"/>
    </xf>
    <xf numFmtId="0" fontId="4" fillId="0" borderId="0" xfId="216" applyAlignment="1">
      <alignment horizontal="center"/>
    </xf>
    <xf numFmtId="14" fontId="4" fillId="0" borderId="0" xfId="216" applyNumberFormat="1" applyAlignment="1">
      <alignment horizontal="left"/>
    </xf>
    <xf numFmtId="40" fontId="4" fillId="0" borderId="0" xfId="89" applyNumberFormat="1"/>
    <xf numFmtId="0" fontId="4" fillId="0" borderId="20" xfId="216" applyBorder="1"/>
    <xf numFmtId="40" fontId="4" fillId="0" borderId="20" xfId="89" applyNumberFormat="1" applyBorder="1"/>
    <xf numFmtId="0" fontId="4" fillId="0" borderId="20" xfId="216" applyBorder="1" applyAlignment="1">
      <alignment horizontal="right"/>
    </xf>
    <xf numFmtId="0" fontId="4" fillId="0" borderId="0" xfId="216" applyBorder="1"/>
    <xf numFmtId="43" fontId="4" fillId="0" borderId="0" xfId="216" applyNumberFormat="1"/>
    <xf numFmtId="0" fontId="4" fillId="0" borderId="0" xfId="216" applyNumberFormat="1"/>
    <xf numFmtId="0" fontId="65" fillId="0" borderId="0" xfId="216" applyFont="1" applyAlignment="1">
      <alignment horizontal="right"/>
    </xf>
    <xf numFmtId="44" fontId="65" fillId="0" borderId="0" xfId="147" applyFont="1"/>
    <xf numFmtId="172" fontId="0" fillId="0" borderId="1" xfId="3" applyNumberFormat="1" applyFont="1" applyBorder="1"/>
    <xf numFmtId="0" fontId="0" fillId="0" borderId="0" xfId="0" quotePrefix="1"/>
    <xf numFmtId="43" fontId="4" fillId="0" borderId="0" xfId="89" applyFont="1"/>
    <xf numFmtId="44" fontId="4" fillId="0" borderId="0" xfId="147" applyFont="1"/>
    <xf numFmtId="0" fontId="4" fillId="0" borderId="0" xfId="216" applyFont="1" applyFill="1"/>
    <xf numFmtId="0" fontId="121" fillId="0" borderId="0" xfId="216" applyFont="1"/>
    <xf numFmtId="43" fontId="4" fillId="0" borderId="1" xfId="89" applyFont="1" applyBorder="1" applyAlignment="1">
      <alignment horizontal="center"/>
    </xf>
    <xf numFmtId="44" fontId="4" fillId="0" borderId="1" xfId="147" applyFont="1" applyBorder="1" applyAlignment="1">
      <alignment horizontal="center"/>
    </xf>
    <xf numFmtId="17" fontId="4" fillId="0" borderId="0" xfId="216" applyNumberFormat="1" applyFont="1" applyAlignment="1">
      <alignment horizontal="left"/>
    </xf>
    <xf numFmtId="43" fontId="4" fillId="0" borderId="0" xfId="89" applyFont="1" applyFill="1"/>
    <xf numFmtId="44" fontId="4" fillId="0" borderId="0" xfId="147" applyFont="1" applyFill="1"/>
    <xf numFmtId="43" fontId="4" fillId="0" borderId="0" xfId="89" quotePrefix="1" applyFont="1" applyAlignment="1">
      <alignment horizontal="right"/>
    </xf>
    <xf numFmtId="44" fontId="4" fillId="0" borderId="0" xfId="147" quotePrefix="1" applyFont="1" applyAlignment="1">
      <alignment horizontal="right"/>
    </xf>
    <xf numFmtId="43" fontId="122" fillId="0" borderId="0" xfId="89" applyFont="1" applyBorder="1"/>
    <xf numFmtId="44" fontId="122" fillId="0" borderId="0" xfId="147" applyFont="1" applyBorder="1"/>
    <xf numFmtId="43" fontId="123" fillId="0" borderId="0" xfId="89" quotePrefix="1" applyFont="1" applyBorder="1" applyAlignment="1">
      <alignment horizontal="right"/>
    </xf>
    <xf numFmtId="44" fontId="123" fillId="0" borderId="0" xfId="147" quotePrefix="1" applyFont="1" applyBorder="1" applyAlignment="1">
      <alignment horizontal="right"/>
    </xf>
    <xf numFmtId="43" fontId="60" fillId="0" borderId="18" xfId="89" applyFont="1" applyBorder="1"/>
    <xf numFmtId="44" fontId="60" fillId="0" borderId="0" xfId="147" applyFont="1" applyFill="1"/>
    <xf numFmtId="43" fontId="60" fillId="0" borderId="0" xfId="89" applyFont="1" applyBorder="1"/>
    <xf numFmtId="0" fontId="60" fillId="0" borderId="0" xfId="388" applyFont="1"/>
    <xf numFmtId="43" fontId="4" fillId="0" borderId="0" xfId="89"/>
    <xf numFmtId="44" fontId="4" fillId="0" borderId="0" xfId="147"/>
    <xf numFmtId="43" fontId="4" fillId="0" borderId="0" xfId="89" applyFont="1" applyFill="1" applyBorder="1"/>
    <xf numFmtId="44" fontId="4" fillId="0" borderId="0" xfId="147" applyFill="1" applyBorder="1"/>
    <xf numFmtId="44" fontId="4" fillId="0" borderId="0" xfId="147" applyFill="1"/>
    <xf numFmtId="0" fontId="4" fillId="0" borderId="0" xfId="388" applyFill="1"/>
    <xf numFmtId="43" fontId="4" fillId="0" borderId="0" xfId="89" applyFill="1"/>
    <xf numFmtId="0" fontId="4" fillId="0" borderId="0" xfId="388"/>
    <xf numFmtId="43" fontId="60" fillId="0" borderId="0" xfId="89" applyFont="1" applyFill="1" applyBorder="1"/>
    <xf numFmtId="43" fontId="60" fillId="31" borderId="0" xfId="89" applyFont="1" applyFill="1" applyBorder="1" applyAlignment="1">
      <alignment horizontal="center"/>
    </xf>
    <xf numFmtId="43" fontId="0" fillId="34" borderId="0" xfId="89" applyFont="1" applyFill="1" applyAlignment="1">
      <alignment horizontal="center"/>
    </xf>
    <xf numFmtId="43" fontId="0" fillId="35" borderId="0" xfId="89" applyFont="1" applyFill="1" applyAlignment="1">
      <alignment horizontal="center"/>
    </xf>
    <xf numFmtId="44" fontId="4" fillId="0" borderId="0" xfId="147" applyFont="1" applyBorder="1" applyAlignment="1">
      <alignment horizontal="center"/>
    </xf>
    <xf numFmtId="17" fontId="4" fillId="0" borderId="0" xfId="388" applyNumberFormat="1" applyFill="1" applyAlignment="1">
      <alignment horizontal="left"/>
    </xf>
    <xf numFmtId="43" fontId="4" fillId="0" borderId="0" xfId="89" applyFont="1" applyFill="1" applyAlignment="1">
      <alignment horizontal="right"/>
    </xf>
    <xf numFmtId="43" fontId="4" fillId="0" borderId="0" xfId="89" quotePrefix="1" applyFont="1" applyFill="1" applyAlignment="1">
      <alignment horizontal="right"/>
    </xf>
    <xf numFmtId="44" fontId="4" fillId="0" borderId="0" xfId="147" quotePrefix="1" applyFont="1" applyFill="1" applyAlignment="1">
      <alignment horizontal="right"/>
    </xf>
    <xf numFmtId="17" fontId="4" fillId="0" borderId="0" xfId="388" applyNumberFormat="1" applyAlignment="1">
      <alignment horizontal="left"/>
    </xf>
    <xf numFmtId="43" fontId="122" fillId="0" borderId="0" xfId="89" applyFont="1" applyAlignment="1">
      <alignment horizontal="right"/>
    </xf>
    <xf numFmtId="44" fontId="122" fillId="0" borderId="0" xfId="147" applyFont="1"/>
    <xf numFmtId="43" fontId="122" fillId="0" borderId="0" xfId="89" quotePrefix="1" applyFont="1" applyAlignment="1">
      <alignment horizontal="right"/>
    </xf>
    <xf numFmtId="43" fontId="122" fillId="0" borderId="0" xfId="89" applyFont="1"/>
    <xf numFmtId="43" fontId="4" fillId="0" borderId="18" xfId="89" applyBorder="1"/>
    <xf numFmtId="44" fontId="4" fillId="0" borderId="18" xfId="147" applyBorder="1"/>
    <xf numFmtId="44" fontId="4" fillId="0" borderId="0" xfId="216" applyNumberFormat="1"/>
    <xf numFmtId="0" fontId="124" fillId="0" borderId="0" xfId="0" applyFont="1"/>
    <xf numFmtId="43" fontId="0" fillId="42" borderId="1" xfId="0" applyNumberFormat="1" applyFill="1" applyBorder="1"/>
    <xf numFmtId="0" fontId="0" fillId="0" borderId="31" xfId="0" applyBorder="1"/>
    <xf numFmtId="0" fontId="0" fillId="0" borderId="32" xfId="0" applyBorder="1"/>
    <xf numFmtId="0" fontId="0" fillId="0" borderId="33" xfId="0" applyBorder="1"/>
    <xf numFmtId="0" fontId="3" fillId="0" borderId="34" xfId="0" applyFont="1" applyBorder="1"/>
    <xf numFmtId="0" fontId="0" fillId="0" borderId="35" xfId="0" applyBorder="1"/>
    <xf numFmtId="0" fontId="0" fillId="0" borderId="34" xfId="0" applyBorder="1"/>
    <xf numFmtId="0" fontId="83" fillId="0" borderId="34" xfId="0" applyFont="1" applyBorder="1"/>
    <xf numFmtId="43" fontId="0" fillId="42" borderId="0" xfId="0" applyNumberFormat="1" applyFill="1" applyBorder="1"/>
    <xf numFmtId="43" fontId="0" fillId="0" borderId="0" xfId="0" applyNumberFormat="1" applyBorder="1"/>
    <xf numFmtId="0" fontId="0" fillId="0" borderId="37" xfId="0" applyBorder="1"/>
    <xf numFmtId="0" fontId="0" fillId="0" borderId="14" xfId="0" applyBorder="1"/>
    <xf numFmtId="0" fontId="0" fillId="0" borderId="38" xfId="0" applyBorder="1"/>
    <xf numFmtId="0" fontId="125" fillId="0" borderId="34" xfId="0" applyFont="1" applyBorder="1"/>
    <xf numFmtId="0" fontId="83" fillId="0" borderId="0" xfId="0" applyFont="1" applyAlignment="1">
      <alignment horizontal="center"/>
    </xf>
    <xf numFmtId="44" fontId="0" fillId="0" borderId="0" xfId="0" applyNumberFormat="1" applyFill="1"/>
    <xf numFmtId="44" fontId="0" fillId="0" borderId="0" xfId="2" applyFont="1" applyFill="1"/>
    <xf numFmtId="0" fontId="83" fillId="0" borderId="0" xfId="0" applyFont="1" applyFill="1"/>
    <xf numFmtId="44" fontId="3" fillId="0" borderId="0" xfId="2" applyFont="1"/>
    <xf numFmtId="43" fontId="0" fillId="0" borderId="0" xfId="0" applyNumberFormat="1" applyFill="1"/>
    <xf numFmtId="44" fontId="0" fillId="0" borderId="1" xfId="0" applyNumberFormat="1" applyFill="1" applyBorder="1"/>
    <xf numFmtId="0" fontId="126" fillId="0" borderId="0" xfId="0" applyFont="1" applyAlignment="1">
      <alignment horizontal="left"/>
    </xf>
    <xf numFmtId="167" fontId="0" fillId="0" borderId="1" xfId="3" applyNumberFormat="1" applyFont="1" applyBorder="1"/>
    <xf numFmtId="10" fontId="0" fillId="0" borderId="0" xfId="3" applyNumberFormat="1" applyFont="1"/>
    <xf numFmtId="182" fontId="0" fillId="0" borderId="1" xfId="3" applyNumberFormat="1" applyFont="1" applyBorder="1"/>
    <xf numFmtId="0" fontId="3" fillId="0" borderId="0" xfId="0" applyFont="1" applyFill="1"/>
    <xf numFmtId="0" fontId="4" fillId="0" borderId="0" xfId="263" applyAlignment="1">
      <alignment horizontal="center"/>
    </xf>
    <xf numFmtId="164" fontId="0" fillId="0" borderId="0" xfId="5" applyNumberFormat="1" applyFont="1" applyAlignment="1">
      <alignment horizontal="center"/>
    </xf>
    <xf numFmtId="164" fontId="0" fillId="0" borderId="0" xfId="5" applyNumberFormat="1" applyFont="1" applyFill="1" applyAlignment="1">
      <alignment horizontal="center"/>
    </xf>
    <xf numFmtId="9" fontId="61" fillId="0" borderId="0" xfId="7" applyNumberFormat="1" applyFont="1" applyAlignment="1">
      <alignment horizontal="right"/>
    </xf>
    <xf numFmtId="172" fontId="61" fillId="50" borderId="0" xfId="7" applyNumberFormat="1" applyFont="1" applyFill="1" applyAlignment="1">
      <alignment horizontal="center"/>
    </xf>
    <xf numFmtId="0" fontId="4" fillId="37" borderId="0" xfId="263" applyFill="1" applyAlignment="1">
      <alignment horizontal="center"/>
    </xf>
    <xf numFmtId="164" fontId="0" fillId="37" borderId="0" xfId="5" applyNumberFormat="1" applyFont="1" applyFill="1" applyAlignment="1">
      <alignment horizontal="center"/>
    </xf>
    <xf numFmtId="164" fontId="60" fillId="37" borderId="0" xfId="5" quotePrefix="1" applyNumberFormat="1" applyFont="1" applyFill="1" applyAlignment="1">
      <alignment horizontal="center"/>
    </xf>
    <xf numFmtId="164" fontId="4" fillId="0" borderId="0" xfId="5" quotePrefix="1" applyNumberFormat="1" applyFont="1" applyFill="1" applyAlignment="1">
      <alignment horizontal="center"/>
    </xf>
    <xf numFmtId="0" fontId="61" fillId="0" borderId="0" xfId="7" applyNumberFormat="1" applyFont="1" applyAlignment="1">
      <alignment horizontal="right"/>
    </xf>
    <xf numFmtId="0" fontId="3" fillId="37" borderId="42" xfId="263" applyFont="1" applyFill="1" applyBorder="1" applyAlignment="1">
      <alignment horizontal="center"/>
    </xf>
    <xf numFmtId="164" fontId="3" fillId="37" borderId="39" xfId="5" applyNumberFormat="1" applyFont="1" applyFill="1" applyBorder="1" applyAlignment="1">
      <alignment horizontal="center" wrapText="1"/>
    </xf>
    <xf numFmtId="164" fontId="3" fillId="37" borderId="42" xfId="5" applyNumberFormat="1" applyFont="1" applyFill="1" applyBorder="1" applyAlignment="1">
      <alignment horizontal="center" wrapText="1"/>
    </xf>
    <xf numFmtId="164" fontId="3" fillId="0" borderId="0" xfId="5" applyNumberFormat="1" applyFont="1" applyFill="1" applyBorder="1" applyAlignment="1">
      <alignment horizontal="center" wrapText="1"/>
    </xf>
    <xf numFmtId="183" fontId="127" fillId="0" borderId="0" xfId="7" quotePrefix="1" applyNumberFormat="1" applyFont="1" applyAlignment="1">
      <alignment horizontal="left"/>
    </xf>
    <xf numFmtId="0" fontId="55" fillId="0" borderId="14" xfId="7" applyNumberFormat="1" applyFont="1" applyBorder="1"/>
    <xf numFmtId="0" fontId="55" fillId="0" borderId="0" xfId="7" applyNumberFormat="1" applyFont="1" applyBorder="1"/>
    <xf numFmtId="0" fontId="4" fillId="37" borderId="0" xfId="263" applyFill="1" applyAlignment="1">
      <alignment horizontal="left"/>
    </xf>
    <xf numFmtId="164" fontId="0" fillId="37" borderId="0" xfId="5" applyNumberFormat="1" applyFont="1" applyFill="1"/>
    <xf numFmtId="10" fontId="0" fillId="37" borderId="0" xfId="405" applyNumberFormat="1" applyFont="1" applyFill="1"/>
    <xf numFmtId="10" fontId="0" fillId="0" borderId="0" xfId="405" applyNumberFormat="1" applyFont="1" applyFill="1"/>
    <xf numFmtId="164" fontId="60" fillId="0" borderId="1" xfId="114" applyNumberFormat="1" applyFont="1" applyFill="1" applyBorder="1" applyAlignment="1"/>
    <xf numFmtId="0" fontId="19" fillId="0" borderId="1" xfId="7" applyNumberFormat="1" applyFont="1" applyBorder="1"/>
    <xf numFmtId="0" fontId="55" fillId="0" borderId="1" xfId="7" applyNumberFormat="1" applyFont="1" applyBorder="1"/>
    <xf numFmtId="164" fontId="60" fillId="0" borderId="0" xfId="114" applyNumberFormat="1" applyFont="1" applyFill="1" applyBorder="1" applyAlignment="1"/>
    <xf numFmtId="17" fontId="60" fillId="0" borderId="0" xfId="114" applyNumberFormat="1" applyFont="1" applyFill="1" applyBorder="1" applyAlignment="1">
      <alignment horizontal="centerContinuous"/>
    </xf>
    <xf numFmtId="44" fontId="4" fillId="0" borderId="0" xfId="2" applyFont="1" applyFill="1"/>
    <xf numFmtId="0" fontId="4" fillId="50" borderId="0" xfId="263" applyFill="1" applyAlignment="1">
      <alignment horizontal="left"/>
    </xf>
    <xf numFmtId="164" fontId="0" fillId="50" borderId="0" xfId="5" applyNumberFormat="1" applyFont="1" applyFill="1"/>
    <xf numFmtId="10" fontId="0" fillId="50" borderId="0" xfId="405" applyNumberFormat="1" applyFont="1" applyFill="1"/>
    <xf numFmtId="0" fontId="19" fillId="0" borderId="1" xfId="7" applyFont="1" applyBorder="1"/>
    <xf numFmtId="0" fontId="19" fillId="0" borderId="0" xfId="7" applyFont="1" applyBorder="1"/>
    <xf numFmtId="44" fontId="60" fillId="0" borderId="30" xfId="2" applyFont="1" applyFill="1" applyBorder="1"/>
    <xf numFmtId="44" fontId="60" fillId="0" borderId="0" xfId="2" applyFont="1" applyFill="1" applyBorder="1"/>
    <xf numFmtId="164" fontId="60" fillId="0" borderId="0" xfId="114" applyNumberFormat="1" applyFont="1" applyFill="1"/>
    <xf numFmtId="9" fontId="0" fillId="37" borderId="0" xfId="405" applyFont="1" applyFill="1" applyAlignment="1">
      <alignment horizontal="center"/>
    </xf>
    <xf numFmtId="9" fontId="0" fillId="0" borderId="0" xfId="405" applyFont="1" applyFill="1" applyAlignment="1">
      <alignment horizontal="center"/>
    </xf>
    <xf numFmtId="164" fontId="60" fillId="0" borderId="0" xfId="114" applyNumberFormat="1" applyFont="1" applyFill="1" applyAlignment="1">
      <alignment horizontal="right"/>
    </xf>
    <xf numFmtId="164" fontId="4" fillId="0" borderId="1" xfId="114" applyNumberFormat="1" applyFont="1" applyFill="1" applyBorder="1"/>
    <xf numFmtId="165" fontId="5" fillId="0" borderId="0" xfId="271" applyFont="1"/>
    <xf numFmtId="165" fontId="6" fillId="0" borderId="0" xfId="271" applyFont="1"/>
    <xf numFmtId="165" fontId="6" fillId="0" borderId="0" xfId="271" applyFont="1" applyAlignment="1">
      <alignment horizontal="left"/>
    </xf>
    <xf numFmtId="165" fontId="6" fillId="0" borderId="0" xfId="271" applyFont="1" applyFill="1" applyAlignment="1">
      <alignment horizontal="left"/>
    </xf>
    <xf numFmtId="164" fontId="6" fillId="0" borderId="0" xfId="89" applyNumberFormat="1" applyFont="1"/>
    <xf numFmtId="3" fontId="6" fillId="0" borderId="0" xfId="271" applyNumberFormat="1" applyFont="1"/>
    <xf numFmtId="184" fontId="6" fillId="0" borderId="0" xfId="271" applyNumberFormat="1" applyFont="1"/>
    <xf numFmtId="167" fontId="6" fillId="0" borderId="0" xfId="271" applyNumberFormat="1" applyFont="1"/>
    <xf numFmtId="3" fontId="6" fillId="0" borderId="0" xfId="271" applyNumberFormat="1" applyFont="1" applyAlignment="1">
      <alignment horizontal="right"/>
    </xf>
    <xf numFmtId="10" fontId="6" fillId="0" borderId="0" xfId="271" applyNumberFormat="1" applyFont="1"/>
    <xf numFmtId="10" fontId="6" fillId="0" borderId="0" xfId="405" applyNumberFormat="1" applyFont="1" applyAlignment="1">
      <alignment horizontal="right"/>
    </xf>
    <xf numFmtId="0" fontId="5" fillId="0" borderId="0" xfId="271" applyNumberFormat="1" applyFont="1" applyAlignment="1">
      <alignment horizontal="left"/>
    </xf>
    <xf numFmtId="9" fontId="6" fillId="0" borderId="0" xfId="405" applyFont="1"/>
    <xf numFmtId="165" fontId="6" fillId="0" borderId="0" xfId="271" applyFont="1" applyBorder="1"/>
    <xf numFmtId="165" fontId="6" fillId="0" borderId="0" xfId="271" applyFont="1" applyBorder="1" applyAlignment="1">
      <alignment horizontal="left"/>
    </xf>
    <xf numFmtId="165" fontId="6" fillId="0" borderId="0" xfId="271" applyFont="1" applyFill="1" applyBorder="1" applyAlignment="1">
      <alignment horizontal="left"/>
    </xf>
    <xf numFmtId="165" fontId="6" fillId="0" borderId="14" xfId="271" applyFont="1" applyBorder="1"/>
    <xf numFmtId="165" fontId="6" fillId="0" borderId="14" xfId="271" applyFont="1" applyBorder="1" applyAlignment="1">
      <alignment horizontal="left"/>
    </xf>
    <xf numFmtId="165" fontId="6" fillId="0" borderId="14" xfId="271" applyFont="1" applyFill="1" applyBorder="1" applyAlignment="1">
      <alignment horizontal="left"/>
    </xf>
    <xf numFmtId="165" fontId="6" fillId="51" borderId="0" xfId="271" applyFont="1" applyFill="1"/>
    <xf numFmtId="14" fontId="6" fillId="51" borderId="0" xfId="271" applyNumberFormat="1" applyFont="1" applyFill="1" applyAlignment="1">
      <alignment horizontal="center"/>
    </xf>
    <xf numFmtId="4" fontId="6" fillId="0" borderId="0" xfId="271" applyNumberFormat="1" applyFont="1"/>
    <xf numFmtId="165" fontId="6" fillId="37" borderId="0" xfId="271" applyFont="1" applyFill="1" applyAlignment="1">
      <alignment horizontal="left"/>
    </xf>
    <xf numFmtId="165" fontId="5" fillId="37" borderId="31" xfId="271" applyFont="1" applyFill="1" applyBorder="1" applyAlignment="1">
      <alignment horizontal="center"/>
    </xf>
    <xf numFmtId="165" fontId="5" fillId="37" borderId="0" xfId="271" applyFont="1" applyFill="1" applyBorder="1" applyAlignment="1">
      <alignment horizontal="center"/>
    </xf>
    <xf numFmtId="165" fontId="6" fillId="0" borderId="33" xfId="271" applyFont="1" applyFill="1" applyBorder="1" applyAlignment="1">
      <alignment horizontal="left"/>
    </xf>
    <xf numFmtId="165" fontId="102" fillId="51" borderId="0" xfId="271" applyFont="1" applyFill="1" applyAlignment="1">
      <alignment horizontal="center"/>
    </xf>
    <xf numFmtId="165" fontId="5" fillId="37" borderId="34" xfId="271" applyFont="1" applyFill="1" applyBorder="1" applyAlignment="1">
      <alignment horizontal="center"/>
    </xf>
    <xf numFmtId="165" fontId="5" fillId="0" borderId="35" xfId="271" applyFont="1" applyFill="1" applyBorder="1" applyAlignment="1">
      <alignment horizontal="center"/>
    </xf>
    <xf numFmtId="165" fontId="5" fillId="0" borderId="0" xfId="271" quotePrefix="1" applyFont="1" applyAlignment="1">
      <alignment horizontal="center"/>
    </xf>
    <xf numFmtId="165" fontId="5" fillId="0" borderId="0" xfId="271" applyFont="1" applyAlignment="1">
      <alignment horizontal="center"/>
    </xf>
    <xf numFmtId="14" fontId="6" fillId="51" borderId="0" xfId="271" applyNumberFormat="1" applyFont="1" applyFill="1"/>
    <xf numFmtId="165" fontId="5" fillId="0" borderId="43" xfId="271" applyFont="1" applyBorder="1" applyAlignment="1">
      <alignment horizontal="center"/>
    </xf>
    <xf numFmtId="165" fontId="5" fillId="37" borderId="14" xfId="271" applyFont="1" applyFill="1" applyBorder="1" applyAlignment="1">
      <alignment horizontal="center"/>
    </xf>
    <xf numFmtId="165" fontId="5" fillId="37" borderId="37" xfId="271" applyFont="1" applyFill="1" applyBorder="1" applyAlignment="1">
      <alignment horizontal="center"/>
    </xf>
    <xf numFmtId="165" fontId="5" fillId="0" borderId="38" xfId="271" applyFont="1" applyFill="1" applyBorder="1" applyAlignment="1">
      <alignment horizontal="center" wrapText="1"/>
    </xf>
    <xf numFmtId="164" fontId="5" fillId="0" borderId="0" xfId="89" applyNumberFormat="1" applyFont="1" applyAlignment="1">
      <alignment horizontal="center" wrapText="1"/>
    </xf>
    <xf numFmtId="3" fontId="5" fillId="0" borderId="0" xfId="271" applyNumberFormat="1" applyFont="1" applyAlignment="1">
      <alignment horizontal="center" wrapText="1"/>
    </xf>
    <xf numFmtId="184" fontId="5" fillId="0" borderId="0" xfId="271" applyNumberFormat="1" applyFont="1" applyAlignment="1">
      <alignment horizontal="center"/>
    </xf>
    <xf numFmtId="167" fontId="5" fillId="0" borderId="0" xfId="271" applyNumberFormat="1" applyFont="1" applyAlignment="1">
      <alignment horizontal="center"/>
    </xf>
    <xf numFmtId="3" fontId="5" fillId="0" borderId="0" xfId="271" applyNumberFormat="1" applyFont="1" applyAlignment="1">
      <alignment horizontal="center"/>
    </xf>
    <xf numFmtId="10" fontId="5" fillId="0" borderId="0" xfId="271" applyNumberFormat="1" applyFont="1" applyAlignment="1">
      <alignment horizontal="center"/>
    </xf>
    <xf numFmtId="165" fontId="5" fillId="52" borderId="44" xfId="271" applyFont="1" applyFill="1" applyBorder="1" applyAlignment="1">
      <alignment horizontal="centerContinuous"/>
    </xf>
    <xf numFmtId="165" fontId="5" fillId="52" borderId="44" xfId="271" applyFont="1" applyFill="1" applyBorder="1" applyAlignment="1">
      <alignment horizontal="center"/>
    </xf>
    <xf numFmtId="165" fontId="6" fillId="52" borderId="44" xfId="271" applyFont="1" applyFill="1" applyBorder="1" applyAlignment="1">
      <alignment horizontal="centerContinuous"/>
    </xf>
    <xf numFmtId="165" fontId="6" fillId="52" borderId="44" xfId="271" applyFont="1" applyFill="1" applyBorder="1" applyAlignment="1">
      <alignment horizontal="left"/>
    </xf>
    <xf numFmtId="165" fontId="6" fillId="37" borderId="0" xfId="271" applyFont="1" applyFill="1" applyBorder="1" applyAlignment="1">
      <alignment horizontal="left"/>
    </xf>
    <xf numFmtId="165" fontId="6" fillId="37" borderId="34" xfId="271" applyFont="1" applyFill="1" applyBorder="1" applyAlignment="1">
      <alignment horizontal="left"/>
    </xf>
    <xf numFmtId="164" fontId="6" fillId="0" borderId="0" xfId="89" applyNumberFormat="1" applyFont="1" applyAlignment="1">
      <alignment horizontal="center"/>
    </xf>
    <xf numFmtId="165" fontId="6" fillId="0" borderId="0" xfId="271" applyFont="1" applyAlignment="1">
      <alignment horizontal="center"/>
    </xf>
    <xf numFmtId="184" fontId="6" fillId="0" borderId="0" xfId="271" applyNumberFormat="1" applyFont="1" applyAlignment="1">
      <alignment horizontal="center"/>
    </xf>
    <xf numFmtId="3" fontId="6" fillId="0" borderId="0" xfId="271" applyNumberFormat="1" applyFont="1" applyAlignment="1">
      <alignment horizontal="center"/>
    </xf>
    <xf numFmtId="0" fontId="6" fillId="0" borderId="0" xfId="216" applyFont="1"/>
    <xf numFmtId="0" fontId="6" fillId="37" borderId="0" xfId="216" applyFont="1" applyFill="1"/>
    <xf numFmtId="0" fontId="6" fillId="37" borderId="34" xfId="216" applyFont="1" applyFill="1" applyBorder="1"/>
    <xf numFmtId="0" fontId="6" fillId="0" borderId="35" xfId="216" applyFont="1" applyFill="1" applyBorder="1"/>
    <xf numFmtId="164" fontId="6" fillId="0" borderId="0" xfId="89" applyNumberFormat="1" applyFont="1" applyBorder="1" applyAlignment="1">
      <alignment horizontal="center"/>
    </xf>
    <xf numFmtId="3" fontId="6" fillId="0" borderId="0" xfId="89" applyNumberFormat="1" applyFont="1"/>
    <xf numFmtId="43" fontId="6" fillId="0" borderId="0" xfId="89" applyFont="1"/>
    <xf numFmtId="167" fontId="6" fillId="0" borderId="0" xfId="405" applyNumberFormat="1" applyFont="1"/>
    <xf numFmtId="43" fontId="6" fillId="0" borderId="0" xfId="89" applyFont="1" applyAlignment="1">
      <alignment horizontal="right"/>
    </xf>
    <xf numFmtId="10" fontId="6" fillId="0" borderId="0" xfId="405" applyNumberFormat="1" applyFont="1"/>
    <xf numFmtId="0" fontId="6" fillId="42" borderId="0" xfId="216" applyFont="1" applyFill="1"/>
    <xf numFmtId="0" fontId="6" fillId="42" borderId="0" xfId="216" applyFont="1" applyFill="1" applyAlignment="1">
      <alignment horizontal="left" indent="2"/>
    </xf>
    <xf numFmtId="0" fontId="6" fillId="42" borderId="0" xfId="216" applyFont="1" applyFill="1" applyAlignment="1">
      <alignment horizontal="left"/>
    </xf>
    <xf numFmtId="164" fontId="6" fillId="37" borderId="0" xfId="89" applyNumberFormat="1" applyFont="1" applyFill="1"/>
    <xf numFmtId="164" fontId="6" fillId="37" borderId="34" xfId="89" applyNumberFormat="1" applyFont="1" applyFill="1" applyBorder="1"/>
    <xf numFmtId="164" fontId="6" fillId="0" borderId="35" xfId="89" applyNumberFormat="1" applyFont="1" applyFill="1" applyBorder="1"/>
    <xf numFmtId="14" fontId="6" fillId="0" borderId="0" xfId="216" applyNumberFormat="1" applyFont="1"/>
    <xf numFmtId="43" fontId="128" fillId="0" borderId="0" xfId="89" applyFont="1" applyBorder="1"/>
    <xf numFmtId="14" fontId="6" fillId="0" borderId="0" xfId="271" applyNumberFormat="1" applyFont="1"/>
    <xf numFmtId="0" fontId="6" fillId="0" borderId="0" xfId="216" applyFont="1" applyFill="1"/>
    <xf numFmtId="165" fontId="128" fillId="0" borderId="0" xfId="271" applyFont="1" applyFill="1"/>
    <xf numFmtId="164" fontId="128" fillId="37" borderId="34" xfId="89" applyNumberFormat="1" applyFont="1" applyFill="1" applyBorder="1"/>
    <xf numFmtId="164" fontId="128" fillId="37" borderId="0" xfId="89" applyNumberFormat="1" applyFont="1" applyFill="1" applyBorder="1"/>
    <xf numFmtId="164" fontId="128" fillId="0" borderId="35" xfId="89" applyNumberFormat="1" applyFont="1" applyFill="1" applyBorder="1"/>
    <xf numFmtId="164" fontId="128" fillId="0" borderId="0" xfId="89" applyNumberFormat="1" applyFont="1" applyBorder="1"/>
    <xf numFmtId="3" fontId="128" fillId="0" borderId="0" xfId="271" applyNumberFormat="1" applyFont="1" applyBorder="1" applyAlignment="1">
      <alignment horizontal="right"/>
    </xf>
    <xf numFmtId="164" fontId="129" fillId="0" borderId="0" xfId="89" applyNumberFormat="1" applyFont="1" applyFill="1" applyBorder="1" applyAlignment="1">
      <alignment horizontal="center"/>
    </xf>
    <xf numFmtId="43" fontId="6" fillId="0" borderId="0" xfId="89" applyFont="1" applyFill="1"/>
    <xf numFmtId="164" fontId="6" fillId="0" borderId="0" xfId="89" applyNumberFormat="1" applyFont="1" applyFill="1" applyAlignment="1">
      <alignment horizontal="center"/>
    </xf>
    <xf numFmtId="184" fontId="6" fillId="0" borderId="0" xfId="271" applyNumberFormat="1" applyFont="1" applyFill="1" applyAlignment="1">
      <alignment horizontal="center"/>
    </xf>
    <xf numFmtId="167" fontId="6" fillId="0" borderId="0" xfId="405" applyNumberFormat="1" applyFont="1" applyFill="1"/>
    <xf numFmtId="3" fontId="6" fillId="0" borderId="0" xfId="271" applyNumberFormat="1" applyFont="1" applyFill="1" applyAlignment="1">
      <alignment horizontal="center"/>
    </xf>
    <xf numFmtId="164" fontId="6" fillId="0" borderId="0" xfId="89" applyNumberFormat="1" applyFont="1" applyFill="1"/>
    <xf numFmtId="184" fontId="6" fillId="0" borderId="0" xfId="271" applyNumberFormat="1" applyFont="1" applyFill="1"/>
    <xf numFmtId="10" fontId="6" fillId="0" borderId="0" xfId="405" applyNumberFormat="1" applyFont="1" applyFill="1"/>
    <xf numFmtId="165" fontId="6" fillId="0" borderId="0" xfId="271" applyFont="1" applyFill="1"/>
    <xf numFmtId="164" fontId="128" fillId="0" borderId="0" xfId="89" applyNumberFormat="1" applyFont="1"/>
    <xf numFmtId="0" fontId="6" fillId="0" borderId="0" xfId="216" applyFont="1" applyAlignment="1">
      <alignment horizontal="left" indent="2"/>
    </xf>
    <xf numFmtId="0" fontId="6" fillId="0" borderId="0" xfId="216" applyFont="1" applyAlignment="1">
      <alignment horizontal="left"/>
    </xf>
    <xf numFmtId="164" fontId="6" fillId="0" borderId="0" xfId="89" applyNumberFormat="1" applyFont="1" applyAlignment="1">
      <alignment horizontal="right"/>
    </xf>
    <xf numFmtId="165" fontId="128" fillId="0" borderId="0" xfId="271" applyFont="1" applyAlignment="1">
      <alignment horizontal="left"/>
    </xf>
    <xf numFmtId="165" fontId="6" fillId="0" borderId="35" xfId="271" applyFont="1" applyFill="1" applyBorder="1" applyAlignment="1">
      <alignment horizontal="left"/>
    </xf>
    <xf numFmtId="164" fontId="130" fillId="0" borderId="0" xfId="89" applyNumberFormat="1" applyFont="1"/>
    <xf numFmtId="3" fontId="130" fillId="0" borderId="0" xfId="271" applyNumberFormat="1" applyFont="1"/>
    <xf numFmtId="165" fontId="5" fillId="52" borderId="44" xfId="271" applyFont="1" applyFill="1" applyBorder="1" applyAlignment="1">
      <alignment horizontal="left"/>
    </xf>
    <xf numFmtId="164" fontId="6" fillId="37" borderId="34" xfId="89" applyNumberFormat="1" applyFont="1" applyFill="1" applyBorder="1" applyAlignment="1">
      <alignment horizontal="left"/>
    </xf>
    <xf numFmtId="1" fontId="6" fillId="37" borderId="0" xfId="216" applyNumberFormat="1" applyFont="1" applyFill="1"/>
    <xf numFmtId="164" fontId="128" fillId="0" borderId="0" xfId="89" applyNumberFormat="1" applyFont="1" applyBorder="1" applyAlignment="1">
      <alignment horizontal="right"/>
    </xf>
    <xf numFmtId="3" fontId="128" fillId="0" borderId="0" xfId="271" applyNumberFormat="1" applyFont="1"/>
    <xf numFmtId="165" fontId="5" fillId="0" borderId="0" xfId="271" applyFont="1" applyFill="1" applyBorder="1" applyAlignment="1">
      <alignment horizontal="center"/>
    </xf>
    <xf numFmtId="165" fontId="6" fillId="0" borderId="0" xfId="271" applyFont="1" applyFill="1" applyBorder="1" applyAlignment="1">
      <alignment horizontal="centerContinuous"/>
    </xf>
    <xf numFmtId="3" fontId="6" fillId="0" borderId="0" xfId="89" applyNumberFormat="1" applyFont="1" applyFill="1"/>
    <xf numFmtId="3" fontId="6" fillId="0" borderId="0" xfId="271" applyNumberFormat="1" applyFont="1" applyFill="1"/>
    <xf numFmtId="167" fontId="6" fillId="0" borderId="0" xfId="271" applyNumberFormat="1" applyFont="1" applyFill="1"/>
    <xf numFmtId="3" fontId="6" fillId="0" borderId="0" xfId="271" applyNumberFormat="1" applyFont="1" applyFill="1" applyAlignment="1">
      <alignment horizontal="right"/>
    </xf>
    <xf numFmtId="10" fontId="6" fillId="0" borderId="0" xfId="271" applyNumberFormat="1" applyFont="1" applyFill="1"/>
    <xf numFmtId="165" fontId="6" fillId="42" borderId="0" xfId="271" applyFont="1" applyFill="1"/>
    <xf numFmtId="165" fontId="128" fillId="0" borderId="0" xfId="271" applyFont="1"/>
    <xf numFmtId="3" fontId="128" fillId="0" borderId="0" xfId="89" applyNumberFormat="1" applyFont="1"/>
    <xf numFmtId="165" fontId="6" fillId="52" borderId="44" xfId="271" applyFont="1" applyFill="1" applyBorder="1" applyAlignment="1">
      <alignment horizontal="center"/>
    </xf>
    <xf numFmtId="3" fontId="128" fillId="0" borderId="0" xfId="271" applyNumberFormat="1" applyFont="1" applyAlignment="1">
      <alignment horizontal="right"/>
    </xf>
    <xf numFmtId="10" fontId="5" fillId="0" borderId="0" xfId="271" applyNumberFormat="1" applyFont="1" applyFill="1" applyBorder="1" applyAlignment="1">
      <alignment horizontal="center"/>
    </xf>
    <xf numFmtId="164" fontId="129" fillId="0" borderId="34" xfId="89" applyNumberFormat="1" applyFont="1" applyFill="1" applyBorder="1"/>
    <xf numFmtId="164" fontId="129" fillId="0" borderId="0" xfId="89" applyNumberFormat="1" applyFont="1" applyFill="1" applyBorder="1"/>
    <xf numFmtId="164" fontId="5" fillId="0" borderId="0" xfId="89" applyNumberFormat="1" applyFont="1" applyFill="1" applyBorder="1"/>
    <xf numFmtId="165" fontId="6" fillId="0" borderId="0" xfId="271" applyFont="1" applyBorder="1" applyAlignment="1">
      <alignment horizontal="center"/>
    </xf>
    <xf numFmtId="164" fontId="6" fillId="0" borderId="0" xfId="271" applyNumberFormat="1" applyFont="1" applyBorder="1" applyAlignment="1">
      <alignment horizontal="left"/>
    </xf>
    <xf numFmtId="164" fontId="6" fillId="0" borderId="0" xfId="271" applyNumberFormat="1" applyFont="1" applyAlignment="1">
      <alignment horizontal="left"/>
    </xf>
    <xf numFmtId="165" fontId="6" fillId="53" borderId="0" xfId="271" applyFont="1" applyFill="1" applyAlignment="1">
      <alignment horizontal="left"/>
    </xf>
    <xf numFmtId="165" fontId="6" fillId="53" borderId="0" xfId="271" applyFont="1" applyFill="1" applyBorder="1" applyAlignment="1">
      <alignment horizontal="left"/>
    </xf>
    <xf numFmtId="165" fontId="6" fillId="0" borderId="1" xfId="271" applyFont="1" applyBorder="1" applyAlignment="1">
      <alignment horizontal="left"/>
    </xf>
    <xf numFmtId="165" fontId="5" fillId="54" borderId="17" xfId="271" applyFont="1" applyFill="1" applyBorder="1"/>
    <xf numFmtId="165" fontId="5" fillId="54" borderId="17" xfId="271" applyFont="1" applyFill="1" applyBorder="1" applyAlignment="1">
      <alignment horizontal="right"/>
    </xf>
    <xf numFmtId="165" fontId="5" fillId="54" borderId="17" xfId="271" applyFont="1" applyFill="1" applyBorder="1" applyAlignment="1">
      <alignment horizontal="left"/>
    </xf>
    <xf numFmtId="170" fontId="5" fillId="54" borderId="17" xfId="147" applyNumberFormat="1" applyFont="1" applyFill="1" applyBorder="1" applyAlignment="1">
      <alignment horizontal="left"/>
    </xf>
    <xf numFmtId="164" fontId="6" fillId="0" borderId="0" xfId="89" applyNumberFormat="1" applyFont="1" applyFill="1" applyBorder="1"/>
    <xf numFmtId="3" fontId="6" fillId="0" borderId="0" xfId="271" applyNumberFormat="1" applyFont="1" applyFill="1" applyBorder="1"/>
    <xf numFmtId="165" fontId="6" fillId="0" borderId="0" xfId="271" applyFont="1" applyFill="1" applyBorder="1"/>
    <xf numFmtId="184" fontId="6" fillId="0" borderId="0" xfId="271" applyNumberFormat="1" applyFont="1" applyFill="1" applyBorder="1"/>
    <xf numFmtId="167" fontId="6" fillId="0" borderId="0" xfId="271" applyNumberFormat="1" applyFont="1" applyFill="1" applyBorder="1"/>
    <xf numFmtId="3" fontId="6" fillId="0" borderId="0" xfId="271" applyNumberFormat="1" applyFont="1" applyFill="1" applyBorder="1" applyAlignment="1">
      <alignment horizontal="right"/>
    </xf>
    <xf numFmtId="10" fontId="6" fillId="0" borderId="0" xfId="271" applyNumberFormat="1" applyFont="1" applyFill="1" applyBorder="1"/>
    <xf numFmtId="3" fontId="6" fillId="0" borderId="0" xfId="271" applyNumberFormat="1" applyFont="1" applyBorder="1"/>
    <xf numFmtId="165" fontId="6" fillId="0" borderId="0" xfId="271" applyFont="1" applyAlignment="1">
      <alignment horizontal="right"/>
    </xf>
    <xf numFmtId="170" fontId="6" fillId="44" borderId="0" xfId="147" applyNumberFormat="1" applyFont="1" applyFill="1" applyAlignment="1">
      <alignment horizontal="left"/>
    </xf>
    <xf numFmtId="4" fontId="5" fillId="0" borderId="0" xfId="271" applyNumberFormat="1" applyFont="1" applyFill="1" applyBorder="1" applyAlignment="1">
      <alignment horizontal="center"/>
    </xf>
    <xf numFmtId="167" fontId="5" fillId="0" borderId="0" xfId="271" applyNumberFormat="1" applyFont="1" applyFill="1" applyBorder="1" applyAlignment="1">
      <alignment horizontal="center"/>
    </xf>
    <xf numFmtId="165" fontId="8" fillId="0" borderId="0" xfId="271" applyFont="1" applyAlignment="1">
      <alignment horizontal="right"/>
    </xf>
    <xf numFmtId="164" fontId="6" fillId="0" borderId="0" xfId="89" applyNumberFormat="1" applyFont="1" applyFill="1" applyBorder="1" applyAlignment="1">
      <alignment horizontal="right"/>
    </xf>
    <xf numFmtId="167" fontId="6" fillId="0" borderId="0" xfId="89" applyNumberFormat="1" applyFont="1" applyFill="1" applyBorder="1"/>
    <xf numFmtId="10" fontId="6" fillId="0" borderId="0" xfId="405" applyNumberFormat="1" applyFont="1" applyFill="1" applyBorder="1"/>
    <xf numFmtId="170" fontId="6" fillId="0" borderId="0" xfId="147" applyNumberFormat="1" applyFont="1" applyFill="1" applyAlignment="1">
      <alignment horizontal="left"/>
    </xf>
    <xf numFmtId="164" fontId="5" fillId="0" borderId="1" xfId="89" applyNumberFormat="1" applyFont="1" applyFill="1" applyBorder="1" applyAlignment="1">
      <alignment horizontal="center"/>
    </xf>
    <xf numFmtId="165" fontId="6" fillId="0" borderId="0" xfId="271" applyFont="1" applyFill="1" applyBorder="1" applyAlignment="1">
      <alignment horizontal="right"/>
    </xf>
    <xf numFmtId="0" fontId="6" fillId="0" borderId="0" xfId="7" quotePrefix="1" applyFont="1" applyAlignment="1">
      <alignment horizontal="right"/>
    </xf>
    <xf numFmtId="0" fontId="6" fillId="0" borderId="0" xfId="7" quotePrefix="1" applyFont="1" applyBorder="1" applyAlignment="1">
      <alignment horizontal="left"/>
    </xf>
    <xf numFmtId="9" fontId="6" fillId="0" borderId="0" xfId="405" applyFont="1" applyFill="1" applyBorder="1"/>
    <xf numFmtId="0" fontId="6" fillId="0" borderId="0" xfId="7" applyFont="1" applyAlignment="1">
      <alignment horizontal="right"/>
    </xf>
    <xf numFmtId="167" fontId="5" fillId="0" borderId="0" xfId="89" applyNumberFormat="1" applyFont="1" applyFill="1" applyBorder="1"/>
    <xf numFmtId="164" fontId="6" fillId="0" borderId="0" xfId="271" applyNumberFormat="1" applyFont="1" applyFill="1" applyBorder="1"/>
    <xf numFmtId="0" fontId="6" fillId="0" borderId="0" xfId="7" quotePrefix="1" applyFont="1" applyAlignment="1">
      <alignment horizontal="left"/>
    </xf>
    <xf numFmtId="43" fontId="6" fillId="0" borderId="0" xfId="89" applyFont="1" applyFill="1" applyBorder="1"/>
    <xf numFmtId="164" fontId="6" fillId="0" borderId="0" xfId="89" quotePrefix="1" applyNumberFormat="1" applyFont="1" applyFill="1" applyBorder="1" applyAlignment="1">
      <alignment horizontal="left"/>
    </xf>
    <xf numFmtId="164" fontId="5" fillId="0" borderId="0" xfId="271" applyNumberFormat="1" applyFont="1" applyFill="1" applyBorder="1" applyAlignment="1">
      <alignment horizontal="center"/>
    </xf>
    <xf numFmtId="0" fontId="6" fillId="0" borderId="0" xfId="7" applyFont="1" applyBorder="1" applyAlignment="1">
      <alignment horizontal="left"/>
    </xf>
    <xf numFmtId="170" fontId="6" fillId="0" borderId="0" xfId="147" applyNumberFormat="1" applyFont="1" applyFill="1" applyBorder="1"/>
    <xf numFmtId="164" fontId="6" fillId="0" borderId="1" xfId="89" applyNumberFormat="1" applyFont="1" applyBorder="1"/>
    <xf numFmtId="165" fontId="5" fillId="35" borderId="17" xfId="271" applyFont="1" applyFill="1" applyBorder="1"/>
    <xf numFmtId="165" fontId="5" fillId="35" borderId="17" xfId="271" applyFont="1" applyFill="1" applyBorder="1" applyAlignment="1">
      <alignment horizontal="right"/>
    </xf>
    <xf numFmtId="165" fontId="5" fillId="35" borderId="17" xfId="271" applyFont="1" applyFill="1" applyBorder="1" applyAlignment="1">
      <alignment horizontal="left"/>
    </xf>
    <xf numFmtId="164" fontId="5" fillId="35" borderId="17" xfId="89" applyNumberFormat="1" applyFont="1" applyFill="1" applyBorder="1" applyAlignment="1">
      <alignment horizontal="right"/>
    </xf>
    <xf numFmtId="164" fontId="5" fillId="0" borderId="0" xfId="89" applyNumberFormat="1" applyFont="1" applyFill="1" applyBorder="1" applyAlignment="1">
      <alignment horizontal="right"/>
    </xf>
    <xf numFmtId="184" fontId="6" fillId="0" borderId="0" xfId="271" applyNumberFormat="1" applyFont="1" applyFill="1" applyBorder="1" applyAlignment="1">
      <alignment horizontal="right"/>
    </xf>
    <xf numFmtId="0" fontId="6" fillId="0" borderId="0" xfId="7" applyFont="1" applyAlignment="1">
      <alignment horizontal="left"/>
    </xf>
    <xf numFmtId="10" fontId="128" fillId="0" borderId="0" xfId="405" applyNumberFormat="1" applyFont="1" applyFill="1" applyBorder="1"/>
    <xf numFmtId="165" fontId="5" fillId="0" borderId="17" xfId="271" applyFont="1" applyFill="1" applyBorder="1" applyAlignment="1">
      <alignment horizontal="left"/>
    </xf>
    <xf numFmtId="3" fontId="5" fillId="0" borderId="0" xfId="271" applyNumberFormat="1" applyFont="1" applyFill="1" applyBorder="1" applyAlignment="1">
      <alignment horizontal="right"/>
    </xf>
    <xf numFmtId="165" fontId="5" fillId="0" borderId="0" xfId="271" applyFont="1" applyFill="1" applyBorder="1"/>
    <xf numFmtId="167" fontId="6" fillId="0" borderId="0" xfId="271" applyNumberFormat="1" applyFont="1" applyBorder="1"/>
    <xf numFmtId="184" fontId="6" fillId="0" borderId="0" xfId="271" applyNumberFormat="1" applyFont="1" applyBorder="1" applyAlignment="1">
      <alignment horizontal="right"/>
    </xf>
    <xf numFmtId="184" fontId="6" fillId="0" borderId="0" xfId="271" applyNumberFormat="1" applyFont="1" applyBorder="1"/>
    <xf numFmtId="184" fontId="6" fillId="0" borderId="0" xfId="271" applyNumberFormat="1" applyFont="1" applyAlignment="1">
      <alignment horizontal="right"/>
    </xf>
    <xf numFmtId="0" fontId="6" fillId="0" borderId="0" xfId="7" quotePrefix="1" applyFont="1" applyFill="1" applyAlignment="1">
      <alignment horizontal="left"/>
    </xf>
    <xf numFmtId="0" fontId="6" fillId="0" borderId="0" xfId="7" applyFont="1" applyFill="1" applyAlignment="1">
      <alignment horizontal="left"/>
    </xf>
    <xf numFmtId="164" fontId="128" fillId="0" borderId="0" xfId="89" applyNumberFormat="1" applyFont="1" applyFill="1" applyBorder="1"/>
    <xf numFmtId="165" fontId="6" fillId="55" borderId="0" xfId="271" applyFont="1" applyFill="1"/>
    <xf numFmtId="165" fontId="6" fillId="55" borderId="17" xfId="271" applyFont="1" applyFill="1" applyBorder="1"/>
    <xf numFmtId="165" fontId="5" fillId="55" borderId="17" xfId="271" applyFont="1" applyFill="1" applyBorder="1" applyAlignment="1">
      <alignment horizontal="center"/>
    </xf>
    <xf numFmtId="165" fontId="6" fillId="55" borderId="17" xfId="271" applyFont="1" applyFill="1" applyBorder="1" applyAlignment="1">
      <alignment horizontal="left"/>
    </xf>
    <xf numFmtId="170" fontId="5" fillId="55" borderId="17" xfId="147" applyNumberFormat="1" applyFont="1" applyFill="1" applyBorder="1" applyAlignment="1">
      <alignment horizontal="left"/>
    </xf>
    <xf numFmtId="3" fontId="5" fillId="0" borderId="0" xfId="271" applyNumberFormat="1" applyFont="1" applyFill="1" applyBorder="1"/>
    <xf numFmtId="165" fontId="5" fillId="0" borderId="0" xfId="271" applyFont="1" applyFill="1"/>
    <xf numFmtId="164" fontId="6" fillId="0" borderId="0" xfId="89" applyNumberFormat="1" applyFont="1" applyFill="1" applyBorder="1" applyAlignment="1">
      <alignment horizontal="center"/>
    </xf>
    <xf numFmtId="3" fontId="6" fillId="0" borderId="0" xfId="271" applyNumberFormat="1" applyFont="1" applyFill="1" applyBorder="1" applyAlignment="1">
      <alignment horizontal="center"/>
    </xf>
    <xf numFmtId="165" fontId="6" fillId="0" borderId="0" xfId="271" applyFont="1" applyFill="1" applyBorder="1" applyAlignment="1">
      <alignment horizontal="center"/>
    </xf>
    <xf numFmtId="167" fontId="6" fillId="0" borderId="0" xfId="271" applyNumberFormat="1" applyFont="1" applyFill="1" applyAlignment="1">
      <alignment horizontal="center"/>
    </xf>
    <xf numFmtId="165" fontId="6" fillId="0" borderId="0" xfId="271" applyFont="1" applyFill="1" applyAlignment="1">
      <alignment horizontal="center"/>
    </xf>
    <xf numFmtId="10" fontId="6" fillId="0" borderId="0" xfId="271" applyNumberFormat="1" applyFont="1" applyFill="1" applyAlignment="1">
      <alignment horizontal="center"/>
    </xf>
    <xf numFmtId="164" fontId="6" fillId="0" borderId="1" xfId="89" applyNumberFormat="1" applyFont="1" applyFill="1" applyBorder="1" applyAlignment="1">
      <alignment horizontal="right"/>
    </xf>
    <xf numFmtId="9" fontId="128" fillId="0" borderId="0" xfId="405" applyFont="1" applyFill="1" applyBorder="1"/>
    <xf numFmtId="164" fontId="6" fillId="0" borderId="1" xfId="89" applyNumberFormat="1" applyFont="1" applyFill="1" applyBorder="1"/>
    <xf numFmtId="0" fontId="0" fillId="0" borderId="0" xfId="0" applyAlignment="1">
      <alignment horizontal="left"/>
    </xf>
    <xf numFmtId="1" fontId="0" fillId="0" borderId="0" xfId="0" applyNumberFormat="1" applyAlignment="1">
      <alignment horizontal="right"/>
    </xf>
    <xf numFmtId="0" fontId="126" fillId="0" borderId="1" xfId="0" applyFont="1" applyBorder="1" applyAlignment="1">
      <alignment horizontal="left"/>
    </xf>
    <xf numFmtId="44" fontId="1" fillId="0" borderId="0" xfId="2" applyFont="1"/>
    <xf numFmtId="37" fontId="113" fillId="0" borderId="0" xfId="62" applyNumberFormat="1" applyFont="1" applyFill="1" applyBorder="1" applyAlignment="1">
      <alignment horizontal="center"/>
    </xf>
    <xf numFmtId="0" fontId="3" fillId="0" borderId="0" xfId="0" applyFont="1" applyFill="1" applyBorder="1" applyAlignment="1">
      <alignment horizontal="center" wrapText="1"/>
    </xf>
    <xf numFmtId="0" fontId="112" fillId="0" borderId="1" xfId="0" applyFont="1" applyBorder="1"/>
    <xf numFmtId="43" fontId="112" fillId="0" borderId="1" xfId="0" applyNumberFormat="1" applyFont="1" applyBorder="1"/>
    <xf numFmtId="0" fontId="6" fillId="0" borderId="1" xfId="4" applyFont="1" applyFill="1" applyBorder="1"/>
    <xf numFmtId="164" fontId="112" fillId="0" borderId="0" xfId="1" applyNumberFormat="1" applyFont="1"/>
    <xf numFmtId="164" fontId="112" fillId="0" borderId="1" xfId="1" applyNumberFormat="1" applyFont="1" applyBorder="1"/>
    <xf numFmtId="0" fontId="98" fillId="40" borderId="0" xfId="536" applyFont="1" applyFill="1" applyBorder="1"/>
    <xf numFmtId="0" fontId="99" fillId="40" borderId="0" xfId="536" applyFont="1" applyFill="1" applyBorder="1"/>
    <xf numFmtId="3" fontId="99" fillId="40" borderId="0" xfId="536" applyNumberFormat="1" applyFont="1" applyFill="1" applyBorder="1"/>
    <xf numFmtId="0" fontId="98" fillId="40" borderId="0" xfId="536" applyFont="1" applyFill="1" applyBorder="1" applyAlignment="1">
      <alignment horizontal="center"/>
    </xf>
    <xf numFmtId="0" fontId="98" fillId="40" borderId="0" xfId="536" applyFont="1" applyFill="1" applyBorder="1" applyAlignment="1">
      <alignment horizontal="left"/>
    </xf>
    <xf numFmtId="14" fontId="98" fillId="40" borderId="0" xfId="536" quotePrefix="1" applyNumberFormat="1" applyFont="1" applyFill="1" applyBorder="1" applyAlignment="1">
      <alignment horizontal="center"/>
    </xf>
    <xf numFmtId="164" fontId="99" fillId="40" borderId="0" xfId="1" applyNumberFormat="1" applyFont="1" applyFill="1" applyBorder="1"/>
    <xf numFmtId="0" fontId="98" fillId="40" borderId="17" xfId="536" applyFont="1" applyFill="1" applyBorder="1"/>
    <xf numFmtId="164" fontId="98" fillId="40" borderId="17" xfId="1" applyNumberFormat="1" applyFont="1" applyFill="1" applyBorder="1"/>
    <xf numFmtId="0" fontId="98" fillId="40" borderId="18" xfId="536" applyFont="1" applyFill="1" applyBorder="1"/>
    <xf numFmtId="164" fontId="98" fillId="40" borderId="18" xfId="1" applyNumberFormat="1" applyFont="1" applyFill="1" applyBorder="1"/>
    <xf numFmtId="164" fontId="98" fillId="40" borderId="0" xfId="1" applyNumberFormat="1" applyFont="1" applyFill="1" applyBorder="1"/>
    <xf numFmtId="0" fontId="99" fillId="51" borderId="0" xfId="536" applyFont="1" applyFill="1" applyBorder="1"/>
    <xf numFmtId="3" fontId="99" fillId="51" borderId="0" xfId="536" applyNumberFormat="1" applyFont="1" applyFill="1" applyBorder="1"/>
    <xf numFmtId="0" fontId="98" fillId="51" borderId="1" xfId="536" applyFont="1" applyFill="1" applyBorder="1" applyAlignment="1">
      <alignment horizontal="center"/>
    </xf>
    <xf numFmtId="0" fontId="99" fillId="51" borderId="0" xfId="536" applyFont="1" applyFill="1" applyBorder="1" applyAlignment="1">
      <alignment horizontal="center"/>
    </xf>
    <xf numFmtId="43" fontId="99" fillId="51" borderId="0" xfId="1" applyFont="1" applyFill="1" applyBorder="1" applyAlignment="1">
      <alignment horizontal="center"/>
    </xf>
    <xf numFmtId="43" fontId="99" fillId="51" borderId="0" xfId="536" applyNumberFormat="1" applyFont="1" applyFill="1" applyBorder="1"/>
    <xf numFmtId="43" fontId="99" fillId="51" borderId="0" xfId="1" applyFont="1" applyFill="1" applyBorder="1"/>
    <xf numFmtId="164" fontId="98" fillId="51" borderId="17" xfId="1" applyNumberFormat="1" applyFont="1" applyFill="1" applyBorder="1"/>
    <xf numFmtId="3" fontId="98" fillId="51" borderId="0" xfId="536" applyNumberFormat="1" applyFont="1" applyFill="1" applyBorder="1"/>
    <xf numFmtId="3" fontId="99" fillId="51" borderId="0" xfId="536" applyNumberFormat="1" applyFont="1" applyFill="1" applyBorder="1" applyAlignment="1">
      <alignment horizontal="center"/>
    </xf>
    <xf numFmtId="164" fontId="98" fillId="51" borderId="18" xfId="1" applyNumberFormat="1" applyFont="1" applyFill="1" applyBorder="1"/>
    <xf numFmtId="0" fontId="99" fillId="47" borderId="0" xfId="536" applyFont="1" applyFill="1" applyBorder="1"/>
    <xf numFmtId="43" fontId="99" fillId="47" borderId="0" xfId="1" applyFont="1" applyFill="1" applyBorder="1"/>
    <xf numFmtId="0" fontId="98" fillId="47" borderId="1" xfId="536" applyFont="1" applyFill="1" applyBorder="1" applyAlignment="1">
      <alignment horizontal="center"/>
    </xf>
    <xf numFmtId="0" fontId="99" fillId="47" borderId="0" xfId="536" applyFont="1" applyFill="1" applyBorder="1" applyAlignment="1">
      <alignment horizontal="center"/>
    </xf>
    <xf numFmtId="43" fontId="99" fillId="47" borderId="0" xfId="1" applyFont="1" applyFill="1" applyBorder="1" applyAlignment="1">
      <alignment horizontal="center"/>
    </xf>
    <xf numFmtId="3" fontId="99" fillId="47" borderId="0" xfId="536" applyNumberFormat="1" applyFont="1" applyFill="1" applyBorder="1"/>
    <xf numFmtId="164" fontId="98" fillId="47" borderId="17" xfId="1" applyNumberFormat="1" applyFont="1" applyFill="1" applyBorder="1"/>
    <xf numFmtId="3" fontId="98" fillId="47" borderId="0" xfId="536" applyNumberFormat="1" applyFont="1" applyFill="1" applyBorder="1"/>
    <xf numFmtId="43" fontId="98" fillId="47" borderId="0" xfId="1" applyFont="1" applyFill="1" applyBorder="1"/>
    <xf numFmtId="0" fontId="98" fillId="47" borderId="0" xfId="536" applyFont="1" applyFill="1" applyBorder="1"/>
    <xf numFmtId="164" fontId="98" fillId="47" borderId="18" xfId="1" applyNumberFormat="1" applyFont="1" applyFill="1" applyBorder="1"/>
    <xf numFmtId="164" fontId="112" fillId="0" borderId="0" xfId="1" applyNumberFormat="1" applyFont="1" applyBorder="1"/>
    <xf numFmtId="43" fontId="112" fillId="0" borderId="0" xfId="0" applyNumberFormat="1" applyFont="1" applyBorder="1"/>
    <xf numFmtId="0" fontId="1" fillId="0" borderId="0" xfId="0" applyFont="1"/>
    <xf numFmtId="0" fontId="84" fillId="56" borderId="0" xfId="0" applyFont="1" applyFill="1"/>
    <xf numFmtId="37" fontId="84" fillId="0" borderId="0" xfId="560" applyFont="1" applyFill="1"/>
    <xf numFmtId="185" fontId="132" fillId="0" borderId="0" xfId="560" applyNumberFormat="1" applyFont="1" applyFill="1" applyBorder="1" applyAlignment="1">
      <alignment horizontal="center" wrapText="1"/>
    </xf>
    <xf numFmtId="37" fontId="84" fillId="0" borderId="0" xfId="560" applyFont="1" applyFill="1" applyBorder="1"/>
    <xf numFmtId="49" fontId="83" fillId="0" borderId="0" xfId="0" applyNumberFormat="1" applyFont="1" applyAlignment="1">
      <alignment horizontal="center"/>
    </xf>
    <xf numFmtId="37" fontId="132" fillId="36" borderId="45" xfId="560" applyFont="1" applyFill="1" applyBorder="1"/>
    <xf numFmtId="37" fontId="84" fillId="0" borderId="0" xfId="560" applyFont="1" applyFill="1" applyAlignment="1">
      <alignment horizontal="left" indent="1"/>
    </xf>
    <xf numFmtId="37" fontId="84" fillId="0" borderId="0" xfId="560" applyFont="1" applyFill="1" applyAlignment="1">
      <alignment horizontal="left" indent="2"/>
    </xf>
    <xf numFmtId="37" fontId="133" fillId="0" borderId="0" xfId="560" applyFont="1" applyFill="1" applyBorder="1" applyAlignment="1">
      <alignment horizontal="right"/>
    </xf>
    <xf numFmtId="37" fontId="84" fillId="0" borderId="0" xfId="560" applyFont="1" applyFill="1" applyAlignment="1"/>
    <xf numFmtId="0" fontId="84" fillId="32" borderId="0" xfId="560" applyNumberFormat="1" applyFont="1"/>
    <xf numFmtId="170" fontId="84" fillId="0" borderId="14" xfId="2" applyNumberFormat="1" applyFont="1" applyFill="1" applyBorder="1" applyAlignment="1">
      <alignment horizontal="right"/>
    </xf>
    <xf numFmtId="0" fontId="4" fillId="0" borderId="0" xfId="561"/>
    <xf numFmtId="0" fontId="84" fillId="0" borderId="0" xfId="182" applyFont="1" applyFill="1"/>
    <xf numFmtId="37" fontId="84" fillId="0" borderId="0" xfId="560" applyFont="1" applyFill="1" applyAlignment="1">
      <alignment horizontal="left" indent="3"/>
    </xf>
    <xf numFmtId="37" fontId="133" fillId="0" borderId="0" xfId="560" applyFont="1" applyFill="1" applyAlignment="1">
      <alignment horizontal="right"/>
    </xf>
    <xf numFmtId="164" fontId="1" fillId="0" borderId="0" xfId="0" applyNumberFormat="1" applyFont="1"/>
    <xf numFmtId="37" fontId="84" fillId="0" borderId="0" xfId="560" applyFont="1" applyFill="1" applyBorder="1" applyAlignment="1">
      <alignment horizontal="right"/>
    </xf>
    <xf numFmtId="37" fontId="84" fillId="0" borderId="0" xfId="560" applyFont="1" applyFill="1" applyAlignment="1">
      <alignment horizontal="left"/>
    </xf>
    <xf numFmtId="0" fontId="84" fillId="0" borderId="0" xfId="561" applyFont="1"/>
    <xf numFmtId="37" fontId="84" fillId="0" borderId="1" xfId="560" applyFont="1" applyFill="1" applyBorder="1"/>
    <xf numFmtId="170" fontId="1" fillId="0" borderId="0" xfId="0" applyNumberFormat="1" applyFont="1" applyBorder="1"/>
    <xf numFmtId="0" fontId="1" fillId="0" borderId="0" xfId="0" applyFont="1" applyBorder="1"/>
    <xf numFmtId="0" fontId="134" fillId="0" borderId="31" xfId="0" applyFont="1" applyBorder="1"/>
    <xf numFmtId="0" fontId="135" fillId="0" borderId="32" xfId="0" applyFont="1" applyBorder="1"/>
    <xf numFmtId="0" fontId="1" fillId="0" borderId="33" xfId="0" applyFont="1" applyBorder="1"/>
    <xf numFmtId="0" fontId="135" fillId="0" borderId="34" xfId="0" applyFont="1" applyBorder="1" applyAlignment="1">
      <alignment horizontal="right"/>
    </xf>
    <xf numFmtId="170" fontId="134" fillId="0" borderId="0" xfId="163" applyNumberFormat="1" applyFont="1" applyBorder="1"/>
    <xf numFmtId="10" fontId="134" fillId="0" borderId="35" xfId="0" applyNumberFormat="1" applyFont="1" applyBorder="1"/>
    <xf numFmtId="0" fontId="134" fillId="0" borderId="0" xfId="0" applyFont="1" applyBorder="1"/>
    <xf numFmtId="10" fontId="135" fillId="0" borderId="0" xfId="415" applyNumberFormat="1" applyFont="1" applyBorder="1"/>
    <xf numFmtId="170" fontId="135" fillId="0" borderId="0" xfId="163" applyNumberFormat="1" applyFont="1" applyBorder="1"/>
    <xf numFmtId="0" fontId="134" fillId="0" borderId="35" xfId="0" applyFont="1" applyBorder="1"/>
    <xf numFmtId="0" fontId="134" fillId="0" borderId="37" xfId="0" applyFont="1" applyBorder="1"/>
    <xf numFmtId="0" fontId="134" fillId="0" borderId="14" xfId="0" applyFont="1" applyBorder="1"/>
    <xf numFmtId="0" fontId="134" fillId="0" borderId="38" xfId="0" applyFont="1" applyBorder="1"/>
    <xf numFmtId="0" fontId="134" fillId="0" borderId="32" xfId="0" applyFont="1" applyBorder="1"/>
    <xf numFmtId="0" fontId="134" fillId="0" borderId="33" xfId="0" applyFont="1" applyBorder="1"/>
    <xf numFmtId="0" fontId="134" fillId="0" borderId="34" xfId="0" applyFont="1" applyBorder="1"/>
    <xf numFmtId="0" fontId="135" fillId="0" borderId="0" xfId="0" applyFont="1" applyBorder="1"/>
    <xf numFmtId="42" fontId="134" fillId="0" borderId="0" xfId="0" applyNumberFormat="1" applyFont="1" applyBorder="1"/>
    <xf numFmtId="170" fontId="134" fillId="0" borderId="35" xfId="0" applyNumberFormat="1" applyFont="1" applyBorder="1"/>
    <xf numFmtId="170" fontId="134" fillId="0" borderId="0" xfId="0" applyNumberFormat="1" applyFont="1" applyBorder="1"/>
    <xf numFmtId="10" fontId="135" fillId="0" borderId="0" xfId="0" applyNumberFormat="1" applyFont="1" applyBorder="1"/>
    <xf numFmtId="10" fontId="135" fillId="0" borderId="35" xfId="415" applyNumberFormat="1" applyFont="1" applyBorder="1"/>
    <xf numFmtId="0" fontId="84" fillId="0" borderId="0" xfId="0" quotePrefix="1" applyFont="1"/>
    <xf numFmtId="0" fontId="84" fillId="56" borderId="0" xfId="0" applyFont="1" applyFill="1" applyAlignment="1">
      <alignment horizontal="left"/>
    </xf>
    <xf numFmtId="0" fontId="85" fillId="0" borderId="0" xfId="0" applyFont="1" applyAlignment="1">
      <alignment horizontal="center"/>
    </xf>
    <xf numFmtId="0" fontId="136" fillId="0" borderId="0" xfId="0" quotePrefix="1" applyFont="1" applyAlignment="1">
      <alignment horizontal="center"/>
    </xf>
    <xf numFmtId="0" fontId="136" fillId="0" borderId="0" xfId="0" applyFont="1" applyAlignment="1">
      <alignment horizontal="center"/>
    </xf>
    <xf numFmtId="164" fontId="84" fillId="0" borderId="0" xfId="105" applyNumberFormat="1" applyFont="1"/>
    <xf numFmtId="0" fontId="4" fillId="0" borderId="0" xfId="0" applyFont="1" applyFill="1"/>
    <xf numFmtId="0" fontId="4" fillId="0" borderId="0" xfId="0" applyFont="1"/>
    <xf numFmtId="164" fontId="84" fillId="0" borderId="0" xfId="105" applyNumberFormat="1" applyFont="1" applyFill="1" applyBorder="1"/>
    <xf numFmtId="0" fontId="4" fillId="0" borderId="0" xfId="0" applyFont="1" applyAlignment="1">
      <alignment horizontal="left"/>
    </xf>
    <xf numFmtId="170" fontId="84" fillId="0" borderId="0" xfId="2" applyNumberFormat="1" applyFont="1"/>
    <xf numFmtId="170" fontId="84" fillId="0" borderId="14" xfId="2" applyNumberFormat="1" applyFont="1" applyBorder="1"/>
    <xf numFmtId="5" fontId="107" fillId="0" borderId="0" xfId="0" applyNumberFormat="1" applyFont="1" applyBorder="1" applyAlignment="1"/>
    <xf numFmtId="177" fontId="107" fillId="0" borderId="0" xfId="415" applyNumberFormat="1" applyFont="1" applyBorder="1"/>
    <xf numFmtId="3" fontId="107" fillId="0" borderId="0" xfId="0" applyNumberFormat="1" applyFont="1" applyBorder="1"/>
    <xf numFmtId="177" fontId="107" fillId="0" borderId="0" xfId="0" applyNumberFormat="1" applyFont="1" applyBorder="1"/>
    <xf numFmtId="3" fontId="107" fillId="0" borderId="0" xfId="0" applyNumberFormat="1" applyFont="1" applyBorder="1" applyAlignment="1"/>
    <xf numFmtId="3" fontId="111" fillId="0" borderId="0" xfId="0" applyNumberFormat="1" applyFont="1" applyBorder="1" applyAlignment="1"/>
    <xf numFmtId="10" fontId="111" fillId="0" borderId="0" xfId="0" applyNumberFormat="1" applyFont="1" applyBorder="1" applyAlignment="1"/>
    <xf numFmtId="0" fontId="19" fillId="0" borderId="0" xfId="559" applyFont="1"/>
    <xf numFmtId="0" fontId="19" fillId="0" borderId="0" xfId="559" applyFont="1" applyAlignment="1">
      <alignment horizontal="left"/>
    </xf>
    <xf numFmtId="0" fontId="19" fillId="0" borderId="0" xfId="559" quotePrefix="1" applyFont="1" applyAlignment="1">
      <alignment horizontal="left"/>
    </xf>
    <xf numFmtId="164" fontId="19" fillId="35" borderId="0" xfId="5" applyNumberFormat="1" applyFont="1" applyFill="1"/>
    <xf numFmtId="0" fontId="55" fillId="0" borderId="0" xfId="559" applyNumberFormat="1" applyFont="1"/>
    <xf numFmtId="0" fontId="56" fillId="0" borderId="0" xfId="559" applyNumberFormat="1" applyFont="1"/>
    <xf numFmtId="0" fontId="56" fillId="0" borderId="0" xfId="559" applyNumberFormat="1" applyFont="1" applyAlignment="1">
      <alignment horizontal="right"/>
    </xf>
    <xf numFmtId="49" fontId="57" fillId="0" borderId="0" xfId="559" applyNumberFormat="1" applyFont="1" applyAlignment="1">
      <alignment horizontal="left"/>
    </xf>
    <xf numFmtId="0" fontId="55" fillId="0" borderId="0" xfId="559" applyNumberFormat="1" applyFont="1" applyAlignment="1">
      <alignment horizontal="centerContinuous"/>
    </xf>
    <xf numFmtId="0" fontId="57" fillId="0" borderId="0" xfId="559" applyNumberFormat="1" applyFont="1" applyAlignment="1">
      <alignment horizontal="left"/>
    </xf>
    <xf numFmtId="49" fontId="59" fillId="0" borderId="0" xfId="559" applyNumberFormat="1" applyFont="1"/>
    <xf numFmtId="0" fontId="19" fillId="0" borderId="0" xfId="559" applyNumberFormat="1" applyFont="1"/>
    <xf numFmtId="0" fontId="137" fillId="0" borderId="0" xfId="559" applyNumberFormat="1" applyFont="1"/>
    <xf numFmtId="0" fontId="19" fillId="0" borderId="0" xfId="559" applyNumberFormat="1" applyFont="1" applyAlignment="1">
      <alignment horizontal="center"/>
    </xf>
    <xf numFmtId="0" fontId="19" fillId="0" borderId="1" xfId="559" applyFont="1" applyBorder="1"/>
    <xf numFmtId="0" fontId="61" fillId="0" borderId="0" xfId="559" applyFont="1" applyAlignment="1">
      <alignment horizontal="left"/>
    </xf>
    <xf numFmtId="0" fontId="19" fillId="0" borderId="0" xfId="559" quotePrefix="1" applyFont="1"/>
    <xf numFmtId="0" fontId="61" fillId="0" borderId="0" xfId="559" applyFont="1"/>
    <xf numFmtId="0" fontId="10" fillId="0" borderId="0" xfId="559" applyFont="1"/>
    <xf numFmtId="164" fontId="10" fillId="0" borderId="0" xfId="5" applyNumberFormat="1" applyFont="1"/>
    <xf numFmtId="37" fontId="4" fillId="38" borderId="0" xfId="397" applyFont="1" applyFill="1" applyBorder="1"/>
    <xf numFmtId="37" fontId="4" fillId="38" borderId="0" xfId="397" applyFont="1" applyFill="1"/>
    <xf numFmtId="0" fontId="85" fillId="0" borderId="0" xfId="4" applyFont="1" applyBorder="1"/>
    <xf numFmtId="3" fontId="85" fillId="0" borderId="0" xfId="564" applyNumberFormat="1" applyFont="1" applyFill="1" applyBorder="1" applyAlignment="1">
      <alignment horizontal="center"/>
    </xf>
    <xf numFmtId="3" fontId="138" fillId="0" borderId="0" xfId="564" applyNumberFormat="1" applyFont="1" applyBorder="1"/>
    <xf numFmtId="0" fontId="85" fillId="0" borderId="0" xfId="4" applyFont="1" applyFill="1" applyBorder="1"/>
    <xf numFmtId="0" fontId="138" fillId="0" borderId="0" xfId="564" applyFont="1" applyBorder="1"/>
    <xf numFmtId="3" fontId="138" fillId="0" borderId="0" xfId="91" applyNumberFormat="1" applyFont="1" applyFill="1" applyBorder="1"/>
    <xf numFmtId="3" fontId="138" fillId="0" borderId="0" xfId="564" applyNumberFormat="1" applyFont="1" applyFill="1" applyBorder="1"/>
    <xf numFmtId="0" fontId="84" fillId="0" borderId="0" xfId="4" applyFont="1" applyBorder="1"/>
    <xf numFmtId="3" fontId="84" fillId="0" borderId="0" xfId="4" applyNumberFormat="1" applyFont="1" applyBorder="1"/>
    <xf numFmtId="3" fontId="85" fillId="0" borderId="0" xfId="91" applyNumberFormat="1" applyFont="1" applyBorder="1"/>
    <xf numFmtId="3" fontId="84" fillId="0" borderId="0" xfId="91" applyNumberFormat="1" applyFont="1" applyBorder="1"/>
    <xf numFmtId="37" fontId="138" fillId="0" borderId="0" xfId="91" applyNumberFormat="1" applyFont="1" applyFill="1" applyBorder="1"/>
    <xf numFmtId="37" fontId="85" fillId="0" borderId="0" xfId="91" applyNumberFormat="1" applyFont="1" applyBorder="1"/>
    <xf numFmtId="3" fontId="139" fillId="0" borderId="0" xfId="4" applyNumberFormat="1" applyFont="1" applyBorder="1"/>
    <xf numFmtId="0" fontId="85" fillId="0" borderId="0" xfId="564" applyFont="1" applyBorder="1"/>
    <xf numFmtId="3" fontId="138" fillId="0" borderId="1" xfId="91" applyNumberFormat="1" applyFont="1" applyBorder="1"/>
    <xf numFmtId="37" fontId="138" fillId="0" borderId="1" xfId="91" applyNumberFormat="1" applyFont="1" applyBorder="1"/>
    <xf numFmtId="3" fontId="85" fillId="0" borderId="0" xfId="564" quotePrefix="1" applyNumberFormat="1" applyFont="1" applyBorder="1"/>
    <xf numFmtId="37" fontId="0" fillId="0" borderId="0" xfId="0" applyNumberFormat="1"/>
    <xf numFmtId="10" fontId="3" fillId="0" borderId="0" xfId="3" applyNumberFormat="1" applyFont="1"/>
    <xf numFmtId="43" fontId="107" fillId="0" borderId="0" xfId="1" applyFont="1" applyAlignment="1"/>
    <xf numFmtId="0" fontId="67" fillId="39" borderId="46" xfId="0" applyFont="1" applyFill="1" applyBorder="1"/>
    <xf numFmtId="10" fontId="67" fillId="39" borderId="47" xfId="0" applyNumberFormat="1" applyFont="1" applyFill="1" applyBorder="1"/>
    <xf numFmtId="0" fontId="67" fillId="57" borderId="0" xfId="0" applyFont="1" applyFill="1" applyAlignment="1">
      <alignment horizontal="center"/>
    </xf>
    <xf numFmtId="43" fontId="68" fillId="0" borderId="0" xfId="1" applyFont="1"/>
    <xf numFmtId="44" fontId="68" fillId="0" borderId="1" xfId="396" applyNumberFormat="1" applyFont="1" applyBorder="1"/>
    <xf numFmtId="44" fontId="68" fillId="0" borderId="0" xfId="396" applyNumberFormat="1" applyFont="1" applyFill="1"/>
    <xf numFmtId="10" fontId="69" fillId="0" borderId="0" xfId="3" applyNumberFormat="1" applyFont="1"/>
    <xf numFmtId="0" fontId="68" fillId="0" borderId="31" xfId="396" applyFont="1" applyBorder="1"/>
    <xf numFmtId="0" fontId="68" fillId="0" borderId="33" xfId="396" applyFont="1" applyBorder="1"/>
    <xf numFmtId="0" fontId="68" fillId="0" borderId="34" xfId="396" applyFont="1" applyBorder="1"/>
    <xf numFmtId="0" fontId="68" fillId="0" borderId="0" xfId="396" applyFont="1" applyBorder="1" applyAlignment="1">
      <alignment horizontal="right"/>
    </xf>
    <xf numFmtId="44" fontId="68" fillId="0" borderId="0" xfId="396" applyNumberFormat="1" applyFont="1" applyBorder="1"/>
    <xf numFmtId="0" fontId="68" fillId="0" borderId="35" xfId="396" applyFont="1" applyBorder="1"/>
    <xf numFmtId="0" fontId="69" fillId="0" borderId="34" xfId="0" applyFont="1" applyBorder="1"/>
    <xf numFmtId="0" fontId="69" fillId="0" borderId="0" xfId="0" applyFont="1" applyBorder="1"/>
    <xf numFmtId="44" fontId="69" fillId="0" borderId="0" xfId="0" applyNumberFormat="1" applyFont="1" applyBorder="1"/>
    <xf numFmtId="0" fontId="69" fillId="0" borderId="35" xfId="0" applyFont="1" applyBorder="1"/>
    <xf numFmtId="0" fontId="67" fillId="0" borderId="0" xfId="0" applyFont="1" applyBorder="1" applyAlignment="1">
      <alignment horizontal="right"/>
    </xf>
    <xf numFmtId="164" fontId="113" fillId="58" borderId="0" xfId="1" applyNumberFormat="1" applyFont="1" applyFill="1" applyBorder="1" applyAlignment="1">
      <alignment horizontal="center"/>
    </xf>
    <xf numFmtId="164" fontId="113" fillId="58" borderId="1" xfId="1" applyNumberFormat="1" applyFont="1" applyFill="1" applyBorder="1" applyAlignment="1">
      <alignment horizontal="center"/>
    </xf>
    <xf numFmtId="44" fontId="107" fillId="0" borderId="0" xfId="2" applyFont="1" applyAlignment="1"/>
    <xf numFmtId="0" fontId="0" fillId="0" borderId="1" xfId="0" applyFont="1" applyBorder="1" applyAlignment="1">
      <alignment horizontal="center"/>
    </xf>
    <xf numFmtId="0" fontId="0" fillId="0" borderId="1" xfId="0" applyFont="1" applyFill="1" applyBorder="1" applyAlignment="1">
      <alignment horizontal="center"/>
    </xf>
    <xf numFmtId="43" fontId="0" fillId="0" borderId="0" xfId="105" applyFont="1"/>
    <xf numFmtId="43" fontId="0" fillId="0" borderId="0" xfId="0" applyNumberFormat="1" applyFont="1" applyBorder="1" applyAlignment="1">
      <alignment horizontal="center"/>
    </xf>
    <xf numFmtId="43" fontId="0" fillId="0" borderId="0" xfId="0" applyNumberFormat="1" applyFont="1"/>
    <xf numFmtId="43" fontId="0" fillId="0" borderId="0" xfId="105" applyFont="1" applyAlignment="1">
      <alignment horizontal="center"/>
    </xf>
    <xf numFmtId="0" fontId="0" fillId="0" borderId="0" xfId="0" applyFont="1" applyAlignment="1">
      <alignment horizontal="left" indent="1"/>
    </xf>
    <xf numFmtId="164" fontId="0" fillId="0" borderId="0" xfId="105" applyNumberFormat="1" applyFont="1"/>
    <xf numFmtId="0" fontId="0" fillId="39" borderId="0" xfId="0" applyFont="1" applyFill="1" applyAlignment="1">
      <alignment horizontal="center"/>
    </xf>
    <xf numFmtId="0" fontId="140" fillId="0" borderId="0" xfId="0" applyFont="1" applyFill="1"/>
    <xf numFmtId="0" fontId="140" fillId="0" borderId="0" xfId="0" applyFont="1" applyFill="1" applyAlignment="1">
      <alignment horizontal="center"/>
    </xf>
    <xf numFmtId="44" fontId="68" fillId="0" borderId="0" xfId="2" applyFont="1"/>
    <xf numFmtId="14" fontId="71" fillId="0" borderId="0" xfId="396" applyNumberFormat="1" applyFont="1" applyFill="1" applyAlignment="1">
      <alignment horizontal="center" wrapText="1"/>
    </xf>
    <xf numFmtId="164" fontId="6" fillId="0" borderId="0" xfId="4" applyNumberFormat="1" applyFont="1" applyFill="1" applyBorder="1"/>
    <xf numFmtId="164" fontId="112" fillId="0" borderId="1" xfId="1" applyNumberFormat="1" applyFont="1" applyFill="1" applyBorder="1"/>
    <xf numFmtId="43" fontId="112" fillId="0" borderId="1" xfId="0" applyNumberFormat="1" applyFont="1" applyFill="1" applyBorder="1"/>
    <xf numFmtId="170" fontId="0" fillId="0" borderId="1" xfId="2" applyNumberFormat="1" applyFont="1" applyBorder="1"/>
    <xf numFmtId="170" fontId="3" fillId="0" borderId="0" xfId="2" applyNumberFormat="1" applyFont="1"/>
    <xf numFmtId="43" fontId="68" fillId="42" borderId="0" xfId="89" applyFont="1" applyFill="1" applyAlignment="1">
      <alignment horizontal="center"/>
    </xf>
    <xf numFmtId="43" fontId="68" fillId="39" borderId="0" xfId="89" applyFont="1" applyFill="1" applyAlignment="1">
      <alignment horizontal="center"/>
    </xf>
    <xf numFmtId="0" fontId="3" fillId="0" borderId="0" xfId="0" applyFont="1" applyFill="1" applyAlignment="1">
      <alignment horizontal="center"/>
    </xf>
    <xf numFmtId="0" fontId="3" fillId="60" borderId="0" xfId="0" applyFont="1" applyFill="1" applyAlignment="1">
      <alignment horizontal="center"/>
    </xf>
    <xf numFmtId="0" fontId="3" fillId="60" borderId="1" xfId="0" applyFont="1" applyFill="1" applyBorder="1" applyAlignment="1">
      <alignment horizontal="center"/>
    </xf>
    <xf numFmtId="0" fontId="0" fillId="0" borderId="48" xfId="0" applyBorder="1"/>
    <xf numFmtId="0" fontId="0" fillId="0" borderId="49" xfId="0" applyBorder="1"/>
    <xf numFmtId="0" fontId="0" fillId="0" borderId="50" xfId="0" applyBorder="1"/>
    <xf numFmtId="170" fontId="3" fillId="0" borderId="14" xfId="2" applyNumberFormat="1" applyFont="1" applyBorder="1"/>
    <xf numFmtId="9" fontId="3" fillId="0" borderId="14" xfId="3" applyFont="1" applyBorder="1"/>
    <xf numFmtId="0" fontId="3" fillId="60" borderId="0" xfId="0" applyFont="1" applyFill="1" applyAlignment="1">
      <alignment horizontal="center" wrapText="1"/>
    </xf>
    <xf numFmtId="167" fontId="0" fillId="0" borderId="0" xfId="3" applyNumberFormat="1" applyFont="1" applyBorder="1"/>
    <xf numFmtId="170" fontId="0" fillId="0" borderId="20" xfId="2" applyNumberFormat="1" applyFont="1" applyFill="1" applyBorder="1"/>
    <xf numFmtId="170" fontId="0" fillId="0" borderId="0" xfId="2" applyNumberFormat="1" applyFont="1" applyFill="1" applyBorder="1"/>
    <xf numFmtId="170" fontId="0" fillId="0" borderId="1" xfId="2" applyNumberFormat="1" applyFont="1" applyFill="1" applyBorder="1"/>
    <xf numFmtId="0" fontId="67" fillId="50" borderId="46" xfId="0" applyFont="1" applyFill="1" applyBorder="1"/>
    <xf numFmtId="10" fontId="67" fillId="50" borderId="47" xfId="0" applyNumberFormat="1" applyFont="1" applyFill="1" applyBorder="1"/>
    <xf numFmtId="0" fontId="75" fillId="0" borderId="0" xfId="562" applyFont="1" applyFill="1" applyBorder="1"/>
    <xf numFmtId="4" fontId="74" fillId="0" borderId="0" xfId="562" applyNumberFormat="1" applyFont="1" applyFill="1" applyBorder="1" applyAlignment="1">
      <alignment horizontal="right"/>
    </xf>
    <xf numFmtId="0" fontId="74" fillId="0" borderId="0" xfId="563" applyFont="1" applyBorder="1"/>
    <xf numFmtId="0" fontId="74" fillId="0" borderId="0" xfId="563" applyFont="1" applyFill="1" applyBorder="1"/>
    <xf numFmtId="182" fontId="74" fillId="0" borderId="0" xfId="563" applyNumberFormat="1" applyFont="1" applyFill="1" applyBorder="1"/>
    <xf numFmtId="39" fontId="75" fillId="0" borderId="0" xfId="563" applyNumberFormat="1" applyFont="1" applyBorder="1" applyAlignment="1">
      <alignment horizontal="center"/>
    </xf>
    <xf numFmtId="0" fontId="75" fillId="0" borderId="0" xfId="563" applyFont="1" applyFill="1" applyBorder="1"/>
    <xf numFmtId="4" fontId="75" fillId="0" borderId="0" xfId="562" applyNumberFormat="1" applyFont="1" applyFill="1" applyBorder="1" applyAlignment="1">
      <alignment horizontal="center"/>
    </xf>
    <xf numFmtId="4" fontId="75" fillId="0" borderId="0" xfId="563" applyNumberFormat="1" applyFont="1" applyBorder="1"/>
    <xf numFmtId="0" fontId="75" fillId="0" borderId="0" xfId="563" applyFont="1" applyBorder="1"/>
    <xf numFmtId="4" fontId="75" fillId="0" borderId="0" xfId="563" quotePrefix="1" applyNumberFormat="1" applyFont="1" applyFill="1" applyBorder="1" applyAlignment="1">
      <alignment horizontal="center"/>
    </xf>
    <xf numFmtId="10" fontId="74" fillId="0" borderId="0" xfId="563" applyNumberFormat="1" applyFont="1" applyFill="1" applyBorder="1"/>
    <xf numFmtId="4" fontId="75" fillId="0" borderId="0" xfId="563" applyNumberFormat="1" applyFont="1" applyFill="1" applyBorder="1" applyAlignment="1">
      <alignment horizontal="center"/>
    </xf>
    <xf numFmtId="0" fontId="75" fillId="0" borderId="0" xfId="563" applyFont="1" applyBorder="1" applyAlignment="1">
      <alignment horizontal="center"/>
    </xf>
    <xf numFmtId="4" fontId="75" fillId="0" borderId="0" xfId="563" applyNumberFormat="1" applyFont="1" applyFill="1" applyBorder="1" applyAlignment="1">
      <alignment horizontal="center" wrapText="1"/>
    </xf>
    <xf numFmtId="10" fontId="75" fillId="39" borderId="1" xfId="3" applyNumberFormat="1" applyFont="1" applyFill="1" applyBorder="1" applyAlignment="1">
      <alignment horizontal="center"/>
    </xf>
    <xf numFmtId="0" fontId="142" fillId="0" borderId="0" xfId="563" applyFont="1" applyBorder="1" applyAlignment="1">
      <alignment horizontal="center"/>
    </xf>
    <xf numFmtId="0" fontId="67" fillId="0" borderId="0" xfId="0" applyFont="1" applyFill="1" applyBorder="1" applyAlignment="1">
      <alignment horizontal="right"/>
    </xf>
    <xf numFmtId="0" fontId="75" fillId="37" borderId="0" xfId="563" applyFont="1" applyFill="1" applyBorder="1"/>
    <xf numFmtId="182" fontId="75" fillId="0" borderId="0" xfId="563" applyNumberFormat="1" applyFont="1" applyFill="1" applyBorder="1" applyAlignment="1">
      <alignment horizontal="center"/>
    </xf>
    <xf numFmtId="0" fontId="74" fillId="0" borderId="0" xfId="563" applyFont="1" applyBorder="1" applyAlignment="1">
      <alignment horizontal="right"/>
    </xf>
    <xf numFmtId="4" fontId="74" fillId="0" borderId="0" xfId="563" applyNumberFormat="1" applyFont="1" applyFill="1" applyBorder="1" applyAlignment="1">
      <alignment horizontal="right"/>
    </xf>
    <xf numFmtId="0" fontId="74" fillId="0" borderId="0" xfId="563" applyFont="1" applyFill="1" applyBorder="1" applyAlignment="1">
      <alignment horizontal="center"/>
    </xf>
    <xf numFmtId="43" fontId="74" fillId="0" borderId="0" xfId="1" applyFont="1" applyFill="1" applyBorder="1" applyAlignment="1">
      <alignment horizontal="center"/>
    </xf>
    <xf numFmtId="39" fontId="74" fillId="0" borderId="0" xfId="563" applyNumberFormat="1" applyFont="1" applyBorder="1"/>
    <xf numFmtId="43" fontId="74" fillId="0" borderId="0" xfId="563" applyNumberFormat="1" applyFont="1" applyBorder="1"/>
    <xf numFmtId="0" fontId="75" fillId="42" borderId="0" xfId="563" applyFont="1" applyFill="1" applyBorder="1"/>
    <xf numFmtId="0" fontId="75" fillId="59" borderId="0" xfId="563" applyFont="1" applyFill="1" applyBorder="1"/>
    <xf numFmtId="0" fontId="74" fillId="0" borderId="0" xfId="563" applyFont="1" applyFill="1" applyBorder="1" applyAlignment="1">
      <alignment horizontal="left"/>
    </xf>
    <xf numFmtId="39" fontId="74" fillId="0" borderId="0" xfId="563" applyNumberFormat="1" applyFont="1" applyBorder="1" applyAlignment="1">
      <alignment horizontal="center"/>
    </xf>
    <xf numFmtId="0" fontId="75" fillId="0" borderId="0" xfId="563" applyFont="1" applyFill="1" applyBorder="1" applyAlignment="1">
      <alignment horizontal="center"/>
    </xf>
    <xf numFmtId="4" fontId="74" fillId="0" borderId="0" xfId="563" applyNumberFormat="1" applyFont="1" applyFill="1" applyBorder="1" applyAlignment="1">
      <alignment horizontal="center"/>
    </xf>
    <xf numFmtId="0" fontId="75" fillId="0" borderId="0" xfId="563" applyFont="1" applyFill="1" applyBorder="1" applyAlignment="1">
      <alignment horizontal="left"/>
    </xf>
    <xf numFmtId="4" fontId="75" fillId="0" borderId="0" xfId="563" applyNumberFormat="1" applyFont="1" applyBorder="1" applyAlignment="1">
      <alignment horizontal="right"/>
    </xf>
    <xf numFmtId="170" fontId="74" fillId="0" borderId="0" xfId="563" applyNumberFormat="1" applyFont="1" applyBorder="1"/>
    <xf numFmtId="170" fontId="74" fillId="0" borderId="0" xfId="563" applyNumberFormat="1" applyFont="1" applyFill="1" applyBorder="1" applyAlignment="1">
      <alignment horizontal="right"/>
    </xf>
    <xf numFmtId="4" fontId="74" fillId="0" borderId="0" xfId="563" applyNumberFormat="1" applyFont="1" applyBorder="1" applyAlignment="1">
      <alignment horizontal="right"/>
    </xf>
    <xf numFmtId="4" fontId="74" fillId="0" borderId="0" xfId="563" applyNumberFormat="1" applyFont="1" applyBorder="1"/>
    <xf numFmtId="170" fontId="74" fillId="0" borderId="0" xfId="563" applyNumberFormat="1" applyFont="1" applyFill="1" applyBorder="1" applyAlignment="1">
      <alignment horizontal="left"/>
    </xf>
    <xf numFmtId="170" fontId="75" fillId="0" borderId="0" xfId="563" applyNumberFormat="1" applyFont="1" applyBorder="1"/>
    <xf numFmtId="170" fontId="75" fillId="0" borderId="0" xfId="2" applyNumberFormat="1" applyFont="1" applyFill="1" applyBorder="1" applyAlignment="1">
      <alignment horizontal="right"/>
    </xf>
    <xf numFmtId="0" fontId="69" fillId="0" borderId="0" xfId="563" applyFont="1" applyFill="1" applyBorder="1" applyAlignment="1">
      <alignment horizontal="left"/>
    </xf>
    <xf numFmtId="182" fontId="74" fillId="0" borderId="0" xfId="3" applyNumberFormat="1" applyFont="1" applyBorder="1"/>
    <xf numFmtId="4" fontId="74" fillId="0" borderId="0" xfId="563" applyNumberFormat="1" applyFont="1" applyFill="1" applyBorder="1"/>
    <xf numFmtId="0" fontId="78" fillId="0" borderId="0" xfId="563" applyFont="1" applyFill="1" applyBorder="1"/>
    <xf numFmtId="43" fontId="74" fillId="0" borderId="0" xfId="563" applyNumberFormat="1" applyFont="1" applyFill="1" applyBorder="1"/>
    <xf numFmtId="0" fontId="69" fillId="0" borderId="0" xfId="0" applyFont="1" applyBorder="1" applyAlignment="1">
      <alignment horizontal="center"/>
    </xf>
    <xf numFmtId="0" fontId="69" fillId="0" borderId="0" xfId="0" applyFont="1" applyFill="1" applyBorder="1" applyAlignment="1">
      <alignment horizontal="right"/>
    </xf>
    <xf numFmtId="20" fontId="69" fillId="0" borderId="0" xfId="0" applyNumberFormat="1" applyFont="1" applyBorder="1" applyAlignment="1">
      <alignment horizontal="center"/>
    </xf>
    <xf numFmtId="0" fontId="75" fillId="0" borderId="0" xfId="563" applyFont="1" applyBorder="1" applyAlignment="1">
      <alignment horizontal="right"/>
    </xf>
    <xf numFmtId="0" fontId="74" fillId="0" borderId="34" xfId="563" applyFont="1" applyBorder="1"/>
    <xf numFmtId="0" fontId="74" fillId="0" borderId="35" xfId="563" applyFont="1" applyBorder="1"/>
    <xf numFmtId="39" fontId="74" fillId="0" borderId="34" xfId="563" applyNumberFormat="1" applyFont="1" applyBorder="1"/>
    <xf numFmtId="43" fontId="74" fillId="0" borderId="34" xfId="563" applyNumberFormat="1" applyFont="1" applyBorder="1"/>
    <xf numFmtId="43" fontId="74" fillId="0" borderId="37" xfId="563" applyNumberFormat="1" applyFont="1" applyBorder="1"/>
    <xf numFmtId="0" fontId="74" fillId="0" borderId="14" xfId="563" applyFont="1" applyBorder="1"/>
    <xf numFmtId="39" fontId="74" fillId="0" borderId="14" xfId="563" applyNumberFormat="1" applyFont="1" applyBorder="1"/>
    <xf numFmtId="0" fontId="74" fillId="0" borderId="38" xfId="563" applyFont="1" applyBorder="1"/>
    <xf numFmtId="10" fontId="74" fillId="0" borderId="0" xfId="3" applyNumberFormat="1" applyFont="1" applyBorder="1"/>
    <xf numFmtId="43" fontId="4" fillId="0" borderId="0" xfId="558" applyNumberFormat="1" applyFill="1"/>
    <xf numFmtId="0" fontId="4" fillId="39" borderId="0" xfId="216" applyFill="1"/>
    <xf numFmtId="14" fontId="4" fillId="39" borderId="0" xfId="216" applyNumberFormat="1" applyFill="1"/>
    <xf numFmtId="40" fontId="60" fillId="39" borderId="0" xfId="216" applyNumberFormat="1" applyFont="1" applyFill="1"/>
    <xf numFmtId="40" fontId="60" fillId="39" borderId="0" xfId="216" applyNumberFormat="1" applyFont="1" applyFill="1" applyAlignment="1">
      <alignment horizontal="center"/>
    </xf>
    <xf numFmtId="0" fontId="4" fillId="39" borderId="0" xfId="216" applyFill="1" applyAlignment="1">
      <alignment horizontal="center"/>
    </xf>
    <xf numFmtId="0" fontId="4" fillId="39" borderId="0" xfId="216" applyFill="1" applyAlignment="1">
      <alignment horizontal="left"/>
    </xf>
    <xf numFmtId="0" fontId="3" fillId="0" borderId="0" xfId="0" applyFont="1" applyFill="1" applyAlignment="1">
      <alignment horizontal="right"/>
    </xf>
    <xf numFmtId="44" fontId="3" fillId="0" borderId="0" xfId="0" applyNumberFormat="1" applyFont="1" applyFill="1"/>
    <xf numFmtId="0" fontId="0" fillId="0" borderId="0" xfId="0" applyFont="1" applyFill="1" applyAlignment="1">
      <alignment horizontal="right"/>
    </xf>
    <xf numFmtId="44" fontId="0" fillId="0" borderId="0" xfId="0" applyNumberFormat="1" applyFont="1" applyFill="1"/>
    <xf numFmtId="44" fontId="0" fillId="0" borderId="1" xfId="0" applyNumberFormat="1" applyFont="1" applyFill="1" applyBorder="1"/>
    <xf numFmtId="0" fontId="82" fillId="0" borderId="0" xfId="0" applyFont="1" applyFill="1"/>
    <xf numFmtId="164" fontId="6" fillId="0" borderId="0" xfId="536" applyNumberFormat="1" applyFont="1" applyBorder="1"/>
    <xf numFmtId="165" fontId="102" fillId="51" borderId="0" xfId="271" applyFont="1" applyFill="1" applyAlignment="1">
      <alignment horizontal="center" wrapText="1"/>
    </xf>
    <xf numFmtId="17" fontId="60" fillId="0" borderId="0" xfId="114" applyNumberFormat="1" applyFont="1" applyFill="1" applyBorder="1" applyAlignment="1">
      <alignment horizontal="center"/>
    </xf>
    <xf numFmtId="17" fontId="60" fillId="0" borderId="14" xfId="114" applyNumberFormat="1" applyFont="1" applyFill="1" applyBorder="1" applyAlignment="1">
      <alignment horizontal="center"/>
    </xf>
    <xf numFmtId="0" fontId="3" fillId="44" borderId="1" xfId="0" applyFont="1" applyFill="1" applyBorder="1" applyAlignment="1">
      <alignment horizontal="center"/>
    </xf>
    <xf numFmtId="0" fontId="16" fillId="24" borderId="0" xfId="67" applyFont="1" applyAlignment="1">
      <alignment horizontal="center"/>
    </xf>
    <xf numFmtId="0" fontId="3" fillId="0" borderId="1" xfId="0" applyFont="1" applyBorder="1" applyAlignment="1">
      <alignment horizontal="center"/>
    </xf>
    <xf numFmtId="0" fontId="82" fillId="0" borderId="0" xfId="0" applyFont="1" applyAlignment="1">
      <alignment horizontal="left" wrapText="1"/>
    </xf>
    <xf numFmtId="0" fontId="75" fillId="0" borderId="0" xfId="563" applyFont="1" applyBorder="1" applyAlignment="1">
      <alignment horizontal="center"/>
    </xf>
    <xf numFmtId="4" fontId="75" fillId="0" borderId="0" xfId="563" applyNumberFormat="1" applyFont="1" applyFill="1" applyBorder="1" applyAlignment="1">
      <alignment horizontal="center" wrapText="1"/>
    </xf>
    <xf numFmtId="4" fontId="75" fillId="0" borderId="1" xfId="563" applyNumberFormat="1" applyFont="1" applyFill="1" applyBorder="1" applyAlignment="1">
      <alignment horizontal="center" wrapText="1"/>
    </xf>
    <xf numFmtId="0" fontId="75" fillId="0" borderId="0" xfId="563" applyFont="1" applyBorder="1" applyAlignment="1">
      <alignment horizontal="center" wrapText="1"/>
    </xf>
    <xf numFmtId="0" fontId="75" fillId="0" borderId="1" xfId="563" applyFont="1" applyBorder="1" applyAlignment="1">
      <alignment horizontal="center" wrapText="1"/>
    </xf>
    <xf numFmtId="0" fontId="141" fillId="0" borderId="0" xfId="563" applyFont="1" applyFill="1" applyBorder="1" applyAlignment="1">
      <alignment horizontal="left" wrapText="1"/>
    </xf>
    <xf numFmtId="0" fontId="73" fillId="50" borderId="32" xfId="396" applyFont="1" applyFill="1" applyBorder="1" applyAlignment="1">
      <alignment horizontal="center"/>
    </xf>
    <xf numFmtId="0" fontId="0" fillId="44" borderId="0" xfId="0" applyFont="1" applyFill="1" applyAlignment="1">
      <alignment horizontal="center"/>
    </xf>
    <xf numFmtId="0" fontId="0" fillId="0" borderId="0" xfId="0" applyFont="1" applyAlignment="1">
      <alignment horizontal="left"/>
    </xf>
    <xf numFmtId="0" fontId="106" fillId="51" borderId="0" xfId="536" applyFont="1" applyFill="1" applyBorder="1" applyAlignment="1">
      <alignment horizontal="center"/>
    </xf>
    <xf numFmtId="0" fontId="106" fillId="47" borderId="0" xfId="536" applyFont="1" applyFill="1" applyBorder="1" applyAlignment="1">
      <alignment horizontal="center"/>
    </xf>
    <xf numFmtId="0" fontId="5" fillId="0" borderId="0" xfId="536" applyFont="1" applyFill="1" applyBorder="1" applyAlignment="1">
      <alignment horizontal="center"/>
    </xf>
    <xf numFmtId="174" fontId="5" fillId="0" borderId="0" xfId="89" applyNumberFormat="1" applyFont="1" applyFill="1" applyBorder="1" applyAlignment="1">
      <alignment horizontal="left"/>
    </xf>
    <xf numFmtId="43" fontId="60" fillId="31" borderId="39" xfId="89" applyFont="1" applyFill="1" applyBorder="1" applyAlignment="1">
      <alignment horizontal="center"/>
    </xf>
    <xf numFmtId="43" fontId="60" fillId="31" borderId="17" xfId="89" applyFont="1" applyFill="1" applyBorder="1" applyAlignment="1">
      <alignment horizontal="center"/>
    </xf>
    <xf numFmtId="43" fontId="60" fillId="31" borderId="40" xfId="89" applyFont="1" applyFill="1" applyBorder="1" applyAlignment="1">
      <alignment horizontal="center"/>
    </xf>
    <xf numFmtId="0" fontId="60" fillId="31" borderId="39" xfId="216" applyFont="1" applyFill="1" applyBorder="1" applyAlignment="1">
      <alignment horizontal="center"/>
    </xf>
    <xf numFmtId="0" fontId="60" fillId="31" borderId="40" xfId="216" applyFont="1" applyFill="1" applyBorder="1" applyAlignment="1">
      <alignment horizontal="center"/>
    </xf>
    <xf numFmtId="43" fontId="4" fillId="34" borderId="0" xfId="89" applyFont="1" applyFill="1" applyAlignment="1">
      <alignment horizontal="center"/>
    </xf>
    <xf numFmtId="43" fontId="4" fillId="35" borderId="0" xfId="89" applyFont="1" applyFill="1" applyAlignment="1">
      <alignment horizontal="center"/>
    </xf>
    <xf numFmtId="0" fontId="4" fillId="0" borderId="0" xfId="216" applyFont="1" applyFill="1" applyBorder="1" applyAlignment="1">
      <alignment horizontal="center"/>
    </xf>
    <xf numFmtId="0" fontId="0" fillId="0" borderId="0" xfId="0" applyAlignment="1">
      <alignment horizontal="left" wrapText="1"/>
    </xf>
    <xf numFmtId="0" fontId="83" fillId="0" borderId="0" xfId="0" applyFont="1" applyAlignment="1">
      <alignment horizontal="center"/>
    </xf>
    <xf numFmtId="0" fontId="60" fillId="31" borderId="39" xfId="388" applyFont="1" applyFill="1" applyBorder="1" applyAlignment="1">
      <alignment horizontal="center"/>
    </xf>
    <xf numFmtId="0" fontId="60" fillId="31" borderId="40" xfId="388" applyFont="1" applyFill="1" applyBorder="1" applyAlignment="1">
      <alignment horizontal="center"/>
    </xf>
    <xf numFmtId="165" fontId="102" fillId="53" borderId="0" xfId="271" applyFont="1" applyFill="1" applyAlignment="1">
      <alignment horizontal="center"/>
    </xf>
    <xf numFmtId="10" fontId="5" fillId="0" borderId="0" xfId="271" applyNumberFormat="1" applyFont="1" applyFill="1" applyBorder="1" applyAlignment="1">
      <alignment horizontal="center"/>
    </xf>
    <xf numFmtId="165" fontId="131" fillId="0" borderId="14" xfId="271" applyFont="1" applyBorder="1" applyAlignment="1">
      <alignment horizontal="center"/>
    </xf>
    <xf numFmtId="0" fontId="84" fillId="0" borderId="0" xfId="274" applyFont="1" applyAlignment="1">
      <alignment horizontal="left" wrapText="1"/>
    </xf>
    <xf numFmtId="0" fontId="96" fillId="0" borderId="0" xfId="0" applyFont="1" applyFill="1" applyBorder="1" applyAlignment="1">
      <alignment horizontal="center"/>
    </xf>
    <xf numFmtId="177" fontId="0" fillId="0" borderId="0" xfId="0" applyNumberFormat="1"/>
  </cellXfs>
  <cellStyles count="565">
    <cellStyle name="20% - Accent1 2" xfId="8"/>
    <cellStyle name="20% - Accent1 2 2" xfId="9"/>
    <cellStyle name="20% - Accent1 2 3" xfId="469"/>
    <cellStyle name="20% - Accent1 3" xfId="10"/>
    <cellStyle name="20% - Accent1 3 2" xfId="11"/>
    <cellStyle name="20% - Accent1 3 3" xfId="468"/>
    <cellStyle name="20% - Accent1 4" xfId="537"/>
    <cellStyle name="20% - Accent2 2" xfId="12"/>
    <cellStyle name="20% - Accent2 3" xfId="13"/>
    <cellStyle name="20% - Accent2 3 2" xfId="470"/>
    <cellStyle name="20% - Accent3 2" xfId="14"/>
    <cellStyle name="20% - Accent3 3" xfId="15"/>
    <cellStyle name="20% - Accent3 3 2" xfId="471"/>
    <cellStyle name="20% - Accent4 2" xfId="16"/>
    <cellStyle name="20% - Accent4 2 2" xfId="17"/>
    <cellStyle name="20% - Accent4 2 3" xfId="473"/>
    <cellStyle name="20% - Accent4 3" xfId="18"/>
    <cellStyle name="20% - Accent4 3 2" xfId="19"/>
    <cellStyle name="20% - Accent4 3 3" xfId="472"/>
    <cellStyle name="20% - Accent4 4" xfId="538"/>
    <cellStyle name="20% - Accent5 2" xfId="20"/>
    <cellStyle name="20% - Accent5 3" xfId="21"/>
    <cellStyle name="20% - Accent6 2" xfId="22"/>
    <cellStyle name="20% - Accent6 3" xfId="23"/>
    <cellStyle name="20% - Accent6 3 2" xfId="474"/>
    <cellStyle name="40% - Accent1 2" xfId="24"/>
    <cellStyle name="40% - Accent1 3" xfId="25"/>
    <cellStyle name="40% - Accent1 3 2" xfId="26"/>
    <cellStyle name="40% - Accent1 3 3" xfId="475"/>
    <cellStyle name="40% - Accent1 4" xfId="539"/>
    <cellStyle name="40% - Accent2 2" xfId="27"/>
    <cellStyle name="40% - Accent2 3" xfId="28"/>
    <cellStyle name="40% - Accent3 2" xfId="29"/>
    <cellStyle name="40% - Accent3 3" xfId="30"/>
    <cellStyle name="40% - Accent3 3 2" xfId="476"/>
    <cellStyle name="40% - Accent4 2" xfId="31"/>
    <cellStyle name="40% - Accent4 3" xfId="32"/>
    <cellStyle name="40% - Accent4 3 2" xfId="33"/>
    <cellStyle name="40% - Accent4 3 3" xfId="477"/>
    <cellStyle name="40% - Accent4 4" xfId="540"/>
    <cellStyle name="40% - Accent5 2" xfId="34"/>
    <cellStyle name="40% - Accent5 3" xfId="35"/>
    <cellStyle name="40% - Accent5 3 2" xfId="478"/>
    <cellStyle name="40% - Accent6 2" xfId="36"/>
    <cellStyle name="40% - Accent6 3" xfId="37"/>
    <cellStyle name="40% - Accent6 3 2" xfId="38"/>
    <cellStyle name="40% - Accent6 3 3" xfId="479"/>
    <cellStyle name="40% - Accent6 4" xfId="541"/>
    <cellStyle name="60% - Accent1 2" xfId="39"/>
    <cellStyle name="60% - Accent1 2 2" xfId="40"/>
    <cellStyle name="60% - Accent1 2 3" xfId="481"/>
    <cellStyle name="60% - Accent1 3" xfId="41"/>
    <cellStyle name="60% - Accent1 3 2" xfId="42"/>
    <cellStyle name="60% - Accent1 3 3" xfId="480"/>
    <cellStyle name="60% - Accent1 4" xfId="542"/>
    <cellStyle name="60% - Accent2 2" xfId="43"/>
    <cellStyle name="60% - Accent2 3" xfId="44"/>
    <cellStyle name="60% - Accent2 3 2" xfId="482"/>
    <cellStyle name="60% - Accent3 2" xfId="45"/>
    <cellStyle name="60% - Accent3 3" xfId="46"/>
    <cellStyle name="60% - Accent3 3 2" xfId="47"/>
    <cellStyle name="60% - Accent3 3 3" xfId="483"/>
    <cellStyle name="60% - Accent3 4" xfId="543"/>
    <cellStyle name="60% - Accent4 2" xfId="48"/>
    <cellStyle name="60% - Accent4 3" xfId="49"/>
    <cellStyle name="60% - Accent4 3 2" xfId="50"/>
    <cellStyle name="60% - Accent4 3 3" xfId="484"/>
    <cellStyle name="60% - Accent4 4" xfId="544"/>
    <cellStyle name="60% - Accent5 2" xfId="51"/>
    <cellStyle name="60% - Accent5 2 2" xfId="52"/>
    <cellStyle name="60% - Accent5 2 3" xfId="486"/>
    <cellStyle name="60% - Accent5 3" xfId="53"/>
    <cellStyle name="60% - Accent5 3 2" xfId="485"/>
    <cellStyle name="60% - Accent6 2" xfId="54"/>
    <cellStyle name="60% - Accent6 3" xfId="55"/>
    <cellStyle name="60% - Accent6 3 2" xfId="487"/>
    <cellStyle name="Accent1 2" xfId="56"/>
    <cellStyle name="Accent1 2 2" xfId="57"/>
    <cellStyle name="Accent1 2 3" xfId="489"/>
    <cellStyle name="Accent1 3" xfId="58"/>
    <cellStyle name="Accent1 3 2" xfId="59"/>
    <cellStyle name="Accent1 3 3" xfId="488"/>
    <cellStyle name="Accent1 4" xfId="545"/>
    <cellStyle name="Accent2 2" xfId="60"/>
    <cellStyle name="Accent2 3" xfId="61"/>
    <cellStyle name="Accent2 3 2" xfId="490"/>
    <cellStyle name="Accent3 2" xfId="62"/>
    <cellStyle name="Accent3 2 2" xfId="63"/>
    <cellStyle name="Accent3 2 3" xfId="492"/>
    <cellStyle name="Accent3 3" xfId="64"/>
    <cellStyle name="Accent3 3 2" xfId="491"/>
    <cellStyle name="Accent4 2" xfId="65"/>
    <cellStyle name="Accent4 3" xfId="66"/>
    <cellStyle name="Accent4 3 2" xfId="493"/>
    <cellStyle name="Accent5 2" xfId="67"/>
    <cellStyle name="Accent5 3" xfId="68"/>
    <cellStyle name="Accent6 2" xfId="69"/>
    <cellStyle name="Accent6 2 2" xfId="70"/>
    <cellStyle name="Accent6 2 3" xfId="495"/>
    <cellStyle name="Accent6 3" xfId="71"/>
    <cellStyle name="Accent6 3 2" xfId="494"/>
    <cellStyle name="Accounting" xfId="72"/>
    <cellStyle name="Accounting 2" xfId="73"/>
    <cellStyle name="Accounting 3" xfId="74"/>
    <cellStyle name="Accounting_2011-11" xfId="75"/>
    <cellStyle name="Bad 2" xfId="76"/>
    <cellStyle name="Bad 3" xfId="77"/>
    <cellStyle name="Bad 3 2" xfId="496"/>
    <cellStyle name="Budget" xfId="78"/>
    <cellStyle name="Budget 2" xfId="79"/>
    <cellStyle name="Budget 3" xfId="80"/>
    <cellStyle name="Budget_2011-11" xfId="81"/>
    <cellStyle name="Calculation 2" xfId="82"/>
    <cellStyle name="Calculation 2 2" xfId="83"/>
    <cellStyle name="Calculation 2 3" xfId="498"/>
    <cellStyle name="Calculation 3" xfId="84"/>
    <cellStyle name="Calculation 3 2" xfId="85"/>
    <cellStyle name="Calculation 3 3" xfId="497"/>
    <cellStyle name="Calculation 4" xfId="546"/>
    <cellStyle name="Check Cell 2" xfId="86"/>
    <cellStyle name="Check Cell 3" xfId="87"/>
    <cellStyle name="combo" xfId="88"/>
    <cellStyle name="Comma" xfId="1" builtinId="3"/>
    <cellStyle name="Comma 10" xfId="89"/>
    <cellStyle name="Comma 11" xfId="90"/>
    <cellStyle name="Comma 12" xfId="91"/>
    <cellStyle name="Comma 12 2" xfId="92"/>
    <cellStyle name="Comma 12 2 2" xfId="533"/>
    <cellStyle name="Comma 12 3" xfId="93"/>
    <cellStyle name="Comma 12 4" xfId="94"/>
    <cellStyle name="Comma 12 5" xfId="499"/>
    <cellStyle name="Comma 13" xfId="95"/>
    <cellStyle name="Comma 13 2" xfId="96"/>
    <cellStyle name="Comma 14" xfId="97"/>
    <cellStyle name="Comma 15" xfId="98"/>
    <cellStyle name="Comma 15 2" xfId="99"/>
    <cellStyle name="Comma 16" xfId="100"/>
    <cellStyle name="Comma 17" xfId="101"/>
    <cellStyle name="Comma 17 2" xfId="102"/>
    <cellStyle name="Comma 18" xfId="103"/>
    <cellStyle name="Comma 18 2" xfId="104"/>
    <cellStyle name="Comma 18 3" xfId="555"/>
    <cellStyle name="Comma 19" xfId="105"/>
    <cellStyle name="Comma 2" xfId="5"/>
    <cellStyle name="Comma 2 2" xfId="106"/>
    <cellStyle name="Comma 2 2 2" xfId="107"/>
    <cellStyle name="Comma 2 3" xfId="108"/>
    <cellStyle name="Comma 2 4" xfId="109"/>
    <cellStyle name="Comma 2 4 2" xfId="110"/>
    <cellStyle name="Comma 2 4 3" xfId="556"/>
    <cellStyle name="Comma 2 6" xfId="111"/>
    <cellStyle name="Comma 2 6 2" xfId="112"/>
    <cellStyle name="Comma 20" xfId="113"/>
    <cellStyle name="Comma 21" xfId="535"/>
    <cellStyle name="Comma 3" xfId="114"/>
    <cellStyle name="Comma 3 2" xfId="115"/>
    <cellStyle name="Comma 3 2 2" xfId="116"/>
    <cellStyle name="Comma 3 3" xfId="117"/>
    <cellStyle name="Comma 3 4" xfId="118"/>
    <cellStyle name="Comma 4" xfId="119"/>
    <cellStyle name="Comma 4 2" xfId="120"/>
    <cellStyle name="Comma 4 2 2" xfId="121"/>
    <cellStyle name="Comma 4 2 3" xfId="122"/>
    <cellStyle name="Comma 4 3" xfId="123"/>
    <cellStyle name="Comma 4 3 2" xfId="124"/>
    <cellStyle name="Comma 4 3 3" xfId="125"/>
    <cellStyle name="Comma 4 4" xfId="126"/>
    <cellStyle name="Comma 4 4 2" xfId="127"/>
    <cellStyle name="Comma 4 4 3" xfId="128"/>
    <cellStyle name="Comma 4 5" xfId="129"/>
    <cellStyle name="Comma 4 5 2" xfId="130"/>
    <cellStyle name="Comma 4 6" xfId="131"/>
    <cellStyle name="Comma 5" xfId="132"/>
    <cellStyle name="Comma 5 2" xfId="133"/>
    <cellStyle name="Comma 5 3" xfId="134"/>
    <cellStyle name="Comma 5 4" xfId="135"/>
    <cellStyle name="Comma 6" xfId="136"/>
    <cellStyle name="Comma 6 2" xfId="137"/>
    <cellStyle name="Comma 7" xfId="138"/>
    <cellStyle name="Comma 8" xfId="139"/>
    <cellStyle name="Comma 9" xfId="140"/>
    <cellStyle name="Comma(2)" xfId="141"/>
    <cellStyle name="Comma0" xfId="142"/>
    <cellStyle name="Comma0 - Style2" xfId="143"/>
    <cellStyle name="Comma1 - Style1" xfId="144"/>
    <cellStyle name="Comments" xfId="145"/>
    <cellStyle name="Currency" xfId="2" builtinId="4"/>
    <cellStyle name="Currency 10" xfId="146"/>
    <cellStyle name="Currency 11" xfId="147"/>
    <cellStyle name="Currency 12" xfId="148"/>
    <cellStyle name="Currency 13" xfId="534"/>
    <cellStyle name="Currency 2" xfId="149"/>
    <cellStyle name="Currency 2 2" xfId="150"/>
    <cellStyle name="Currency 2 2 2" xfId="151"/>
    <cellStyle name="Currency 2 2 3" xfId="458"/>
    <cellStyle name="Currency 2 3" xfId="152"/>
    <cellStyle name="Currency 2 3 2" xfId="153"/>
    <cellStyle name="Currency 2 3 3" xfId="500"/>
    <cellStyle name="Currency 2 4" xfId="154"/>
    <cellStyle name="Currency 2 6" xfId="155"/>
    <cellStyle name="Currency 2 6 2" xfId="156"/>
    <cellStyle name="Currency 3" xfId="157"/>
    <cellStyle name="Currency 3 2" xfId="158"/>
    <cellStyle name="Currency 3 3" xfId="159"/>
    <cellStyle name="Currency 3 3 2" xfId="160"/>
    <cellStyle name="Currency 3 4" xfId="161"/>
    <cellStyle name="Currency 3 5" xfId="459"/>
    <cellStyle name="Currency 4" xfId="162"/>
    <cellStyle name="Currency 4 2" xfId="163"/>
    <cellStyle name="Currency 4 3" xfId="164"/>
    <cellStyle name="Currency 4 4" xfId="460"/>
    <cellStyle name="Currency 5" xfId="165"/>
    <cellStyle name="Currency 5 2" xfId="166"/>
    <cellStyle name="Currency 5 3" xfId="167"/>
    <cellStyle name="Currency 6" xfId="168"/>
    <cellStyle name="Currency 7" xfId="169"/>
    <cellStyle name="Currency 8" xfId="170"/>
    <cellStyle name="Currency 8 2" xfId="557"/>
    <cellStyle name="Currency 9" xfId="171"/>
    <cellStyle name="Currency0" xfId="172"/>
    <cellStyle name="Data Enter" xfId="173"/>
    <cellStyle name="date" xfId="174"/>
    <cellStyle name="Explanatory Text 2" xfId="175"/>
    <cellStyle name="Explanatory Text 3" xfId="176"/>
    <cellStyle name="F9ReportControlStyle_ctpInquire" xfId="177"/>
    <cellStyle name="FactSheet" xfId="178"/>
    <cellStyle name="fish" xfId="179"/>
    <cellStyle name="Good 2" xfId="180"/>
    <cellStyle name="Good 3" xfId="181"/>
    <cellStyle name="Good 3 2" xfId="501"/>
    <cellStyle name="Good 4" xfId="182"/>
    <cellStyle name="Heading 1 2" xfId="183"/>
    <cellStyle name="Heading 1 2 2" xfId="184"/>
    <cellStyle name="Heading 1 2 3" xfId="503"/>
    <cellStyle name="Heading 1 3" xfId="185"/>
    <cellStyle name="Heading 1 3 2" xfId="186"/>
    <cellStyle name="Heading 1 3 3" xfId="502"/>
    <cellStyle name="Heading 1 4" xfId="547"/>
    <cellStyle name="Heading 2 2" xfId="187"/>
    <cellStyle name="Heading 2 2 2" xfId="188"/>
    <cellStyle name="Heading 2 2 3" xfId="505"/>
    <cellStyle name="Heading 2 3" xfId="189"/>
    <cellStyle name="Heading 2 3 2" xfId="190"/>
    <cellStyle name="Heading 2 3 3" xfId="504"/>
    <cellStyle name="Heading 2 4" xfId="548"/>
    <cellStyle name="Heading 3 2" xfId="191"/>
    <cellStyle name="Heading 3 2 2" xfId="192"/>
    <cellStyle name="Heading 3 2 3" xfId="507"/>
    <cellStyle name="Heading 3 3" xfId="193"/>
    <cellStyle name="Heading 3 3 2" xfId="194"/>
    <cellStyle name="Heading 3 3 3" xfId="506"/>
    <cellStyle name="Heading 3 4" xfId="549"/>
    <cellStyle name="Heading 4 2" xfId="195"/>
    <cellStyle name="Heading 4 3" xfId="196"/>
    <cellStyle name="Heading 4 3 2" xfId="508"/>
    <cellStyle name="Hyperlink 2" xfId="197"/>
    <cellStyle name="Hyperlink 3" xfId="198"/>
    <cellStyle name="Hyperlink 3 2" xfId="199"/>
    <cellStyle name="Input 2" xfId="200"/>
    <cellStyle name="Input 3" xfId="201"/>
    <cellStyle name="Input 3 2" xfId="509"/>
    <cellStyle name="input(0)" xfId="202"/>
    <cellStyle name="Input(2)" xfId="203"/>
    <cellStyle name="Linked Cell 2" xfId="204"/>
    <cellStyle name="Linked Cell 2 2" xfId="205"/>
    <cellStyle name="Linked Cell 2 3" xfId="511"/>
    <cellStyle name="Linked Cell 3" xfId="206"/>
    <cellStyle name="Linked Cell 3 2" xfId="510"/>
    <cellStyle name="Neutral 2" xfId="207"/>
    <cellStyle name="Neutral 2 2" xfId="208"/>
    <cellStyle name="Neutral 2 3" xfId="513"/>
    <cellStyle name="Neutral 3" xfId="209"/>
    <cellStyle name="Neutral 3 2" xfId="512"/>
    <cellStyle name="New_normal" xfId="210"/>
    <cellStyle name="Normal" xfId="0" builtinId="0"/>
    <cellStyle name="Normal - Style1" xfId="211"/>
    <cellStyle name="Normal - Style2" xfId="212"/>
    <cellStyle name="Normal - Style3" xfId="213"/>
    <cellStyle name="Normal - Style4" xfId="214"/>
    <cellStyle name="Normal - Style5" xfId="215"/>
    <cellStyle name="Normal 10" xfId="216"/>
    <cellStyle name="Normal 10 2" xfId="217"/>
    <cellStyle name="Normal 10 2 2" xfId="218"/>
    <cellStyle name="Normal 10 2 3" xfId="219"/>
    <cellStyle name="Normal 10 2 4" xfId="220"/>
    <cellStyle name="Normal 10 3" xfId="221"/>
    <cellStyle name="Normal 10_2112 DF Schedule"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 2 2" xfId="235"/>
    <cellStyle name="Normal 110" xfId="236"/>
    <cellStyle name="Normal 111" xfId="558"/>
    <cellStyle name="Normal 12" xfId="237"/>
    <cellStyle name="Normal 12 2" xfId="238"/>
    <cellStyle name="Normal 12 3" xfId="239"/>
    <cellStyle name="Normal 12 4" xfId="514"/>
    <cellStyle name="Normal 12 5" xfId="552"/>
    <cellStyle name="Normal 12_Sheet1" xfId="240"/>
    <cellStyle name="Normal 13" xfId="241"/>
    <cellStyle name="Normal 13 2" xfId="242"/>
    <cellStyle name="Normal 13 3" xfId="243"/>
    <cellStyle name="Normal 13 4" xfId="515"/>
    <cellStyle name="Normal 13 5" xfId="553"/>
    <cellStyle name="Normal 13_Sheet1" xfId="244"/>
    <cellStyle name="Normal 14" xfId="245"/>
    <cellStyle name="Normal 14 2" xfId="246"/>
    <cellStyle name="Normal 14 3" xfId="247"/>
    <cellStyle name="Normal 14 4" xfId="516"/>
    <cellStyle name="Normal 14_Sheet1" xfId="248"/>
    <cellStyle name="Normal 15" xfId="249"/>
    <cellStyle name="Normal 15 2" xfId="250"/>
    <cellStyle name="Normal 15 3" xfId="517"/>
    <cellStyle name="Normal 15 4" xfId="554"/>
    <cellStyle name="Normal 16" xfId="251"/>
    <cellStyle name="Normal 16 2" xfId="252"/>
    <cellStyle name="Normal 16 3" xfId="518"/>
    <cellStyle name="Normal 17" xfId="253"/>
    <cellStyle name="Normal 17 2" xfId="254"/>
    <cellStyle name="Normal 17 3" xfId="519"/>
    <cellStyle name="Normal 18" xfId="255"/>
    <cellStyle name="Normal 18 2" xfId="256"/>
    <cellStyle name="Normal 18 3" xfId="520"/>
    <cellStyle name="Normal 19" xfId="257"/>
    <cellStyle name="Normal 19 2" xfId="258"/>
    <cellStyle name="Normal 19 3" xfId="521"/>
    <cellStyle name="Normal 2" xfId="4"/>
    <cellStyle name="Normal 2 10" xfId="259"/>
    <cellStyle name="Normal 2 11" xfId="260"/>
    <cellStyle name="Normal 2 2" xfId="261"/>
    <cellStyle name="Normal 2 2 2" xfId="262"/>
    <cellStyle name="Normal 2 2 2 2" xfId="263"/>
    <cellStyle name="Normal 2 2 3" xfId="264"/>
    <cellStyle name="Normal 2 2 4" xfId="461"/>
    <cellStyle name="Normal 2 2_4MthProj2" xfId="265"/>
    <cellStyle name="Normal 2 3" xfId="266"/>
    <cellStyle name="Normal 2 3 2" xfId="267"/>
    <cellStyle name="Normal 2 3 3" xfId="268"/>
    <cellStyle name="Normal 2 3_4MthProj2" xfId="269"/>
    <cellStyle name="Normal 2 4" xfId="270"/>
    <cellStyle name="Normal 2 4 2" xfId="271"/>
    <cellStyle name="Normal 2 5" xfId="272"/>
    <cellStyle name="Normal 2 6" xfId="273"/>
    <cellStyle name="Normal 2 7" xfId="274"/>
    <cellStyle name="Normal 2 8" xfId="275"/>
    <cellStyle name="Normal 2 9" xfId="276"/>
    <cellStyle name="Normal 2_2009 Regulated Price Out" xfId="277"/>
    <cellStyle name="Normal 20" xfId="278"/>
    <cellStyle name="Normal 20 2" xfId="279"/>
    <cellStyle name="Normal 20 3" xfId="522"/>
    <cellStyle name="Normal 21" xfId="280"/>
    <cellStyle name="Normal 21 2" xfId="281"/>
    <cellStyle name="Normal 22" xfId="282"/>
    <cellStyle name="Normal 22 2" xfId="283"/>
    <cellStyle name="Normal 23" xfId="284"/>
    <cellStyle name="Normal 23 2" xfId="285"/>
    <cellStyle name="Normal 24" xfId="286"/>
    <cellStyle name="Normal 24 2" xfId="523"/>
    <cellStyle name="Normal 25" xfId="287"/>
    <cellStyle name="Normal 26" xfId="288"/>
    <cellStyle name="Normal 27" xfId="289"/>
    <cellStyle name="Normal 27 2" xfId="290"/>
    <cellStyle name="Normal 28" xfId="291"/>
    <cellStyle name="Normal 29" xfId="292"/>
    <cellStyle name="Normal 3" xfId="293"/>
    <cellStyle name="Normal 3 2" xfId="294"/>
    <cellStyle name="Normal 3 2 2" xfId="295"/>
    <cellStyle name="Normal 3 3" xfId="296"/>
    <cellStyle name="Normal 3 3 2" xfId="297"/>
    <cellStyle name="Normal 3 4" xfId="298"/>
    <cellStyle name="Normal 3_2012 PR" xfId="299"/>
    <cellStyle name="Normal 30" xfId="300"/>
    <cellStyle name="Normal 31" xfId="301"/>
    <cellStyle name="Normal 31 2" xfId="302"/>
    <cellStyle name="Normal 32" xfId="303"/>
    <cellStyle name="Normal 33" xfId="304"/>
    <cellStyle name="Normal 34" xfId="305"/>
    <cellStyle name="Normal 35" xfId="306"/>
    <cellStyle name="Normal 36" xfId="307"/>
    <cellStyle name="Normal 37" xfId="308"/>
    <cellStyle name="Normal 38" xfId="309"/>
    <cellStyle name="Normal 39" xfId="310"/>
    <cellStyle name="Normal 4" xfId="311"/>
    <cellStyle name="Normal 4 2" xfId="312"/>
    <cellStyle name="Normal 4 2 2" xfId="313"/>
    <cellStyle name="Normal 4 3" xfId="314"/>
    <cellStyle name="Normal 4 3 2" xfId="315"/>
    <cellStyle name="Normal 4_Consolidated IS" xfId="316"/>
    <cellStyle name="Normal 40" xfId="317"/>
    <cellStyle name="Normal 41" xfId="318"/>
    <cellStyle name="Normal 42" xfId="319"/>
    <cellStyle name="Normal 43" xfId="320"/>
    <cellStyle name="Normal 44" xfId="321"/>
    <cellStyle name="Normal 45" xfId="322"/>
    <cellStyle name="Normal 46" xfId="323"/>
    <cellStyle name="Normal 47" xfId="324"/>
    <cellStyle name="Normal 48" xfId="325"/>
    <cellStyle name="Normal 49" xfId="326"/>
    <cellStyle name="Normal 5" xfId="327"/>
    <cellStyle name="Normal 5 2" xfId="328"/>
    <cellStyle name="Normal 5 3" xfId="329"/>
    <cellStyle name="Normal 5 4" xfId="462"/>
    <cellStyle name="Normal 5_2112 DF Schedule" xfId="330"/>
    <cellStyle name="Normal 50" xfId="331"/>
    <cellStyle name="Normal 51" xfId="332"/>
    <cellStyle name="Normal 52" xfId="333"/>
    <cellStyle name="Normal 53" xfId="334"/>
    <cellStyle name="Normal 54" xfId="335"/>
    <cellStyle name="Normal 55" xfId="336"/>
    <cellStyle name="Normal 56" xfId="337"/>
    <cellStyle name="Normal 57" xfId="338"/>
    <cellStyle name="Normal 58" xfId="339"/>
    <cellStyle name="Normal 59" xfId="340"/>
    <cellStyle name="Normal 6" xfId="341"/>
    <cellStyle name="Normal 6 2" xfId="342"/>
    <cellStyle name="Normal 6 2 2" xfId="343"/>
    <cellStyle name="Normal 6 3" xfId="463"/>
    <cellStyle name="Normal 60" xfId="344"/>
    <cellStyle name="Normal 61" xfId="345"/>
    <cellStyle name="Normal 62" xfId="346"/>
    <cellStyle name="Normal 63" xfId="347"/>
    <cellStyle name="Normal 64" xfId="348"/>
    <cellStyle name="Normal 65" xfId="349"/>
    <cellStyle name="Normal 66" xfId="350"/>
    <cellStyle name="Normal 67" xfId="351"/>
    <cellStyle name="Normal 68" xfId="352"/>
    <cellStyle name="Normal 69" xfId="353"/>
    <cellStyle name="Normal 7" xfId="354"/>
    <cellStyle name="Normal 7 2" xfId="355"/>
    <cellStyle name="Normal 7 2 2" xfId="356"/>
    <cellStyle name="Normal 70" xfId="357"/>
    <cellStyle name="Normal 71" xfId="358"/>
    <cellStyle name="Normal 72" xfId="359"/>
    <cellStyle name="Normal 73" xfId="360"/>
    <cellStyle name="Normal 74" xfId="361"/>
    <cellStyle name="Normal 75" xfId="362"/>
    <cellStyle name="Normal 76" xfId="363"/>
    <cellStyle name="Normal 77" xfId="364"/>
    <cellStyle name="Normal 78" xfId="365"/>
    <cellStyle name="Normal 79" xfId="366"/>
    <cellStyle name="Normal 8" xfId="367"/>
    <cellStyle name="Normal 8 2" xfId="368"/>
    <cellStyle name="Normal 8 2 2" xfId="369"/>
    <cellStyle name="Normal 80" xfId="370"/>
    <cellStyle name="Normal 81" xfId="371"/>
    <cellStyle name="Normal 82" xfId="372"/>
    <cellStyle name="Normal 83" xfId="373"/>
    <cellStyle name="Normal 84" xfId="374"/>
    <cellStyle name="Normal 84 2" xfId="375"/>
    <cellStyle name="Normal 84 3" xfId="376"/>
    <cellStyle name="Normal 85" xfId="377"/>
    <cellStyle name="Normal 85 2" xfId="378"/>
    <cellStyle name="Normal 85 3" xfId="527"/>
    <cellStyle name="Normal 86" xfId="379"/>
    <cellStyle name="Normal 87" xfId="380"/>
    <cellStyle name="Normal 88" xfId="381"/>
    <cellStyle name="Normal 89" xfId="382"/>
    <cellStyle name="Normal 9" xfId="383"/>
    <cellStyle name="Normal 9 2" xfId="384"/>
    <cellStyle name="Normal 9 2 2" xfId="385"/>
    <cellStyle name="Normal 90" xfId="386"/>
    <cellStyle name="Normal 91" xfId="387"/>
    <cellStyle name="Normal 92" xfId="388"/>
    <cellStyle name="Normal 93" xfId="389"/>
    <cellStyle name="Normal 94" xfId="390"/>
    <cellStyle name="Normal 95" xfId="391"/>
    <cellStyle name="Normal 96" xfId="392"/>
    <cellStyle name="Normal 97" xfId="393"/>
    <cellStyle name="Normal 98" xfId="394"/>
    <cellStyle name="Normal 99" xfId="395"/>
    <cellStyle name="Normal_Book3" xfId="562"/>
    <cellStyle name="Normal_Depreciation 6-30-10" xfId="536"/>
    <cellStyle name="Normal_F9" xfId="561"/>
    <cellStyle name="Normal_M-A DF Calculation 3-1-2013-Final" xfId="563"/>
    <cellStyle name="Normal_Pro Forma Pacific Disposal Roland Heather checked 7-26" xfId="564"/>
    <cellStyle name="Normal_Proforma" xfId="6"/>
    <cellStyle name="Normal_Regulated Price Out 9-6-2011 Final HL" xfId="396"/>
    <cellStyle name="Normal_Report" xfId="397"/>
    <cellStyle name="Normal_Sheet1 2" xfId="560"/>
    <cellStyle name="Normal_Sheet1 3" xfId="467"/>
    <cellStyle name="Normal_TheTool_Jeff_v5" xfId="559"/>
    <cellStyle name="Normal_TheTool_Jeff_v5 2" xfId="7"/>
    <cellStyle name="Note 2" xfId="398"/>
    <cellStyle name="Note 2 2" xfId="399"/>
    <cellStyle name="Note 2 3" xfId="525"/>
    <cellStyle name="Note 3" xfId="400"/>
    <cellStyle name="Note 3 2" xfId="401"/>
    <cellStyle name="Note 3 3" xfId="524"/>
    <cellStyle name="Note 4" xfId="550"/>
    <cellStyle name="Notes" xfId="402"/>
    <cellStyle name="Output 2" xfId="403"/>
    <cellStyle name="Output 3" xfId="404"/>
    <cellStyle name="Output 3 2" xfId="526"/>
    <cellStyle name="Percent" xfId="3" builtinId="5"/>
    <cellStyle name="Percent 10" xfId="464"/>
    <cellStyle name="Percent 2" xfId="405"/>
    <cellStyle name="Percent 2 2" xfId="406"/>
    <cellStyle name="Percent 2 2 2" xfId="407"/>
    <cellStyle name="Percent 2 2 3" xfId="465"/>
    <cellStyle name="Percent 2 3" xfId="408"/>
    <cellStyle name="Percent 2 4" xfId="409"/>
    <cellStyle name="Percent 2 6" xfId="410"/>
    <cellStyle name="Percent 3" xfId="411"/>
    <cellStyle name="Percent 3 2" xfId="412"/>
    <cellStyle name="Percent 3 2 2" xfId="466"/>
    <cellStyle name="Percent 4" xfId="413"/>
    <cellStyle name="Percent 4 2" xfId="414"/>
    <cellStyle name="Percent 4 3" xfId="415"/>
    <cellStyle name="Percent 4 4" xfId="416"/>
    <cellStyle name="Percent 5" xfId="417"/>
    <cellStyle name="Percent 5 2" xfId="528"/>
    <cellStyle name="Percent 6" xfId="418"/>
    <cellStyle name="Percent 6 2" xfId="529"/>
    <cellStyle name="Percent 7" xfId="419"/>
    <cellStyle name="Percent 7 2" xfId="420"/>
    <cellStyle name="Percent 7 3" xfId="421"/>
    <cellStyle name="Percent 8" xfId="422"/>
    <cellStyle name="Percent 9" xfId="423"/>
    <cellStyle name="Percent(1)" xfId="424"/>
    <cellStyle name="Percent(2)" xfId="425"/>
    <cellStyle name="PRM" xfId="426"/>
    <cellStyle name="PRM 2" xfId="427"/>
    <cellStyle name="PRM 3" xfId="428"/>
    <cellStyle name="PRM_2011-11" xfId="429"/>
    <cellStyle name="PS_Comma" xfId="430"/>
    <cellStyle name="PSChar" xfId="431"/>
    <cellStyle name="PSDate" xfId="432"/>
    <cellStyle name="PSDec" xfId="433"/>
    <cellStyle name="PSHeading" xfId="434"/>
    <cellStyle name="PSInt" xfId="435"/>
    <cellStyle name="PSSpacer" xfId="436"/>
    <cellStyle name="STYL0 - Style1" xfId="437"/>
    <cellStyle name="STYL1 - Style2" xfId="438"/>
    <cellStyle name="STYL2 - Style3" xfId="439"/>
    <cellStyle name="STYL3 - Style4" xfId="440"/>
    <cellStyle name="STYL4 - Style5" xfId="441"/>
    <cellStyle name="STYL5 - Style6" xfId="442"/>
    <cellStyle name="STYL6 - Style7" xfId="443"/>
    <cellStyle name="STYL7 - Style8" xfId="444"/>
    <cellStyle name="Style 1" xfId="445"/>
    <cellStyle name="Style 1 2" xfId="446"/>
    <cellStyle name="STYLE1" xfId="447"/>
    <cellStyle name="sub heading" xfId="448"/>
    <cellStyle name="Title 2" xfId="449"/>
    <cellStyle name="Title 3" xfId="450"/>
    <cellStyle name="Title 3 2" xfId="530"/>
    <cellStyle name="Total 2" xfId="451"/>
    <cellStyle name="Total 2 2" xfId="452"/>
    <cellStyle name="Total 2 3" xfId="532"/>
    <cellStyle name="Total 3" xfId="453"/>
    <cellStyle name="Total 3 2" xfId="454"/>
    <cellStyle name="Total 3 3" xfId="531"/>
    <cellStyle name="Total 4" xfId="551"/>
    <cellStyle name="Warning Text 2" xfId="455"/>
    <cellStyle name="Warning Text 3" xfId="456"/>
    <cellStyle name="WM_STANDARD" xfId="457"/>
  </cellStyles>
  <dxfs count="3">
    <dxf>
      <numFmt numFmtId="35" formatCode="_(* #,##0.00_);_(* \(#,##0.00\);_(* &quot;-&quot;??_);_(@_)"/>
    </dxf>
    <dxf>
      <numFmt numFmtId="35" formatCode="_(* #,##0.00_);_(* \(#,##0.00\);_(* &quot;-&quot;??_);_(@_)"/>
    </dxf>
    <dxf>
      <numFmt numFmtId="34" formatCode="_(&quot;$&quot;* #,##0.00_);_(&quot;$&quot;* \(#,##0.00\);_(&quot;$&quot;* &quot;-&quot;??_);_(@_)"/>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pivotCacheDefinition" Target="pivotCache/pivotCacheDefinition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pivotCacheDefinition" Target="pivotCache/pivotCacheDefinition3.xml"/><Relationship Id="rId77"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Audit/Final/TG-160424%20CRD%20Pro%20forma%203-31-2016%20Staff%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yroll/Empire%20Payroll%206-3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mpire\Rate%20Increase%2011-1-2010\Filed%209-14-2010\Proforma%209-14-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cshare\sacshare\Data_Automation\DMS\RouteManagerReports\RM_MM001_Query_v4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xcelFinancials_v3b201122061"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home.utc.wa.gov/Western%20Region/WUTC/WIP%20Files/LeMay%20Companies/2014/Annual%20Report/District%20Schedules/North%20LeMay/N%20LeMay%20Annual%20Report%202013%20-%20with%20Heather's%20No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home.utc.wa.gov/LeMay/Master%20Truck%20Schedule/South_LeMay%20Master%20Truck%20Schedule-Shar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venue/Empire%20Price%20Out%20Template%202015-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O%20Cust%20Coun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Users\heatherg\AppData\Local\Interject\FileCache\JEQuery_v4.6_Interject_WithStage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Empire%20B&amp;O%20Taxe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cnx.org\UserData\Home1B\heatherg\Desktop\Emailed%20Files\Empire%20Advertis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ummary"/>
      <sheetName val="Empire Payroll"/>
      <sheetName val="PR Register - Pay Codes"/>
      <sheetName val="Safety PR"/>
      <sheetName val="Driver GL Detail 2016"/>
      <sheetName val="Mechanic GL Detail 2016"/>
      <sheetName val="Supervisor GL Detail 2016"/>
      <sheetName val="G&amp;A GL Detail 2016"/>
    </sheetNames>
    <sheetDataSet>
      <sheetData sheetId="0" refreshError="1"/>
      <sheetData sheetId="1"/>
      <sheetData sheetId="2"/>
      <sheetData sheetId="3"/>
      <sheetData sheetId="4">
        <row r="6">
          <cell r="D6">
            <v>10000</v>
          </cell>
        </row>
        <row r="8">
          <cell r="J8" t="str">
            <v>2016-07</v>
          </cell>
        </row>
        <row r="12">
          <cell r="I12" t="str">
            <v>2015-07</v>
          </cell>
        </row>
        <row r="13">
          <cell r="I13" t="str">
            <v>2016-06</v>
          </cell>
        </row>
      </sheetData>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32">
          <cell r="H32">
            <v>631454.64963595103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Cust Count Summary"/>
      <sheetName val="Unit Counts"/>
      <sheetName val="Spokane Reg - Price out"/>
      <sheetName val="Whitman Reg - Price Out"/>
      <sheetName val="2015 Regulated Pivot"/>
      <sheetName val="2016 Regulated Pivot"/>
      <sheetName val="Army Non-Reg - Price Out"/>
      <sheetName val="Harrington Non-Reg - Price Out"/>
      <sheetName val="Latah Co Non-Reg - Price Out"/>
      <sheetName val="Rockford Non-Reg - Price Out"/>
      <sheetName val="Spangle Non-Reg - Price Out"/>
      <sheetName val="Starbuck Non-Reg - Price Out"/>
      <sheetName val="Tekoa Non-Reg - Price Out"/>
      <sheetName val="2015 Non-Regulated Pivot"/>
      <sheetName val="2016 Non-Regulated Pivot"/>
      <sheetName val="2016 DATA"/>
      <sheetName val="2015 DATA"/>
      <sheetName val="IS 210 Jul-Sep"/>
      <sheetName val="IS 210 Oct-Dec"/>
      <sheetName val="IS 210 Jan-Mar"/>
      <sheetName val="IS 210 Apr-Jun"/>
    </sheetNames>
    <sheetDataSet>
      <sheetData sheetId="0">
        <row r="6">
          <cell r="M6">
            <v>201306.84999999998</v>
          </cell>
        </row>
        <row r="9">
          <cell r="M9">
            <v>149429.79</v>
          </cell>
        </row>
        <row r="14">
          <cell r="M14">
            <v>14558.050000000001</v>
          </cell>
        </row>
        <row r="16">
          <cell r="M16">
            <v>7304.67</v>
          </cell>
        </row>
      </sheetData>
      <sheetData sheetId="1"/>
      <sheetData sheetId="2"/>
      <sheetData sheetId="3">
        <row r="3">
          <cell r="A3" t="str">
            <v>July 1, 2015 - June 30, 2016</v>
          </cell>
        </row>
      </sheetData>
      <sheetData sheetId="4"/>
      <sheetData sheetId="5"/>
      <sheetData sheetId="6"/>
      <sheetData sheetId="7"/>
      <sheetData sheetId="8"/>
      <sheetData sheetId="9"/>
      <sheetData sheetId="10">
        <row r="1">
          <cell r="C1">
            <v>0</v>
          </cell>
        </row>
      </sheetData>
      <sheetData sheetId="11">
        <row r="1">
          <cell r="C1">
            <v>0</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6">
          <cell r="H16">
            <v>9</v>
          </cell>
          <cell r="L16">
            <v>3</v>
          </cell>
          <cell r="O16">
            <v>3</v>
          </cell>
        </row>
        <row r="17">
          <cell r="L17">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sheetData sheetId="1"/>
      <sheetData sheetId="2">
        <row r="1">
          <cell r="B1" t="str">
            <v>OK!: ReportRange Formula OK [jAction{}]</v>
          </cell>
        </row>
      </sheetData>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refreshError="1"/>
      <sheetData sheetId="1"/>
      <sheetData sheetId="2">
        <row r="1">
          <cell r="B1" t="str">
            <v>OK!: ReportRange Formula OK [jAction{}]</v>
          </cell>
        </row>
      </sheetData>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JE Query"/>
      <sheetName val="JE Lookup"/>
      <sheetName val="ControlPanel"/>
    </sheetNames>
    <sheetDataSet>
      <sheetData sheetId="0" refreshError="1"/>
      <sheetData sheetId="1"/>
      <sheetData sheetId="2">
        <row r="1">
          <cell r="B1" t="str">
            <v>OK!: ReportRange Formula OK [jAction{}]</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wcnx.org\UserData\Home1B\heatherg\Desktop\Emailed%20Files\Empire%20Advertising.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wcnx.org\UserData\Home1B\heatherg\Desktop\Emailed%20Files\Empire%20Advertising.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P:\Users\heatherg\AppData\Local\Interject\FileCache\JEQuery_v4.6_Interject_WithStaged.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eather Garland" refreshedDate="42569.505583101854" createdVersion="4" refreshedVersion="4" minRefreshableVersion="3" recordCount="40">
  <cacheSource type="worksheet">
    <worksheetSource ref="B19:N20" sheet="JE Query" r:id="rId2"/>
  </cacheSource>
  <cacheFields count="13">
    <cacheField name="Full Account" numFmtId="0">
      <sharedItems/>
    </cacheField>
    <cacheField name="Date" numFmtId="14">
      <sharedItems containsSemiMixedTypes="0" containsNonDate="0" containsDate="1" containsString="0" minDate="2015-06-10T00:00:00" maxDate="2016-07-01T00:00:00"/>
    </cacheField>
    <cacheField name="Amount USD" numFmtId="40">
      <sharedItems containsSemiMixedTypes="0" containsString="0" containsNumber="1" minValue="-150" maxValue="7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23">
        <s v="Hallmark Inv 053115WAST -SERVICE CHARGE"/>
        <s v="Hallmark Inv 063015WAST -SERVICE CHARGE"/>
        <s v="AARON LAWHEAD"/>
        <s v="WASHINGTON STATE RECYCLIN~LAWHEAD"/>
        <s v="SQ  KQQQ KHTR, ~ AARON"/>
        <s v="PALOUSE EMPIRE FAIR, ~ AARON"/>
        <s v="PO 00713 : PALOUSE EMPIRE FAIR : PCard"/>
        <s v="PO 00729 : PULLMAN RADIO STATIONS : PCar"/>
        <s v="Hallmark Inv 073115WAST -SERVICE CHARGE"/>
        <s v="Hallmark Inv 083115WAST -SERVICE CHARGE"/>
        <s v="Hallmark Inv 093015WAST -SERVICE CHARGE"/>
        <s v="ROSAUERS SUPERMARKE~LAWHEAD"/>
        <s v="Meals - employee"/>
        <s v="Hallmark Inv 113015WAST -SERVICE CHARGE"/>
        <s v="ROSAUERS #70~LAWHEAD"/>
        <s v="AMAZON MKTPLACE PMTS~LAWHEAD"/>
        <s v="Accr Use Tax for Pcard Transactions"/>
        <s v="SQ  LUNCH BOX DELI~LAWHEAD"/>
        <s v="2120ALAWHEAD : Meals - employee"/>
        <s v="2120ALAWHEAD : Meals"/>
        <s v="WESTSIDE PIZZA - COLFA~LAWHEAD"/>
        <s v="COLFAX ROTARY CLUB"/>
        <s v="WESTSIDE PIZZA - COLFAX~LAWHEAD"/>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ather Garland" refreshedDate="42569.507957407404" createdVersion="4" refreshedVersion="4" minRefreshableVersion="3" recordCount="38">
  <cacheSource type="worksheet">
    <worksheetSource ref="B19:N20" sheet="JE Query" r:id="rId2"/>
  </cacheSource>
  <cacheFields count="13">
    <cacheField name="Full Account" numFmtId="0">
      <sharedItems/>
    </cacheField>
    <cacheField name="Date" numFmtId="14">
      <sharedItems containsSemiMixedTypes="0" containsNonDate="0" containsDate="1" containsString="0" minDate="2015-06-03T00:00:00" maxDate="2016-07-15T00:00:00"/>
    </cacheField>
    <cacheField name="Amount USD" numFmtId="40">
      <sharedItems containsSemiMixedTypes="0" containsString="0" containsNumber="1" minValue="-95.47" maxValue="795"/>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16">
        <s v="WASHINGTON REFUSE &amp; RECYCLING ASSOC"/>
        <s v="WRRA - REGULAR DUES"/>
        <s v="Desert Micro Maintenance_June 15"/>
        <s v="Desert Micro Maintenance_July 15"/>
        <s v="WRRA - SEPTEMBER 2015 BILLING"/>
        <s v="WASHINGTON STATE RECYCLIN~HERBST"/>
        <s v="COLFAX CHAMBER OF COMMERCE"/>
        <s v="WESTERN STATES EQUIPMENT CO., INC."/>
        <s v="CUMMINS NW PDC~YOUNG"/>
        <s v="WHITMAN COUNTY GAZETTE~LAWHEAD"/>
        <s v="25WRRA : WRRA - REGULAR MONTHLY DUES 201"/>
        <s v="REVERSE 25WRRA : WRRA - REGULAR MONTHLY"/>
        <s v="ASSOCIATION OF WASHINGTON BUSINESS"/>
        <s v="WASHINGTON STATE RECYCLIN~BROOKES"/>
        <s v="Rcls Fleetcharge"/>
        <s v="DocuSign: 6/30/16-6/29/17"/>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ather Garland" refreshedDate="42569.650224189812" createdVersion="4" refreshedVersion="4" minRefreshableVersion="3" recordCount="87">
  <cacheSource type="worksheet">
    <worksheetSource ref="B19:N106" sheet="JE Query" r:id="rId2"/>
  </cacheSource>
  <cacheFields count="13">
    <cacheField name="Full Account" numFmtId="0">
      <sharedItems/>
    </cacheField>
    <cacheField name="Date" numFmtId="14">
      <sharedItems containsSemiMixedTypes="0" containsNonDate="0" containsDate="1" containsString="0" minDate="2015-07-23T00:00:00" maxDate="2016-07-01T00:00:00"/>
    </cacheField>
    <cacheField name="Amount USD" numFmtId="40">
      <sharedItems containsSemiMixedTypes="0" containsString="0" containsNumber="1" minValue="-13143.13" maxValue="14100"/>
    </cacheField>
    <cacheField name="Amount CAD" numFmtId="40">
      <sharedItems containsSemiMixedTypes="0" containsString="0" containsNumber="1" containsInteger="1" minValue="0" maxValue="0"/>
    </cacheField>
    <cacheField name="Nat Currency" numFmtId="40">
      <sharedItems/>
    </cacheField>
    <cacheField name="Journal Control Num" numFmtId="0">
      <sharedItems/>
    </cacheField>
    <cacheField name="Psted*" numFmtId="0">
      <sharedItems/>
    </cacheField>
    <cacheField name="Journal Description" numFmtId="0">
      <sharedItems/>
    </cacheField>
    <cacheField name="User" numFmtId="0">
      <sharedItems/>
    </cacheField>
    <cacheField name="R/Type" numFmtId="0">
      <sharedItems/>
    </cacheField>
    <cacheField name="Vendor Code" numFmtId="0">
      <sharedItems containsBlank="1"/>
    </cacheField>
    <cacheField name="One Time Vendor" numFmtId="0">
      <sharedItems containsNonDate="0" containsString="0" containsBlank="1"/>
    </cacheField>
    <cacheField name="Further Description" numFmtId="0">
      <sharedItems count="9">
        <s v="SPOKANE COUNTY UTILITIES"/>
        <s v="PO 00029 : STERICYCLE : PCard"/>
        <s v="PO 00040 : SPOKANE COUNTY UTILITIES : CH"/>
        <s v="STERICYCLE~LAWHEAD"/>
        <s v="STERICYCLE, ~ AARON"/>
        <s v="PCARD : PO 00029 : STERICYCLE : PCard"/>
        <s v="2120SPOCOUNT : PO 00040 : SPOKANE COUNTY"/>
        <s v="2120SPOCOUNT : PO 01318 : SPOKANE COUNTY"/>
        <s v="PCARD : PO 01319 : STERICYCLE : PCard"/>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
  <r>
    <s v="70095-2120-000-00"/>
    <d v="2015-06-10T00:00:00"/>
    <n v="6"/>
    <n v="0"/>
    <s v="USD"/>
    <s v="JRNLWA00318853"/>
    <s v="P"/>
    <s v="Hallmark Inv 053115WAST"/>
    <s v="HeatherWe"/>
    <s v="0/JE IC"/>
    <m/>
    <m/>
    <x v="0"/>
  </r>
  <r>
    <s v="70095-2120-000-00"/>
    <d v="2015-07-10T00:00:00"/>
    <n v="12"/>
    <n v="0"/>
    <s v="USD"/>
    <s v="JRNLWA00320508"/>
    <s v="P"/>
    <s v="Hallmark Inv 063015WAST"/>
    <s v="AdamJo"/>
    <s v="0/JE IC"/>
    <m/>
    <m/>
    <x v="1"/>
  </r>
  <r>
    <s v="70095-2120-000-00"/>
    <d v="2015-07-15T00:00:00"/>
    <n v="49.97"/>
    <n v="0"/>
    <s v="USD"/>
    <s v="JRNLWA00320549"/>
    <s v="P"/>
    <s v="From Voucher Posting."/>
    <s v="MaribelV"/>
    <s v="0/JE IC"/>
    <s v="2120ALAWHEAD"/>
    <m/>
    <x v="2"/>
  </r>
  <r>
    <s v="70095-2120-000-00"/>
    <d v="2015-07-31T00:00:00"/>
    <n v="250"/>
    <n v="0"/>
    <s v="USD"/>
    <s v="JRNLWA00321064"/>
    <s v="P"/>
    <s v="PCARD ACTIVITY WESTERN JULY"/>
    <s v="HeatherWe"/>
    <s v="0/JE IC"/>
    <m/>
    <m/>
    <x v="3"/>
  </r>
  <r>
    <s v="70095-2120-000-00"/>
    <d v="2015-07-31T00:00:00"/>
    <n v="150"/>
    <n v="0"/>
    <s v="USD"/>
    <s v="JRNLWA00321244"/>
    <s v="P"/>
    <s v="WESTERN PCARD ACCRUAL JULY"/>
    <s v="AdamJo"/>
    <s v="0/JE IC"/>
    <m/>
    <m/>
    <x v="4"/>
  </r>
  <r>
    <s v="70095-2120-000-00"/>
    <d v="2015-07-31T00:00:00"/>
    <n v="150"/>
    <n v="0"/>
    <s v="USD"/>
    <s v="JRNLWA00321244"/>
    <s v="P"/>
    <s v="WESTERN PCARD ACCRUAL JULY"/>
    <s v="AdamJo"/>
    <s v="0/JE IC"/>
    <m/>
    <m/>
    <x v="5"/>
  </r>
  <r>
    <s v="70095-2120-000-00"/>
    <d v="2015-07-31T00:00:00"/>
    <n v="150"/>
    <n v="0"/>
    <s v="USD"/>
    <s v="JRNLWA00321733"/>
    <s v="P"/>
    <s v="OPEX14- AP Accrual"/>
    <s v="MaribelV"/>
    <s v="0/JE IC"/>
    <m/>
    <m/>
    <x v="6"/>
  </r>
  <r>
    <s v="70095-2120-000-00"/>
    <d v="2015-07-31T00:00:00"/>
    <n v="150"/>
    <n v="0"/>
    <s v="USD"/>
    <s v="JRNLWA00321733"/>
    <s v="P"/>
    <s v="OPEX14- AP Accrual"/>
    <s v="MaribelV"/>
    <s v="0/JE IC"/>
    <m/>
    <m/>
    <x v="7"/>
  </r>
  <r>
    <s v="70095-2120-000-00"/>
    <d v="2015-08-05T00:00:00"/>
    <n v="45.91"/>
    <n v="0"/>
    <s v="USD"/>
    <s v="JRNLWA00321331"/>
    <s v="P"/>
    <s v="From Voucher Posting."/>
    <s v="MaribelV"/>
    <s v="0/JE IC"/>
    <s v="2120ALAWHEAD"/>
    <m/>
    <x v="2"/>
  </r>
  <r>
    <s v="70095-2120-000-00"/>
    <d v="2015-08-13T00:00:00"/>
    <n v="24"/>
    <n v="0"/>
    <s v="USD"/>
    <s v="JRNLWA00322133"/>
    <s v="P"/>
    <s v="Hallmark Inv 073115WAST"/>
    <s v="HeatherWe"/>
    <s v="0/JE IC"/>
    <m/>
    <m/>
    <x v="8"/>
  </r>
  <r>
    <s v="70095-2120-000-00"/>
    <d v="2015-08-31T00:00:00"/>
    <n v="-150"/>
    <n v="0"/>
    <s v="USD"/>
    <s v="JRNLWA00321329"/>
    <s v="P"/>
    <s v="WESTERN PCARD ACCRUAL JULY"/>
    <s v="MaribelV"/>
    <s v="0/JE IC"/>
    <m/>
    <m/>
    <x v="4"/>
  </r>
  <r>
    <s v="70095-2120-000-00"/>
    <d v="2015-08-31T00:00:00"/>
    <n v="-150"/>
    <n v="0"/>
    <s v="USD"/>
    <s v="JRNLWA00321329"/>
    <s v="P"/>
    <s v="WESTERN PCARD ACCRUAL JULY"/>
    <s v="MaribelV"/>
    <s v="0/JE IC"/>
    <m/>
    <m/>
    <x v="5"/>
  </r>
  <r>
    <s v="70095-2120-000-00"/>
    <d v="2015-08-31T00:00:00"/>
    <n v="-150"/>
    <n v="0"/>
    <s v="USD"/>
    <s v="JRNLWA00321763"/>
    <s v="P"/>
    <s v="OPEX14- AP Accrual"/>
    <s v="MaribelV"/>
    <s v="0/JE IC"/>
    <m/>
    <m/>
    <x v="6"/>
  </r>
  <r>
    <s v="70095-2120-000-00"/>
    <d v="2015-08-31T00:00:00"/>
    <n v="-150"/>
    <n v="0"/>
    <s v="USD"/>
    <s v="JRNLWA00321763"/>
    <s v="P"/>
    <s v="OPEX14- AP Accrual"/>
    <s v="MaribelV"/>
    <s v="0/JE IC"/>
    <m/>
    <m/>
    <x v="7"/>
  </r>
  <r>
    <s v="70095-2120-000-00"/>
    <d v="2015-09-22T00:00:00"/>
    <n v="6"/>
    <n v="0"/>
    <s v="USD"/>
    <s v="JRNLWA00323782"/>
    <s v="P"/>
    <s v="Hallmark Inv 083115WAST"/>
    <s v="HeatherWe"/>
    <s v="0/JE IC"/>
    <m/>
    <m/>
    <x v="9"/>
  </r>
  <r>
    <s v="70095-2120-000-00"/>
    <d v="2015-10-27T00:00:00"/>
    <n v="12"/>
    <n v="0"/>
    <s v="USD"/>
    <s v="JRNLWA00325517"/>
    <s v="P"/>
    <s v="Hallmark Inv 093015WAST"/>
    <s v="HeatherWe"/>
    <s v="0/JE IC"/>
    <m/>
    <m/>
    <x v="10"/>
  </r>
  <r>
    <s v="70095-2120-000-00"/>
    <d v="2015-11-30T00:00:00"/>
    <n v="449.96"/>
    <n v="0"/>
    <s v="USD"/>
    <s v="JRNLWA00327359"/>
    <s v="P"/>
    <s v="PCARD ACTIVITY WESTERN NOVEMBE"/>
    <s v="AdamJo"/>
    <s v="0/JE IC"/>
    <m/>
    <m/>
    <x v="11"/>
  </r>
  <r>
    <s v="70095-2120-000-00"/>
    <d v="2015-11-30T00:00:00"/>
    <n v="23.54"/>
    <n v="0"/>
    <s v="USD"/>
    <s v="JRNLWA00327627"/>
    <s v="P"/>
    <s v="OPEX13- Expense Report Accrual"/>
    <s v="HeatherWe"/>
    <s v="0/JE IC"/>
    <m/>
    <m/>
    <x v="12"/>
  </r>
  <r>
    <s v="70095-2120-000-00"/>
    <d v="2015-12-08T00:00:00"/>
    <n v="35.799999999999997"/>
    <n v="0"/>
    <s v="USD"/>
    <s v="JRNLWA00328300"/>
    <s v="P"/>
    <s v="From Voucher Posting."/>
    <s v="HeatherWe"/>
    <s v="0/JE IC"/>
    <s v="2120ALAWHEAD"/>
    <m/>
    <x v="2"/>
  </r>
  <r>
    <s v="70095-2120-000-00"/>
    <d v="2015-12-11T00:00:00"/>
    <n v="6"/>
    <n v="0"/>
    <s v="USD"/>
    <s v="JRNLWA00328366"/>
    <s v="P"/>
    <s v="Hallmark Inv 113015WAST"/>
    <s v="AdamJo"/>
    <s v="0/JE IC"/>
    <m/>
    <m/>
    <x v="13"/>
  </r>
  <r>
    <s v="70095-2120-000-00"/>
    <d v="2015-12-31T00:00:00"/>
    <n v="-23.54"/>
    <n v="0"/>
    <s v="USD"/>
    <s v="JRNLWA00327679"/>
    <s v="P"/>
    <s v="OPEX13- Expense Report Accrual"/>
    <s v="HeatherWe"/>
    <s v="0/JE IC"/>
    <m/>
    <m/>
    <x v="12"/>
  </r>
  <r>
    <s v="70095-2120-000-00"/>
    <d v="2015-12-31T00:00:00"/>
    <n v="700"/>
    <n v="0"/>
    <s v="USD"/>
    <s v="JRNLWA00328945"/>
    <s v="P"/>
    <s v="PCARD ACTIVITY WESTERN DECEMBE"/>
    <s v="HeatherWe"/>
    <s v="0/JE IC"/>
    <m/>
    <m/>
    <x v="14"/>
  </r>
  <r>
    <s v="70095-2120-000-00"/>
    <d v="2015-12-31T00:00:00"/>
    <n v="26.54"/>
    <n v="0"/>
    <s v="USD"/>
    <s v="JRNLWA00328945"/>
    <s v="P"/>
    <s v="PCARD ACTIVITY WESTERN DECEMBE"/>
    <s v="HeatherWe"/>
    <s v="0/JE IC"/>
    <m/>
    <m/>
    <x v="15"/>
  </r>
  <r>
    <s v="70095-2120-000-00"/>
    <d v="2015-12-31T00:00:00"/>
    <n v="2.0699999999999998"/>
    <n v="0"/>
    <s v="USD"/>
    <s v="JRNLWA00329556"/>
    <s v="P"/>
    <s v="TAX2-Accr Use Tax"/>
    <s v="AdamJo"/>
    <s v="0/JE IC"/>
    <m/>
    <m/>
    <x v="16"/>
  </r>
  <r>
    <s v="70095-2120-000-00"/>
    <d v="2016-01-31T00:00:00"/>
    <n v="584.21"/>
    <n v="0"/>
    <s v="USD"/>
    <s v="JRNLWA00330577"/>
    <s v="P"/>
    <s v="PCARD ACTIVITY WESTERN JANUARY"/>
    <s v="MaribelV"/>
    <s v="0/JE IC"/>
    <m/>
    <m/>
    <x v="17"/>
  </r>
  <r>
    <s v="70095-2120-000-00"/>
    <d v="2016-01-31T00:00:00"/>
    <n v="42"/>
    <n v="0"/>
    <s v="USD"/>
    <s v="JRNLWA00331278"/>
    <s v="P"/>
    <s v="OPEX14- AP and Exp Report Accr"/>
    <s v="HeatherWe"/>
    <s v="0/JE IC"/>
    <m/>
    <m/>
    <x v="18"/>
  </r>
  <r>
    <s v="70095-2120-000-00"/>
    <d v="2016-01-31T00:00:00"/>
    <n v="21.23"/>
    <n v="0"/>
    <s v="USD"/>
    <s v="JRNLWA00331278"/>
    <s v="P"/>
    <s v="OPEX14- AP and Exp Report Accr"/>
    <s v="HeatherWe"/>
    <s v="0/JE IC"/>
    <m/>
    <m/>
    <x v="19"/>
  </r>
  <r>
    <s v="70095-2120-000-00"/>
    <d v="2016-01-31T00:00:00"/>
    <n v="87.94"/>
    <n v="0"/>
    <s v="USD"/>
    <s v="JRNLWA00331278"/>
    <s v="P"/>
    <s v="OPEX14- AP and Exp Report Accr"/>
    <s v="HeatherWe"/>
    <s v="0/JE IC"/>
    <m/>
    <m/>
    <x v="18"/>
  </r>
  <r>
    <s v="70095-2120-000-00"/>
    <d v="2016-02-12T00:00:00"/>
    <n v="21.23"/>
    <n v="0"/>
    <s v="USD"/>
    <s v="JRNLWA00331593"/>
    <s v="P"/>
    <s v="From Voucher Posting."/>
    <s v="HeatherWe"/>
    <s v="0/JE IC"/>
    <s v="2120ALAWHEAD"/>
    <m/>
    <x v="2"/>
  </r>
  <r>
    <s v="70095-2120-000-00"/>
    <d v="2016-02-12T00:00:00"/>
    <n v="87.94"/>
    <n v="0"/>
    <s v="USD"/>
    <s v="JRNLWA00331593"/>
    <s v="P"/>
    <s v="From Voucher Posting."/>
    <s v="HeatherWe"/>
    <s v="0/JE IC"/>
    <s v="2120ALAWHEAD"/>
    <m/>
    <x v="2"/>
  </r>
  <r>
    <s v="70095-2120-000-00"/>
    <d v="2016-02-29T00:00:00"/>
    <n v="-42"/>
    <n v="0"/>
    <s v="USD"/>
    <s v="JRNLWA00331292"/>
    <s v="P"/>
    <s v="OPEX14- AP and Exp Report Accr"/>
    <s v="AdamJo"/>
    <s v="0/JE IC"/>
    <m/>
    <m/>
    <x v="18"/>
  </r>
  <r>
    <s v="70095-2120-000-00"/>
    <d v="2016-02-29T00:00:00"/>
    <n v="-21.23"/>
    <n v="0"/>
    <s v="USD"/>
    <s v="JRNLWA00331292"/>
    <s v="P"/>
    <s v="OPEX14- AP and Exp Report Accr"/>
    <s v="AdamJo"/>
    <s v="0/JE IC"/>
    <m/>
    <m/>
    <x v="19"/>
  </r>
  <r>
    <s v="70095-2120-000-00"/>
    <d v="2016-02-29T00:00:00"/>
    <n v="-87.94"/>
    <n v="0"/>
    <s v="USD"/>
    <s v="JRNLWA00331292"/>
    <s v="P"/>
    <s v="OPEX14- AP and Exp Report Accr"/>
    <s v="AdamJo"/>
    <s v="0/JE IC"/>
    <m/>
    <m/>
    <x v="18"/>
  </r>
  <r>
    <s v="70095-2120-000-00"/>
    <d v="2016-02-29T00:00:00"/>
    <n v="134.68"/>
    <n v="0"/>
    <s v="USD"/>
    <s v="JRNLWA00332213"/>
    <s v="P"/>
    <s v="PCARD ACTIVITY WESTERN FEBRUAR"/>
    <s v="AdamJo"/>
    <s v="0/JE IC"/>
    <m/>
    <m/>
    <x v="20"/>
  </r>
  <r>
    <s v="70095-2120-000-00"/>
    <d v="2016-03-30T00:00:00"/>
    <n v="40"/>
    <n v="0"/>
    <s v="USD"/>
    <s v="JRNLWA00333200"/>
    <s v="P"/>
    <s v="From Voucher Posting."/>
    <s v="RosemaryS"/>
    <s v="0/JE IC"/>
    <s v="2120COLROT"/>
    <m/>
    <x v="21"/>
  </r>
  <r>
    <s v="70095-2120-000-00"/>
    <d v="2016-03-31T00:00:00"/>
    <n v="50.58"/>
    <n v="0"/>
    <s v="USD"/>
    <s v="JRNLWA00333479"/>
    <s v="P"/>
    <s v="From Voucher Posting."/>
    <s v="RosemaryS"/>
    <s v="0/JE IC"/>
    <s v="2120ALAWHEAD"/>
    <m/>
    <x v="2"/>
  </r>
  <r>
    <s v="70095-2120-000-00"/>
    <d v="2016-03-31T00:00:00"/>
    <n v="24.98"/>
    <n v="0"/>
    <s v="USD"/>
    <s v="JRNLWA00333479"/>
    <s v="P"/>
    <s v="From Voucher Posting."/>
    <s v="RosemaryS"/>
    <s v="0/JE IC"/>
    <s v="2120ALAWHEAD"/>
    <m/>
    <x v="2"/>
  </r>
  <r>
    <s v="70095-2120-000-00"/>
    <d v="2016-03-31T00:00:00"/>
    <n v="136.07"/>
    <n v="0"/>
    <s v="USD"/>
    <s v="JRNLWA00333546"/>
    <s v="P"/>
    <s v="PCARD ACTIVITY WESTERN MARCH"/>
    <s v="HeatherWe"/>
    <s v="0/JE IC"/>
    <m/>
    <m/>
    <x v="20"/>
  </r>
  <r>
    <s v="70095-2120-000-00"/>
    <d v="2016-04-30T00:00:00"/>
    <n v="75.73"/>
    <n v="0"/>
    <s v="USD"/>
    <s v="JRNLWA00335100"/>
    <s v="P"/>
    <s v="PCARD ACTIVITY WESTERN APRIL 2"/>
    <s v="HeatherWe"/>
    <s v="0/JE IC"/>
    <m/>
    <m/>
    <x v="22"/>
  </r>
  <r>
    <s v="70095-2120-000-00"/>
    <d v="2016-06-30T00:00:00"/>
    <n v="146.26"/>
    <n v="0"/>
    <s v="USD"/>
    <s v="JRNLWA00338211"/>
    <s v="P"/>
    <s v="PCARD ACTIVITY WESTERN JUNE 20"/>
    <s v="HeatherWe"/>
    <s v="0/JE IC"/>
    <m/>
    <m/>
    <x v="14"/>
  </r>
</pivotCacheRecords>
</file>

<file path=xl/pivotCache/pivotCacheRecords2.xml><?xml version="1.0" encoding="utf-8"?>
<pivotCacheRecords xmlns="http://schemas.openxmlformats.org/spreadsheetml/2006/main" xmlns:r="http://schemas.openxmlformats.org/officeDocument/2006/relationships" count="38">
  <r>
    <s v="70195-2120-000-00"/>
    <d v="2015-06-03T00:00:00"/>
    <n v="95.47"/>
    <n v="0"/>
    <s v="USD"/>
    <s v="JRNLWA00318048"/>
    <s v="P"/>
    <s v="From Voucher Posting."/>
    <s v="HeatherWe"/>
    <s v="0/JE IC"/>
    <s v="25WRRA"/>
    <m/>
    <x v="0"/>
  </r>
  <r>
    <s v="70195-2120-000-00"/>
    <d v="2015-06-30T00:00:00"/>
    <n v="-95.47"/>
    <n v="0"/>
    <s v="USD"/>
    <s v="JRNLWA00318792"/>
    <s v="P"/>
    <s v="May District 2000 PO Log Accru"/>
    <s v="AdamJo"/>
    <s v="0/JE IC"/>
    <m/>
    <m/>
    <x v="1"/>
  </r>
  <r>
    <s v="70195-2120-000-00"/>
    <d v="2015-06-30T00:00:00"/>
    <n v="85"/>
    <n v="0"/>
    <s v="USD"/>
    <s v="JRNLWA00319134"/>
    <s v="P"/>
    <s v="Desert Micro Maintenance_June"/>
    <s v="HeatherWe"/>
    <s v="0/JE IC"/>
    <m/>
    <m/>
    <x v="2"/>
  </r>
  <r>
    <s v="70195-2120-000-00"/>
    <d v="2015-07-09T00:00:00"/>
    <n v="95.47"/>
    <n v="0"/>
    <s v="USD"/>
    <s v="JRNLWA00320495"/>
    <s v="P"/>
    <s v="From Voucher Posting."/>
    <s v="AdamJo"/>
    <s v="0/JE IC"/>
    <s v="25WRRA"/>
    <m/>
    <x v="0"/>
  </r>
  <r>
    <s v="70195-2120-000-00"/>
    <d v="2015-07-31T00:00:00"/>
    <n v="85"/>
    <n v="0"/>
    <s v="USD"/>
    <s v="JRNLWA00320915"/>
    <s v="P"/>
    <s v="Desert Micro Maintenance_July"/>
    <s v="AdamJo"/>
    <s v="0/JE IC"/>
    <m/>
    <m/>
    <x v="3"/>
  </r>
  <r>
    <s v="70195-2120-000-00"/>
    <d v="2015-08-05T00:00:00"/>
    <n v="95.47"/>
    <n v="0"/>
    <s v="USD"/>
    <s v="JRNLWA00321332"/>
    <s v="P"/>
    <s v="From Voucher Posting."/>
    <s v="MaribelV"/>
    <s v="0/JE IC"/>
    <s v="25WRRA"/>
    <m/>
    <x v="0"/>
  </r>
  <r>
    <s v="70195-2120-000-00"/>
    <d v="2015-08-31T00:00:00"/>
    <n v="-85"/>
    <n v="0"/>
    <s v="USD"/>
    <s v="JRNLWA00322414"/>
    <s v="P"/>
    <s v="Desert Micro Maintenance_July"/>
    <s v="MaribelV"/>
    <s v="0/JE IC"/>
    <m/>
    <m/>
    <x v="3"/>
  </r>
  <r>
    <s v="70195-2120-000-00"/>
    <d v="2015-08-31T00:00:00"/>
    <n v="95.47"/>
    <n v="0"/>
    <s v="USD"/>
    <s v="JRNLWA00323238"/>
    <s v="P"/>
    <s v="August District 2000 PO Log Ac"/>
    <s v="AdamJo"/>
    <s v="0/JE IC"/>
    <m/>
    <m/>
    <x v="4"/>
  </r>
  <r>
    <s v="70195-2120-000-00"/>
    <d v="2015-09-03T00:00:00"/>
    <n v="95.47"/>
    <n v="0"/>
    <s v="USD"/>
    <s v="JRNLWA00322942"/>
    <s v="P"/>
    <s v="From Voucher Posting."/>
    <s v="AdamJo"/>
    <s v="0/JE IC"/>
    <s v="25WRRA"/>
    <m/>
    <x v="0"/>
  </r>
  <r>
    <s v="70195-2120-000-00"/>
    <d v="2015-09-30T00:00:00"/>
    <n v="-95.47"/>
    <n v="0"/>
    <s v="USD"/>
    <s v="JRNLWA00323247"/>
    <s v="P"/>
    <s v="August District 2000 PO Log Ac"/>
    <s v="HeatherWe"/>
    <s v="0/JE IC"/>
    <m/>
    <m/>
    <x v="4"/>
  </r>
  <r>
    <s v="70195-2120-000-00"/>
    <d v="2015-09-30T00:00:00"/>
    <n v="225"/>
    <n v="0"/>
    <s v="USD"/>
    <s v="JRNLWA00324289"/>
    <s v="P"/>
    <s v="PCARD ACTIVITY WESTERN SEPTEMB"/>
    <s v="HeatherWe"/>
    <s v="0/JE IC"/>
    <m/>
    <m/>
    <x v="5"/>
  </r>
  <r>
    <s v="70195-2120-000-00"/>
    <d v="2015-10-08T00:00:00"/>
    <n v="95.47"/>
    <n v="0"/>
    <s v="USD"/>
    <s v="JRNLWA00325291"/>
    <s v="P"/>
    <s v="From Voucher Posting."/>
    <s v="AdamJo"/>
    <s v="0/JE IC"/>
    <s v="25WRRA"/>
    <m/>
    <x v="0"/>
  </r>
  <r>
    <s v="70195-2120-000-00"/>
    <d v="2015-11-05T00:00:00"/>
    <n v="95.47"/>
    <n v="0"/>
    <s v="USD"/>
    <s v="JRNLWA00326352"/>
    <s v="P"/>
    <s v="From Voucher Posting."/>
    <s v="AdamJo"/>
    <s v="0/JE IC"/>
    <s v="25WRRA"/>
    <m/>
    <x v="0"/>
  </r>
  <r>
    <s v="70195-2120-000-00"/>
    <d v="2015-12-03T00:00:00"/>
    <n v="95.47"/>
    <n v="0"/>
    <s v="USD"/>
    <s v="JRNLWA00327641"/>
    <s v="P"/>
    <s v="From Voucher Posting."/>
    <s v="HeatherWe"/>
    <s v="0/JE IC"/>
    <s v="25WRRA"/>
    <m/>
    <x v="0"/>
  </r>
  <r>
    <s v="70195-2120-000-00"/>
    <d v="2015-12-10T00:00:00"/>
    <n v="300"/>
    <n v="0"/>
    <s v="USD"/>
    <s v="JRNLWA00328336"/>
    <s v="P"/>
    <s v="From Voucher Posting."/>
    <s v="HeatherWe"/>
    <s v="0/JE IC"/>
    <s v="2120COLCHAM"/>
    <m/>
    <x v="6"/>
  </r>
  <r>
    <s v="70195-2120-000-00"/>
    <d v="2015-12-24T00:00:00"/>
    <n v="795"/>
    <n v="0"/>
    <s v="USD"/>
    <s v="JRNLWA00328552"/>
    <s v="P"/>
    <s v="From Voucher Posting."/>
    <s v="HeatherWe"/>
    <s v="0/JE IC"/>
    <s v="2120WESTSTAT"/>
    <m/>
    <x v="7"/>
  </r>
  <r>
    <s v="70195-2120-000-00"/>
    <d v="2015-12-31T00:00:00"/>
    <n v="459.23"/>
    <n v="0"/>
    <s v="USD"/>
    <s v="JRNLWA00328945"/>
    <s v="P"/>
    <s v="PCARD ACTIVITY WESTERN DECEMBE"/>
    <s v="HeatherWe"/>
    <s v="0/JE IC"/>
    <m/>
    <m/>
    <x v="8"/>
  </r>
  <r>
    <s v="70195-2120-000-00"/>
    <d v="2016-01-14T00:00:00"/>
    <n v="95.47"/>
    <n v="0"/>
    <s v="USD"/>
    <s v="JRNLWA00330041"/>
    <s v="P"/>
    <s v="From Voucher Posting."/>
    <s v="HeatherWe"/>
    <s v="0/JE IC"/>
    <s v="25WRRA"/>
    <m/>
    <x v="0"/>
  </r>
  <r>
    <s v="70195-2120-000-00"/>
    <d v="2016-01-31T00:00:00"/>
    <n v="30"/>
    <n v="0"/>
    <s v="USD"/>
    <s v="JRNLWA00330577"/>
    <s v="P"/>
    <s v="PCARD ACTIVITY WESTERN JANUARY"/>
    <s v="MaribelV"/>
    <s v="0/JE IC"/>
    <m/>
    <m/>
    <x v="9"/>
  </r>
  <r>
    <s v="70195-2120-000-00"/>
    <d v="2016-01-31T00:00:00"/>
    <n v="95.47"/>
    <n v="0"/>
    <s v="USD"/>
    <s v="JRNLWA00331086"/>
    <s v="P"/>
    <s v="PO Log and Expense Report Accr"/>
    <s v="AdamJo"/>
    <s v="0/JE IC"/>
    <m/>
    <m/>
    <x v="10"/>
  </r>
  <r>
    <s v="70195-2120-000-00"/>
    <d v="2016-01-31T00:00:00"/>
    <n v="-95.47"/>
    <n v="0"/>
    <s v="USD"/>
    <s v="JRNLWA00331464"/>
    <s v="P"/>
    <s v="Reverse PO Log and Expense Rep"/>
    <s v="AdamJo"/>
    <s v="0/JE IC"/>
    <m/>
    <m/>
    <x v="10"/>
  </r>
  <r>
    <s v="70195-2120-000-00"/>
    <d v="2016-01-31T00:00:00"/>
    <n v="95.47"/>
    <n v="0"/>
    <s v="USD"/>
    <s v="JRNLWA00331465"/>
    <s v="P"/>
    <s v="PO Log and Expense Report Accr"/>
    <s v="AdamJo"/>
    <s v="0/JE IC"/>
    <m/>
    <m/>
    <x v="10"/>
  </r>
  <r>
    <s v="70195-2120-000-00"/>
    <d v="2016-01-31T00:00:00"/>
    <n v="-95.47"/>
    <n v="0"/>
    <s v="USD"/>
    <s v="JRNLWA00331476"/>
    <s v="P"/>
    <s v="PO Log and Expense Report Accr"/>
    <s v="HeatherWe"/>
    <s v="0/JE IC"/>
    <m/>
    <m/>
    <x v="11"/>
  </r>
  <r>
    <s v="70195-2120-000-00"/>
    <d v="2016-02-04T00:00:00"/>
    <n v="95.47"/>
    <n v="0"/>
    <s v="USD"/>
    <s v="JRNLWA00331128"/>
    <s v="P"/>
    <s v="From Voucher Posting."/>
    <s v="AdamJo"/>
    <s v="0/JE IC"/>
    <s v="25WRRA"/>
    <m/>
    <x v="0"/>
  </r>
  <r>
    <s v="70195-2120-000-00"/>
    <d v="2016-02-29T00:00:00"/>
    <n v="-95.47"/>
    <n v="0"/>
    <s v="USD"/>
    <s v="JRNLWA00331156"/>
    <s v="P"/>
    <s v="PO Log and Expense Report Accr"/>
    <s v="HeatherWe"/>
    <s v="0/JE IC"/>
    <m/>
    <m/>
    <x v="10"/>
  </r>
  <r>
    <s v="70195-2120-000-00"/>
    <d v="2016-02-29T00:00:00"/>
    <n v="95.47"/>
    <n v="0"/>
    <s v="USD"/>
    <s v="JRNLWA00331479"/>
    <s v="P"/>
    <s v="Reverse PO Log and Expense Rep"/>
    <s v="HeatherWe"/>
    <s v="0/JE IC"/>
    <m/>
    <m/>
    <x v="10"/>
  </r>
  <r>
    <s v="70195-2120-000-00"/>
    <d v="2016-02-29T00:00:00"/>
    <n v="-95.47"/>
    <n v="0"/>
    <s v="USD"/>
    <s v="JRNLWA00331480"/>
    <s v="P"/>
    <s v="PO Log and Expense Report Accr"/>
    <s v="HeatherWe"/>
    <s v="0/JE IC"/>
    <m/>
    <m/>
    <x v="10"/>
  </r>
  <r>
    <s v="70195-2120-000-00"/>
    <d v="2016-02-29T00:00:00"/>
    <n v="95.47"/>
    <n v="0"/>
    <s v="USD"/>
    <s v="JRNLWA00331491"/>
    <s v="P"/>
    <s v="PO Log and Expense Report Accr"/>
    <s v="HeatherWe"/>
    <s v="0/JE IC"/>
    <m/>
    <m/>
    <x v="11"/>
  </r>
  <r>
    <s v="70195-2120-000-00"/>
    <d v="2016-02-29T00:00:00"/>
    <n v="18.7"/>
    <n v="0"/>
    <s v="USD"/>
    <s v="JRNLWA00331787"/>
    <s v="P"/>
    <s v="From Voucher Posting."/>
    <s v="AdamJo"/>
    <s v="0/JE IC"/>
    <s v="212AWB"/>
    <m/>
    <x v="12"/>
  </r>
  <r>
    <s v="70195-2120-000-00"/>
    <d v="2016-03-07T00:00:00"/>
    <n v="95.47"/>
    <n v="0"/>
    <s v="USD"/>
    <s v="JRNLWA00332806"/>
    <s v="P"/>
    <s v="From Voucher Posting."/>
    <s v="HeatherWe"/>
    <s v="0/JE IC"/>
    <s v="25WRRA"/>
    <m/>
    <x v="0"/>
  </r>
  <r>
    <s v="70195-2120-000-00"/>
    <d v="2016-03-07T00:00:00"/>
    <n v="104"/>
    <n v="0"/>
    <s v="USD"/>
    <s v="JRNLWA00332806"/>
    <s v="P"/>
    <s v="From Voucher Posting."/>
    <s v="HeatherWe"/>
    <s v="0/JE IC"/>
    <s v="212AWB"/>
    <m/>
    <x v="12"/>
  </r>
  <r>
    <s v="70195-2120-000-00"/>
    <d v="2016-03-31T00:00:00"/>
    <n v="225"/>
    <n v="0"/>
    <s v="USD"/>
    <s v="JRNLWA00333546"/>
    <s v="P"/>
    <s v="PCARD ACTIVITY WESTERN MARCH"/>
    <s v="HeatherWe"/>
    <s v="0/JE IC"/>
    <m/>
    <m/>
    <x v="13"/>
  </r>
  <r>
    <s v="70195-2120-000-00"/>
    <d v="2016-03-31T00:00:00"/>
    <n v="507.69"/>
    <n v="0"/>
    <s v="USD"/>
    <s v="JRNLWA00334224"/>
    <s v="P"/>
    <s v="MISC9-PL Reclasses"/>
    <s v="HeatherWe"/>
    <s v="0/JE IC"/>
    <m/>
    <m/>
    <x v="14"/>
  </r>
  <r>
    <s v="70195-2120-000-00"/>
    <d v="2016-04-14T00:00:00"/>
    <n v="95.47"/>
    <n v="0"/>
    <s v="USD"/>
    <s v="JRNLWA00334618"/>
    <s v="P"/>
    <s v="From Voucher Posting."/>
    <s v="RosemaryS"/>
    <s v="0/JE IC"/>
    <s v="25WRRA"/>
    <m/>
    <x v="0"/>
  </r>
  <r>
    <s v="70195-2120-000-00"/>
    <d v="2016-05-05T00:00:00"/>
    <n v="95.47"/>
    <n v="0"/>
    <s v="USD"/>
    <s v="JRNLWA00335681"/>
    <s v="P"/>
    <s v="From Voucher Posting."/>
    <s v="RosemaryS"/>
    <s v="0/JE IC"/>
    <s v="25WRRA"/>
    <m/>
    <x v="0"/>
  </r>
  <r>
    <s v="70195-2120-000-00"/>
    <d v="2016-06-12T00:00:00"/>
    <n v="92.73"/>
    <n v="0"/>
    <s v="USD"/>
    <s v="JRNLWA00337553"/>
    <s v="P"/>
    <s v="From Voucher Posting."/>
    <s v="JeffS"/>
    <s v="0/JE IC"/>
    <s v="25WRRA"/>
    <m/>
    <x v="0"/>
  </r>
  <r>
    <s v="70195-2120-000-00"/>
    <d v="2016-06-30T00:00:00"/>
    <n v="180.52"/>
    <n v="0"/>
    <s v="USD"/>
    <s v="JRNLWA00338765"/>
    <s v="P"/>
    <s v="DocuSign Subscription"/>
    <s v="HeatherWe"/>
    <s v="0/JE IC"/>
    <m/>
    <m/>
    <x v="15"/>
  </r>
  <r>
    <s v="70195-2120-000-00"/>
    <d v="2016-07-14T00:00:00"/>
    <n v="92.73"/>
    <n v="0"/>
    <s v="USD"/>
    <s v="JRNLWA00339227"/>
    <s v="P"/>
    <s v="From Voucher Posting."/>
    <s v="RosemaryS"/>
    <s v="0/JE IC"/>
    <s v="25WRRA"/>
    <m/>
    <x v="0"/>
  </r>
</pivotCacheRecords>
</file>

<file path=xl/pivotCache/pivotCacheRecords3.xml><?xml version="1.0" encoding="utf-8"?>
<pivotCacheRecords xmlns="http://schemas.openxmlformats.org/spreadsheetml/2006/main" xmlns:r="http://schemas.openxmlformats.org/officeDocument/2006/relationships" count="87">
  <r>
    <s v="40131-2120-000-00"/>
    <d v="2015-07-23T00:00:00"/>
    <n v="11507.94"/>
    <n v="0"/>
    <s v="USD"/>
    <s v="JRNLWA00320666"/>
    <s v="P"/>
    <s v="From Voucher Posting."/>
    <s v="HeatherWe"/>
    <s v="0/JE IC"/>
    <s v="2120SPOCOUNT"/>
    <m/>
    <x v="0"/>
  </r>
  <r>
    <s v="40131-2120-000-00"/>
    <d v="2015-07-31T00:00:00"/>
    <n v="-1000"/>
    <n v="0"/>
    <s v="USD"/>
    <s v="JRNLWA00320338"/>
    <s v="P"/>
    <s v="OPEX14- PO Log Accrual"/>
    <s v="JessH"/>
    <s v="0/JE IC"/>
    <m/>
    <m/>
    <x v="1"/>
  </r>
  <r>
    <s v="40131-2120-000-00"/>
    <d v="2015-07-31T00:00:00"/>
    <n v="-11508"/>
    <n v="0"/>
    <s v="USD"/>
    <s v="JRNLWA00320338"/>
    <s v="P"/>
    <s v="OPEX14- PO Log Accrual"/>
    <s v="JessH"/>
    <s v="0/JE IC"/>
    <m/>
    <m/>
    <x v="2"/>
  </r>
  <r>
    <s v="40131-2120-000-00"/>
    <d v="2015-07-31T00:00:00"/>
    <n v="430.65"/>
    <n v="0"/>
    <s v="USD"/>
    <s v="JRNLWA00321064"/>
    <s v="P"/>
    <s v="PCARD ACTIVITY WESTERN JULY"/>
    <s v="HeatherWe"/>
    <s v="0/JE IC"/>
    <m/>
    <m/>
    <x v="3"/>
  </r>
  <r>
    <s v="40131-2120-000-00"/>
    <d v="2015-07-31T00:00:00"/>
    <n v="452.82"/>
    <n v="0"/>
    <s v="USD"/>
    <s v="JRNLWA00321064"/>
    <s v="P"/>
    <s v="PCARD ACTIVITY WESTERN JULY"/>
    <s v="HeatherWe"/>
    <s v="0/JE IC"/>
    <m/>
    <m/>
    <x v="3"/>
  </r>
  <r>
    <s v="40131-2120-000-00"/>
    <d v="2015-07-31T00:00:00"/>
    <n v="935"/>
    <n v="0"/>
    <s v="USD"/>
    <s v="JRNLWA00321733"/>
    <s v="P"/>
    <s v="OPEX14- AP Accrual"/>
    <s v="MaribelV"/>
    <s v="0/JE IC"/>
    <m/>
    <m/>
    <x v="1"/>
  </r>
  <r>
    <s v="40131-2120-000-00"/>
    <d v="2015-07-31T00:00:00"/>
    <n v="12214"/>
    <n v="0"/>
    <s v="USD"/>
    <s v="JRNLWA00321733"/>
    <s v="P"/>
    <s v="OPEX14- AP Accrual"/>
    <s v="MaribelV"/>
    <s v="0/JE IC"/>
    <m/>
    <m/>
    <x v="2"/>
  </r>
  <r>
    <s v="40131-2120-000-00"/>
    <d v="2015-08-20T00:00:00"/>
    <n v="11263.52"/>
    <n v="0"/>
    <s v="USD"/>
    <s v="JRNLWA00322217"/>
    <s v="P"/>
    <s v="From Voucher Posting."/>
    <s v="HeatherWe"/>
    <s v="0/JE IC"/>
    <s v="2120SPOCOUNT"/>
    <m/>
    <x v="0"/>
  </r>
  <r>
    <s v="40131-2120-000-00"/>
    <d v="2015-08-31T00:00:00"/>
    <n v="-935"/>
    <n v="0"/>
    <s v="USD"/>
    <s v="JRNLWA00321763"/>
    <s v="P"/>
    <s v="OPEX14- AP Accrual"/>
    <s v="MaribelV"/>
    <s v="0/JE IC"/>
    <m/>
    <m/>
    <x v="1"/>
  </r>
  <r>
    <s v="40131-2120-000-00"/>
    <d v="2015-08-31T00:00:00"/>
    <n v="-12214"/>
    <n v="0"/>
    <s v="USD"/>
    <s v="JRNLWA00321763"/>
    <s v="P"/>
    <s v="OPEX14- AP Accrual"/>
    <s v="MaribelV"/>
    <s v="0/JE IC"/>
    <m/>
    <m/>
    <x v="2"/>
  </r>
  <r>
    <s v="40131-2120-000-00"/>
    <d v="2015-08-31T00:00:00"/>
    <n v="422.47"/>
    <n v="0"/>
    <s v="USD"/>
    <s v="JRNLWA00322728"/>
    <s v="P"/>
    <s v="PCARD ACTIVITY WESTERN AUGUST"/>
    <s v="HeatherWe"/>
    <s v="0/JE IC"/>
    <m/>
    <m/>
    <x v="3"/>
  </r>
  <r>
    <s v="40131-2120-000-00"/>
    <d v="2015-08-31T00:00:00"/>
    <n v="404.19"/>
    <n v="0"/>
    <s v="USD"/>
    <s v="JRNLWA00322917"/>
    <s v="P"/>
    <s v="WESTERN PCARD ACCRUAL AUG"/>
    <s v="AdamJo"/>
    <s v="0/JE IC"/>
    <m/>
    <m/>
    <x v="4"/>
  </r>
  <r>
    <s v="40131-2120-000-00"/>
    <d v="2015-08-31T00:00:00"/>
    <n v="441.28"/>
    <n v="0"/>
    <s v="USD"/>
    <s v="JRNLWA00322917"/>
    <s v="P"/>
    <s v="WESTERN PCARD ACCRUAL AUG"/>
    <s v="AdamJo"/>
    <s v="0/JE IC"/>
    <m/>
    <m/>
    <x v="4"/>
  </r>
  <r>
    <s v="40131-2120-000-00"/>
    <d v="2015-08-31T00:00:00"/>
    <n v="11040"/>
    <n v="0"/>
    <s v="USD"/>
    <s v="JRNLWA00323299"/>
    <s v="P"/>
    <s v="OPEX14- AP Accrual"/>
    <s v="AdamJo"/>
    <s v="0/JE IC"/>
    <m/>
    <m/>
    <x v="2"/>
  </r>
  <r>
    <s v="40131-2120-000-00"/>
    <d v="2015-09-17T00:00:00"/>
    <n v="11039.3"/>
    <n v="0"/>
    <s v="USD"/>
    <s v="JRNLWA00323717"/>
    <s v="P"/>
    <s v="From Voucher Posting."/>
    <s v="HeatherWe"/>
    <s v="0/JE IC"/>
    <s v="2120SPOCOUNT"/>
    <m/>
    <x v="0"/>
  </r>
  <r>
    <s v="40131-2120-000-00"/>
    <d v="2015-09-30T00:00:00"/>
    <n v="-404.19"/>
    <n v="0"/>
    <s v="USD"/>
    <s v="JRNLWA00323012"/>
    <s v="P"/>
    <s v="WESTERN PCARD ACCRUAL AUG"/>
    <s v="HeatherWe"/>
    <s v="0/JE IC"/>
    <m/>
    <m/>
    <x v="4"/>
  </r>
  <r>
    <s v="40131-2120-000-00"/>
    <d v="2015-09-30T00:00:00"/>
    <n v="-441.28"/>
    <n v="0"/>
    <s v="USD"/>
    <s v="JRNLWA00323012"/>
    <s v="P"/>
    <s v="WESTERN PCARD ACCRUAL AUG"/>
    <s v="HeatherWe"/>
    <s v="0/JE IC"/>
    <m/>
    <m/>
    <x v="4"/>
  </r>
  <r>
    <s v="40131-2120-000-00"/>
    <d v="2015-09-30T00:00:00"/>
    <n v="-11040"/>
    <n v="0"/>
    <s v="USD"/>
    <s v="JRNLWA00323315"/>
    <s v="P"/>
    <s v="OPEX14- AP Accrual"/>
    <s v="HeatherWe"/>
    <s v="0/JE IC"/>
    <m/>
    <m/>
    <x v="2"/>
  </r>
  <r>
    <s v="40131-2120-000-00"/>
    <d v="2015-09-30T00:00:00"/>
    <n v="404.19"/>
    <n v="0"/>
    <s v="USD"/>
    <s v="JRNLWA00324289"/>
    <s v="P"/>
    <s v="PCARD ACTIVITY WESTERN SEPTEMB"/>
    <s v="HeatherWe"/>
    <s v="0/JE IC"/>
    <m/>
    <m/>
    <x v="3"/>
  </r>
  <r>
    <s v="40131-2120-000-00"/>
    <d v="2015-09-30T00:00:00"/>
    <n v="441.28"/>
    <n v="0"/>
    <s v="USD"/>
    <s v="JRNLWA00324289"/>
    <s v="P"/>
    <s v="PCARD ACTIVITY WESTERN SEPTEMB"/>
    <s v="HeatherWe"/>
    <s v="0/JE IC"/>
    <m/>
    <m/>
    <x v="3"/>
  </r>
  <r>
    <s v="40131-2120-000-00"/>
    <d v="2015-09-30T00:00:00"/>
    <n v="1155"/>
    <n v="0"/>
    <s v="USD"/>
    <s v="JRNLWA00324857"/>
    <s v="P"/>
    <s v="OPEX 14- AP Accrual"/>
    <s v="HeatherWe"/>
    <s v="0/JE IC"/>
    <m/>
    <m/>
    <x v="1"/>
  </r>
  <r>
    <s v="40131-2120-000-00"/>
    <d v="2015-09-30T00:00:00"/>
    <n v="12000"/>
    <n v="0"/>
    <s v="USD"/>
    <s v="JRNLWA00324857"/>
    <s v="P"/>
    <s v="OPEX 14- AP Accrual"/>
    <s v="HeatherWe"/>
    <s v="0/JE IC"/>
    <m/>
    <m/>
    <x v="2"/>
  </r>
  <r>
    <s v="40131-2120-000-00"/>
    <d v="2015-10-29T00:00:00"/>
    <n v="11904.87"/>
    <n v="0"/>
    <s v="USD"/>
    <s v="JRNLWA00325573"/>
    <s v="P"/>
    <s v="From Voucher Posting."/>
    <s v="MaribelV"/>
    <s v="0/JE IC"/>
    <s v="2120SPOCOUNT"/>
    <m/>
    <x v="0"/>
  </r>
  <r>
    <s v="40131-2120-000-00"/>
    <d v="2015-10-31T00:00:00"/>
    <n v="-1155"/>
    <n v="0"/>
    <s v="USD"/>
    <s v="JRNLWA00324877"/>
    <s v="P"/>
    <s v="OPEX 14- AP Accrual"/>
    <s v="AdamJo"/>
    <s v="0/JE IC"/>
    <m/>
    <m/>
    <x v="1"/>
  </r>
  <r>
    <s v="40131-2120-000-00"/>
    <d v="2015-10-31T00:00:00"/>
    <n v="-12000"/>
    <n v="0"/>
    <s v="USD"/>
    <s v="JRNLWA00324877"/>
    <s v="P"/>
    <s v="OPEX 14- AP Accrual"/>
    <s v="AdamJo"/>
    <s v="0/JE IC"/>
    <m/>
    <m/>
    <x v="2"/>
  </r>
  <r>
    <s v="40131-2120-000-00"/>
    <d v="2015-10-31T00:00:00"/>
    <n v="403.02"/>
    <n v="0"/>
    <s v="USD"/>
    <s v="JRNLWA00325715"/>
    <s v="P"/>
    <s v="PCARD ACTIVITY WESTERN OCTOBER"/>
    <s v="HeatherWe"/>
    <s v="0/JE IC"/>
    <m/>
    <m/>
    <x v="3"/>
  </r>
  <r>
    <s v="40131-2120-000-00"/>
    <d v="2015-10-31T00:00:00"/>
    <n v="750.99"/>
    <n v="0"/>
    <s v="USD"/>
    <s v="JRNLWA00325715"/>
    <s v="P"/>
    <s v="PCARD ACTIVITY WESTERN OCTOBER"/>
    <s v="HeatherWe"/>
    <s v="0/JE IC"/>
    <m/>
    <m/>
    <x v="3"/>
  </r>
  <r>
    <s v="40131-2120-000-00"/>
    <d v="2015-10-31T00:00:00"/>
    <n v="428"/>
    <n v="0"/>
    <s v="USD"/>
    <s v="JRNLWA00326506"/>
    <s v="P"/>
    <s v="OPEX14- AP Accrual"/>
    <s v="HeatherWe"/>
    <s v="0/JE IC"/>
    <m/>
    <m/>
    <x v="1"/>
  </r>
  <r>
    <s v="40131-2120-000-00"/>
    <d v="2015-10-31T00:00:00"/>
    <n v="9350"/>
    <n v="0"/>
    <s v="USD"/>
    <s v="JRNLWA00326506"/>
    <s v="P"/>
    <s v="OPEX14- AP Accrual"/>
    <s v="HeatherWe"/>
    <s v="0/JE IC"/>
    <m/>
    <m/>
    <x v="2"/>
  </r>
  <r>
    <s v="40131-2120-000-00"/>
    <d v="2015-11-12T00:00:00"/>
    <n v="9344.52"/>
    <n v="0"/>
    <s v="USD"/>
    <s v="JRNLWA00326889"/>
    <s v="P"/>
    <s v="From Voucher Posting."/>
    <s v="HeatherWe"/>
    <s v="0/JE IC"/>
    <s v="2120SPOCOUNT"/>
    <m/>
    <x v="0"/>
  </r>
  <r>
    <s v="40131-2120-000-00"/>
    <d v="2015-11-30T00:00:00"/>
    <n v="-428"/>
    <n v="0"/>
    <s v="USD"/>
    <s v="JRNLWA00326525"/>
    <s v="P"/>
    <s v="OPEX14- AP Accrual"/>
    <s v="HeatherWe"/>
    <s v="0/JE IC"/>
    <m/>
    <m/>
    <x v="1"/>
  </r>
  <r>
    <s v="40131-2120-000-00"/>
    <d v="2015-11-30T00:00:00"/>
    <n v="-9350"/>
    <n v="0"/>
    <s v="USD"/>
    <s v="JRNLWA00326525"/>
    <s v="P"/>
    <s v="OPEX14- AP Accrual"/>
    <s v="HeatherWe"/>
    <s v="0/JE IC"/>
    <m/>
    <m/>
    <x v="2"/>
  </r>
  <r>
    <s v="40131-2120-000-00"/>
    <d v="2015-11-30T00:00:00"/>
    <n v="15.09"/>
    <n v="0"/>
    <s v="USD"/>
    <s v="JRNLWA00327359"/>
    <s v="P"/>
    <s v="PCARD ACTIVITY WESTERN NOVEMBE"/>
    <s v="AdamJo"/>
    <s v="0/JE IC"/>
    <m/>
    <m/>
    <x v="3"/>
  </r>
  <r>
    <s v="40131-2120-000-00"/>
    <d v="2015-11-30T00:00:00"/>
    <n v="411.4"/>
    <n v="0"/>
    <s v="USD"/>
    <s v="JRNLWA00327359"/>
    <s v="P"/>
    <s v="PCARD ACTIVITY WESTERN NOVEMBE"/>
    <s v="AdamJo"/>
    <s v="0/JE IC"/>
    <m/>
    <m/>
    <x v="3"/>
  </r>
  <r>
    <s v="40131-2120-000-00"/>
    <d v="2015-11-30T00:00:00"/>
    <n v="1319"/>
    <n v="0"/>
    <s v="USD"/>
    <s v="JRNLWA00328123"/>
    <s v="P"/>
    <s v="OPEX14- AP Accrual"/>
    <s v="HeatherWe"/>
    <s v="0/JE IC"/>
    <m/>
    <m/>
    <x v="1"/>
  </r>
  <r>
    <s v="40131-2120-000-00"/>
    <d v="2015-11-30T00:00:00"/>
    <n v="11576"/>
    <n v="0"/>
    <s v="USD"/>
    <s v="JRNLWA00328123"/>
    <s v="P"/>
    <s v="OPEX14- AP Accrual"/>
    <s v="HeatherWe"/>
    <s v="0/JE IC"/>
    <m/>
    <m/>
    <x v="2"/>
  </r>
  <r>
    <s v="40131-2120-000-00"/>
    <d v="2015-12-24T00:00:00"/>
    <n v="11575.61"/>
    <n v="0"/>
    <s v="USD"/>
    <s v="JRNLWA00328542"/>
    <s v="P"/>
    <s v="From Voucher Posting."/>
    <s v="HeatherWe"/>
    <s v="0/JE IC"/>
    <s v="2120SPOCOUNT"/>
    <m/>
    <x v="0"/>
  </r>
  <r>
    <s v="40131-2120-000-00"/>
    <d v="2015-12-31T00:00:00"/>
    <n v="-1319"/>
    <n v="0"/>
    <s v="USD"/>
    <s v="JRNLWA00328233"/>
    <s v="P"/>
    <s v="OPEX14- AP Accrual"/>
    <s v="AdamJo"/>
    <s v="0/JE IC"/>
    <m/>
    <m/>
    <x v="1"/>
  </r>
  <r>
    <s v="40131-2120-000-00"/>
    <d v="2015-12-31T00:00:00"/>
    <n v="-11576"/>
    <n v="0"/>
    <s v="USD"/>
    <s v="JRNLWA00328233"/>
    <s v="P"/>
    <s v="OPEX14- AP Accrual"/>
    <s v="AdamJo"/>
    <s v="0/JE IC"/>
    <m/>
    <m/>
    <x v="2"/>
  </r>
  <r>
    <s v="40131-2120-000-00"/>
    <d v="2015-12-31T00:00:00"/>
    <n v="409.87"/>
    <n v="0"/>
    <s v="USD"/>
    <s v="JRNLWA00328945"/>
    <s v="P"/>
    <s v="PCARD ACTIVITY WESTERN DECEMBE"/>
    <s v="HeatherWe"/>
    <s v="0/JE IC"/>
    <m/>
    <m/>
    <x v="3"/>
  </r>
  <r>
    <s v="40131-2120-000-00"/>
    <d v="2015-12-31T00:00:00"/>
    <n v="458.97"/>
    <n v="0"/>
    <s v="USD"/>
    <s v="JRNLWA00328945"/>
    <s v="P"/>
    <s v="PCARD ACTIVITY WESTERN DECEMBE"/>
    <s v="HeatherWe"/>
    <s v="0/JE IC"/>
    <m/>
    <m/>
    <x v="3"/>
  </r>
  <r>
    <s v="40131-2120-000-00"/>
    <d v="2015-12-31T00:00:00"/>
    <n v="449.05"/>
    <n v="0"/>
    <s v="USD"/>
    <s v="JRNLWA00328945"/>
    <s v="P"/>
    <s v="PCARD ACTIVITY WESTERN DECEMBE"/>
    <s v="HeatherWe"/>
    <s v="0/JE IC"/>
    <m/>
    <m/>
    <x v="3"/>
  </r>
  <r>
    <s v="40131-2120-000-00"/>
    <d v="2015-12-31T00:00:00"/>
    <n v="1034"/>
    <n v="0"/>
    <s v="USD"/>
    <s v="JRNLWA00329675"/>
    <s v="P"/>
    <s v="OPEX14-AP and Exp Report Accru"/>
    <s v="AdamJo"/>
    <s v="0/JE IC"/>
    <m/>
    <m/>
    <x v="5"/>
  </r>
  <r>
    <s v="40131-2120-000-00"/>
    <d v="2015-12-31T00:00:00"/>
    <n v="13143.13"/>
    <n v="0"/>
    <s v="USD"/>
    <s v="JRNLWA00329675"/>
    <s v="P"/>
    <s v="OPEX14-AP and Exp Report Accru"/>
    <s v="AdamJo"/>
    <s v="0/JE IC"/>
    <m/>
    <m/>
    <x v="6"/>
  </r>
  <r>
    <s v="40131-2120-000-00"/>
    <d v="2016-01-21T00:00:00"/>
    <n v="13143.13"/>
    <n v="0"/>
    <s v="USD"/>
    <s v="JRNLWA00330125"/>
    <s v="P"/>
    <s v="From Voucher Posting."/>
    <s v="HeatherWe"/>
    <s v="0/JE IC"/>
    <s v="2120SPOCOUNT"/>
    <m/>
    <x v="0"/>
  </r>
  <r>
    <s v="40131-2120-000-00"/>
    <d v="2016-01-31T00:00:00"/>
    <n v="-1034"/>
    <n v="0"/>
    <s v="USD"/>
    <s v="JRNLWA00329712"/>
    <s v="P"/>
    <s v="OPEX14-AP and Exp Report Accru"/>
    <s v="AdamJo"/>
    <s v="0/JE IC"/>
    <m/>
    <m/>
    <x v="5"/>
  </r>
  <r>
    <s v="40131-2120-000-00"/>
    <d v="2016-01-31T00:00:00"/>
    <n v="-13143.13"/>
    <n v="0"/>
    <s v="USD"/>
    <s v="JRNLWA00329712"/>
    <s v="P"/>
    <s v="OPEX14-AP and Exp Report Accru"/>
    <s v="AdamJo"/>
    <s v="0/JE IC"/>
    <m/>
    <m/>
    <x v="6"/>
  </r>
  <r>
    <s v="40131-2120-000-00"/>
    <d v="2016-01-31T00:00:00"/>
    <n v="580.28"/>
    <n v="0"/>
    <s v="USD"/>
    <s v="JRNLWA00330577"/>
    <s v="P"/>
    <s v="PCARD ACTIVITY WESTERN JANUARY"/>
    <s v="MaribelV"/>
    <s v="0/JE IC"/>
    <m/>
    <m/>
    <x v="3"/>
  </r>
  <r>
    <s v="40131-2120-000-00"/>
    <d v="2016-01-31T00:00:00"/>
    <n v="452.82"/>
    <n v="0"/>
    <s v="USD"/>
    <s v="JRNLWA00330577"/>
    <s v="P"/>
    <s v="PCARD ACTIVITY WESTERN JANUARY"/>
    <s v="MaribelV"/>
    <s v="0/JE IC"/>
    <m/>
    <m/>
    <x v="3"/>
  </r>
  <r>
    <s v="40131-2120-000-00"/>
    <d v="2016-01-31T00:00:00"/>
    <n v="9400"/>
    <n v="0"/>
    <s v="USD"/>
    <s v="JRNLWA00331278"/>
    <s v="P"/>
    <s v="OPEX14- AP and Exp Report Accr"/>
    <s v="HeatherWe"/>
    <s v="0/JE IC"/>
    <m/>
    <m/>
    <x v="7"/>
  </r>
  <r>
    <s v="40131-2120-000-00"/>
    <d v="2016-01-31T00:00:00"/>
    <n v="855"/>
    <n v="0"/>
    <s v="USD"/>
    <s v="JRNLWA00331278"/>
    <s v="P"/>
    <s v="OPEX14- AP and Exp Report Accr"/>
    <s v="HeatherWe"/>
    <s v="0/JE IC"/>
    <m/>
    <m/>
    <x v="8"/>
  </r>
  <r>
    <s v="40131-2120-000-00"/>
    <d v="2016-02-11T00:00:00"/>
    <n v="8488.0400000000009"/>
    <n v="0"/>
    <s v="USD"/>
    <s v="JRNLWA00331571"/>
    <s v="P"/>
    <s v="From Voucher Posting."/>
    <s v="HeatherWe"/>
    <s v="0/JE IC"/>
    <s v="2120SPOCOUNT"/>
    <m/>
    <x v="0"/>
  </r>
  <r>
    <s v="40131-2120-000-00"/>
    <d v="2016-02-29T00:00:00"/>
    <n v="-9400"/>
    <n v="0"/>
    <s v="USD"/>
    <s v="JRNLWA00331292"/>
    <s v="P"/>
    <s v="OPEX14- AP and Exp Report Accr"/>
    <s v="AdamJo"/>
    <s v="0/JE IC"/>
    <m/>
    <m/>
    <x v="7"/>
  </r>
  <r>
    <s v="40131-2120-000-00"/>
    <d v="2016-02-29T00:00:00"/>
    <n v="-855"/>
    <n v="0"/>
    <s v="USD"/>
    <s v="JRNLWA00331292"/>
    <s v="P"/>
    <s v="OPEX14- AP and Exp Report Accr"/>
    <s v="AdamJo"/>
    <s v="0/JE IC"/>
    <m/>
    <m/>
    <x v="8"/>
  </r>
  <r>
    <s v="40131-2120-000-00"/>
    <d v="2016-02-29T00:00:00"/>
    <n v="415.85"/>
    <n v="0"/>
    <s v="USD"/>
    <s v="JRNLWA00332213"/>
    <s v="P"/>
    <s v="PCARD ACTIVITY WESTERN FEBRUAR"/>
    <s v="AdamJo"/>
    <s v="0/JE IC"/>
    <m/>
    <m/>
    <x v="3"/>
  </r>
  <r>
    <s v="40131-2120-000-00"/>
    <d v="2016-02-29T00:00:00"/>
    <n v="438.58"/>
    <n v="0"/>
    <s v="USD"/>
    <s v="JRNLWA00332213"/>
    <s v="P"/>
    <s v="PCARD ACTIVITY WESTERN FEBRUAR"/>
    <s v="AdamJo"/>
    <s v="0/JE IC"/>
    <m/>
    <m/>
    <x v="3"/>
  </r>
  <r>
    <s v="40131-2120-000-00"/>
    <d v="2016-02-29T00:00:00"/>
    <n v="9541"/>
    <n v="0"/>
    <s v="USD"/>
    <s v="JRNLWA00332608"/>
    <s v="P"/>
    <s v="OPEX14- AP and Exp Report Accr"/>
    <s v="HeatherWe"/>
    <s v="0/JE IC"/>
    <m/>
    <m/>
    <x v="7"/>
  </r>
  <r>
    <s v="40131-2120-000-00"/>
    <d v="2016-02-29T00:00:00"/>
    <n v="1000"/>
    <n v="0"/>
    <s v="USD"/>
    <s v="JRNLWA00332608"/>
    <s v="P"/>
    <s v="OPEX14- AP and Exp Report Accr"/>
    <s v="HeatherWe"/>
    <s v="0/JE IC"/>
    <m/>
    <m/>
    <x v="8"/>
  </r>
  <r>
    <s v="40131-2120-000-00"/>
    <d v="2016-03-11T00:00:00"/>
    <n v="9540.4599999999991"/>
    <n v="0"/>
    <s v="USD"/>
    <s v="JRNLWA00332981"/>
    <s v="P"/>
    <s v="From Voucher Posting."/>
    <s v="HeatherWe"/>
    <s v="0/JE IC"/>
    <s v="2120SPOCOUNT"/>
    <m/>
    <x v="0"/>
  </r>
  <r>
    <s v="40131-2120-000-00"/>
    <d v="2016-03-31T00:00:00"/>
    <n v="-9541"/>
    <n v="0"/>
    <s v="USD"/>
    <s v="JRNLWA00332630"/>
    <s v="P"/>
    <s v="OPEX14- AP and Exp Report Accr"/>
    <s v="HeatherWe"/>
    <s v="0/JE IC"/>
    <m/>
    <m/>
    <x v="7"/>
  </r>
  <r>
    <s v="40131-2120-000-00"/>
    <d v="2016-03-31T00:00:00"/>
    <n v="-1000"/>
    <n v="0"/>
    <s v="USD"/>
    <s v="JRNLWA00332630"/>
    <s v="P"/>
    <s v="OPEX14- AP and Exp Report Accr"/>
    <s v="HeatherWe"/>
    <s v="0/JE IC"/>
    <m/>
    <m/>
    <x v="8"/>
  </r>
  <r>
    <s v="40131-2120-000-00"/>
    <d v="2016-03-31T00:00:00"/>
    <n v="445.12"/>
    <n v="0"/>
    <s v="USD"/>
    <s v="JRNLWA00333546"/>
    <s v="P"/>
    <s v="PCARD ACTIVITY WESTERN MARCH"/>
    <s v="HeatherWe"/>
    <s v="0/JE IC"/>
    <m/>
    <m/>
    <x v="3"/>
  </r>
  <r>
    <s v="40131-2120-000-00"/>
    <d v="2016-03-31T00:00:00"/>
    <n v="434.81"/>
    <n v="0"/>
    <s v="USD"/>
    <s v="JRNLWA00333546"/>
    <s v="P"/>
    <s v="PCARD ACTIVITY WESTERN MARCH"/>
    <s v="HeatherWe"/>
    <s v="0/JE IC"/>
    <m/>
    <m/>
    <x v="3"/>
  </r>
  <r>
    <s v="40131-2120-000-00"/>
    <d v="2016-03-31T00:00:00"/>
    <n v="12759"/>
    <n v="0"/>
    <s v="USD"/>
    <s v="JRNLWA00334223"/>
    <s v="P"/>
    <s v="OPEX14- AP and Exp Report Accr"/>
    <s v="HeatherWe"/>
    <s v="0/JE IC"/>
    <m/>
    <m/>
    <x v="7"/>
  </r>
  <r>
    <s v="40131-2120-000-00"/>
    <d v="2016-03-31T00:00:00"/>
    <n v="877"/>
    <n v="0"/>
    <s v="USD"/>
    <s v="JRNLWA00334223"/>
    <s v="P"/>
    <s v="OPEX14- AP and Exp Report Accr"/>
    <s v="HeatherWe"/>
    <s v="0/JE IC"/>
    <m/>
    <m/>
    <x v="8"/>
  </r>
  <r>
    <s v="40131-2120-000-00"/>
    <d v="2016-04-14T00:00:00"/>
    <n v="12758.32"/>
    <n v="0"/>
    <s v="USD"/>
    <s v="JRNLWA00334597"/>
    <s v="P"/>
    <s v="From Voucher Posting."/>
    <s v="RosemaryS"/>
    <s v="0/JE IC"/>
    <s v="2120SPOCOUNT"/>
    <m/>
    <x v="0"/>
  </r>
  <r>
    <s v="40131-2120-000-00"/>
    <d v="2016-04-30T00:00:00"/>
    <n v="-12759"/>
    <n v="0"/>
    <s v="USD"/>
    <s v="JRNLWA00334268"/>
    <s v="P"/>
    <s v="OPEX14- AP and Exp Report Accr"/>
    <s v="AdamJo"/>
    <s v="0/JE IC"/>
    <m/>
    <m/>
    <x v="7"/>
  </r>
  <r>
    <s v="40131-2120-000-00"/>
    <d v="2016-04-30T00:00:00"/>
    <n v="-877"/>
    <n v="0"/>
    <s v="USD"/>
    <s v="JRNLWA00334268"/>
    <s v="P"/>
    <s v="OPEX14- AP and Exp Report Accr"/>
    <s v="AdamJo"/>
    <s v="0/JE IC"/>
    <m/>
    <m/>
    <x v="8"/>
  </r>
  <r>
    <s v="40131-2120-000-00"/>
    <d v="2016-04-30T00:00:00"/>
    <n v="426.25"/>
    <n v="0"/>
    <s v="USD"/>
    <s v="JRNLWA00335100"/>
    <s v="P"/>
    <s v="PCARD ACTIVITY WESTERN APRIL 2"/>
    <s v="HeatherWe"/>
    <s v="0/JE IC"/>
    <m/>
    <m/>
    <x v="3"/>
  </r>
  <r>
    <s v="40131-2120-000-00"/>
    <d v="2016-04-30T00:00:00"/>
    <n v="449.46"/>
    <n v="0"/>
    <s v="USD"/>
    <s v="JRNLWA00335100"/>
    <s v="P"/>
    <s v="PCARD ACTIVITY WESTERN APRIL 2"/>
    <s v="HeatherWe"/>
    <s v="0/JE IC"/>
    <m/>
    <m/>
    <x v="3"/>
  </r>
  <r>
    <s v="40131-2120-000-00"/>
    <d v="2016-04-30T00:00:00"/>
    <n v="11557"/>
    <n v="0"/>
    <s v="USD"/>
    <s v="JRNLWA00335864"/>
    <s v="P"/>
    <s v="OPEX14- AP and Exp Report Accr"/>
    <s v="HeatherWe"/>
    <s v="0/JE IC"/>
    <m/>
    <m/>
    <x v="7"/>
  </r>
  <r>
    <s v="40131-2120-000-00"/>
    <d v="2016-04-30T00:00:00"/>
    <n v="1000"/>
    <n v="0"/>
    <s v="USD"/>
    <s v="JRNLWA00335864"/>
    <s v="P"/>
    <s v="OPEX14- AP and Exp Report Accr"/>
    <s v="HeatherWe"/>
    <s v="0/JE IC"/>
    <m/>
    <m/>
    <x v="8"/>
  </r>
  <r>
    <s v="40131-2120-000-00"/>
    <d v="2016-05-13T00:00:00"/>
    <n v="11556.42"/>
    <n v="0"/>
    <s v="USD"/>
    <s v="JRNLWA00336088"/>
    <s v="P"/>
    <s v="From Voucher Posting."/>
    <s v="RosemaryS"/>
    <s v="0/JE IC"/>
    <s v="2120SPOCOUNT"/>
    <m/>
    <x v="0"/>
  </r>
  <r>
    <s v="40131-2120-000-00"/>
    <d v="2016-05-31T00:00:00"/>
    <n v="-11557"/>
    <n v="0"/>
    <s v="USD"/>
    <s v="JRNLWA00335961"/>
    <s v="P"/>
    <s v="OPEX14- AP and Exp Report Accr"/>
    <s v="AdamJo"/>
    <s v="0/JE IC"/>
    <m/>
    <m/>
    <x v="7"/>
  </r>
  <r>
    <s v="40131-2120-000-00"/>
    <d v="2016-05-31T00:00:00"/>
    <n v="-1000"/>
    <n v="0"/>
    <s v="USD"/>
    <s v="JRNLWA00335961"/>
    <s v="P"/>
    <s v="OPEX14- AP and Exp Report Accr"/>
    <s v="AdamJo"/>
    <s v="0/JE IC"/>
    <m/>
    <m/>
    <x v="8"/>
  </r>
  <r>
    <s v="40131-2120-000-00"/>
    <d v="2016-05-31T00:00:00"/>
    <n v="419.33"/>
    <n v="0"/>
    <s v="USD"/>
    <s v="JRNLWA00336721"/>
    <s v="P"/>
    <s v="PCARD ACTIVITY WESTERN MAY 201"/>
    <s v="AdamJo"/>
    <s v="0/JE IC"/>
    <m/>
    <m/>
    <x v="3"/>
  </r>
  <r>
    <s v="40131-2120-000-00"/>
    <d v="2016-05-31T00:00:00"/>
    <n v="428.74"/>
    <n v="0"/>
    <s v="USD"/>
    <s v="JRNLWA00336721"/>
    <s v="P"/>
    <s v="PCARD ACTIVITY WESTERN MAY 201"/>
    <s v="AdamJo"/>
    <s v="0/JE IC"/>
    <m/>
    <m/>
    <x v="3"/>
  </r>
  <r>
    <s v="40131-2120-000-00"/>
    <d v="2016-05-31T00:00:00"/>
    <n v="11735"/>
    <n v="0"/>
    <s v="USD"/>
    <s v="JRNLWA00337189"/>
    <s v="P"/>
    <s v="OPEX14- AP and Exp Report Accr"/>
    <s v="AdamJo"/>
    <s v="0/JE IC"/>
    <m/>
    <m/>
    <x v="7"/>
  </r>
  <r>
    <s v="40131-2120-000-00"/>
    <d v="2016-05-31T00:00:00"/>
    <n v="899"/>
    <n v="0"/>
    <s v="USD"/>
    <s v="JRNLWA00337189"/>
    <s v="P"/>
    <s v="OPEX14- AP and Exp Report Accr"/>
    <s v="AdamJo"/>
    <s v="0/JE IC"/>
    <m/>
    <m/>
    <x v="8"/>
  </r>
  <r>
    <s v="40131-2120-000-00"/>
    <d v="2016-06-22T00:00:00"/>
    <n v="12891.64"/>
    <n v="0"/>
    <s v="USD"/>
    <s v="JRNLWA00337666"/>
    <s v="P"/>
    <s v="From Voucher Posting."/>
    <s v="RosemaryS"/>
    <s v="0/JE IC"/>
    <s v="2120SPOCOUNT"/>
    <m/>
    <x v="0"/>
  </r>
  <r>
    <s v="40131-2120-000-00"/>
    <d v="2016-06-30T00:00:00"/>
    <n v="-11735"/>
    <n v="0"/>
    <s v="USD"/>
    <s v="JRNLWA00337359"/>
    <s v="P"/>
    <s v="OPEX14- AP and Exp Report Accr"/>
    <s v="HeatherWe"/>
    <s v="0/JE IC"/>
    <m/>
    <m/>
    <x v="7"/>
  </r>
  <r>
    <s v="40131-2120-000-00"/>
    <d v="2016-06-30T00:00:00"/>
    <n v="-899"/>
    <n v="0"/>
    <s v="USD"/>
    <s v="JRNLWA00337359"/>
    <s v="P"/>
    <s v="OPEX14- AP and Exp Report Accr"/>
    <s v="HeatherWe"/>
    <s v="0/JE IC"/>
    <m/>
    <m/>
    <x v="8"/>
  </r>
  <r>
    <s v="40131-2120-000-00"/>
    <d v="2016-06-30T00:00:00"/>
    <n v="573.79999999999995"/>
    <n v="0"/>
    <s v="USD"/>
    <s v="JRNLWA00338211"/>
    <s v="P"/>
    <s v="PCARD ACTIVITY WESTERN JUNE 20"/>
    <s v="HeatherWe"/>
    <s v="0/JE IC"/>
    <m/>
    <m/>
    <x v="3"/>
  </r>
  <r>
    <s v="40131-2120-000-00"/>
    <d v="2016-06-30T00:00:00"/>
    <n v="449.05"/>
    <n v="0"/>
    <s v="USD"/>
    <s v="JRNLWA00338211"/>
    <s v="P"/>
    <s v="PCARD ACTIVITY WESTERN JUNE 20"/>
    <s v="HeatherWe"/>
    <s v="0/JE IC"/>
    <m/>
    <m/>
    <x v="3"/>
  </r>
  <r>
    <s v="40131-2120-000-00"/>
    <d v="2016-06-30T00:00:00"/>
    <n v="448.83"/>
    <n v="0"/>
    <s v="USD"/>
    <s v="JRNLWA00338211"/>
    <s v="P"/>
    <s v="PCARD ACTIVITY WESTERN JUNE 20"/>
    <s v="HeatherWe"/>
    <s v="0/JE IC"/>
    <m/>
    <m/>
    <x v="3"/>
  </r>
  <r>
    <s v="40131-2120-000-00"/>
    <d v="2016-06-30T00:00:00"/>
    <n v="14100"/>
    <n v="0"/>
    <s v="USD"/>
    <s v="JRNLWA00338967"/>
    <s v="P"/>
    <s v="OPEX14- AP and Exp Report Accr"/>
    <s v="AdamJo"/>
    <s v="0/JE IC"/>
    <m/>
    <m/>
    <x v="7"/>
  </r>
  <r>
    <s v="40131-2120-000-00"/>
    <d v="2016-06-30T00:00:00"/>
    <n v="855"/>
    <n v="0"/>
    <s v="USD"/>
    <s v="JRNLWA00338967"/>
    <s v="P"/>
    <s v="OPEX14- AP and Exp Report Accr"/>
    <s v="AdamJo"/>
    <s v="0/JE IC"/>
    <m/>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110:C120"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0">
        <item x="6"/>
        <item x="7"/>
        <item x="5"/>
        <item x="8"/>
        <item x="1"/>
        <item x="2"/>
        <item x="0"/>
        <item x="4"/>
        <item x="3"/>
        <item t="default"/>
      </items>
    </pivotField>
  </pivotFields>
  <rowFields count="1">
    <field x="12"/>
  </rowFields>
  <rowItems count="10">
    <i>
      <x/>
    </i>
    <i>
      <x v="1"/>
    </i>
    <i>
      <x v="2"/>
    </i>
    <i>
      <x v="3"/>
    </i>
    <i>
      <x v="4"/>
    </i>
    <i>
      <x v="5"/>
    </i>
    <i>
      <x v="6"/>
    </i>
    <i>
      <x v="7"/>
    </i>
    <i>
      <x v="8"/>
    </i>
    <i t="grand">
      <x/>
    </i>
  </rowItems>
  <colItems count="1">
    <i/>
  </colItems>
  <dataFields count="1">
    <dataField name="Sum of Amount USD" fld="2" baseField="0" baseItem="0" numFmtId="44"/>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63:F87"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24">
        <item x="19"/>
        <item x="18"/>
        <item x="2"/>
        <item x="16"/>
        <item x="15"/>
        <item x="21"/>
        <item x="0"/>
        <item x="1"/>
        <item x="8"/>
        <item x="9"/>
        <item x="10"/>
        <item x="13"/>
        <item x="12"/>
        <item x="5"/>
        <item x="6"/>
        <item x="7"/>
        <item x="14"/>
        <item x="11"/>
        <item x="4"/>
        <item x="17"/>
        <item x="3"/>
        <item x="20"/>
        <item x="22"/>
        <item t="default"/>
      </items>
    </pivotField>
  </pivotFields>
  <rowFields count="1">
    <field x="12"/>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Sum of Amount USD" fld="2" baseField="0" baseItem="0" numFmtId="43"/>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E61:F78" firstHeaderRow="1" firstDataRow="1" firstDataCol="1"/>
  <pivotFields count="13">
    <pivotField showAll="0"/>
    <pivotField numFmtId="14" showAll="0"/>
    <pivotField dataField="1" numFmtId="40" showAll="0"/>
    <pivotField numFmtId="40" showAll="0"/>
    <pivotField showAll="0"/>
    <pivotField showAll="0"/>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s>
  <rowFields count="1">
    <field x="12"/>
  </rowFields>
  <rowItems count="17">
    <i>
      <x/>
    </i>
    <i>
      <x v="1"/>
    </i>
    <i>
      <x v="2"/>
    </i>
    <i>
      <x v="3"/>
    </i>
    <i>
      <x v="4"/>
    </i>
    <i>
      <x v="5"/>
    </i>
    <i>
      <x v="6"/>
    </i>
    <i>
      <x v="7"/>
    </i>
    <i>
      <x v="8"/>
    </i>
    <i>
      <x v="9"/>
    </i>
    <i>
      <x v="10"/>
    </i>
    <i>
      <x v="11"/>
    </i>
    <i>
      <x v="12"/>
    </i>
    <i>
      <x v="13"/>
    </i>
    <i>
      <x v="14"/>
    </i>
    <i>
      <x v="15"/>
    </i>
    <i t="grand">
      <x/>
    </i>
  </rowItems>
  <colItems count="1">
    <i/>
  </colItems>
  <dataFields count="1">
    <dataField name="Sum of Amount USD" fld="2" baseField="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ivotTable" Target="../pivotTables/pivotTable1.xm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5.bin"/><Relationship Id="rId1" Type="http://schemas.openxmlformats.org/officeDocument/2006/relationships/pivotTable" Target="../pivotTables/pivotTable2.xml"/><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6.bin"/><Relationship Id="rId1" Type="http://schemas.openxmlformats.org/officeDocument/2006/relationships/pivotTable" Target="../pivotTables/pivotTable3.xml"/><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E188"/>
  <sheetViews>
    <sheetView showGridLines="0" tabSelected="1" zoomScale="75" workbookViewId="0">
      <selection activeCell="AK49" sqref="AK49"/>
    </sheetView>
  </sheetViews>
  <sheetFormatPr defaultColWidth="13.85546875" defaultRowHeight="12.75" outlineLevelRow="1"/>
  <cols>
    <col min="1" max="1" width="6.85546875" style="60" customWidth="1"/>
    <col min="2" max="3" width="2.28515625" style="60" customWidth="1"/>
    <col min="4" max="4" width="21.85546875" style="60" customWidth="1"/>
    <col min="5" max="5" width="3.85546875" style="60" customWidth="1"/>
    <col min="6" max="6" width="2" style="60" customWidth="1"/>
    <col min="7" max="7" width="12.140625" style="60" bestFit="1" customWidth="1"/>
    <col min="8" max="8" width="1.85546875" style="60" customWidth="1"/>
    <col min="9" max="9" width="12.140625" style="60" bestFit="1" customWidth="1"/>
    <col min="10" max="10" width="1.85546875" style="60" customWidth="1"/>
    <col min="11" max="11" width="12.140625" style="60" bestFit="1" customWidth="1"/>
    <col min="12" max="12" width="1.85546875" style="60" customWidth="1"/>
    <col min="13" max="13" width="12.140625" style="60" bestFit="1" customWidth="1"/>
    <col min="14" max="14" width="1.85546875" style="60" customWidth="1"/>
    <col min="15" max="15" width="12.140625" style="60" bestFit="1" customWidth="1"/>
    <col min="16" max="16" width="1.85546875" style="60" customWidth="1"/>
    <col min="17" max="17" width="12.140625" style="60" bestFit="1" customWidth="1"/>
    <col min="18" max="18" width="1.85546875" style="60" customWidth="1"/>
    <col min="19" max="19" width="12.140625" style="60" bestFit="1" customWidth="1"/>
    <col min="20" max="20" width="1.85546875" style="60" customWidth="1"/>
    <col min="21" max="21" width="12.140625" style="60" bestFit="1" customWidth="1"/>
    <col min="22" max="22" width="1.85546875" style="60" customWidth="1"/>
    <col min="23" max="23" width="12.140625" style="60" bestFit="1" customWidth="1"/>
    <col min="24" max="24" width="1.85546875" style="60" customWidth="1"/>
    <col min="25" max="25" width="12.140625" style="60" bestFit="1" customWidth="1"/>
    <col min="26" max="26" width="1.85546875" style="60" customWidth="1"/>
    <col min="27" max="27" width="12.140625" style="60" bestFit="1" customWidth="1"/>
    <col min="28" max="28" width="1.85546875" style="60" customWidth="1"/>
    <col min="29" max="29" width="12.140625" style="60" bestFit="1" customWidth="1"/>
    <col min="30" max="30" width="1.85546875" style="60" customWidth="1"/>
    <col min="31" max="31" width="3.140625" style="60" customWidth="1"/>
    <col min="32" max="32" width="2.85546875" style="60" customWidth="1"/>
    <col min="33" max="265" width="13.85546875" style="60"/>
    <col min="266" max="266" width="7" style="60" customWidth="1"/>
    <col min="267" max="267" width="16.5703125" style="60" customWidth="1"/>
    <col min="268" max="268" width="4.28515625" style="60" customWidth="1"/>
    <col min="269" max="269" width="6.85546875" style="60" customWidth="1"/>
    <col min="270" max="271" width="2.28515625" style="60" customWidth="1"/>
    <col min="272" max="272" width="10.85546875" style="60" customWidth="1"/>
    <col min="273" max="273" width="3.85546875" style="60" customWidth="1"/>
    <col min="274" max="274" width="2" style="60" customWidth="1"/>
    <col min="275" max="275" width="15.5703125" style="60" customWidth="1"/>
    <col min="276" max="276" width="1.85546875" style="60" customWidth="1"/>
    <col min="277" max="277" width="15.5703125" style="60" customWidth="1"/>
    <col min="278" max="278" width="1.85546875" style="60" customWidth="1"/>
    <col min="279" max="279" width="15.5703125" style="60" customWidth="1"/>
    <col min="280" max="280" width="1.85546875" style="60" customWidth="1"/>
    <col min="281" max="281" width="15.5703125" style="60" customWidth="1"/>
    <col min="282" max="282" width="3.140625" style="60" customWidth="1"/>
    <col min="283" max="283" width="15.5703125" style="60" customWidth="1"/>
    <col min="284" max="284" width="14.28515625" style="60" customWidth="1"/>
    <col min="285" max="285" width="15.5703125" style="60" customWidth="1"/>
    <col min="286" max="286" width="1.85546875" style="60" customWidth="1"/>
    <col min="287" max="287" width="15.5703125" style="60" customWidth="1"/>
    <col min="288" max="288" width="2.85546875" style="60" customWidth="1"/>
    <col min="289" max="521" width="13.85546875" style="60"/>
    <col min="522" max="522" width="7" style="60" customWidth="1"/>
    <col min="523" max="523" width="16.5703125" style="60" customWidth="1"/>
    <col min="524" max="524" width="4.28515625" style="60" customWidth="1"/>
    <col min="525" max="525" width="6.85546875" style="60" customWidth="1"/>
    <col min="526" max="527" width="2.28515625" style="60" customWidth="1"/>
    <col min="528" max="528" width="10.85546875" style="60" customWidth="1"/>
    <col min="529" max="529" width="3.85546875" style="60" customWidth="1"/>
    <col min="530" max="530" width="2" style="60" customWidth="1"/>
    <col min="531" max="531" width="15.5703125" style="60" customWidth="1"/>
    <col min="532" max="532" width="1.85546875" style="60" customWidth="1"/>
    <col min="533" max="533" width="15.5703125" style="60" customWidth="1"/>
    <col min="534" max="534" width="1.85546875" style="60" customWidth="1"/>
    <col min="535" max="535" width="15.5703125" style="60" customWidth="1"/>
    <col min="536" max="536" width="1.85546875" style="60" customWidth="1"/>
    <col min="537" max="537" width="15.5703125" style="60" customWidth="1"/>
    <col min="538" max="538" width="3.140625" style="60" customWidth="1"/>
    <col min="539" max="539" width="15.5703125" style="60" customWidth="1"/>
    <col min="540" max="540" width="14.28515625" style="60" customWidth="1"/>
    <col min="541" max="541" width="15.5703125" style="60" customWidth="1"/>
    <col min="542" max="542" width="1.85546875" style="60" customWidth="1"/>
    <col min="543" max="543" width="15.5703125" style="60" customWidth="1"/>
    <col min="544" max="544" width="2.85546875" style="60" customWidth="1"/>
    <col min="545" max="777" width="13.85546875" style="60"/>
    <col min="778" max="778" width="7" style="60" customWidth="1"/>
    <col min="779" max="779" width="16.5703125" style="60" customWidth="1"/>
    <col min="780" max="780" width="4.28515625" style="60" customWidth="1"/>
    <col min="781" max="781" width="6.85546875" style="60" customWidth="1"/>
    <col min="782" max="783" width="2.28515625" style="60" customWidth="1"/>
    <col min="784" max="784" width="10.85546875" style="60" customWidth="1"/>
    <col min="785" max="785" width="3.85546875" style="60" customWidth="1"/>
    <col min="786" max="786" width="2" style="60" customWidth="1"/>
    <col min="787" max="787" width="15.5703125" style="60" customWidth="1"/>
    <col min="788" max="788" width="1.85546875" style="60" customWidth="1"/>
    <col min="789" max="789" width="15.5703125" style="60" customWidth="1"/>
    <col min="790" max="790" width="1.85546875" style="60" customWidth="1"/>
    <col min="791" max="791" width="15.5703125" style="60" customWidth="1"/>
    <col min="792" max="792" width="1.85546875" style="60" customWidth="1"/>
    <col min="793" max="793" width="15.5703125" style="60" customWidth="1"/>
    <col min="794" max="794" width="3.140625" style="60" customWidth="1"/>
    <col min="795" max="795" width="15.5703125" style="60" customWidth="1"/>
    <col min="796" max="796" width="14.28515625" style="60" customWidth="1"/>
    <col min="797" max="797" width="15.5703125" style="60" customWidth="1"/>
    <col min="798" max="798" width="1.85546875" style="60" customWidth="1"/>
    <col min="799" max="799" width="15.5703125" style="60" customWidth="1"/>
    <col min="800" max="800" width="2.85546875" style="60" customWidth="1"/>
    <col min="801" max="1033" width="13.85546875" style="60"/>
    <col min="1034" max="1034" width="7" style="60" customWidth="1"/>
    <col min="1035" max="1035" width="16.5703125" style="60" customWidth="1"/>
    <col min="1036" max="1036" width="4.28515625" style="60" customWidth="1"/>
    <col min="1037" max="1037" width="6.85546875" style="60" customWidth="1"/>
    <col min="1038" max="1039" width="2.28515625" style="60" customWidth="1"/>
    <col min="1040" max="1040" width="10.85546875" style="60" customWidth="1"/>
    <col min="1041" max="1041" width="3.85546875" style="60" customWidth="1"/>
    <col min="1042" max="1042" width="2" style="60" customWidth="1"/>
    <col min="1043" max="1043" width="15.5703125" style="60" customWidth="1"/>
    <col min="1044" max="1044" width="1.85546875" style="60" customWidth="1"/>
    <col min="1045" max="1045" width="15.5703125" style="60" customWidth="1"/>
    <col min="1046" max="1046" width="1.85546875" style="60" customWidth="1"/>
    <col min="1047" max="1047" width="15.5703125" style="60" customWidth="1"/>
    <col min="1048" max="1048" width="1.85546875" style="60" customWidth="1"/>
    <col min="1049" max="1049" width="15.5703125" style="60" customWidth="1"/>
    <col min="1050" max="1050" width="3.140625" style="60" customWidth="1"/>
    <col min="1051" max="1051" width="15.5703125" style="60" customWidth="1"/>
    <col min="1052" max="1052" width="14.28515625" style="60" customWidth="1"/>
    <col min="1053" max="1053" width="15.5703125" style="60" customWidth="1"/>
    <col min="1054" max="1054" width="1.85546875" style="60" customWidth="1"/>
    <col min="1055" max="1055" width="15.5703125" style="60" customWidth="1"/>
    <col min="1056" max="1056" width="2.85546875" style="60" customWidth="1"/>
    <col min="1057" max="1289" width="13.85546875" style="60"/>
    <col min="1290" max="1290" width="7" style="60" customWidth="1"/>
    <col min="1291" max="1291" width="16.5703125" style="60" customWidth="1"/>
    <col min="1292" max="1292" width="4.28515625" style="60" customWidth="1"/>
    <col min="1293" max="1293" width="6.85546875" style="60" customWidth="1"/>
    <col min="1294" max="1295" width="2.28515625" style="60" customWidth="1"/>
    <col min="1296" max="1296" width="10.85546875" style="60" customWidth="1"/>
    <col min="1297" max="1297" width="3.85546875" style="60" customWidth="1"/>
    <col min="1298" max="1298" width="2" style="60" customWidth="1"/>
    <col min="1299" max="1299" width="15.5703125" style="60" customWidth="1"/>
    <col min="1300" max="1300" width="1.85546875" style="60" customWidth="1"/>
    <col min="1301" max="1301" width="15.5703125" style="60" customWidth="1"/>
    <col min="1302" max="1302" width="1.85546875" style="60" customWidth="1"/>
    <col min="1303" max="1303" width="15.5703125" style="60" customWidth="1"/>
    <col min="1304" max="1304" width="1.85546875" style="60" customWidth="1"/>
    <col min="1305" max="1305" width="15.5703125" style="60" customWidth="1"/>
    <col min="1306" max="1306" width="3.140625" style="60" customWidth="1"/>
    <col min="1307" max="1307" width="15.5703125" style="60" customWidth="1"/>
    <col min="1308" max="1308" width="14.28515625" style="60" customWidth="1"/>
    <col min="1309" max="1309" width="15.5703125" style="60" customWidth="1"/>
    <col min="1310" max="1310" width="1.85546875" style="60" customWidth="1"/>
    <col min="1311" max="1311" width="15.5703125" style="60" customWidth="1"/>
    <col min="1312" max="1312" width="2.85546875" style="60" customWidth="1"/>
    <col min="1313" max="1545" width="13.85546875" style="60"/>
    <col min="1546" max="1546" width="7" style="60" customWidth="1"/>
    <col min="1547" max="1547" width="16.5703125" style="60" customWidth="1"/>
    <col min="1548" max="1548" width="4.28515625" style="60" customWidth="1"/>
    <col min="1549" max="1549" width="6.85546875" style="60" customWidth="1"/>
    <col min="1550" max="1551" width="2.28515625" style="60" customWidth="1"/>
    <col min="1552" max="1552" width="10.85546875" style="60" customWidth="1"/>
    <col min="1553" max="1553" width="3.85546875" style="60" customWidth="1"/>
    <col min="1554" max="1554" width="2" style="60" customWidth="1"/>
    <col min="1555" max="1555" width="15.5703125" style="60" customWidth="1"/>
    <col min="1556" max="1556" width="1.85546875" style="60" customWidth="1"/>
    <col min="1557" max="1557" width="15.5703125" style="60" customWidth="1"/>
    <col min="1558" max="1558" width="1.85546875" style="60" customWidth="1"/>
    <col min="1559" max="1559" width="15.5703125" style="60" customWidth="1"/>
    <col min="1560" max="1560" width="1.85546875" style="60" customWidth="1"/>
    <col min="1561" max="1561" width="15.5703125" style="60" customWidth="1"/>
    <col min="1562" max="1562" width="3.140625" style="60" customWidth="1"/>
    <col min="1563" max="1563" width="15.5703125" style="60" customWidth="1"/>
    <col min="1564" max="1564" width="14.28515625" style="60" customWidth="1"/>
    <col min="1565" max="1565" width="15.5703125" style="60" customWidth="1"/>
    <col min="1566" max="1566" width="1.85546875" style="60" customWidth="1"/>
    <col min="1567" max="1567" width="15.5703125" style="60" customWidth="1"/>
    <col min="1568" max="1568" width="2.85546875" style="60" customWidth="1"/>
    <col min="1569" max="1801" width="13.85546875" style="60"/>
    <col min="1802" max="1802" width="7" style="60" customWidth="1"/>
    <col min="1803" max="1803" width="16.5703125" style="60" customWidth="1"/>
    <col min="1804" max="1804" width="4.28515625" style="60" customWidth="1"/>
    <col min="1805" max="1805" width="6.85546875" style="60" customWidth="1"/>
    <col min="1806" max="1807" width="2.28515625" style="60" customWidth="1"/>
    <col min="1808" max="1808" width="10.85546875" style="60" customWidth="1"/>
    <col min="1809" max="1809" width="3.85546875" style="60" customWidth="1"/>
    <col min="1810" max="1810" width="2" style="60" customWidth="1"/>
    <col min="1811" max="1811" width="15.5703125" style="60" customWidth="1"/>
    <col min="1812" max="1812" width="1.85546875" style="60" customWidth="1"/>
    <col min="1813" max="1813" width="15.5703125" style="60" customWidth="1"/>
    <col min="1814" max="1814" width="1.85546875" style="60" customWidth="1"/>
    <col min="1815" max="1815" width="15.5703125" style="60" customWidth="1"/>
    <col min="1816" max="1816" width="1.85546875" style="60" customWidth="1"/>
    <col min="1817" max="1817" width="15.5703125" style="60" customWidth="1"/>
    <col min="1818" max="1818" width="3.140625" style="60" customWidth="1"/>
    <col min="1819" max="1819" width="15.5703125" style="60" customWidth="1"/>
    <col min="1820" max="1820" width="14.28515625" style="60" customWidth="1"/>
    <col min="1821" max="1821" width="15.5703125" style="60" customWidth="1"/>
    <col min="1822" max="1822" width="1.85546875" style="60" customWidth="1"/>
    <col min="1823" max="1823" width="15.5703125" style="60" customWidth="1"/>
    <col min="1824" max="1824" width="2.85546875" style="60" customWidth="1"/>
    <col min="1825" max="2057" width="13.85546875" style="60"/>
    <col min="2058" max="2058" width="7" style="60" customWidth="1"/>
    <col min="2059" max="2059" width="16.5703125" style="60" customWidth="1"/>
    <col min="2060" max="2060" width="4.28515625" style="60" customWidth="1"/>
    <col min="2061" max="2061" width="6.85546875" style="60" customWidth="1"/>
    <col min="2062" max="2063" width="2.28515625" style="60" customWidth="1"/>
    <col min="2064" max="2064" width="10.85546875" style="60" customWidth="1"/>
    <col min="2065" max="2065" width="3.85546875" style="60" customWidth="1"/>
    <col min="2066" max="2066" width="2" style="60" customWidth="1"/>
    <col min="2067" max="2067" width="15.5703125" style="60" customWidth="1"/>
    <col min="2068" max="2068" width="1.85546875" style="60" customWidth="1"/>
    <col min="2069" max="2069" width="15.5703125" style="60" customWidth="1"/>
    <col min="2070" max="2070" width="1.85546875" style="60" customWidth="1"/>
    <col min="2071" max="2071" width="15.5703125" style="60" customWidth="1"/>
    <col min="2072" max="2072" width="1.85546875" style="60" customWidth="1"/>
    <col min="2073" max="2073" width="15.5703125" style="60" customWidth="1"/>
    <col min="2074" max="2074" width="3.140625" style="60" customWidth="1"/>
    <col min="2075" max="2075" width="15.5703125" style="60" customWidth="1"/>
    <col min="2076" max="2076" width="14.28515625" style="60" customWidth="1"/>
    <col min="2077" max="2077" width="15.5703125" style="60" customWidth="1"/>
    <col min="2078" max="2078" width="1.85546875" style="60" customWidth="1"/>
    <col min="2079" max="2079" width="15.5703125" style="60" customWidth="1"/>
    <col min="2080" max="2080" width="2.85546875" style="60" customWidth="1"/>
    <col min="2081" max="2313" width="13.85546875" style="60"/>
    <col min="2314" max="2314" width="7" style="60" customWidth="1"/>
    <col min="2315" max="2315" width="16.5703125" style="60" customWidth="1"/>
    <col min="2316" max="2316" width="4.28515625" style="60" customWidth="1"/>
    <col min="2317" max="2317" width="6.85546875" style="60" customWidth="1"/>
    <col min="2318" max="2319" width="2.28515625" style="60" customWidth="1"/>
    <col min="2320" max="2320" width="10.85546875" style="60" customWidth="1"/>
    <col min="2321" max="2321" width="3.85546875" style="60" customWidth="1"/>
    <col min="2322" max="2322" width="2" style="60" customWidth="1"/>
    <col min="2323" max="2323" width="15.5703125" style="60" customWidth="1"/>
    <col min="2324" max="2324" width="1.85546875" style="60" customWidth="1"/>
    <col min="2325" max="2325" width="15.5703125" style="60" customWidth="1"/>
    <col min="2326" max="2326" width="1.85546875" style="60" customWidth="1"/>
    <col min="2327" max="2327" width="15.5703125" style="60" customWidth="1"/>
    <col min="2328" max="2328" width="1.85546875" style="60" customWidth="1"/>
    <col min="2329" max="2329" width="15.5703125" style="60" customWidth="1"/>
    <col min="2330" max="2330" width="3.140625" style="60" customWidth="1"/>
    <col min="2331" max="2331" width="15.5703125" style="60" customWidth="1"/>
    <col min="2332" max="2332" width="14.28515625" style="60" customWidth="1"/>
    <col min="2333" max="2333" width="15.5703125" style="60" customWidth="1"/>
    <col min="2334" max="2334" width="1.85546875" style="60" customWidth="1"/>
    <col min="2335" max="2335" width="15.5703125" style="60" customWidth="1"/>
    <col min="2336" max="2336" width="2.85546875" style="60" customWidth="1"/>
    <col min="2337" max="2569" width="13.85546875" style="60"/>
    <col min="2570" max="2570" width="7" style="60" customWidth="1"/>
    <col min="2571" max="2571" width="16.5703125" style="60" customWidth="1"/>
    <col min="2572" max="2572" width="4.28515625" style="60" customWidth="1"/>
    <col min="2573" max="2573" width="6.85546875" style="60" customWidth="1"/>
    <col min="2574" max="2575" width="2.28515625" style="60" customWidth="1"/>
    <col min="2576" max="2576" width="10.85546875" style="60" customWidth="1"/>
    <col min="2577" max="2577" width="3.85546875" style="60" customWidth="1"/>
    <col min="2578" max="2578" width="2" style="60" customWidth="1"/>
    <col min="2579" max="2579" width="15.5703125" style="60" customWidth="1"/>
    <col min="2580" max="2580" width="1.85546875" style="60" customWidth="1"/>
    <col min="2581" max="2581" width="15.5703125" style="60" customWidth="1"/>
    <col min="2582" max="2582" width="1.85546875" style="60" customWidth="1"/>
    <col min="2583" max="2583" width="15.5703125" style="60" customWidth="1"/>
    <col min="2584" max="2584" width="1.85546875" style="60" customWidth="1"/>
    <col min="2585" max="2585" width="15.5703125" style="60" customWidth="1"/>
    <col min="2586" max="2586" width="3.140625" style="60" customWidth="1"/>
    <col min="2587" max="2587" width="15.5703125" style="60" customWidth="1"/>
    <col min="2588" max="2588" width="14.28515625" style="60" customWidth="1"/>
    <col min="2589" max="2589" width="15.5703125" style="60" customWidth="1"/>
    <col min="2590" max="2590" width="1.85546875" style="60" customWidth="1"/>
    <col min="2591" max="2591" width="15.5703125" style="60" customWidth="1"/>
    <col min="2592" max="2592" width="2.85546875" style="60" customWidth="1"/>
    <col min="2593" max="2825" width="13.85546875" style="60"/>
    <col min="2826" max="2826" width="7" style="60" customWidth="1"/>
    <col min="2827" max="2827" width="16.5703125" style="60" customWidth="1"/>
    <col min="2828" max="2828" width="4.28515625" style="60" customWidth="1"/>
    <col min="2829" max="2829" width="6.85546875" style="60" customWidth="1"/>
    <col min="2830" max="2831" width="2.28515625" style="60" customWidth="1"/>
    <col min="2832" max="2832" width="10.85546875" style="60" customWidth="1"/>
    <col min="2833" max="2833" width="3.85546875" style="60" customWidth="1"/>
    <col min="2834" max="2834" width="2" style="60" customWidth="1"/>
    <col min="2835" max="2835" width="15.5703125" style="60" customWidth="1"/>
    <col min="2836" max="2836" width="1.85546875" style="60" customWidth="1"/>
    <col min="2837" max="2837" width="15.5703125" style="60" customWidth="1"/>
    <col min="2838" max="2838" width="1.85546875" style="60" customWidth="1"/>
    <col min="2839" max="2839" width="15.5703125" style="60" customWidth="1"/>
    <col min="2840" max="2840" width="1.85546875" style="60" customWidth="1"/>
    <col min="2841" max="2841" width="15.5703125" style="60" customWidth="1"/>
    <col min="2842" max="2842" width="3.140625" style="60" customWidth="1"/>
    <col min="2843" max="2843" width="15.5703125" style="60" customWidth="1"/>
    <col min="2844" max="2844" width="14.28515625" style="60" customWidth="1"/>
    <col min="2845" max="2845" width="15.5703125" style="60" customWidth="1"/>
    <col min="2846" max="2846" width="1.85546875" style="60" customWidth="1"/>
    <col min="2847" max="2847" width="15.5703125" style="60" customWidth="1"/>
    <col min="2848" max="2848" width="2.85546875" style="60" customWidth="1"/>
    <col min="2849" max="3081" width="13.85546875" style="60"/>
    <col min="3082" max="3082" width="7" style="60" customWidth="1"/>
    <col min="3083" max="3083" width="16.5703125" style="60" customWidth="1"/>
    <col min="3084" max="3084" width="4.28515625" style="60" customWidth="1"/>
    <col min="3085" max="3085" width="6.85546875" style="60" customWidth="1"/>
    <col min="3086" max="3087" width="2.28515625" style="60" customWidth="1"/>
    <col min="3088" max="3088" width="10.85546875" style="60" customWidth="1"/>
    <col min="3089" max="3089" width="3.85546875" style="60" customWidth="1"/>
    <col min="3090" max="3090" width="2" style="60" customWidth="1"/>
    <col min="3091" max="3091" width="15.5703125" style="60" customWidth="1"/>
    <col min="3092" max="3092" width="1.85546875" style="60" customWidth="1"/>
    <col min="3093" max="3093" width="15.5703125" style="60" customWidth="1"/>
    <col min="3094" max="3094" width="1.85546875" style="60" customWidth="1"/>
    <col min="3095" max="3095" width="15.5703125" style="60" customWidth="1"/>
    <col min="3096" max="3096" width="1.85546875" style="60" customWidth="1"/>
    <col min="3097" max="3097" width="15.5703125" style="60" customWidth="1"/>
    <col min="3098" max="3098" width="3.140625" style="60" customWidth="1"/>
    <col min="3099" max="3099" width="15.5703125" style="60" customWidth="1"/>
    <col min="3100" max="3100" width="14.28515625" style="60" customWidth="1"/>
    <col min="3101" max="3101" width="15.5703125" style="60" customWidth="1"/>
    <col min="3102" max="3102" width="1.85546875" style="60" customWidth="1"/>
    <col min="3103" max="3103" width="15.5703125" style="60" customWidth="1"/>
    <col min="3104" max="3104" width="2.85546875" style="60" customWidth="1"/>
    <col min="3105" max="3337" width="13.85546875" style="60"/>
    <col min="3338" max="3338" width="7" style="60" customWidth="1"/>
    <col min="3339" max="3339" width="16.5703125" style="60" customWidth="1"/>
    <col min="3340" max="3340" width="4.28515625" style="60" customWidth="1"/>
    <col min="3341" max="3341" width="6.85546875" style="60" customWidth="1"/>
    <col min="3342" max="3343" width="2.28515625" style="60" customWidth="1"/>
    <col min="3344" max="3344" width="10.85546875" style="60" customWidth="1"/>
    <col min="3345" max="3345" width="3.85546875" style="60" customWidth="1"/>
    <col min="3346" max="3346" width="2" style="60" customWidth="1"/>
    <col min="3347" max="3347" width="15.5703125" style="60" customWidth="1"/>
    <col min="3348" max="3348" width="1.85546875" style="60" customWidth="1"/>
    <col min="3349" max="3349" width="15.5703125" style="60" customWidth="1"/>
    <col min="3350" max="3350" width="1.85546875" style="60" customWidth="1"/>
    <col min="3351" max="3351" width="15.5703125" style="60" customWidth="1"/>
    <col min="3352" max="3352" width="1.85546875" style="60" customWidth="1"/>
    <col min="3353" max="3353" width="15.5703125" style="60" customWidth="1"/>
    <col min="3354" max="3354" width="3.140625" style="60" customWidth="1"/>
    <col min="3355" max="3355" width="15.5703125" style="60" customWidth="1"/>
    <col min="3356" max="3356" width="14.28515625" style="60" customWidth="1"/>
    <col min="3357" max="3357" width="15.5703125" style="60" customWidth="1"/>
    <col min="3358" max="3358" width="1.85546875" style="60" customWidth="1"/>
    <col min="3359" max="3359" width="15.5703125" style="60" customWidth="1"/>
    <col min="3360" max="3360" width="2.85546875" style="60" customWidth="1"/>
    <col min="3361" max="3593" width="13.85546875" style="60"/>
    <col min="3594" max="3594" width="7" style="60" customWidth="1"/>
    <col min="3595" max="3595" width="16.5703125" style="60" customWidth="1"/>
    <col min="3596" max="3596" width="4.28515625" style="60" customWidth="1"/>
    <col min="3597" max="3597" width="6.85546875" style="60" customWidth="1"/>
    <col min="3598" max="3599" width="2.28515625" style="60" customWidth="1"/>
    <col min="3600" max="3600" width="10.85546875" style="60" customWidth="1"/>
    <col min="3601" max="3601" width="3.85546875" style="60" customWidth="1"/>
    <col min="3602" max="3602" width="2" style="60" customWidth="1"/>
    <col min="3603" max="3603" width="15.5703125" style="60" customWidth="1"/>
    <col min="3604" max="3604" width="1.85546875" style="60" customWidth="1"/>
    <col min="3605" max="3605" width="15.5703125" style="60" customWidth="1"/>
    <col min="3606" max="3606" width="1.85546875" style="60" customWidth="1"/>
    <col min="3607" max="3607" width="15.5703125" style="60" customWidth="1"/>
    <col min="3608" max="3608" width="1.85546875" style="60" customWidth="1"/>
    <col min="3609" max="3609" width="15.5703125" style="60" customWidth="1"/>
    <col min="3610" max="3610" width="3.140625" style="60" customWidth="1"/>
    <col min="3611" max="3611" width="15.5703125" style="60" customWidth="1"/>
    <col min="3612" max="3612" width="14.28515625" style="60" customWidth="1"/>
    <col min="3613" max="3613" width="15.5703125" style="60" customWidth="1"/>
    <col min="3614" max="3614" width="1.85546875" style="60" customWidth="1"/>
    <col min="3615" max="3615" width="15.5703125" style="60" customWidth="1"/>
    <col min="3616" max="3616" width="2.85546875" style="60" customWidth="1"/>
    <col min="3617" max="3849" width="13.85546875" style="60"/>
    <col min="3850" max="3850" width="7" style="60" customWidth="1"/>
    <col min="3851" max="3851" width="16.5703125" style="60" customWidth="1"/>
    <col min="3852" max="3852" width="4.28515625" style="60" customWidth="1"/>
    <col min="3853" max="3853" width="6.85546875" style="60" customWidth="1"/>
    <col min="3854" max="3855" width="2.28515625" style="60" customWidth="1"/>
    <col min="3856" max="3856" width="10.85546875" style="60" customWidth="1"/>
    <col min="3857" max="3857" width="3.85546875" style="60" customWidth="1"/>
    <col min="3858" max="3858" width="2" style="60" customWidth="1"/>
    <col min="3859" max="3859" width="15.5703125" style="60" customWidth="1"/>
    <col min="3860" max="3860" width="1.85546875" style="60" customWidth="1"/>
    <col min="3861" max="3861" width="15.5703125" style="60" customWidth="1"/>
    <col min="3862" max="3862" width="1.85546875" style="60" customWidth="1"/>
    <col min="3863" max="3863" width="15.5703125" style="60" customWidth="1"/>
    <col min="3864" max="3864" width="1.85546875" style="60" customWidth="1"/>
    <col min="3865" max="3865" width="15.5703125" style="60" customWidth="1"/>
    <col min="3866" max="3866" width="3.140625" style="60" customWidth="1"/>
    <col min="3867" max="3867" width="15.5703125" style="60" customWidth="1"/>
    <col min="3868" max="3868" width="14.28515625" style="60" customWidth="1"/>
    <col min="3869" max="3869" width="15.5703125" style="60" customWidth="1"/>
    <col min="3870" max="3870" width="1.85546875" style="60" customWidth="1"/>
    <col min="3871" max="3871" width="15.5703125" style="60" customWidth="1"/>
    <col min="3872" max="3872" width="2.85546875" style="60" customWidth="1"/>
    <col min="3873" max="4105" width="13.85546875" style="60"/>
    <col min="4106" max="4106" width="7" style="60" customWidth="1"/>
    <col min="4107" max="4107" width="16.5703125" style="60" customWidth="1"/>
    <col min="4108" max="4108" width="4.28515625" style="60" customWidth="1"/>
    <col min="4109" max="4109" width="6.85546875" style="60" customWidth="1"/>
    <col min="4110" max="4111" width="2.28515625" style="60" customWidth="1"/>
    <col min="4112" max="4112" width="10.85546875" style="60" customWidth="1"/>
    <col min="4113" max="4113" width="3.85546875" style="60" customWidth="1"/>
    <col min="4114" max="4114" width="2" style="60" customWidth="1"/>
    <col min="4115" max="4115" width="15.5703125" style="60" customWidth="1"/>
    <col min="4116" max="4116" width="1.85546875" style="60" customWidth="1"/>
    <col min="4117" max="4117" width="15.5703125" style="60" customWidth="1"/>
    <col min="4118" max="4118" width="1.85546875" style="60" customWidth="1"/>
    <col min="4119" max="4119" width="15.5703125" style="60" customWidth="1"/>
    <col min="4120" max="4120" width="1.85546875" style="60" customWidth="1"/>
    <col min="4121" max="4121" width="15.5703125" style="60" customWidth="1"/>
    <col min="4122" max="4122" width="3.140625" style="60" customWidth="1"/>
    <col min="4123" max="4123" width="15.5703125" style="60" customWidth="1"/>
    <col min="4124" max="4124" width="14.28515625" style="60" customWidth="1"/>
    <col min="4125" max="4125" width="15.5703125" style="60" customWidth="1"/>
    <col min="4126" max="4126" width="1.85546875" style="60" customWidth="1"/>
    <col min="4127" max="4127" width="15.5703125" style="60" customWidth="1"/>
    <col min="4128" max="4128" width="2.85546875" style="60" customWidth="1"/>
    <col min="4129" max="4361" width="13.85546875" style="60"/>
    <col min="4362" max="4362" width="7" style="60" customWidth="1"/>
    <col min="4363" max="4363" width="16.5703125" style="60" customWidth="1"/>
    <col min="4364" max="4364" width="4.28515625" style="60" customWidth="1"/>
    <col min="4365" max="4365" width="6.85546875" style="60" customWidth="1"/>
    <col min="4366" max="4367" width="2.28515625" style="60" customWidth="1"/>
    <col min="4368" max="4368" width="10.85546875" style="60" customWidth="1"/>
    <col min="4369" max="4369" width="3.85546875" style="60" customWidth="1"/>
    <col min="4370" max="4370" width="2" style="60" customWidth="1"/>
    <col min="4371" max="4371" width="15.5703125" style="60" customWidth="1"/>
    <col min="4372" max="4372" width="1.85546875" style="60" customWidth="1"/>
    <col min="4373" max="4373" width="15.5703125" style="60" customWidth="1"/>
    <col min="4374" max="4374" width="1.85546875" style="60" customWidth="1"/>
    <col min="4375" max="4375" width="15.5703125" style="60" customWidth="1"/>
    <col min="4376" max="4376" width="1.85546875" style="60" customWidth="1"/>
    <col min="4377" max="4377" width="15.5703125" style="60" customWidth="1"/>
    <col min="4378" max="4378" width="3.140625" style="60" customWidth="1"/>
    <col min="4379" max="4379" width="15.5703125" style="60" customWidth="1"/>
    <col min="4380" max="4380" width="14.28515625" style="60" customWidth="1"/>
    <col min="4381" max="4381" width="15.5703125" style="60" customWidth="1"/>
    <col min="4382" max="4382" width="1.85546875" style="60" customWidth="1"/>
    <col min="4383" max="4383" width="15.5703125" style="60" customWidth="1"/>
    <col min="4384" max="4384" width="2.85546875" style="60" customWidth="1"/>
    <col min="4385" max="4617" width="13.85546875" style="60"/>
    <col min="4618" max="4618" width="7" style="60" customWidth="1"/>
    <col min="4619" max="4619" width="16.5703125" style="60" customWidth="1"/>
    <col min="4620" max="4620" width="4.28515625" style="60" customWidth="1"/>
    <col min="4621" max="4621" width="6.85546875" style="60" customWidth="1"/>
    <col min="4622" max="4623" width="2.28515625" style="60" customWidth="1"/>
    <col min="4624" max="4624" width="10.85546875" style="60" customWidth="1"/>
    <col min="4625" max="4625" width="3.85546875" style="60" customWidth="1"/>
    <col min="4626" max="4626" width="2" style="60" customWidth="1"/>
    <col min="4627" max="4627" width="15.5703125" style="60" customWidth="1"/>
    <col min="4628" max="4628" width="1.85546875" style="60" customWidth="1"/>
    <col min="4629" max="4629" width="15.5703125" style="60" customWidth="1"/>
    <col min="4630" max="4630" width="1.85546875" style="60" customWidth="1"/>
    <col min="4631" max="4631" width="15.5703125" style="60" customWidth="1"/>
    <col min="4632" max="4632" width="1.85546875" style="60" customWidth="1"/>
    <col min="4633" max="4633" width="15.5703125" style="60" customWidth="1"/>
    <col min="4634" max="4634" width="3.140625" style="60" customWidth="1"/>
    <col min="4635" max="4635" width="15.5703125" style="60" customWidth="1"/>
    <col min="4636" max="4636" width="14.28515625" style="60" customWidth="1"/>
    <col min="4637" max="4637" width="15.5703125" style="60" customWidth="1"/>
    <col min="4638" max="4638" width="1.85546875" style="60" customWidth="1"/>
    <col min="4639" max="4639" width="15.5703125" style="60" customWidth="1"/>
    <col min="4640" max="4640" width="2.85546875" style="60" customWidth="1"/>
    <col min="4641" max="4873" width="13.85546875" style="60"/>
    <col min="4874" max="4874" width="7" style="60" customWidth="1"/>
    <col min="4875" max="4875" width="16.5703125" style="60" customWidth="1"/>
    <col min="4876" max="4876" width="4.28515625" style="60" customWidth="1"/>
    <col min="4877" max="4877" width="6.85546875" style="60" customWidth="1"/>
    <col min="4878" max="4879" width="2.28515625" style="60" customWidth="1"/>
    <col min="4880" max="4880" width="10.85546875" style="60" customWidth="1"/>
    <col min="4881" max="4881" width="3.85546875" style="60" customWidth="1"/>
    <col min="4882" max="4882" width="2" style="60" customWidth="1"/>
    <col min="4883" max="4883" width="15.5703125" style="60" customWidth="1"/>
    <col min="4884" max="4884" width="1.85546875" style="60" customWidth="1"/>
    <col min="4885" max="4885" width="15.5703125" style="60" customWidth="1"/>
    <col min="4886" max="4886" width="1.85546875" style="60" customWidth="1"/>
    <col min="4887" max="4887" width="15.5703125" style="60" customWidth="1"/>
    <col min="4888" max="4888" width="1.85546875" style="60" customWidth="1"/>
    <col min="4889" max="4889" width="15.5703125" style="60" customWidth="1"/>
    <col min="4890" max="4890" width="3.140625" style="60" customWidth="1"/>
    <col min="4891" max="4891" width="15.5703125" style="60" customWidth="1"/>
    <col min="4892" max="4892" width="14.28515625" style="60" customWidth="1"/>
    <col min="4893" max="4893" width="15.5703125" style="60" customWidth="1"/>
    <col min="4894" max="4894" width="1.85546875" style="60" customWidth="1"/>
    <col min="4895" max="4895" width="15.5703125" style="60" customWidth="1"/>
    <col min="4896" max="4896" width="2.85546875" style="60" customWidth="1"/>
    <col min="4897" max="5129" width="13.85546875" style="60"/>
    <col min="5130" max="5130" width="7" style="60" customWidth="1"/>
    <col min="5131" max="5131" width="16.5703125" style="60" customWidth="1"/>
    <col min="5132" max="5132" width="4.28515625" style="60" customWidth="1"/>
    <col min="5133" max="5133" width="6.85546875" style="60" customWidth="1"/>
    <col min="5134" max="5135" width="2.28515625" style="60" customWidth="1"/>
    <col min="5136" max="5136" width="10.85546875" style="60" customWidth="1"/>
    <col min="5137" max="5137" width="3.85546875" style="60" customWidth="1"/>
    <col min="5138" max="5138" width="2" style="60" customWidth="1"/>
    <col min="5139" max="5139" width="15.5703125" style="60" customWidth="1"/>
    <col min="5140" max="5140" width="1.85546875" style="60" customWidth="1"/>
    <col min="5141" max="5141" width="15.5703125" style="60" customWidth="1"/>
    <col min="5142" max="5142" width="1.85546875" style="60" customWidth="1"/>
    <col min="5143" max="5143" width="15.5703125" style="60" customWidth="1"/>
    <col min="5144" max="5144" width="1.85546875" style="60" customWidth="1"/>
    <col min="5145" max="5145" width="15.5703125" style="60" customWidth="1"/>
    <col min="5146" max="5146" width="3.140625" style="60" customWidth="1"/>
    <col min="5147" max="5147" width="15.5703125" style="60" customWidth="1"/>
    <col min="5148" max="5148" width="14.28515625" style="60" customWidth="1"/>
    <col min="5149" max="5149" width="15.5703125" style="60" customWidth="1"/>
    <col min="5150" max="5150" width="1.85546875" style="60" customWidth="1"/>
    <col min="5151" max="5151" width="15.5703125" style="60" customWidth="1"/>
    <col min="5152" max="5152" width="2.85546875" style="60" customWidth="1"/>
    <col min="5153" max="5385" width="13.85546875" style="60"/>
    <col min="5386" max="5386" width="7" style="60" customWidth="1"/>
    <col min="5387" max="5387" width="16.5703125" style="60" customWidth="1"/>
    <col min="5388" max="5388" width="4.28515625" style="60" customWidth="1"/>
    <col min="5389" max="5389" width="6.85546875" style="60" customWidth="1"/>
    <col min="5390" max="5391" width="2.28515625" style="60" customWidth="1"/>
    <col min="5392" max="5392" width="10.85546875" style="60" customWidth="1"/>
    <col min="5393" max="5393" width="3.85546875" style="60" customWidth="1"/>
    <col min="5394" max="5394" width="2" style="60" customWidth="1"/>
    <col min="5395" max="5395" width="15.5703125" style="60" customWidth="1"/>
    <col min="5396" max="5396" width="1.85546875" style="60" customWidth="1"/>
    <col min="5397" max="5397" width="15.5703125" style="60" customWidth="1"/>
    <col min="5398" max="5398" width="1.85546875" style="60" customWidth="1"/>
    <col min="5399" max="5399" width="15.5703125" style="60" customWidth="1"/>
    <col min="5400" max="5400" width="1.85546875" style="60" customWidth="1"/>
    <col min="5401" max="5401" width="15.5703125" style="60" customWidth="1"/>
    <col min="5402" max="5402" width="3.140625" style="60" customWidth="1"/>
    <col min="5403" max="5403" width="15.5703125" style="60" customWidth="1"/>
    <col min="5404" max="5404" width="14.28515625" style="60" customWidth="1"/>
    <col min="5405" max="5405" width="15.5703125" style="60" customWidth="1"/>
    <col min="5406" max="5406" width="1.85546875" style="60" customWidth="1"/>
    <col min="5407" max="5407" width="15.5703125" style="60" customWidth="1"/>
    <col min="5408" max="5408" width="2.85546875" style="60" customWidth="1"/>
    <col min="5409" max="5641" width="13.85546875" style="60"/>
    <col min="5642" max="5642" width="7" style="60" customWidth="1"/>
    <col min="5643" max="5643" width="16.5703125" style="60" customWidth="1"/>
    <col min="5644" max="5644" width="4.28515625" style="60" customWidth="1"/>
    <col min="5645" max="5645" width="6.85546875" style="60" customWidth="1"/>
    <col min="5646" max="5647" width="2.28515625" style="60" customWidth="1"/>
    <col min="5648" max="5648" width="10.85546875" style="60" customWidth="1"/>
    <col min="5649" max="5649" width="3.85546875" style="60" customWidth="1"/>
    <col min="5650" max="5650" width="2" style="60" customWidth="1"/>
    <col min="5651" max="5651" width="15.5703125" style="60" customWidth="1"/>
    <col min="5652" max="5652" width="1.85546875" style="60" customWidth="1"/>
    <col min="5653" max="5653" width="15.5703125" style="60" customWidth="1"/>
    <col min="5654" max="5654" width="1.85546875" style="60" customWidth="1"/>
    <col min="5655" max="5655" width="15.5703125" style="60" customWidth="1"/>
    <col min="5656" max="5656" width="1.85546875" style="60" customWidth="1"/>
    <col min="5657" max="5657" width="15.5703125" style="60" customWidth="1"/>
    <col min="5658" max="5658" width="3.140625" style="60" customWidth="1"/>
    <col min="5659" max="5659" width="15.5703125" style="60" customWidth="1"/>
    <col min="5660" max="5660" width="14.28515625" style="60" customWidth="1"/>
    <col min="5661" max="5661" width="15.5703125" style="60" customWidth="1"/>
    <col min="5662" max="5662" width="1.85546875" style="60" customWidth="1"/>
    <col min="5663" max="5663" width="15.5703125" style="60" customWidth="1"/>
    <col min="5664" max="5664" width="2.85546875" style="60" customWidth="1"/>
    <col min="5665" max="5897" width="13.85546875" style="60"/>
    <col min="5898" max="5898" width="7" style="60" customWidth="1"/>
    <col min="5899" max="5899" width="16.5703125" style="60" customWidth="1"/>
    <col min="5900" max="5900" width="4.28515625" style="60" customWidth="1"/>
    <col min="5901" max="5901" width="6.85546875" style="60" customWidth="1"/>
    <col min="5902" max="5903" width="2.28515625" style="60" customWidth="1"/>
    <col min="5904" max="5904" width="10.85546875" style="60" customWidth="1"/>
    <col min="5905" max="5905" width="3.85546875" style="60" customWidth="1"/>
    <col min="5906" max="5906" width="2" style="60" customWidth="1"/>
    <col min="5907" max="5907" width="15.5703125" style="60" customWidth="1"/>
    <col min="5908" max="5908" width="1.85546875" style="60" customWidth="1"/>
    <col min="5909" max="5909" width="15.5703125" style="60" customWidth="1"/>
    <col min="5910" max="5910" width="1.85546875" style="60" customWidth="1"/>
    <col min="5911" max="5911" width="15.5703125" style="60" customWidth="1"/>
    <col min="5912" max="5912" width="1.85546875" style="60" customWidth="1"/>
    <col min="5913" max="5913" width="15.5703125" style="60" customWidth="1"/>
    <col min="5914" max="5914" width="3.140625" style="60" customWidth="1"/>
    <col min="5915" max="5915" width="15.5703125" style="60" customWidth="1"/>
    <col min="5916" max="5916" width="14.28515625" style="60" customWidth="1"/>
    <col min="5917" max="5917" width="15.5703125" style="60" customWidth="1"/>
    <col min="5918" max="5918" width="1.85546875" style="60" customWidth="1"/>
    <col min="5919" max="5919" width="15.5703125" style="60" customWidth="1"/>
    <col min="5920" max="5920" width="2.85546875" style="60" customWidth="1"/>
    <col min="5921" max="6153" width="13.85546875" style="60"/>
    <col min="6154" max="6154" width="7" style="60" customWidth="1"/>
    <col min="6155" max="6155" width="16.5703125" style="60" customWidth="1"/>
    <col min="6156" max="6156" width="4.28515625" style="60" customWidth="1"/>
    <col min="6157" max="6157" width="6.85546875" style="60" customWidth="1"/>
    <col min="6158" max="6159" width="2.28515625" style="60" customWidth="1"/>
    <col min="6160" max="6160" width="10.85546875" style="60" customWidth="1"/>
    <col min="6161" max="6161" width="3.85546875" style="60" customWidth="1"/>
    <col min="6162" max="6162" width="2" style="60" customWidth="1"/>
    <col min="6163" max="6163" width="15.5703125" style="60" customWidth="1"/>
    <col min="6164" max="6164" width="1.85546875" style="60" customWidth="1"/>
    <col min="6165" max="6165" width="15.5703125" style="60" customWidth="1"/>
    <col min="6166" max="6166" width="1.85546875" style="60" customWidth="1"/>
    <col min="6167" max="6167" width="15.5703125" style="60" customWidth="1"/>
    <col min="6168" max="6168" width="1.85546875" style="60" customWidth="1"/>
    <col min="6169" max="6169" width="15.5703125" style="60" customWidth="1"/>
    <col min="6170" max="6170" width="3.140625" style="60" customWidth="1"/>
    <col min="6171" max="6171" width="15.5703125" style="60" customWidth="1"/>
    <col min="6172" max="6172" width="14.28515625" style="60" customWidth="1"/>
    <col min="6173" max="6173" width="15.5703125" style="60" customWidth="1"/>
    <col min="6174" max="6174" width="1.85546875" style="60" customWidth="1"/>
    <col min="6175" max="6175" width="15.5703125" style="60" customWidth="1"/>
    <col min="6176" max="6176" width="2.85546875" style="60" customWidth="1"/>
    <col min="6177" max="6409" width="13.85546875" style="60"/>
    <col min="6410" max="6410" width="7" style="60" customWidth="1"/>
    <col min="6411" max="6411" width="16.5703125" style="60" customWidth="1"/>
    <col min="6412" max="6412" width="4.28515625" style="60" customWidth="1"/>
    <col min="6413" max="6413" width="6.85546875" style="60" customWidth="1"/>
    <col min="6414" max="6415" width="2.28515625" style="60" customWidth="1"/>
    <col min="6416" max="6416" width="10.85546875" style="60" customWidth="1"/>
    <col min="6417" max="6417" width="3.85546875" style="60" customWidth="1"/>
    <col min="6418" max="6418" width="2" style="60" customWidth="1"/>
    <col min="6419" max="6419" width="15.5703125" style="60" customWidth="1"/>
    <col min="6420" max="6420" width="1.85546875" style="60" customWidth="1"/>
    <col min="6421" max="6421" width="15.5703125" style="60" customWidth="1"/>
    <col min="6422" max="6422" width="1.85546875" style="60" customWidth="1"/>
    <col min="6423" max="6423" width="15.5703125" style="60" customWidth="1"/>
    <col min="6424" max="6424" width="1.85546875" style="60" customWidth="1"/>
    <col min="6425" max="6425" width="15.5703125" style="60" customWidth="1"/>
    <col min="6426" max="6426" width="3.140625" style="60" customWidth="1"/>
    <col min="6427" max="6427" width="15.5703125" style="60" customWidth="1"/>
    <col min="6428" max="6428" width="14.28515625" style="60" customWidth="1"/>
    <col min="6429" max="6429" width="15.5703125" style="60" customWidth="1"/>
    <col min="6430" max="6430" width="1.85546875" style="60" customWidth="1"/>
    <col min="6431" max="6431" width="15.5703125" style="60" customWidth="1"/>
    <col min="6432" max="6432" width="2.85546875" style="60" customWidth="1"/>
    <col min="6433" max="6665" width="13.85546875" style="60"/>
    <col min="6666" max="6666" width="7" style="60" customWidth="1"/>
    <col min="6667" max="6667" width="16.5703125" style="60" customWidth="1"/>
    <col min="6668" max="6668" width="4.28515625" style="60" customWidth="1"/>
    <col min="6669" max="6669" width="6.85546875" style="60" customWidth="1"/>
    <col min="6670" max="6671" width="2.28515625" style="60" customWidth="1"/>
    <col min="6672" max="6672" width="10.85546875" style="60" customWidth="1"/>
    <col min="6673" max="6673" width="3.85546875" style="60" customWidth="1"/>
    <col min="6674" max="6674" width="2" style="60" customWidth="1"/>
    <col min="6675" max="6675" width="15.5703125" style="60" customWidth="1"/>
    <col min="6676" max="6676" width="1.85546875" style="60" customWidth="1"/>
    <col min="6677" max="6677" width="15.5703125" style="60" customWidth="1"/>
    <col min="6678" max="6678" width="1.85546875" style="60" customWidth="1"/>
    <col min="6679" max="6679" width="15.5703125" style="60" customWidth="1"/>
    <col min="6680" max="6680" width="1.85546875" style="60" customWidth="1"/>
    <col min="6681" max="6681" width="15.5703125" style="60" customWidth="1"/>
    <col min="6682" max="6682" width="3.140625" style="60" customWidth="1"/>
    <col min="6683" max="6683" width="15.5703125" style="60" customWidth="1"/>
    <col min="6684" max="6684" width="14.28515625" style="60" customWidth="1"/>
    <col min="6685" max="6685" width="15.5703125" style="60" customWidth="1"/>
    <col min="6686" max="6686" width="1.85546875" style="60" customWidth="1"/>
    <col min="6687" max="6687" width="15.5703125" style="60" customWidth="1"/>
    <col min="6688" max="6688" width="2.85546875" style="60" customWidth="1"/>
    <col min="6689" max="6921" width="13.85546875" style="60"/>
    <col min="6922" max="6922" width="7" style="60" customWidth="1"/>
    <col min="6923" max="6923" width="16.5703125" style="60" customWidth="1"/>
    <col min="6924" max="6924" width="4.28515625" style="60" customWidth="1"/>
    <col min="6925" max="6925" width="6.85546875" style="60" customWidth="1"/>
    <col min="6926" max="6927" width="2.28515625" style="60" customWidth="1"/>
    <col min="6928" max="6928" width="10.85546875" style="60" customWidth="1"/>
    <col min="6929" max="6929" width="3.85546875" style="60" customWidth="1"/>
    <col min="6930" max="6930" width="2" style="60" customWidth="1"/>
    <col min="6931" max="6931" width="15.5703125" style="60" customWidth="1"/>
    <col min="6932" max="6932" width="1.85546875" style="60" customWidth="1"/>
    <col min="6933" max="6933" width="15.5703125" style="60" customWidth="1"/>
    <col min="6934" max="6934" width="1.85546875" style="60" customWidth="1"/>
    <col min="6935" max="6935" width="15.5703125" style="60" customWidth="1"/>
    <col min="6936" max="6936" width="1.85546875" style="60" customWidth="1"/>
    <col min="6937" max="6937" width="15.5703125" style="60" customWidth="1"/>
    <col min="6938" max="6938" width="3.140625" style="60" customWidth="1"/>
    <col min="6939" max="6939" width="15.5703125" style="60" customWidth="1"/>
    <col min="6940" max="6940" width="14.28515625" style="60" customWidth="1"/>
    <col min="6941" max="6941" width="15.5703125" style="60" customWidth="1"/>
    <col min="6942" max="6942" width="1.85546875" style="60" customWidth="1"/>
    <col min="6943" max="6943" width="15.5703125" style="60" customWidth="1"/>
    <col min="6944" max="6944" width="2.85546875" style="60" customWidth="1"/>
    <col min="6945" max="7177" width="13.85546875" style="60"/>
    <col min="7178" max="7178" width="7" style="60" customWidth="1"/>
    <col min="7179" max="7179" width="16.5703125" style="60" customWidth="1"/>
    <col min="7180" max="7180" width="4.28515625" style="60" customWidth="1"/>
    <col min="7181" max="7181" width="6.85546875" style="60" customWidth="1"/>
    <col min="7182" max="7183" width="2.28515625" style="60" customWidth="1"/>
    <col min="7184" max="7184" width="10.85546875" style="60" customWidth="1"/>
    <col min="7185" max="7185" width="3.85546875" style="60" customWidth="1"/>
    <col min="7186" max="7186" width="2" style="60" customWidth="1"/>
    <col min="7187" max="7187" width="15.5703125" style="60" customWidth="1"/>
    <col min="7188" max="7188" width="1.85546875" style="60" customWidth="1"/>
    <col min="7189" max="7189" width="15.5703125" style="60" customWidth="1"/>
    <col min="7190" max="7190" width="1.85546875" style="60" customWidth="1"/>
    <col min="7191" max="7191" width="15.5703125" style="60" customWidth="1"/>
    <col min="7192" max="7192" width="1.85546875" style="60" customWidth="1"/>
    <col min="7193" max="7193" width="15.5703125" style="60" customWidth="1"/>
    <col min="7194" max="7194" width="3.140625" style="60" customWidth="1"/>
    <col min="7195" max="7195" width="15.5703125" style="60" customWidth="1"/>
    <col min="7196" max="7196" width="14.28515625" style="60" customWidth="1"/>
    <col min="7197" max="7197" width="15.5703125" style="60" customWidth="1"/>
    <col min="7198" max="7198" width="1.85546875" style="60" customWidth="1"/>
    <col min="7199" max="7199" width="15.5703125" style="60" customWidth="1"/>
    <col min="7200" max="7200" width="2.85546875" style="60" customWidth="1"/>
    <col min="7201" max="7433" width="13.85546875" style="60"/>
    <col min="7434" max="7434" width="7" style="60" customWidth="1"/>
    <col min="7435" max="7435" width="16.5703125" style="60" customWidth="1"/>
    <col min="7436" max="7436" width="4.28515625" style="60" customWidth="1"/>
    <col min="7437" max="7437" width="6.85546875" style="60" customWidth="1"/>
    <col min="7438" max="7439" width="2.28515625" style="60" customWidth="1"/>
    <col min="7440" max="7440" width="10.85546875" style="60" customWidth="1"/>
    <col min="7441" max="7441" width="3.85546875" style="60" customWidth="1"/>
    <col min="7442" max="7442" width="2" style="60" customWidth="1"/>
    <col min="7443" max="7443" width="15.5703125" style="60" customWidth="1"/>
    <col min="7444" max="7444" width="1.85546875" style="60" customWidth="1"/>
    <col min="7445" max="7445" width="15.5703125" style="60" customWidth="1"/>
    <col min="7446" max="7446" width="1.85546875" style="60" customWidth="1"/>
    <col min="7447" max="7447" width="15.5703125" style="60" customWidth="1"/>
    <col min="7448" max="7448" width="1.85546875" style="60" customWidth="1"/>
    <col min="7449" max="7449" width="15.5703125" style="60" customWidth="1"/>
    <col min="7450" max="7450" width="3.140625" style="60" customWidth="1"/>
    <col min="7451" max="7451" width="15.5703125" style="60" customWidth="1"/>
    <col min="7452" max="7452" width="14.28515625" style="60" customWidth="1"/>
    <col min="7453" max="7453" width="15.5703125" style="60" customWidth="1"/>
    <col min="7454" max="7454" width="1.85546875" style="60" customWidth="1"/>
    <col min="7455" max="7455" width="15.5703125" style="60" customWidth="1"/>
    <col min="7456" max="7456" width="2.85546875" style="60" customWidth="1"/>
    <col min="7457" max="7689" width="13.85546875" style="60"/>
    <col min="7690" max="7690" width="7" style="60" customWidth="1"/>
    <col min="7691" max="7691" width="16.5703125" style="60" customWidth="1"/>
    <col min="7692" max="7692" width="4.28515625" style="60" customWidth="1"/>
    <col min="7693" max="7693" width="6.85546875" style="60" customWidth="1"/>
    <col min="7694" max="7695" width="2.28515625" style="60" customWidth="1"/>
    <col min="7696" max="7696" width="10.85546875" style="60" customWidth="1"/>
    <col min="7697" max="7697" width="3.85546875" style="60" customWidth="1"/>
    <col min="7698" max="7698" width="2" style="60" customWidth="1"/>
    <col min="7699" max="7699" width="15.5703125" style="60" customWidth="1"/>
    <col min="7700" max="7700" width="1.85546875" style="60" customWidth="1"/>
    <col min="7701" max="7701" width="15.5703125" style="60" customWidth="1"/>
    <col min="7702" max="7702" width="1.85546875" style="60" customWidth="1"/>
    <col min="7703" max="7703" width="15.5703125" style="60" customWidth="1"/>
    <col min="7704" max="7704" width="1.85546875" style="60" customWidth="1"/>
    <col min="7705" max="7705" width="15.5703125" style="60" customWidth="1"/>
    <col min="7706" max="7706" width="3.140625" style="60" customWidth="1"/>
    <col min="7707" max="7707" width="15.5703125" style="60" customWidth="1"/>
    <col min="7708" max="7708" width="14.28515625" style="60" customWidth="1"/>
    <col min="7709" max="7709" width="15.5703125" style="60" customWidth="1"/>
    <col min="7710" max="7710" width="1.85546875" style="60" customWidth="1"/>
    <col min="7711" max="7711" width="15.5703125" style="60" customWidth="1"/>
    <col min="7712" max="7712" width="2.85546875" style="60" customWidth="1"/>
    <col min="7713" max="7945" width="13.85546875" style="60"/>
    <col min="7946" max="7946" width="7" style="60" customWidth="1"/>
    <col min="7947" max="7947" width="16.5703125" style="60" customWidth="1"/>
    <col min="7948" max="7948" width="4.28515625" style="60" customWidth="1"/>
    <col min="7949" max="7949" width="6.85546875" style="60" customWidth="1"/>
    <col min="7950" max="7951" width="2.28515625" style="60" customWidth="1"/>
    <col min="7952" max="7952" width="10.85546875" style="60" customWidth="1"/>
    <col min="7953" max="7953" width="3.85546875" style="60" customWidth="1"/>
    <col min="7954" max="7954" width="2" style="60" customWidth="1"/>
    <col min="7955" max="7955" width="15.5703125" style="60" customWidth="1"/>
    <col min="7956" max="7956" width="1.85546875" style="60" customWidth="1"/>
    <col min="7957" max="7957" width="15.5703125" style="60" customWidth="1"/>
    <col min="7958" max="7958" width="1.85546875" style="60" customWidth="1"/>
    <col min="7959" max="7959" width="15.5703125" style="60" customWidth="1"/>
    <col min="7960" max="7960" width="1.85546875" style="60" customWidth="1"/>
    <col min="7961" max="7961" width="15.5703125" style="60" customWidth="1"/>
    <col min="7962" max="7962" width="3.140625" style="60" customWidth="1"/>
    <col min="7963" max="7963" width="15.5703125" style="60" customWidth="1"/>
    <col min="7964" max="7964" width="14.28515625" style="60" customWidth="1"/>
    <col min="7965" max="7965" width="15.5703125" style="60" customWidth="1"/>
    <col min="7966" max="7966" width="1.85546875" style="60" customWidth="1"/>
    <col min="7967" max="7967" width="15.5703125" style="60" customWidth="1"/>
    <col min="7968" max="7968" width="2.85546875" style="60" customWidth="1"/>
    <col min="7969" max="8201" width="13.85546875" style="60"/>
    <col min="8202" max="8202" width="7" style="60" customWidth="1"/>
    <col min="8203" max="8203" width="16.5703125" style="60" customWidth="1"/>
    <col min="8204" max="8204" width="4.28515625" style="60" customWidth="1"/>
    <col min="8205" max="8205" width="6.85546875" style="60" customWidth="1"/>
    <col min="8206" max="8207" width="2.28515625" style="60" customWidth="1"/>
    <col min="8208" max="8208" width="10.85546875" style="60" customWidth="1"/>
    <col min="8209" max="8209" width="3.85546875" style="60" customWidth="1"/>
    <col min="8210" max="8210" width="2" style="60" customWidth="1"/>
    <col min="8211" max="8211" width="15.5703125" style="60" customWidth="1"/>
    <col min="8212" max="8212" width="1.85546875" style="60" customWidth="1"/>
    <col min="8213" max="8213" width="15.5703125" style="60" customWidth="1"/>
    <col min="8214" max="8214" width="1.85546875" style="60" customWidth="1"/>
    <col min="8215" max="8215" width="15.5703125" style="60" customWidth="1"/>
    <col min="8216" max="8216" width="1.85546875" style="60" customWidth="1"/>
    <col min="8217" max="8217" width="15.5703125" style="60" customWidth="1"/>
    <col min="8218" max="8218" width="3.140625" style="60" customWidth="1"/>
    <col min="8219" max="8219" width="15.5703125" style="60" customWidth="1"/>
    <col min="8220" max="8220" width="14.28515625" style="60" customWidth="1"/>
    <col min="8221" max="8221" width="15.5703125" style="60" customWidth="1"/>
    <col min="8222" max="8222" width="1.85546875" style="60" customWidth="1"/>
    <col min="8223" max="8223" width="15.5703125" style="60" customWidth="1"/>
    <col min="8224" max="8224" width="2.85546875" style="60" customWidth="1"/>
    <col min="8225" max="8457" width="13.85546875" style="60"/>
    <col min="8458" max="8458" width="7" style="60" customWidth="1"/>
    <col min="8459" max="8459" width="16.5703125" style="60" customWidth="1"/>
    <col min="8460" max="8460" width="4.28515625" style="60" customWidth="1"/>
    <col min="8461" max="8461" width="6.85546875" style="60" customWidth="1"/>
    <col min="8462" max="8463" width="2.28515625" style="60" customWidth="1"/>
    <col min="8464" max="8464" width="10.85546875" style="60" customWidth="1"/>
    <col min="8465" max="8465" width="3.85546875" style="60" customWidth="1"/>
    <col min="8466" max="8466" width="2" style="60" customWidth="1"/>
    <col min="8467" max="8467" width="15.5703125" style="60" customWidth="1"/>
    <col min="8468" max="8468" width="1.85546875" style="60" customWidth="1"/>
    <col min="8469" max="8469" width="15.5703125" style="60" customWidth="1"/>
    <col min="8470" max="8470" width="1.85546875" style="60" customWidth="1"/>
    <col min="8471" max="8471" width="15.5703125" style="60" customWidth="1"/>
    <col min="8472" max="8472" width="1.85546875" style="60" customWidth="1"/>
    <col min="8473" max="8473" width="15.5703125" style="60" customWidth="1"/>
    <col min="8474" max="8474" width="3.140625" style="60" customWidth="1"/>
    <col min="8475" max="8475" width="15.5703125" style="60" customWidth="1"/>
    <col min="8476" max="8476" width="14.28515625" style="60" customWidth="1"/>
    <col min="8477" max="8477" width="15.5703125" style="60" customWidth="1"/>
    <col min="8478" max="8478" width="1.85546875" style="60" customWidth="1"/>
    <col min="8479" max="8479" width="15.5703125" style="60" customWidth="1"/>
    <col min="8480" max="8480" width="2.85546875" style="60" customWidth="1"/>
    <col min="8481" max="8713" width="13.85546875" style="60"/>
    <col min="8714" max="8714" width="7" style="60" customWidth="1"/>
    <col min="8715" max="8715" width="16.5703125" style="60" customWidth="1"/>
    <col min="8716" max="8716" width="4.28515625" style="60" customWidth="1"/>
    <col min="8717" max="8717" width="6.85546875" style="60" customWidth="1"/>
    <col min="8718" max="8719" width="2.28515625" style="60" customWidth="1"/>
    <col min="8720" max="8720" width="10.85546875" style="60" customWidth="1"/>
    <col min="8721" max="8721" width="3.85546875" style="60" customWidth="1"/>
    <col min="8722" max="8722" width="2" style="60" customWidth="1"/>
    <col min="8723" max="8723" width="15.5703125" style="60" customWidth="1"/>
    <col min="8724" max="8724" width="1.85546875" style="60" customWidth="1"/>
    <col min="8725" max="8725" width="15.5703125" style="60" customWidth="1"/>
    <col min="8726" max="8726" width="1.85546875" style="60" customWidth="1"/>
    <col min="8727" max="8727" width="15.5703125" style="60" customWidth="1"/>
    <col min="8728" max="8728" width="1.85546875" style="60" customWidth="1"/>
    <col min="8729" max="8729" width="15.5703125" style="60" customWidth="1"/>
    <col min="8730" max="8730" width="3.140625" style="60" customWidth="1"/>
    <col min="8731" max="8731" width="15.5703125" style="60" customWidth="1"/>
    <col min="8732" max="8732" width="14.28515625" style="60" customWidth="1"/>
    <col min="8733" max="8733" width="15.5703125" style="60" customWidth="1"/>
    <col min="8734" max="8734" width="1.85546875" style="60" customWidth="1"/>
    <col min="8735" max="8735" width="15.5703125" style="60" customWidth="1"/>
    <col min="8736" max="8736" width="2.85546875" style="60" customWidth="1"/>
    <col min="8737" max="8969" width="13.85546875" style="60"/>
    <col min="8970" max="8970" width="7" style="60" customWidth="1"/>
    <col min="8971" max="8971" width="16.5703125" style="60" customWidth="1"/>
    <col min="8972" max="8972" width="4.28515625" style="60" customWidth="1"/>
    <col min="8973" max="8973" width="6.85546875" style="60" customWidth="1"/>
    <col min="8974" max="8975" width="2.28515625" style="60" customWidth="1"/>
    <col min="8976" max="8976" width="10.85546875" style="60" customWidth="1"/>
    <col min="8977" max="8977" width="3.85546875" style="60" customWidth="1"/>
    <col min="8978" max="8978" width="2" style="60" customWidth="1"/>
    <col min="8979" max="8979" width="15.5703125" style="60" customWidth="1"/>
    <col min="8980" max="8980" width="1.85546875" style="60" customWidth="1"/>
    <col min="8981" max="8981" width="15.5703125" style="60" customWidth="1"/>
    <col min="8982" max="8982" width="1.85546875" style="60" customWidth="1"/>
    <col min="8983" max="8983" width="15.5703125" style="60" customWidth="1"/>
    <col min="8984" max="8984" width="1.85546875" style="60" customWidth="1"/>
    <col min="8985" max="8985" width="15.5703125" style="60" customWidth="1"/>
    <col min="8986" max="8986" width="3.140625" style="60" customWidth="1"/>
    <col min="8987" max="8987" width="15.5703125" style="60" customWidth="1"/>
    <col min="8988" max="8988" width="14.28515625" style="60" customWidth="1"/>
    <col min="8989" max="8989" width="15.5703125" style="60" customWidth="1"/>
    <col min="8990" max="8990" width="1.85546875" style="60" customWidth="1"/>
    <col min="8991" max="8991" width="15.5703125" style="60" customWidth="1"/>
    <col min="8992" max="8992" width="2.85546875" style="60" customWidth="1"/>
    <col min="8993" max="9225" width="13.85546875" style="60"/>
    <col min="9226" max="9226" width="7" style="60" customWidth="1"/>
    <col min="9227" max="9227" width="16.5703125" style="60" customWidth="1"/>
    <col min="9228" max="9228" width="4.28515625" style="60" customWidth="1"/>
    <col min="9229" max="9229" width="6.85546875" style="60" customWidth="1"/>
    <col min="9230" max="9231" width="2.28515625" style="60" customWidth="1"/>
    <col min="9232" max="9232" width="10.85546875" style="60" customWidth="1"/>
    <col min="9233" max="9233" width="3.85546875" style="60" customWidth="1"/>
    <col min="9234" max="9234" width="2" style="60" customWidth="1"/>
    <col min="9235" max="9235" width="15.5703125" style="60" customWidth="1"/>
    <col min="9236" max="9236" width="1.85546875" style="60" customWidth="1"/>
    <col min="9237" max="9237" width="15.5703125" style="60" customWidth="1"/>
    <col min="9238" max="9238" width="1.85546875" style="60" customWidth="1"/>
    <col min="9239" max="9239" width="15.5703125" style="60" customWidth="1"/>
    <col min="9240" max="9240" width="1.85546875" style="60" customWidth="1"/>
    <col min="9241" max="9241" width="15.5703125" style="60" customWidth="1"/>
    <col min="9242" max="9242" width="3.140625" style="60" customWidth="1"/>
    <col min="9243" max="9243" width="15.5703125" style="60" customWidth="1"/>
    <col min="9244" max="9244" width="14.28515625" style="60" customWidth="1"/>
    <col min="9245" max="9245" width="15.5703125" style="60" customWidth="1"/>
    <col min="9246" max="9246" width="1.85546875" style="60" customWidth="1"/>
    <col min="9247" max="9247" width="15.5703125" style="60" customWidth="1"/>
    <col min="9248" max="9248" width="2.85546875" style="60" customWidth="1"/>
    <col min="9249" max="9481" width="13.85546875" style="60"/>
    <col min="9482" max="9482" width="7" style="60" customWidth="1"/>
    <col min="9483" max="9483" width="16.5703125" style="60" customWidth="1"/>
    <col min="9484" max="9484" width="4.28515625" style="60" customWidth="1"/>
    <col min="9485" max="9485" width="6.85546875" style="60" customWidth="1"/>
    <col min="9486" max="9487" width="2.28515625" style="60" customWidth="1"/>
    <col min="9488" max="9488" width="10.85546875" style="60" customWidth="1"/>
    <col min="9489" max="9489" width="3.85546875" style="60" customWidth="1"/>
    <col min="9490" max="9490" width="2" style="60" customWidth="1"/>
    <col min="9491" max="9491" width="15.5703125" style="60" customWidth="1"/>
    <col min="9492" max="9492" width="1.85546875" style="60" customWidth="1"/>
    <col min="9493" max="9493" width="15.5703125" style="60" customWidth="1"/>
    <col min="9494" max="9494" width="1.85546875" style="60" customWidth="1"/>
    <col min="9495" max="9495" width="15.5703125" style="60" customWidth="1"/>
    <col min="9496" max="9496" width="1.85546875" style="60" customWidth="1"/>
    <col min="9497" max="9497" width="15.5703125" style="60" customWidth="1"/>
    <col min="9498" max="9498" width="3.140625" style="60" customWidth="1"/>
    <col min="9499" max="9499" width="15.5703125" style="60" customWidth="1"/>
    <col min="9500" max="9500" width="14.28515625" style="60" customWidth="1"/>
    <col min="9501" max="9501" width="15.5703125" style="60" customWidth="1"/>
    <col min="9502" max="9502" width="1.85546875" style="60" customWidth="1"/>
    <col min="9503" max="9503" width="15.5703125" style="60" customWidth="1"/>
    <col min="9504" max="9504" width="2.85546875" style="60" customWidth="1"/>
    <col min="9505" max="9737" width="13.85546875" style="60"/>
    <col min="9738" max="9738" width="7" style="60" customWidth="1"/>
    <col min="9739" max="9739" width="16.5703125" style="60" customWidth="1"/>
    <col min="9740" max="9740" width="4.28515625" style="60" customWidth="1"/>
    <col min="9741" max="9741" width="6.85546875" style="60" customWidth="1"/>
    <col min="9742" max="9743" width="2.28515625" style="60" customWidth="1"/>
    <col min="9744" max="9744" width="10.85546875" style="60" customWidth="1"/>
    <col min="9745" max="9745" width="3.85546875" style="60" customWidth="1"/>
    <col min="9746" max="9746" width="2" style="60" customWidth="1"/>
    <col min="9747" max="9747" width="15.5703125" style="60" customWidth="1"/>
    <col min="9748" max="9748" width="1.85546875" style="60" customWidth="1"/>
    <col min="9749" max="9749" width="15.5703125" style="60" customWidth="1"/>
    <col min="9750" max="9750" width="1.85546875" style="60" customWidth="1"/>
    <col min="9751" max="9751" width="15.5703125" style="60" customWidth="1"/>
    <col min="9752" max="9752" width="1.85546875" style="60" customWidth="1"/>
    <col min="9753" max="9753" width="15.5703125" style="60" customWidth="1"/>
    <col min="9754" max="9754" width="3.140625" style="60" customWidth="1"/>
    <col min="9755" max="9755" width="15.5703125" style="60" customWidth="1"/>
    <col min="9756" max="9756" width="14.28515625" style="60" customWidth="1"/>
    <col min="9757" max="9757" width="15.5703125" style="60" customWidth="1"/>
    <col min="9758" max="9758" width="1.85546875" style="60" customWidth="1"/>
    <col min="9759" max="9759" width="15.5703125" style="60" customWidth="1"/>
    <col min="9760" max="9760" width="2.85546875" style="60" customWidth="1"/>
    <col min="9761" max="9993" width="13.85546875" style="60"/>
    <col min="9994" max="9994" width="7" style="60" customWidth="1"/>
    <col min="9995" max="9995" width="16.5703125" style="60" customWidth="1"/>
    <col min="9996" max="9996" width="4.28515625" style="60" customWidth="1"/>
    <col min="9997" max="9997" width="6.85546875" style="60" customWidth="1"/>
    <col min="9998" max="9999" width="2.28515625" style="60" customWidth="1"/>
    <col min="10000" max="10000" width="10.85546875" style="60" customWidth="1"/>
    <col min="10001" max="10001" width="3.85546875" style="60" customWidth="1"/>
    <col min="10002" max="10002" width="2" style="60" customWidth="1"/>
    <col min="10003" max="10003" width="15.5703125" style="60" customWidth="1"/>
    <col min="10004" max="10004" width="1.85546875" style="60" customWidth="1"/>
    <col min="10005" max="10005" width="15.5703125" style="60" customWidth="1"/>
    <col min="10006" max="10006" width="1.85546875" style="60" customWidth="1"/>
    <col min="10007" max="10007" width="15.5703125" style="60" customWidth="1"/>
    <col min="10008" max="10008" width="1.85546875" style="60" customWidth="1"/>
    <col min="10009" max="10009" width="15.5703125" style="60" customWidth="1"/>
    <col min="10010" max="10010" width="3.140625" style="60" customWidth="1"/>
    <col min="10011" max="10011" width="15.5703125" style="60" customWidth="1"/>
    <col min="10012" max="10012" width="14.28515625" style="60" customWidth="1"/>
    <col min="10013" max="10013" width="15.5703125" style="60" customWidth="1"/>
    <col min="10014" max="10014" width="1.85546875" style="60" customWidth="1"/>
    <col min="10015" max="10015" width="15.5703125" style="60" customWidth="1"/>
    <col min="10016" max="10016" width="2.85546875" style="60" customWidth="1"/>
    <col min="10017" max="10249" width="13.85546875" style="60"/>
    <col min="10250" max="10250" width="7" style="60" customWidth="1"/>
    <col min="10251" max="10251" width="16.5703125" style="60" customWidth="1"/>
    <col min="10252" max="10252" width="4.28515625" style="60" customWidth="1"/>
    <col min="10253" max="10253" width="6.85546875" style="60" customWidth="1"/>
    <col min="10254" max="10255" width="2.28515625" style="60" customWidth="1"/>
    <col min="10256" max="10256" width="10.85546875" style="60" customWidth="1"/>
    <col min="10257" max="10257" width="3.85546875" style="60" customWidth="1"/>
    <col min="10258" max="10258" width="2" style="60" customWidth="1"/>
    <col min="10259" max="10259" width="15.5703125" style="60" customWidth="1"/>
    <col min="10260" max="10260" width="1.85546875" style="60" customWidth="1"/>
    <col min="10261" max="10261" width="15.5703125" style="60" customWidth="1"/>
    <col min="10262" max="10262" width="1.85546875" style="60" customWidth="1"/>
    <col min="10263" max="10263" width="15.5703125" style="60" customWidth="1"/>
    <col min="10264" max="10264" width="1.85546875" style="60" customWidth="1"/>
    <col min="10265" max="10265" width="15.5703125" style="60" customWidth="1"/>
    <col min="10266" max="10266" width="3.140625" style="60" customWidth="1"/>
    <col min="10267" max="10267" width="15.5703125" style="60" customWidth="1"/>
    <col min="10268" max="10268" width="14.28515625" style="60" customWidth="1"/>
    <col min="10269" max="10269" width="15.5703125" style="60" customWidth="1"/>
    <col min="10270" max="10270" width="1.85546875" style="60" customWidth="1"/>
    <col min="10271" max="10271" width="15.5703125" style="60" customWidth="1"/>
    <col min="10272" max="10272" width="2.85546875" style="60" customWidth="1"/>
    <col min="10273" max="10505" width="13.85546875" style="60"/>
    <col min="10506" max="10506" width="7" style="60" customWidth="1"/>
    <col min="10507" max="10507" width="16.5703125" style="60" customWidth="1"/>
    <col min="10508" max="10508" width="4.28515625" style="60" customWidth="1"/>
    <col min="10509" max="10509" width="6.85546875" style="60" customWidth="1"/>
    <col min="10510" max="10511" width="2.28515625" style="60" customWidth="1"/>
    <col min="10512" max="10512" width="10.85546875" style="60" customWidth="1"/>
    <col min="10513" max="10513" width="3.85546875" style="60" customWidth="1"/>
    <col min="10514" max="10514" width="2" style="60" customWidth="1"/>
    <col min="10515" max="10515" width="15.5703125" style="60" customWidth="1"/>
    <col min="10516" max="10516" width="1.85546875" style="60" customWidth="1"/>
    <col min="10517" max="10517" width="15.5703125" style="60" customWidth="1"/>
    <col min="10518" max="10518" width="1.85546875" style="60" customWidth="1"/>
    <col min="10519" max="10519" width="15.5703125" style="60" customWidth="1"/>
    <col min="10520" max="10520" width="1.85546875" style="60" customWidth="1"/>
    <col min="10521" max="10521" width="15.5703125" style="60" customWidth="1"/>
    <col min="10522" max="10522" width="3.140625" style="60" customWidth="1"/>
    <col min="10523" max="10523" width="15.5703125" style="60" customWidth="1"/>
    <col min="10524" max="10524" width="14.28515625" style="60" customWidth="1"/>
    <col min="10525" max="10525" width="15.5703125" style="60" customWidth="1"/>
    <col min="10526" max="10526" width="1.85546875" style="60" customWidth="1"/>
    <col min="10527" max="10527" width="15.5703125" style="60" customWidth="1"/>
    <col min="10528" max="10528" width="2.85546875" style="60" customWidth="1"/>
    <col min="10529" max="10761" width="13.85546875" style="60"/>
    <col min="10762" max="10762" width="7" style="60" customWidth="1"/>
    <col min="10763" max="10763" width="16.5703125" style="60" customWidth="1"/>
    <col min="10764" max="10764" width="4.28515625" style="60" customWidth="1"/>
    <col min="10765" max="10765" width="6.85546875" style="60" customWidth="1"/>
    <col min="10766" max="10767" width="2.28515625" style="60" customWidth="1"/>
    <col min="10768" max="10768" width="10.85546875" style="60" customWidth="1"/>
    <col min="10769" max="10769" width="3.85546875" style="60" customWidth="1"/>
    <col min="10770" max="10770" width="2" style="60" customWidth="1"/>
    <col min="10771" max="10771" width="15.5703125" style="60" customWidth="1"/>
    <col min="10772" max="10772" width="1.85546875" style="60" customWidth="1"/>
    <col min="10773" max="10773" width="15.5703125" style="60" customWidth="1"/>
    <col min="10774" max="10774" width="1.85546875" style="60" customWidth="1"/>
    <col min="10775" max="10775" width="15.5703125" style="60" customWidth="1"/>
    <col min="10776" max="10776" width="1.85546875" style="60" customWidth="1"/>
    <col min="10777" max="10777" width="15.5703125" style="60" customWidth="1"/>
    <col min="10778" max="10778" width="3.140625" style="60" customWidth="1"/>
    <col min="10779" max="10779" width="15.5703125" style="60" customWidth="1"/>
    <col min="10780" max="10780" width="14.28515625" style="60" customWidth="1"/>
    <col min="10781" max="10781" width="15.5703125" style="60" customWidth="1"/>
    <col min="10782" max="10782" width="1.85546875" style="60" customWidth="1"/>
    <col min="10783" max="10783" width="15.5703125" style="60" customWidth="1"/>
    <col min="10784" max="10784" width="2.85546875" style="60" customWidth="1"/>
    <col min="10785" max="11017" width="13.85546875" style="60"/>
    <col min="11018" max="11018" width="7" style="60" customWidth="1"/>
    <col min="11019" max="11019" width="16.5703125" style="60" customWidth="1"/>
    <col min="11020" max="11020" width="4.28515625" style="60" customWidth="1"/>
    <col min="11021" max="11021" width="6.85546875" style="60" customWidth="1"/>
    <col min="11022" max="11023" width="2.28515625" style="60" customWidth="1"/>
    <col min="11024" max="11024" width="10.85546875" style="60" customWidth="1"/>
    <col min="11025" max="11025" width="3.85546875" style="60" customWidth="1"/>
    <col min="11026" max="11026" width="2" style="60" customWidth="1"/>
    <col min="11027" max="11027" width="15.5703125" style="60" customWidth="1"/>
    <col min="11028" max="11028" width="1.85546875" style="60" customWidth="1"/>
    <col min="11029" max="11029" width="15.5703125" style="60" customWidth="1"/>
    <col min="11030" max="11030" width="1.85546875" style="60" customWidth="1"/>
    <col min="11031" max="11031" width="15.5703125" style="60" customWidth="1"/>
    <col min="11032" max="11032" width="1.85546875" style="60" customWidth="1"/>
    <col min="11033" max="11033" width="15.5703125" style="60" customWidth="1"/>
    <col min="11034" max="11034" width="3.140625" style="60" customWidth="1"/>
    <col min="11035" max="11035" width="15.5703125" style="60" customWidth="1"/>
    <col min="11036" max="11036" width="14.28515625" style="60" customWidth="1"/>
    <col min="11037" max="11037" width="15.5703125" style="60" customWidth="1"/>
    <col min="11038" max="11038" width="1.85546875" style="60" customWidth="1"/>
    <col min="11039" max="11039" width="15.5703125" style="60" customWidth="1"/>
    <col min="11040" max="11040" width="2.85546875" style="60" customWidth="1"/>
    <col min="11041" max="11273" width="13.85546875" style="60"/>
    <col min="11274" max="11274" width="7" style="60" customWidth="1"/>
    <col min="11275" max="11275" width="16.5703125" style="60" customWidth="1"/>
    <col min="11276" max="11276" width="4.28515625" style="60" customWidth="1"/>
    <col min="11277" max="11277" width="6.85546875" style="60" customWidth="1"/>
    <col min="11278" max="11279" width="2.28515625" style="60" customWidth="1"/>
    <col min="11280" max="11280" width="10.85546875" style="60" customWidth="1"/>
    <col min="11281" max="11281" width="3.85546875" style="60" customWidth="1"/>
    <col min="11282" max="11282" width="2" style="60" customWidth="1"/>
    <col min="11283" max="11283" width="15.5703125" style="60" customWidth="1"/>
    <col min="11284" max="11284" width="1.85546875" style="60" customWidth="1"/>
    <col min="11285" max="11285" width="15.5703125" style="60" customWidth="1"/>
    <col min="11286" max="11286" width="1.85546875" style="60" customWidth="1"/>
    <col min="11287" max="11287" width="15.5703125" style="60" customWidth="1"/>
    <col min="11288" max="11288" width="1.85546875" style="60" customWidth="1"/>
    <col min="11289" max="11289" width="15.5703125" style="60" customWidth="1"/>
    <col min="11290" max="11290" width="3.140625" style="60" customWidth="1"/>
    <col min="11291" max="11291" width="15.5703125" style="60" customWidth="1"/>
    <col min="11292" max="11292" width="14.28515625" style="60" customWidth="1"/>
    <col min="11293" max="11293" width="15.5703125" style="60" customWidth="1"/>
    <col min="11294" max="11294" width="1.85546875" style="60" customWidth="1"/>
    <col min="11295" max="11295" width="15.5703125" style="60" customWidth="1"/>
    <col min="11296" max="11296" width="2.85546875" style="60" customWidth="1"/>
    <col min="11297" max="11529" width="13.85546875" style="60"/>
    <col min="11530" max="11530" width="7" style="60" customWidth="1"/>
    <col min="11531" max="11531" width="16.5703125" style="60" customWidth="1"/>
    <col min="11532" max="11532" width="4.28515625" style="60" customWidth="1"/>
    <col min="11533" max="11533" width="6.85546875" style="60" customWidth="1"/>
    <col min="11534" max="11535" width="2.28515625" style="60" customWidth="1"/>
    <col min="11536" max="11536" width="10.85546875" style="60" customWidth="1"/>
    <col min="11537" max="11537" width="3.85546875" style="60" customWidth="1"/>
    <col min="11538" max="11538" width="2" style="60" customWidth="1"/>
    <col min="11539" max="11539" width="15.5703125" style="60" customWidth="1"/>
    <col min="11540" max="11540" width="1.85546875" style="60" customWidth="1"/>
    <col min="11541" max="11541" width="15.5703125" style="60" customWidth="1"/>
    <col min="11542" max="11542" width="1.85546875" style="60" customWidth="1"/>
    <col min="11543" max="11543" width="15.5703125" style="60" customWidth="1"/>
    <col min="11544" max="11544" width="1.85546875" style="60" customWidth="1"/>
    <col min="11545" max="11545" width="15.5703125" style="60" customWidth="1"/>
    <col min="11546" max="11546" width="3.140625" style="60" customWidth="1"/>
    <col min="11547" max="11547" width="15.5703125" style="60" customWidth="1"/>
    <col min="11548" max="11548" width="14.28515625" style="60" customWidth="1"/>
    <col min="11549" max="11549" width="15.5703125" style="60" customWidth="1"/>
    <col min="11550" max="11550" width="1.85546875" style="60" customWidth="1"/>
    <col min="11551" max="11551" width="15.5703125" style="60" customWidth="1"/>
    <col min="11552" max="11552" width="2.85546875" style="60" customWidth="1"/>
    <col min="11553" max="11785" width="13.85546875" style="60"/>
    <col min="11786" max="11786" width="7" style="60" customWidth="1"/>
    <col min="11787" max="11787" width="16.5703125" style="60" customWidth="1"/>
    <col min="11788" max="11788" width="4.28515625" style="60" customWidth="1"/>
    <col min="11789" max="11789" width="6.85546875" style="60" customWidth="1"/>
    <col min="11790" max="11791" width="2.28515625" style="60" customWidth="1"/>
    <col min="11792" max="11792" width="10.85546875" style="60" customWidth="1"/>
    <col min="11793" max="11793" width="3.85546875" style="60" customWidth="1"/>
    <col min="11794" max="11794" width="2" style="60" customWidth="1"/>
    <col min="11795" max="11795" width="15.5703125" style="60" customWidth="1"/>
    <col min="11796" max="11796" width="1.85546875" style="60" customWidth="1"/>
    <col min="11797" max="11797" width="15.5703125" style="60" customWidth="1"/>
    <col min="11798" max="11798" width="1.85546875" style="60" customWidth="1"/>
    <col min="11799" max="11799" width="15.5703125" style="60" customWidth="1"/>
    <col min="11800" max="11800" width="1.85546875" style="60" customWidth="1"/>
    <col min="11801" max="11801" width="15.5703125" style="60" customWidth="1"/>
    <col min="11802" max="11802" width="3.140625" style="60" customWidth="1"/>
    <col min="11803" max="11803" width="15.5703125" style="60" customWidth="1"/>
    <col min="11804" max="11804" width="14.28515625" style="60" customWidth="1"/>
    <col min="11805" max="11805" width="15.5703125" style="60" customWidth="1"/>
    <col min="11806" max="11806" width="1.85546875" style="60" customWidth="1"/>
    <col min="11807" max="11807" width="15.5703125" style="60" customWidth="1"/>
    <col min="11808" max="11808" width="2.85546875" style="60" customWidth="1"/>
    <col min="11809" max="12041" width="13.85546875" style="60"/>
    <col min="12042" max="12042" width="7" style="60" customWidth="1"/>
    <col min="12043" max="12043" width="16.5703125" style="60" customWidth="1"/>
    <col min="12044" max="12044" width="4.28515625" style="60" customWidth="1"/>
    <col min="12045" max="12045" width="6.85546875" style="60" customWidth="1"/>
    <col min="12046" max="12047" width="2.28515625" style="60" customWidth="1"/>
    <col min="12048" max="12048" width="10.85546875" style="60" customWidth="1"/>
    <col min="12049" max="12049" width="3.85546875" style="60" customWidth="1"/>
    <col min="12050" max="12050" width="2" style="60" customWidth="1"/>
    <col min="12051" max="12051" width="15.5703125" style="60" customWidth="1"/>
    <col min="12052" max="12052" width="1.85546875" style="60" customWidth="1"/>
    <col min="12053" max="12053" width="15.5703125" style="60" customWidth="1"/>
    <col min="12054" max="12054" width="1.85546875" style="60" customWidth="1"/>
    <col min="12055" max="12055" width="15.5703125" style="60" customWidth="1"/>
    <col min="12056" max="12056" width="1.85546875" style="60" customWidth="1"/>
    <col min="12057" max="12057" width="15.5703125" style="60" customWidth="1"/>
    <col min="12058" max="12058" width="3.140625" style="60" customWidth="1"/>
    <col min="12059" max="12059" width="15.5703125" style="60" customWidth="1"/>
    <col min="12060" max="12060" width="14.28515625" style="60" customWidth="1"/>
    <col min="12061" max="12061" width="15.5703125" style="60" customWidth="1"/>
    <col min="12062" max="12062" width="1.85546875" style="60" customWidth="1"/>
    <col min="12063" max="12063" width="15.5703125" style="60" customWidth="1"/>
    <col min="12064" max="12064" width="2.85546875" style="60" customWidth="1"/>
    <col min="12065" max="12297" width="13.85546875" style="60"/>
    <col min="12298" max="12298" width="7" style="60" customWidth="1"/>
    <col min="12299" max="12299" width="16.5703125" style="60" customWidth="1"/>
    <col min="12300" max="12300" width="4.28515625" style="60" customWidth="1"/>
    <col min="12301" max="12301" width="6.85546875" style="60" customWidth="1"/>
    <col min="12302" max="12303" width="2.28515625" style="60" customWidth="1"/>
    <col min="12304" max="12304" width="10.85546875" style="60" customWidth="1"/>
    <col min="12305" max="12305" width="3.85546875" style="60" customWidth="1"/>
    <col min="12306" max="12306" width="2" style="60" customWidth="1"/>
    <col min="12307" max="12307" width="15.5703125" style="60" customWidth="1"/>
    <col min="12308" max="12308" width="1.85546875" style="60" customWidth="1"/>
    <col min="12309" max="12309" width="15.5703125" style="60" customWidth="1"/>
    <col min="12310" max="12310" width="1.85546875" style="60" customWidth="1"/>
    <col min="12311" max="12311" width="15.5703125" style="60" customWidth="1"/>
    <col min="12312" max="12312" width="1.85546875" style="60" customWidth="1"/>
    <col min="12313" max="12313" width="15.5703125" style="60" customWidth="1"/>
    <col min="12314" max="12314" width="3.140625" style="60" customWidth="1"/>
    <col min="12315" max="12315" width="15.5703125" style="60" customWidth="1"/>
    <col min="12316" max="12316" width="14.28515625" style="60" customWidth="1"/>
    <col min="12317" max="12317" width="15.5703125" style="60" customWidth="1"/>
    <col min="12318" max="12318" width="1.85546875" style="60" customWidth="1"/>
    <col min="12319" max="12319" width="15.5703125" style="60" customWidth="1"/>
    <col min="12320" max="12320" width="2.85546875" style="60" customWidth="1"/>
    <col min="12321" max="12553" width="13.85546875" style="60"/>
    <col min="12554" max="12554" width="7" style="60" customWidth="1"/>
    <col min="12555" max="12555" width="16.5703125" style="60" customWidth="1"/>
    <col min="12556" max="12556" width="4.28515625" style="60" customWidth="1"/>
    <col min="12557" max="12557" width="6.85546875" style="60" customWidth="1"/>
    <col min="12558" max="12559" width="2.28515625" style="60" customWidth="1"/>
    <col min="12560" max="12560" width="10.85546875" style="60" customWidth="1"/>
    <col min="12561" max="12561" width="3.85546875" style="60" customWidth="1"/>
    <col min="12562" max="12562" width="2" style="60" customWidth="1"/>
    <col min="12563" max="12563" width="15.5703125" style="60" customWidth="1"/>
    <col min="12564" max="12564" width="1.85546875" style="60" customWidth="1"/>
    <col min="12565" max="12565" width="15.5703125" style="60" customWidth="1"/>
    <col min="12566" max="12566" width="1.85546875" style="60" customWidth="1"/>
    <col min="12567" max="12567" width="15.5703125" style="60" customWidth="1"/>
    <col min="12568" max="12568" width="1.85546875" style="60" customWidth="1"/>
    <col min="12569" max="12569" width="15.5703125" style="60" customWidth="1"/>
    <col min="12570" max="12570" width="3.140625" style="60" customWidth="1"/>
    <col min="12571" max="12571" width="15.5703125" style="60" customWidth="1"/>
    <col min="12572" max="12572" width="14.28515625" style="60" customWidth="1"/>
    <col min="12573" max="12573" width="15.5703125" style="60" customWidth="1"/>
    <col min="12574" max="12574" width="1.85546875" style="60" customWidth="1"/>
    <col min="12575" max="12575" width="15.5703125" style="60" customWidth="1"/>
    <col min="12576" max="12576" width="2.85546875" style="60" customWidth="1"/>
    <col min="12577" max="12809" width="13.85546875" style="60"/>
    <col min="12810" max="12810" width="7" style="60" customWidth="1"/>
    <col min="12811" max="12811" width="16.5703125" style="60" customWidth="1"/>
    <col min="12812" max="12812" width="4.28515625" style="60" customWidth="1"/>
    <col min="12813" max="12813" width="6.85546875" style="60" customWidth="1"/>
    <col min="12814" max="12815" width="2.28515625" style="60" customWidth="1"/>
    <col min="12816" max="12816" width="10.85546875" style="60" customWidth="1"/>
    <col min="12817" max="12817" width="3.85546875" style="60" customWidth="1"/>
    <col min="12818" max="12818" width="2" style="60" customWidth="1"/>
    <col min="12819" max="12819" width="15.5703125" style="60" customWidth="1"/>
    <col min="12820" max="12820" width="1.85546875" style="60" customWidth="1"/>
    <col min="12821" max="12821" width="15.5703125" style="60" customWidth="1"/>
    <col min="12822" max="12822" width="1.85546875" style="60" customWidth="1"/>
    <col min="12823" max="12823" width="15.5703125" style="60" customWidth="1"/>
    <col min="12824" max="12824" width="1.85546875" style="60" customWidth="1"/>
    <col min="12825" max="12825" width="15.5703125" style="60" customWidth="1"/>
    <col min="12826" max="12826" width="3.140625" style="60" customWidth="1"/>
    <col min="12827" max="12827" width="15.5703125" style="60" customWidth="1"/>
    <col min="12828" max="12828" width="14.28515625" style="60" customWidth="1"/>
    <col min="12829" max="12829" width="15.5703125" style="60" customWidth="1"/>
    <col min="12830" max="12830" width="1.85546875" style="60" customWidth="1"/>
    <col min="12831" max="12831" width="15.5703125" style="60" customWidth="1"/>
    <col min="12832" max="12832" width="2.85546875" style="60" customWidth="1"/>
    <col min="12833" max="13065" width="13.85546875" style="60"/>
    <col min="13066" max="13066" width="7" style="60" customWidth="1"/>
    <col min="13067" max="13067" width="16.5703125" style="60" customWidth="1"/>
    <col min="13068" max="13068" width="4.28515625" style="60" customWidth="1"/>
    <col min="13069" max="13069" width="6.85546875" style="60" customWidth="1"/>
    <col min="13070" max="13071" width="2.28515625" style="60" customWidth="1"/>
    <col min="13072" max="13072" width="10.85546875" style="60" customWidth="1"/>
    <col min="13073" max="13073" width="3.85546875" style="60" customWidth="1"/>
    <col min="13074" max="13074" width="2" style="60" customWidth="1"/>
    <col min="13075" max="13075" width="15.5703125" style="60" customWidth="1"/>
    <col min="13076" max="13076" width="1.85546875" style="60" customWidth="1"/>
    <col min="13077" max="13077" width="15.5703125" style="60" customWidth="1"/>
    <col min="13078" max="13078" width="1.85546875" style="60" customWidth="1"/>
    <col min="13079" max="13079" width="15.5703125" style="60" customWidth="1"/>
    <col min="13080" max="13080" width="1.85546875" style="60" customWidth="1"/>
    <col min="13081" max="13081" width="15.5703125" style="60" customWidth="1"/>
    <col min="13082" max="13082" width="3.140625" style="60" customWidth="1"/>
    <col min="13083" max="13083" width="15.5703125" style="60" customWidth="1"/>
    <col min="13084" max="13084" width="14.28515625" style="60" customWidth="1"/>
    <col min="13085" max="13085" width="15.5703125" style="60" customWidth="1"/>
    <col min="13086" max="13086" width="1.85546875" style="60" customWidth="1"/>
    <col min="13087" max="13087" width="15.5703125" style="60" customWidth="1"/>
    <col min="13088" max="13088" width="2.85546875" style="60" customWidth="1"/>
    <col min="13089" max="13321" width="13.85546875" style="60"/>
    <col min="13322" max="13322" width="7" style="60" customWidth="1"/>
    <col min="13323" max="13323" width="16.5703125" style="60" customWidth="1"/>
    <col min="13324" max="13324" width="4.28515625" style="60" customWidth="1"/>
    <col min="13325" max="13325" width="6.85546875" style="60" customWidth="1"/>
    <col min="13326" max="13327" width="2.28515625" style="60" customWidth="1"/>
    <col min="13328" max="13328" width="10.85546875" style="60" customWidth="1"/>
    <col min="13329" max="13329" width="3.85546875" style="60" customWidth="1"/>
    <col min="13330" max="13330" width="2" style="60" customWidth="1"/>
    <col min="13331" max="13331" width="15.5703125" style="60" customWidth="1"/>
    <col min="13332" max="13332" width="1.85546875" style="60" customWidth="1"/>
    <col min="13333" max="13333" width="15.5703125" style="60" customWidth="1"/>
    <col min="13334" max="13334" width="1.85546875" style="60" customWidth="1"/>
    <col min="13335" max="13335" width="15.5703125" style="60" customWidth="1"/>
    <col min="13336" max="13336" width="1.85546875" style="60" customWidth="1"/>
    <col min="13337" max="13337" width="15.5703125" style="60" customWidth="1"/>
    <col min="13338" max="13338" width="3.140625" style="60" customWidth="1"/>
    <col min="13339" max="13339" width="15.5703125" style="60" customWidth="1"/>
    <col min="13340" max="13340" width="14.28515625" style="60" customWidth="1"/>
    <col min="13341" max="13341" width="15.5703125" style="60" customWidth="1"/>
    <col min="13342" max="13342" width="1.85546875" style="60" customWidth="1"/>
    <col min="13343" max="13343" width="15.5703125" style="60" customWidth="1"/>
    <col min="13344" max="13344" width="2.85546875" style="60" customWidth="1"/>
    <col min="13345" max="13577" width="13.85546875" style="60"/>
    <col min="13578" max="13578" width="7" style="60" customWidth="1"/>
    <col min="13579" max="13579" width="16.5703125" style="60" customWidth="1"/>
    <col min="13580" max="13580" width="4.28515625" style="60" customWidth="1"/>
    <col min="13581" max="13581" width="6.85546875" style="60" customWidth="1"/>
    <col min="13582" max="13583" width="2.28515625" style="60" customWidth="1"/>
    <col min="13584" max="13584" width="10.85546875" style="60" customWidth="1"/>
    <col min="13585" max="13585" width="3.85546875" style="60" customWidth="1"/>
    <col min="13586" max="13586" width="2" style="60" customWidth="1"/>
    <col min="13587" max="13587" width="15.5703125" style="60" customWidth="1"/>
    <col min="13588" max="13588" width="1.85546875" style="60" customWidth="1"/>
    <col min="13589" max="13589" width="15.5703125" style="60" customWidth="1"/>
    <col min="13590" max="13590" width="1.85546875" style="60" customWidth="1"/>
    <col min="13591" max="13591" width="15.5703125" style="60" customWidth="1"/>
    <col min="13592" max="13592" width="1.85546875" style="60" customWidth="1"/>
    <col min="13593" max="13593" width="15.5703125" style="60" customWidth="1"/>
    <col min="13594" max="13594" width="3.140625" style="60" customWidth="1"/>
    <col min="13595" max="13595" width="15.5703125" style="60" customWidth="1"/>
    <col min="13596" max="13596" width="14.28515625" style="60" customWidth="1"/>
    <col min="13597" max="13597" width="15.5703125" style="60" customWidth="1"/>
    <col min="13598" max="13598" width="1.85546875" style="60" customWidth="1"/>
    <col min="13599" max="13599" width="15.5703125" style="60" customWidth="1"/>
    <col min="13600" max="13600" width="2.85546875" style="60" customWidth="1"/>
    <col min="13601" max="13833" width="13.85546875" style="60"/>
    <col min="13834" max="13834" width="7" style="60" customWidth="1"/>
    <col min="13835" max="13835" width="16.5703125" style="60" customWidth="1"/>
    <col min="13836" max="13836" width="4.28515625" style="60" customWidth="1"/>
    <col min="13837" max="13837" width="6.85546875" style="60" customWidth="1"/>
    <col min="13838" max="13839" width="2.28515625" style="60" customWidth="1"/>
    <col min="13840" max="13840" width="10.85546875" style="60" customWidth="1"/>
    <col min="13841" max="13841" width="3.85546875" style="60" customWidth="1"/>
    <col min="13842" max="13842" width="2" style="60" customWidth="1"/>
    <col min="13843" max="13843" width="15.5703125" style="60" customWidth="1"/>
    <col min="13844" max="13844" width="1.85546875" style="60" customWidth="1"/>
    <col min="13845" max="13845" width="15.5703125" style="60" customWidth="1"/>
    <col min="13846" max="13846" width="1.85546875" style="60" customWidth="1"/>
    <col min="13847" max="13847" width="15.5703125" style="60" customWidth="1"/>
    <col min="13848" max="13848" width="1.85546875" style="60" customWidth="1"/>
    <col min="13849" max="13849" width="15.5703125" style="60" customWidth="1"/>
    <col min="13850" max="13850" width="3.140625" style="60" customWidth="1"/>
    <col min="13851" max="13851" width="15.5703125" style="60" customWidth="1"/>
    <col min="13852" max="13852" width="14.28515625" style="60" customWidth="1"/>
    <col min="13853" max="13853" width="15.5703125" style="60" customWidth="1"/>
    <col min="13854" max="13854" width="1.85546875" style="60" customWidth="1"/>
    <col min="13855" max="13855" width="15.5703125" style="60" customWidth="1"/>
    <col min="13856" max="13856" width="2.85546875" style="60" customWidth="1"/>
    <col min="13857" max="14089" width="13.85546875" style="60"/>
    <col min="14090" max="14090" width="7" style="60" customWidth="1"/>
    <col min="14091" max="14091" width="16.5703125" style="60" customWidth="1"/>
    <col min="14092" max="14092" width="4.28515625" style="60" customWidth="1"/>
    <col min="14093" max="14093" width="6.85546875" style="60" customWidth="1"/>
    <col min="14094" max="14095" width="2.28515625" style="60" customWidth="1"/>
    <col min="14096" max="14096" width="10.85546875" style="60" customWidth="1"/>
    <col min="14097" max="14097" width="3.85546875" style="60" customWidth="1"/>
    <col min="14098" max="14098" width="2" style="60" customWidth="1"/>
    <col min="14099" max="14099" width="15.5703125" style="60" customWidth="1"/>
    <col min="14100" max="14100" width="1.85546875" style="60" customWidth="1"/>
    <col min="14101" max="14101" width="15.5703125" style="60" customWidth="1"/>
    <col min="14102" max="14102" width="1.85546875" style="60" customWidth="1"/>
    <col min="14103" max="14103" width="15.5703125" style="60" customWidth="1"/>
    <col min="14104" max="14104" width="1.85546875" style="60" customWidth="1"/>
    <col min="14105" max="14105" width="15.5703125" style="60" customWidth="1"/>
    <col min="14106" max="14106" width="3.140625" style="60" customWidth="1"/>
    <col min="14107" max="14107" width="15.5703125" style="60" customWidth="1"/>
    <col min="14108" max="14108" width="14.28515625" style="60" customWidth="1"/>
    <col min="14109" max="14109" width="15.5703125" style="60" customWidth="1"/>
    <col min="14110" max="14110" width="1.85546875" style="60" customWidth="1"/>
    <col min="14111" max="14111" width="15.5703125" style="60" customWidth="1"/>
    <col min="14112" max="14112" width="2.85546875" style="60" customWidth="1"/>
    <col min="14113" max="14345" width="13.85546875" style="60"/>
    <col min="14346" max="14346" width="7" style="60" customWidth="1"/>
    <col min="14347" max="14347" width="16.5703125" style="60" customWidth="1"/>
    <col min="14348" max="14348" width="4.28515625" style="60" customWidth="1"/>
    <col min="14349" max="14349" width="6.85546875" style="60" customWidth="1"/>
    <col min="14350" max="14351" width="2.28515625" style="60" customWidth="1"/>
    <col min="14352" max="14352" width="10.85546875" style="60" customWidth="1"/>
    <col min="14353" max="14353" width="3.85546875" style="60" customWidth="1"/>
    <col min="14354" max="14354" width="2" style="60" customWidth="1"/>
    <col min="14355" max="14355" width="15.5703125" style="60" customWidth="1"/>
    <col min="14356" max="14356" width="1.85546875" style="60" customWidth="1"/>
    <col min="14357" max="14357" width="15.5703125" style="60" customWidth="1"/>
    <col min="14358" max="14358" width="1.85546875" style="60" customWidth="1"/>
    <col min="14359" max="14359" width="15.5703125" style="60" customWidth="1"/>
    <col min="14360" max="14360" width="1.85546875" style="60" customWidth="1"/>
    <col min="14361" max="14361" width="15.5703125" style="60" customWidth="1"/>
    <col min="14362" max="14362" width="3.140625" style="60" customWidth="1"/>
    <col min="14363" max="14363" width="15.5703125" style="60" customWidth="1"/>
    <col min="14364" max="14364" width="14.28515625" style="60" customWidth="1"/>
    <col min="14365" max="14365" width="15.5703125" style="60" customWidth="1"/>
    <col min="14366" max="14366" width="1.85546875" style="60" customWidth="1"/>
    <col min="14367" max="14367" width="15.5703125" style="60" customWidth="1"/>
    <col min="14368" max="14368" width="2.85546875" style="60" customWidth="1"/>
    <col min="14369" max="14601" width="13.85546875" style="60"/>
    <col min="14602" max="14602" width="7" style="60" customWidth="1"/>
    <col min="14603" max="14603" width="16.5703125" style="60" customWidth="1"/>
    <col min="14604" max="14604" width="4.28515625" style="60" customWidth="1"/>
    <col min="14605" max="14605" width="6.85546875" style="60" customWidth="1"/>
    <col min="14606" max="14607" width="2.28515625" style="60" customWidth="1"/>
    <col min="14608" max="14608" width="10.85546875" style="60" customWidth="1"/>
    <col min="14609" max="14609" width="3.85546875" style="60" customWidth="1"/>
    <col min="14610" max="14610" width="2" style="60" customWidth="1"/>
    <col min="14611" max="14611" width="15.5703125" style="60" customWidth="1"/>
    <col min="14612" max="14612" width="1.85546875" style="60" customWidth="1"/>
    <col min="14613" max="14613" width="15.5703125" style="60" customWidth="1"/>
    <col min="14614" max="14614" width="1.85546875" style="60" customWidth="1"/>
    <col min="14615" max="14615" width="15.5703125" style="60" customWidth="1"/>
    <col min="14616" max="14616" width="1.85546875" style="60" customWidth="1"/>
    <col min="14617" max="14617" width="15.5703125" style="60" customWidth="1"/>
    <col min="14618" max="14618" width="3.140625" style="60" customWidth="1"/>
    <col min="14619" max="14619" width="15.5703125" style="60" customWidth="1"/>
    <col min="14620" max="14620" width="14.28515625" style="60" customWidth="1"/>
    <col min="14621" max="14621" width="15.5703125" style="60" customWidth="1"/>
    <col min="14622" max="14622" width="1.85546875" style="60" customWidth="1"/>
    <col min="14623" max="14623" width="15.5703125" style="60" customWidth="1"/>
    <col min="14624" max="14624" width="2.85546875" style="60" customWidth="1"/>
    <col min="14625" max="14857" width="13.85546875" style="60"/>
    <col min="14858" max="14858" width="7" style="60" customWidth="1"/>
    <col min="14859" max="14859" width="16.5703125" style="60" customWidth="1"/>
    <col min="14860" max="14860" width="4.28515625" style="60" customWidth="1"/>
    <col min="14861" max="14861" width="6.85546875" style="60" customWidth="1"/>
    <col min="14862" max="14863" width="2.28515625" style="60" customWidth="1"/>
    <col min="14864" max="14864" width="10.85546875" style="60" customWidth="1"/>
    <col min="14865" max="14865" width="3.85546875" style="60" customWidth="1"/>
    <col min="14866" max="14866" width="2" style="60" customWidth="1"/>
    <col min="14867" max="14867" width="15.5703125" style="60" customWidth="1"/>
    <col min="14868" max="14868" width="1.85546875" style="60" customWidth="1"/>
    <col min="14869" max="14869" width="15.5703125" style="60" customWidth="1"/>
    <col min="14870" max="14870" width="1.85546875" style="60" customWidth="1"/>
    <col min="14871" max="14871" width="15.5703125" style="60" customWidth="1"/>
    <col min="14872" max="14872" width="1.85546875" style="60" customWidth="1"/>
    <col min="14873" max="14873" width="15.5703125" style="60" customWidth="1"/>
    <col min="14874" max="14874" width="3.140625" style="60" customWidth="1"/>
    <col min="14875" max="14875" width="15.5703125" style="60" customWidth="1"/>
    <col min="14876" max="14876" width="14.28515625" style="60" customWidth="1"/>
    <col min="14877" max="14877" width="15.5703125" style="60" customWidth="1"/>
    <col min="14878" max="14878" width="1.85546875" style="60" customWidth="1"/>
    <col min="14879" max="14879" width="15.5703125" style="60" customWidth="1"/>
    <col min="14880" max="14880" width="2.85546875" style="60" customWidth="1"/>
    <col min="14881" max="15113" width="13.85546875" style="60"/>
    <col min="15114" max="15114" width="7" style="60" customWidth="1"/>
    <col min="15115" max="15115" width="16.5703125" style="60" customWidth="1"/>
    <col min="15116" max="15116" width="4.28515625" style="60" customWidth="1"/>
    <col min="15117" max="15117" width="6.85546875" style="60" customWidth="1"/>
    <col min="15118" max="15119" width="2.28515625" style="60" customWidth="1"/>
    <col min="15120" max="15120" width="10.85546875" style="60" customWidth="1"/>
    <col min="15121" max="15121" width="3.85546875" style="60" customWidth="1"/>
    <col min="15122" max="15122" width="2" style="60" customWidth="1"/>
    <col min="15123" max="15123" width="15.5703125" style="60" customWidth="1"/>
    <col min="15124" max="15124" width="1.85546875" style="60" customWidth="1"/>
    <col min="15125" max="15125" width="15.5703125" style="60" customWidth="1"/>
    <col min="15126" max="15126" width="1.85546875" style="60" customWidth="1"/>
    <col min="15127" max="15127" width="15.5703125" style="60" customWidth="1"/>
    <col min="15128" max="15128" width="1.85546875" style="60" customWidth="1"/>
    <col min="15129" max="15129" width="15.5703125" style="60" customWidth="1"/>
    <col min="15130" max="15130" width="3.140625" style="60" customWidth="1"/>
    <col min="15131" max="15131" width="15.5703125" style="60" customWidth="1"/>
    <col min="15132" max="15132" width="14.28515625" style="60" customWidth="1"/>
    <col min="15133" max="15133" width="15.5703125" style="60" customWidth="1"/>
    <col min="15134" max="15134" width="1.85546875" style="60" customWidth="1"/>
    <col min="15135" max="15135" width="15.5703125" style="60" customWidth="1"/>
    <col min="15136" max="15136" width="2.85546875" style="60" customWidth="1"/>
    <col min="15137" max="15369" width="13.85546875" style="60"/>
    <col min="15370" max="15370" width="7" style="60" customWidth="1"/>
    <col min="15371" max="15371" width="16.5703125" style="60" customWidth="1"/>
    <col min="15372" max="15372" width="4.28515625" style="60" customWidth="1"/>
    <col min="15373" max="15373" width="6.85546875" style="60" customWidth="1"/>
    <col min="15374" max="15375" width="2.28515625" style="60" customWidth="1"/>
    <col min="15376" max="15376" width="10.85546875" style="60" customWidth="1"/>
    <col min="15377" max="15377" width="3.85546875" style="60" customWidth="1"/>
    <col min="15378" max="15378" width="2" style="60" customWidth="1"/>
    <col min="15379" max="15379" width="15.5703125" style="60" customWidth="1"/>
    <col min="15380" max="15380" width="1.85546875" style="60" customWidth="1"/>
    <col min="15381" max="15381" width="15.5703125" style="60" customWidth="1"/>
    <col min="15382" max="15382" width="1.85546875" style="60" customWidth="1"/>
    <col min="15383" max="15383" width="15.5703125" style="60" customWidth="1"/>
    <col min="15384" max="15384" width="1.85546875" style="60" customWidth="1"/>
    <col min="15385" max="15385" width="15.5703125" style="60" customWidth="1"/>
    <col min="15386" max="15386" width="3.140625" style="60" customWidth="1"/>
    <col min="15387" max="15387" width="15.5703125" style="60" customWidth="1"/>
    <col min="15388" max="15388" width="14.28515625" style="60" customWidth="1"/>
    <col min="15389" max="15389" width="15.5703125" style="60" customWidth="1"/>
    <col min="15390" max="15390" width="1.85546875" style="60" customWidth="1"/>
    <col min="15391" max="15391" width="15.5703125" style="60" customWidth="1"/>
    <col min="15392" max="15392" width="2.85546875" style="60" customWidth="1"/>
    <col min="15393" max="15625" width="13.85546875" style="60"/>
    <col min="15626" max="15626" width="7" style="60" customWidth="1"/>
    <col min="15627" max="15627" width="16.5703125" style="60" customWidth="1"/>
    <col min="15628" max="15628" width="4.28515625" style="60" customWidth="1"/>
    <col min="15629" max="15629" width="6.85546875" style="60" customWidth="1"/>
    <col min="15630" max="15631" width="2.28515625" style="60" customWidth="1"/>
    <col min="15632" max="15632" width="10.85546875" style="60" customWidth="1"/>
    <col min="15633" max="15633" width="3.85546875" style="60" customWidth="1"/>
    <col min="15634" max="15634" width="2" style="60" customWidth="1"/>
    <col min="15635" max="15635" width="15.5703125" style="60" customWidth="1"/>
    <col min="15636" max="15636" width="1.85546875" style="60" customWidth="1"/>
    <col min="15637" max="15637" width="15.5703125" style="60" customWidth="1"/>
    <col min="15638" max="15638" width="1.85546875" style="60" customWidth="1"/>
    <col min="15639" max="15639" width="15.5703125" style="60" customWidth="1"/>
    <col min="15640" max="15640" width="1.85546875" style="60" customWidth="1"/>
    <col min="15641" max="15641" width="15.5703125" style="60" customWidth="1"/>
    <col min="15642" max="15642" width="3.140625" style="60" customWidth="1"/>
    <col min="15643" max="15643" width="15.5703125" style="60" customWidth="1"/>
    <col min="15644" max="15644" width="14.28515625" style="60" customWidth="1"/>
    <col min="15645" max="15645" width="15.5703125" style="60" customWidth="1"/>
    <col min="15646" max="15646" width="1.85546875" style="60" customWidth="1"/>
    <col min="15647" max="15647" width="15.5703125" style="60" customWidth="1"/>
    <col min="15648" max="15648" width="2.85546875" style="60" customWidth="1"/>
    <col min="15649" max="15881" width="13.85546875" style="60"/>
    <col min="15882" max="15882" width="7" style="60" customWidth="1"/>
    <col min="15883" max="15883" width="16.5703125" style="60" customWidth="1"/>
    <col min="15884" max="15884" width="4.28515625" style="60" customWidth="1"/>
    <col min="15885" max="15885" width="6.85546875" style="60" customWidth="1"/>
    <col min="15886" max="15887" width="2.28515625" style="60" customWidth="1"/>
    <col min="15888" max="15888" width="10.85546875" style="60" customWidth="1"/>
    <col min="15889" max="15889" width="3.85546875" style="60" customWidth="1"/>
    <col min="15890" max="15890" width="2" style="60" customWidth="1"/>
    <col min="15891" max="15891" width="15.5703125" style="60" customWidth="1"/>
    <col min="15892" max="15892" width="1.85546875" style="60" customWidth="1"/>
    <col min="15893" max="15893" width="15.5703125" style="60" customWidth="1"/>
    <col min="15894" max="15894" width="1.85546875" style="60" customWidth="1"/>
    <col min="15895" max="15895" width="15.5703125" style="60" customWidth="1"/>
    <col min="15896" max="15896" width="1.85546875" style="60" customWidth="1"/>
    <col min="15897" max="15897" width="15.5703125" style="60" customWidth="1"/>
    <col min="15898" max="15898" width="3.140625" style="60" customWidth="1"/>
    <col min="15899" max="15899" width="15.5703125" style="60" customWidth="1"/>
    <col min="15900" max="15900" width="14.28515625" style="60" customWidth="1"/>
    <col min="15901" max="15901" width="15.5703125" style="60" customWidth="1"/>
    <col min="15902" max="15902" width="1.85546875" style="60" customWidth="1"/>
    <col min="15903" max="15903" width="15.5703125" style="60" customWidth="1"/>
    <col min="15904" max="15904" width="2.85546875" style="60" customWidth="1"/>
    <col min="15905" max="16137" width="13.85546875" style="60"/>
    <col min="16138" max="16138" width="7" style="60" customWidth="1"/>
    <col min="16139" max="16139" width="16.5703125" style="60" customWidth="1"/>
    <col min="16140" max="16140" width="4.28515625" style="60" customWidth="1"/>
    <col min="16141" max="16141" width="6.85546875" style="60" customWidth="1"/>
    <col min="16142" max="16143" width="2.28515625" style="60" customWidth="1"/>
    <col min="16144" max="16144" width="10.85546875" style="60" customWidth="1"/>
    <col min="16145" max="16145" width="3.85546875" style="60" customWidth="1"/>
    <col min="16146" max="16146" width="2" style="60" customWidth="1"/>
    <col min="16147" max="16147" width="15.5703125" style="60" customWidth="1"/>
    <col min="16148" max="16148" width="1.85546875" style="60" customWidth="1"/>
    <col min="16149" max="16149" width="15.5703125" style="60" customWidth="1"/>
    <col min="16150" max="16150" width="1.85546875" style="60" customWidth="1"/>
    <col min="16151" max="16151" width="15.5703125" style="60" customWidth="1"/>
    <col min="16152" max="16152" width="1.85546875" style="60" customWidth="1"/>
    <col min="16153" max="16153" width="15.5703125" style="60" customWidth="1"/>
    <col min="16154" max="16154" width="3.140625" style="60" customWidth="1"/>
    <col min="16155" max="16155" width="15.5703125" style="60" customWidth="1"/>
    <col min="16156" max="16156" width="14.28515625" style="60" customWidth="1"/>
    <col min="16157" max="16157" width="15.5703125" style="60" customWidth="1"/>
    <col min="16158" max="16158" width="1.85546875" style="60" customWidth="1"/>
    <col min="16159" max="16159" width="15.5703125" style="60" customWidth="1"/>
    <col min="16160" max="16160" width="2.85546875" style="60" customWidth="1"/>
    <col min="16161" max="16384" width="13.85546875" style="60"/>
  </cols>
  <sheetData>
    <row r="1" spans="1:32" s="956" customFormat="1" ht="15.75">
      <c r="A1" s="957" t="s">
        <v>112</v>
      </c>
      <c r="I1" s="958"/>
      <c r="K1" s="959"/>
      <c r="M1" s="958"/>
      <c r="N1" s="960"/>
      <c r="O1" s="961"/>
    </row>
    <row r="2" spans="1:32" s="956" customFormat="1" ht="15.75">
      <c r="A2" s="957" t="s">
        <v>1899</v>
      </c>
      <c r="M2" s="958"/>
      <c r="O2" s="959"/>
    </row>
    <row r="3" spans="1:32" s="956" customFormat="1" ht="15.75">
      <c r="A3" s="962" t="s">
        <v>1900</v>
      </c>
    </row>
    <row r="4" spans="1:32" s="963" customFormat="1" ht="15">
      <c r="AE4" s="956"/>
      <c r="AF4" s="956"/>
    </row>
    <row r="5" spans="1:32" s="963" customFormat="1" ht="15">
      <c r="AE5" s="956"/>
      <c r="AF5" s="956"/>
    </row>
    <row r="6" spans="1:32" s="963" customFormat="1" ht="15.75" thickBot="1">
      <c r="G6" s="83">
        <v>42192</v>
      </c>
      <c r="I6" s="83">
        <v>42224</v>
      </c>
      <c r="K6" s="83">
        <v>42256</v>
      </c>
      <c r="M6" s="83">
        <v>42287</v>
      </c>
      <c r="O6" s="83">
        <v>42319</v>
      </c>
      <c r="Q6" s="83">
        <v>42350</v>
      </c>
      <c r="S6" s="83">
        <v>42370</v>
      </c>
      <c r="U6" s="83">
        <v>42402</v>
      </c>
      <c r="W6" s="83">
        <v>42432</v>
      </c>
      <c r="Y6" s="83">
        <v>42464</v>
      </c>
      <c r="AA6" s="83">
        <v>42495</v>
      </c>
      <c r="AC6" s="83">
        <v>42527</v>
      </c>
      <c r="AE6" s="956"/>
    </row>
    <row r="7" spans="1:32" s="963" customFormat="1" ht="5.25" customHeight="1">
      <c r="C7" s="964"/>
      <c r="G7" s="965"/>
      <c r="I7" s="965"/>
      <c r="K7" s="965"/>
      <c r="M7" s="965"/>
      <c r="O7" s="965"/>
      <c r="Q7" s="965"/>
      <c r="S7" s="965"/>
      <c r="U7" s="965"/>
      <c r="W7" s="965"/>
      <c r="Y7" s="965"/>
      <c r="AA7" s="965"/>
      <c r="AC7" s="965"/>
      <c r="AE7" s="956"/>
    </row>
    <row r="8" spans="1:32" s="952" customFormat="1" ht="4.5" customHeight="1">
      <c r="AE8" s="956"/>
    </row>
    <row r="9" spans="1:32" s="952" customFormat="1" outlineLevel="1">
      <c r="A9" s="953">
        <v>10050</v>
      </c>
      <c r="B9" s="953" t="s">
        <v>1790</v>
      </c>
      <c r="C9" s="954"/>
      <c r="D9" s="954"/>
      <c r="G9" s="955">
        <v>151.52000000000001</v>
      </c>
      <c r="I9" s="955">
        <v>150.52000000000001</v>
      </c>
      <c r="K9" s="955">
        <v>150.61000000000001</v>
      </c>
      <c r="M9" s="955">
        <v>268.33</v>
      </c>
      <c r="O9" s="955">
        <v>108.33</v>
      </c>
      <c r="Q9" s="955">
        <v>89.93</v>
      </c>
      <c r="S9" s="955">
        <v>89.93</v>
      </c>
      <c r="U9" s="955">
        <v>88.93</v>
      </c>
      <c r="W9" s="955">
        <v>0</v>
      </c>
      <c r="Y9" s="955">
        <v>65.95</v>
      </c>
      <c r="AA9" s="955">
        <v>65.92</v>
      </c>
      <c r="AC9" s="955">
        <v>0</v>
      </c>
    </row>
    <row r="10" spans="1:32" s="952" customFormat="1" outlineLevel="1">
      <c r="A10" s="953">
        <v>10051</v>
      </c>
      <c r="B10" s="953" t="s">
        <v>1791</v>
      </c>
      <c r="C10" s="954"/>
      <c r="D10" s="954"/>
      <c r="G10" s="955">
        <v>650</v>
      </c>
      <c r="I10" s="955">
        <v>650</v>
      </c>
      <c r="K10" s="955">
        <v>650</v>
      </c>
      <c r="M10" s="955">
        <v>650</v>
      </c>
      <c r="O10" s="955">
        <v>650</v>
      </c>
      <c r="Q10" s="955">
        <v>650</v>
      </c>
      <c r="S10" s="955">
        <v>650</v>
      </c>
      <c r="U10" s="955">
        <v>650</v>
      </c>
      <c r="W10" s="955">
        <v>650</v>
      </c>
      <c r="Y10" s="955">
        <v>650</v>
      </c>
      <c r="AA10" s="955">
        <v>650</v>
      </c>
      <c r="AC10" s="955">
        <v>650</v>
      </c>
    </row>
    <row r="11" spans="1:32" s="952" customFormat="1" outlineLevel="1">
      <c r="A11" s="953">
        <v>10070</v>
      </c>
      <c r="B11" s="953" t="s">
        <v>1792</v>
      </c>
      <c r="C11" s="954"/>
      <c r="D11" s="954"/>
      <c r="G11" s="955">
        <v>-12435</v>
      </c>
      <c r="I11" s="955">
        <v>-12435</v>
      </c>
      <c r="K11" s="955">
        <v>-12435</v>
      </c>
      <c r="M11" s="955">
        <v>-14435</v>
      </c>
      <c r="O11" s="955">
        <v>-14435</v>
      </c>
      <c r="Q11" s="955">
        <v>-14435</v>
      </c>
      <c r="S11" s="955">
        <v>-14435</v>
      </c>
      <c r="U11" s="955">
        <v>-14435</v>
      </c>
      <c r="W11" s="955">
        <v>-14435</v>
      </c>
      <c r="Y11" s="955">
        <v>-14935</v>
      </c>
      <c r="AA11" s="955">
        <v>-14935</v>
      </c>
      <c r="AC11" s="955">
        <v>-14935</v>
      </c>
    </row>
    <row r="12" spans="1:32" s="952" customFormat="1" outlineLevel="1">
      <c r="A12" s="953">
        <v>10071</v>
      </c>
      <c r="B12" s="953" t="s">
        <v>1793</v>
      </c>
      <c r="C12" s="954"/>
      <c r="D12" s="954"/>
      <c r="G12" s="955">
        <v>12435</v>
      </c>
      <c r="I12" s="955">
        <v>12435</v>
      </c>
      <c r="K12" s="955">
        <v>12435</v>
      </c>
      <c r="M12" s="955">
        <v>14435</v>
      </c>
      <c r="O12" s="955">
        <v>14435</v>
      </c>
      <c r="Q12" s="955">
        <v>14435</v>
      </c>
      <c r="S12" s="955">
        <v>14435</v>
      </c>
      <c r="U12" s="955">
        <v>14435</v>
      </c>
      <c r="W12" s="955">
        <v>14435</v>
      </c>
      <c r="Y12" s="955">
        <v>14935</v>
      </c>
      <c r="AA12" s="955">
        <v>14935</v>
      </c>
      <c r="AC12" s="955">
        <v>14935</v>
      </c>
    </row>
    <row r="13" spans="1:32" s="952" customFormat="1" outlineLevel="1">
      <c r="A13" s="953">
        <v>10096</v>
      </c>
      <c r="B13" s="953" t="s">
        <v>1794</v>
      </c>
      <c r="C13" s="954"/>
      <c r="D13" s="954"/>
      <c r="G13" s="955">
        <v>0</v>
      </c>
      <c r="I13" s="955">
        <v>0</v>
      </c>
      <c r="K13" s="955">
        <v>0</v>
      </c>
      <c r="M13" s="955">
        <v>0</v>
      </c>
      <c r="O13" s="955">
        <v>0</v>
      </c>
      <c r="Q13" s="955">
        <v>0</v>
      </c>
      <c r="S13" s="955">
        <v>0</v>
      </c>
      <c r="U13" s="955">
        <v>0</v>
      </c>
      <c r="W13" s="955">
        <v>0</v>
      </c>
      <c r="Y13" s="955">
        <v>0</v>
      </c>
      <c r="AA13" s="955">
        <v>137.80000000000001</v>
      </c>
      <c r="AC13" s="955">
        <v>0</v>
      </c>
    </row>
    <row r="14" spans="1:32" s="952" customFormat="1" outlineLevel="1">
      <c r="A14" s="953">
        <v>10097</v>
      </c>
      <c r="B14" s="953" t="s">
        <v>1795</v>
      </c>
      <c r="C14" s="954"/>
      <c r="D14" s="954"/>
      <c r="G14" s="955">
        <v>0</v>
      </c>
      <c r="I14" s="955">
        <v>0</v>
      </c>
      <c r="K14" s="955">
        <v>0</v>
      </c>
      <c r="M14" s="955">
        <v>0</v>
      </c>
      <c r="O14" s="955">
        <v>0</v>
      </c>
      <c r="Q14" s="955">
        <v>0</v>
      </c>
      <c r="S14" s="955">
        <v>0</v>
      </c>
      <c r="U14" s="955">
        <v>0</v>
      </c>
      <c r="W14" s="955">
        <v>0</v>
      </c>
      <c r="Y14" s="955">
        <v>0</v>
      </c>
      <c r="AA14" s="955">
        <v>0</v>
      </c>
      <c r="AC14" s="955">
        <v>7.81</v>
      </c>
    </row>
    <row r="15" spans="1:32" s="952" customFormat="1" outlineLevel="1">
      <c r="A15" s="953">
        <v>10098</v>
      </c>
      <c r="B15" s="953" t="s">
        <v>1796</v>
      </c>
      <c r="C15" s="954"/>
      <c r="D15" s="954"/>
      <c r="G15" s="955">
        <v>58.15</v>
      </c>
      <c r="I15" s="955">
        <v>59.15</v>
      </c>
      <c r="K15" s="955">
        <v>59.15</v>
      </c>
      <c r="M15" s="955">
        <v>59.15</v>
      </c>
      <c r="O15" s="955">
        <v>59.15</v>
      </c>
      <c r="Q15" s="955">
        <v>0</v>
      </c>
      <c r="S15" s="955">
        <v>0</v>
      </c>
      <c r="U15" s="955">
        <v>1</v>
      </c>
      <c r="W15" s="955">
        <v>1</v>
      </c>
      <c r="Y15" s="955">
        <v>1</v>
      </c>
      <c r="AA15" s="955">
        <v>66.84</v>
      </c>
      <c r="AC15" s="955">
        <v>66.84</v>
      </c>
    </row>
    <row r="16" spans="1:32" s="952" customFormat="1" outlineLevel="1">
      <c r="A16" s="953">
        <v>10099</v>
      </c>
      <c r="B16" s="953" t="s">
        <v>1797</v>
      </c>
      <c r="C16" s="954"/>
      <c r="D16" s="954"/>
      <c r="G16" s="955">
        <v>0</v>
      </c>
      <c r="I16" s="955">
        <v>0</v>
      </c>
      <c r="K16" s="955">
        <v>0</v>
      </c>
      <c r="M16" s="955">
        <v>-65</v>
      </c>
      <c r="O16" s="955">
        <v>-477.73</v>
      </c>
      <c r="Q16" s="955">
        <v>0</v>
      </c>
      <c r="S16" s="955">
        <v>0</v>
      </c>
      <c r="U16" s="955">
        <v>0</v>
      </c>
      <c r="W16" s="955">
        <v>0</v>
      </c>
      <c r="Y16" s="955">
        <v>0</v>
      </c>
      <c r="AA16" s="955">
        <v>0</v>
      </c>
      <c r="AC16" s="955">
        <v>0</v>
      </c>
    </row>
    <row r="17" spans="1:29" s="952" customFormat="1" ht="4.5" customHeight="1" outlineLevel="1">
      <c r="G17" s="966"/>
      <c r="I17" s="966"/>
      <c r="K17" s="966"/>
      <c r="M17" s="966"/>
      <c r="O17" s="966"/>
      <c r="Q17" s="966"/>
      <c r="S17" s="966"/>
      <c r="U17" s="966"/>
      <c r="W17" s="966"/>
      <c r="Y17" s="966"/>
      <c r="AA17" s="966"/>
      <c r="AC17" s="966"/>
    </row>
    <row r="18" spans="1:29" s="952" customFormat="1">
      <c r="C18" s="952" t="s">
        <v>1798</v>
      </c>
      <c r="G18" s="92">
        <f>SUM(G9:G17)</f>
        <v>859.67000000000041</v>
      </c>
      <c r="I18" s="92">
        <f>SUM(I9:I17)</f>
        <v>859.67000000000041</v>
      </c>
      <c r="K18" s="92">
        <f>SUM(K9:K17)</f>
        <v>859.76000000000056</v>
      </c>
      <c r="M18" s="92">
        <f>SUM(M9:M17)</f>
        <v>912.4799999999999</v>
      </c>
      <c r="O18" s="92">
        <f>SUM(O9:O17)</f>
        <v>339.74999999999989</v>
      </c>
      <c r="Q18" s="92">
        <f>SUM(Q9:Q17)</f>
        <v>739.93000000000029</v>
      </c>
      <c r="S18" s="92">
        <f>SUM(S9:S17)</f>
        <v>739.93000000000029</v>
      </c>
      <c r="U18" s="92">
        <f>SUM(U9:U17)</f>
        <v>739.93000000000029</v>
      </c>
      <c r="W18" s="92">
        <f>SUM(W9:W17)</f>
        <v>651</v>
      </c>
      <c r="Y18" s="92">
        <f>SUM(Y9:Y17)</f>
        <v>716.95000000000073</v>
      </c>
      <c r="AA18" s="92">
        <f>SUM(AA9:AA17)</f>
        <v>920.56000000000006</v>
      </c>
      <c r="AC18" s="92">
        <f>SUM(AC9:AC17)</f>
        <v>724.65</v>
      </c>
    </row>
    <row r="19" spans="1:29" s="952" customFormat="1" outlineLevel="1">
      <c r="A19" s="953">
        <v>11501</v>
      </c>
      <c r="B19" s="953" t="s">
        <v>1799</v>
      </c>
      <c r="C19" s="954"/>
      <c r="D19" s="954"/>
      <c r="G19" s="955">
        <v>325807.46999999997</v>
      </c>
      <c r="I19" s="955">
        <v>245022.21</v>
      </c>
      <c r="K19" s="955">
        <v>332764.73</v>
      </c>
      <c r="M19" s="955">
        <v>232476.33</v>
      </c>
      <c r="O19" s="955">
        <v>331273.53000000003</v>
      </c>
      <c r="Q19" s="955">
        <v>228268.7</v>
      </c>
      <c r="S19" s="955">
        <v>302476.03999999998</v>
      </c>
      <c r="U19" s="955">
        <v>225462.01</v>
      </c>
      <c r="W19" s="955">
        <v>314191.76</v>
      </c>
      <c r="Y19" s="955">
        <v>250725.49</v>
      </c>
      <c r="AA19" s="955">
        <v>320248.53000000003</v>
      </c>
      <c r="AC19" s="955">
        <v>254697.12</v>
      </c>
    </row>
    <row r="20" spans="1:29" s="952" customFormat="1" outlineLevel="1">
      <c r="A20" s="953">
        <v>11502</v>
      </c>
      <c r="B20" s="953" t="s">
        <v>1800</v>
      </c>
      <c r="C20" s="954"/>
      <c r="D20" s="954"/>
      <c r="G20" s="955">
        <v>-3304.34</v>
      </c>
      <c r="I20" s="955">
        <v>-2759.76</v>
      </c>
      <c r="K20" s="955">
        <v>-2619.85</v>
      </c>
      <c r="M20" s="955">
        <v>-3040.9</v>
      </c>
      <c r="O20" s="955">
        <v>-2679.94</v>
      </c>
      <c r="Q20" s="955">
        <v>-3059.59</v>
      </c>
      <c r="S20" s="955">
        <v>-3306.69</v>
      </c>
      <c r="U20" s="955">
        <v>-2729.79</v>
      </c>
      <c r="W20" s="955">
        <v>-1621.61</v>
      </c>
      <c r="Y20" s="955">
        <v>-3380.9</v>
      </c>
      <c r="AA20" s="955">
        <v>-2909.53</v>
      </c>
      <c r="AC20" s="955">
        <v>-1867.11</v>
      </c>
    </row>
    <row r="21" spans="1:29" s="952" customFormat="1" outlineLevel="1">
      <c r="A21" s="953">
        <v>11511</v>
      </c>
      <c r="B21" s="953" t="s">
        <v>1801</v>
      </c>
      <c r="C21" s="954"/>
      <c r="D21" s="954"/>
      <c r="G21" s="955">
        <v>2942.01</v>
      </c>
      <c r="I21" s="955">
        <v>2942.01</v>
      </c>
      <c r="K21" s="955">
        <v>2942.01</v>
      </c>
      <c r="M21" s="955">
        <v>2942.01</v>
      </c>
      <c r="O21" s="955">
        <v>2942.01</v>
      </c>
      <c r="Q21" s="955">
        <v>2942.01</v>
      </c>
      <c r="S21" s="955">
        <v>2942.01</v>
      </c>
      <c r="U21" s="955">
        <v>2942.01</v>
      </c>
      <c r="W21" s="955">
        <v>2942.01</v>
      </c>
      <c r="Y21" s="955">
        <v>2942.01</v>
      </c>
      <c r="AA21" s="955">
        <v>2942.01</v>
      </c>
      <c r="AC21" s="955">
        <v>2942.01</v>
      </c>
    </row>
    <row r="22" spans="1:29" s="952" customFormat="1" outlineLevel="1">
      <c r="A22" s="953">
        <v>11900</v>
      </c>
      <c r="B22" s="953" t="s">
        <v>1802</v>
      </c>
      <c r="C22" s="954"/>
      <c r="D22" s="954"/>
      <c r="G22" s="955">
        <v>-21433.73</v>
      </c>
      <c r="I22" s="955">
        <v>-21433.73</v>
      </c>
      <c r="K22" s="955">
        <v>-21433.73</v>
      </c>
      <c r="M22" s="955">
        <v>-21433.73</v>
      </c>
      <c r="O22" s="955">
        <v>-21433.73</v>
      </c>
      <c r="Q22" s="955">
        <v>-21433.73</v>
      </c>
      <c r="S22" s="955">
        <v>-21433.73</v>
      </c>
      <c r="U22" s="955">
        <v>-21433.73</v>
      </c>
      <c r="W22" s="955">
        <v>-21433.73</v>
      </c>
      <c r="Y22" s="955">
        <v>-21433.73</v>
      </c>
      <c r="AA22" s="955">
        <v>-21433.73</v>
      </c>
      <c r="AC22" s="955">
        <v>-21433.73</v>
      </c>
    </row>
    <row r="23" spans="1:29" s="952" customFormat="1" outlineLevel="1">
      <c r="A23" s="953">
        <v>11901</v>
      </c>
      <c r="B23" s="953" t="s">
        <v>1803</v>
      </c>
      <c r="C23" s="954"/>
      <c r="D23" s="954"/>
      <c r="G23" s="955">
        <v>-100473.73</v>
      </c>
      <c r="I23" s="955">
        <v>-103564.67</v>
      </c>
      <c r="K23" s="955">
        <v>-105492.14</v>
      </c>
      <c r="M23" s="955">
        <v>-106283.47</v>
      </c>
      <c r="O23" s="955">
        <v>-105914.07</v>
      </c>
      <c r="Q23" s="955">
        <v>-107885.53</v>
      </c>
      <c r="S23" s="955">
        <v>-108712.59</v>
      </c>
      <c r="U23" s="955">
        <v>-109054.06</v>
      </c>
      <c r="W23" s="955">
        <v>-108851.75</v>
      </c>
      <c r="Y23" s="955">
        <v>-109140.87</v>
      </c>
      <c r="AA23" s="955">
        <v>-110329.59</v>
      </c>
      <c r="AC23" s="955">
        <v>-111897.34</v>
      </c>
    </row>
    <row r="24" spans="1:29" s="952" customFormat="1" outlineLevel="1">
      <c r="A24" s="953">
        <v>11902</v>
      </c>
      <c r="B24" s="953" t="s">
        <v>1804</v>
      </c>
      <c r="C24" s="954"/>
      <c r="D24" s="954"/>
      <c r="G24" s="955">
        <v>164392.5</v>
      </c>
      <c r="I24" s="955">
        <v>166455.04999999999</v>
      </c>
      <c r="K24" s="955">
        <v>171682.81</v>
      </c>
      <c r="M24" s="955">
        <v>173228.06</v>
      </c>
      <c r="O24" s="955">
        <v>174078.32</v>
      </c>
      <c r="Q24" s="955">
        <v>175314.12</v>
      </c>
      <c r="S24" s="955">
        <v>177030.32</v>
      </c>
      <c r="U24" s="955">
        <v>177669.79</v>
      </c>
      <c r="W24" s="955">
        <v>179199.53</v>
      </c>
      <c r="Y24" s="955">
        <v>179721.43</v>
      </c>
      <c r="AA24" s="955">
        <v>180759.06</v>
      </c>
      <c r="AC24" s="955">
        <v>182172.73</v>
      </c>
    </row>
    <row r="25" spans="1:29" s="952" customFormat="1" outlineLevel="1">
      <c r="A25" s="953">
        <v>11903</v>
      </c>
      <c r="B25" s="953" t="s">
        <v>1805</v>
      </c>
      <c r="C25" s="954"/>
      <c r="D25" s="954"/>
      <c r="G25" s="955">
        <v>-46106.14</v>
      </c>
      <c r="I25" s="955">
        <v>-46564.47</v>
      </c>
      <c r="K25" s="955">
        <v>-46972.86</v>
      </c>
      <c r="M25" s="955">
        <v>-48010.13</v>
      </c>
      <c r="O25" s="955">
        <v>-48010.13</v>
      </c>
      <c r="Q25" s="955">
        <v>-48479.02</v>
      </c>
      <c r="S25" s="955">
        <v>-48570.64</v>
      </c>
      <c r="U25" s="955">
        <v>-49239.62</v>
      </c>
      <c r="W25" s="955">
        <v>-50039.37</v>
      </c>
      <c r="Y25" s="955">
        <v>-50656.6</v>
      </c>
      <c r="AA25" s="955">
        <v>-50943.83</v>
      </c>
      <c r="AC25" s="955">
        <v>-51543.18</v>
      </c>
    </row>
    <row r="26" spans="1:29" s="952" customFormat="1" ht="5.0999999999999996" customHeight="1" outlineLevel="1">
      <c r="A26" s="954"/>
      <c r="B26" s="954"/>
      <c r="C26" s="954"/>
      <c r="D26" s="954"/>
      <c r="G26" s="95"/>
      <c r="I26" s="95"/>
      <c r="K26" s="95"/>
      <c r="M26" s="95"/>
      <c r="O26" s="95"/>
      <c r="Q26" s="95"/>
      <c r="S26" s="95"/>
      <c r="U26" s="95"/>
      <c r="W26" s="95"/>
      <c r="Y26" s="95"/>
      <c r="AA26" s="95"/>
      <c r="AC26" s="95"/>
    </row>
    <row r="27" spans="1:29" s="952" customFormat="1">
      <c r="C27" s="953" t="s">
        <v>1806</v>
      </c>
      <c r="G27" s="92">
        <f>SUM(G19:G26)</f>
        <v>321824.03999999998</v>
      </c>
      <c r="I27" s="92">
        <f>SUM(I19:I26)</f>
        <v>240096.63999999998</v>
      </c>
      <c r="K27" s="92">
        <f>SUM(K19:K26)</f>
        <v>330870.97000000003</v>
      </c>
      <c r="M27" s="92">
        <f>SUM(M19:M26)</f>
        <v>229878.16999999998</v>
      </c>
      <c r="O27" s="92">
        <f>SUM(O19:O26)</f>
        <v>330255.99000000005</v>
      </c>
      <c r="Q27" s="92">
        <f>SUM(Q19:Q26)</f>
        <v>225666.96</v>
      </c>
      <c r="S27" s="92">
        <f>SUM(S19:S26)</f>
        <v>300424.71999999997</v>
      </c>
      <c r="U27" s="92">
        <f>SUM(U19:U26)</f>
        <v>223616.61</v>
      </c>
      <c r="W27" s="92">
        <f>SUM(W19:W26)</f>
        <v>314386.84000000008</v>
      </c>
      <c r="Y27" s="92">
        <f>SUM(Y19:Y26)</f>
        <v>248776.83</v>
      </c>
      <c r="AA27" s="92">
        <f>SUM(AA19:AA26)</f>
        <v>318332.92</v>
      </c>
      <c r="AC27" s="92">
        <f>SUM(AC19:AC26)</f>
        <v>253070.50000000006</v>
      </c>
    </row>
    <row r="28" spans="1:29" s="952" customFormat="1" outlineLevel="1">
      <c r="A28" s="953">
        <v>12001</v>
      </c>
      <c r="B28" s="953" t="s">
        <v>1807</v>
      </c>
      <c r="C28" s="954"/>
      <c r="D28" s="954"/>
      <c r="G28" s="955">
        <v>7376.14</v>
      </c>
      <c r="I28" s="955">
        <v>7376.14</v>
      </c>
      <c r="K28" s="955">
        <v>8120.33</v>
      </c>
      <c r="M28" s="955">
        <v>8120.33</v>
      </c>
      <c r="O28" s="955">
        <v>8120.33</v>
      </c>
      <c r="Q28" s="955">
        <v>8120.33</v>
      </c>
      <c r="S28" s="955">
        <v>8120.33</v>
      </c>
      <c r="U28" s="955">
        <v>8120.33</v>
      </c>
      <c r="W28" s="955">
        <v>8120.33</v>
      </c>
      <c r="Y28" s="955">
        <v>8120.33</v>
      </c>
      <c r="AA28" s="955">
        <v>8120.33</v>
      </c>
      <c r="AC28" s="955">
        <v>8120.33</v>
      </c>
    </row>
    <row r="29" spans="1:29" s="952" customFormat="1" outlineLevel="1">
      <c r="A29" s="953">
        <v>12003</v>
      </c>
      <c r="B29" s="953" t="s">
        <v>1808</v>
      </c>
      <c r="C29" s="954"/>
      <c r="D29" s="954"/>
      <c r="G29" s="955">
        <v>2075.3200000000002</v>
      </c>
      <c r="I29" s="955">
        <v>2075.3200000000002</v>
      </c>
      <c r="K29" s="955">
        <v>1783.99</v>
      </c>
      <c r="M29" s="955">
        <v>1783.99</v>
      </c>
      <c r="O29" s="955">
        <v>1783.99</v>
      </c>
      <c r="Q29" s="955">
        <v>1783.99</v>
      </c>
      <c r="S29" s="955">
        <v>1783.99</v>
      </c>
      <c r="U29" s="955">
        <v>1783.99</v>
      </c>
      <c r="W29" s="955">
        <v>1783.99</v>
      </c>
      <c r="Y29" s="955">
        <v>1783.99</v>
      </c>
      <c r="AA29" s="955">
        <v>1783.99</v>
      </c>
      <c r="AC29" s="955">
        <v>1783.99</v>
      </c>
    </row>
    <row r="30" spans="1:29" s="952" customFormat="1" outlineLevel="1">
      <c r="A30" s="953">
        <v>12004</v>
      </c>
      <c r="B30" s="953" t="s">
        <v>1809</v>
      </c>
      <c r="C30" s="954"/>
      <c r="D30" s="954"/>
      <c r="G30" s="955">
        <v>493.92</v>
      </c>
      <c r="I30" s="955">
        <v>493.92</v>
      </c>
      <c r="K30" s="955">
        <v>477.26</v>
      </c>
      <c r="M30" s="955">
        <v>477.26</v>
      </c>
      <c r="O30" s="955">
        <v>477.26</v>
      </c>
      <c r="Q30" s="955">
        <v>477.26</v>
      </c>
      <c r="S30" s="955">
        <v>477.26</v>
      </c>
      <c r="U30" s="955">
        <v>477.26</v>
      </c>
      <c r="W30" s="955">
        <v>477.26</v>
      </c>
      <c r="Y30" s="955">
        <v>477.26</v>
      </c>
      <c r="AA30" s="955">
        <v>477.26</v>
      </c>
      <c r="AC30" s="955">
        <v>477.26</v>
      </c>
    </row>
    <row r="31" spans="1:29" s="952" customFormat="1" outlineLevel="1">
      <c r="A31" s="953">
        <v>12005</v>
      </c>
      <c r="B31" s="953" t="s">
        <v>1810</v>
      </c>
      <c r="C31" s="954"/>
      <c r="D31" s="954"/>
      <c r="G31" s="955">
        <v>122</v>
      </c>
      <c r="I31" s="955">
        <v>122</v>
      </c>
      <c r="K31" s="955">
        <v>0</v>
      </c>
      <c r="M31" s="955">
        <v>0</v>
      </c>
      <c r="O31" s="955">
        <v>0</v>
      </c>
      <c r="Q31" s="955">
        <v>0</v>
      </c>
      <c r="S31" s="955">
        <v>0</v>
      </c>
      <c r="U31" s="955">
        <v>0</v>
      </c>
      <c r="W31" s="955">
        <v>0</v>
      </c>
      <c r="Y31" s="955">
        <v>0</v>
      </c>
      <c r="AA31" s="955">
        <v>0</v>
      </c>
      <c r="AC31" s="955">
        <v>0</v>
      </c>
    </row>
    <row r="32" spans="1:29" s="952" customFormat="1" ht="5.0999999999999996" customHeight="1" outlineLevel="1">
      <c r="A32" s="954"/>
      <c r="B32" s="954"/>
      <c r="C32" s="954"/>
      <c r="D32" s="954"/>
      <c r="G32" s="95"/>
      <c r="I32" s="95"/>
      <c r="K32" s="95"/>
      <c r="M32" s="95"/>
      <c r="O32" s="95"/>
      <c r="Q32" s="95"/>
      <c r="S32" s="95"/>
      <c r="U32" s="95"/>
      <c r="W32" s="95"/>
      <c r="Y32" s="95"/>
      <c r="AA32" s="95"/>
      <c r="AC32" s="95"/>
    </row>
    <row r="33" spans="1:29" s="952" customFormat="1">
      <c r="C33" s="953" t="s">
        <v>1683</v>
      </c>
      <c r="G33" s="92">
        <f>SUM(G28:G32)</f>
        <v>10067.380000000001</v>
      </c>
      <c r="I33" s="92">
        <f>SUM(I28:I32)</f>
        <v>10067.380000000001</v>
      </c>
      <c r="K33" s="92">
        <f>SUM(K28:K32)</f>
        <v>10381.58</v>
      </c>
      <c r="M33" s="92">
        <f>SUM(M28:M32)</f>
        <v>10381.58</v>
      </c>
      <c r="O33" s="92">
        <f>SUM(O28:O32)</f>
        <v>10381.58</v>
      </c>
      <c r="Q33" s="92">
        <f>SUM(Q28:Q32)</f>
        <v>10381.58</v>
      </c>
      <c r="S33" s="92">
        <f>SUM(S28:S32)</f>
        <v>10381.58</v>
      </c>
      <c r="U33" s="92">
        <f>SUM(U28:U32)</f>
        <v>10381.58</v>
      </c>
      <c r="W33" s="92">
        <f>SUM(W28:W32)</f>
        <v>10381.58</v>
      </c>
      <c r="Y33" s="92">
        <f>SUM(Y28:Y32)</f>
        <v>10381.58</v>
      </c>
      <c r="AA33" s="92">
        <f>SUM(AA28:AA32)</f>
        <v>10381.58</v>
      </c>
      <c r="AC33" s="92">
        <f>SUM(AC28:AC32)</f>
        <v>10381.58</v>
      </c>
    </row>
    <row r="34" spans="1:29" s="952" customFormat="1" outlineLevel="1">
      <c r="A34" s="953">
        <v>13001</v>
      </c>
      <c r="B34" s="953" t="s">
        <v>1811</v>
      </c>
      <c r="C34" s="954"/>
      <c r="D34" s="954"/>
      <c r="G34" s="955">
        <v>635.75</v>
      </c>
      <c r="I34" s="955">
        <v>837.94</v>
      </c>
      <c r="K34" s="955">
        <v>381.47</v>
      </c>
      <c r="M34" s="955">
        <v>254.33</v>
      </c>
      <c r="O34" s="955">
        <v>7427.53</v>
      </c>
      <c r="Q34" s="955">
        <v>7300.34</v>
      </c>
      <c r="S34" s="955">
        <v>7654.48</v>
      </c>
      <c r="U34" s="955">
        <v>6853.62</v>
      </c>
      <c r="W34" s="955">
        <v>6052.76</v>
      </c>
      <c r="Y34" s="955">
        <v>5251.9</v>
      </c>
      <c r="AA34" s="955">
        <v>4451.04</v>
      </c>
      <c r="AC34" s="955">
        <v>3650.18</v>
      </c>
    </row>
    <row r="35" spans="1:29" s="952" customFormat="1" outlineLevel="1">
      <c r="A35" s="953">
        <v>13002</v>
      </c>
      <c r="B35" s="953" t="s">
        <v>1812</v>
      </c>
      <c r="C35" s="954"/>
      <c r="D35" s="954"/>
      <c r="G35" s="955">
        <v>0</v>
      </c>
      <c r="I35" s="955">
        <v>0</v>
      </c>
      <c r="K35" s="955">
        <v>0</v>
      </c>
      <c r="M35" s="955">
        <v>0</v>
      </c>
      <c r="O35" s="955">
        <v>0</v>
      </c>
      <c r="Q35" s="955">
        <v>0</v>
      </c>
      <c r="S35" s="955">
        <v>0</v>
      </c>
      <c r="U35" s="955">
        <v>0</v>
      </c>
      <c r="W35" s="955">
        <v>0</v>
      </c>
      <c r="Y35" s="955">
        <v>2250</v>
      </c>
      <c r="AA35" s="955">
        <v>0</v>
      </c>
      <c r="AC35" s="955">
        <v>0</v>
      </c>
    </row>
    <row r="36" spans="1:29" s="952" customFormat="1" outlineLevel="1">
      <c r="A36" s="953">
        <v>13004</v>
      </c>
      <c r="B36" s="953" t="s">
        <v>1813</v>
      </c>
      <c r="C36" s="954"/>
      <c r="D36" s="954"/>
      <c r="G36" s="955">
        <v>1751.87</v>
      </c>
      <c r="I36" s="955">
        <v>849.38</v>
      </c>
      <c r="K36" s="955">
        <v>637.04</v>
      </c>
      <c r="M36" s="955">
        <v>424.7</v>
      </c>
      <c r="O36" s="955">
        <v>212.36</v>
      </c>
      <c r="Q36" s="955">
        <v>0</v>
      </c>
      <c r="S36" s="955">
        <v>0</v>
      </c>
      <c r="U36" s="955">
        <v>0</v>
      </c>
      <c r="W36" s="955">
        <v>1486.88</v>
      </c>
      <c r="Y36" s="955">
        <v>3495.27</v>
      </c>
      <c r="AA36" s="955">
        <v>1412.05</v>
      </c>
      <c r="AC36" s="955">
        <v>1031.92</v>
      </c>
    </row>
    <row r="37" spans="1:29" s="952" customFormat="1" outlineLevel="1">
      <c r="A37" s="953">
        <v>13008</v>
      </c>
      <c r="B37" s="953" t="s">
        <v>1814</v>
      </c>
      <c r="C37" s="954"/>
      <c r="D37" s="954"/>
      <c r="G37" s="955">
        <v>5971.01</v>
      </c>
      <c r="I37" s="955">
        <v>5653.9</v>
      </c>
      <c r="K37" s="955">
        <v>5336.79</v>
      </c>
      <c r="M37" s="955">
        <v>5019.68</v>
      </c>
      <c r="O37" s="955">
        <v>8733.98</v>
      </c>
      <c r="Q37" s="955">
        <v>4385.46</v>
      </c>
      <c r="S37" s="955">
        <v>4068.35</v>
      </c>
      <c r="U37" s="955">
        <v>3751.24</v>
      </c>
      <c r="W37" s="955">
        <v>4870.18</v>
      </c>
      <c r="Y37" s="955">
        <v>4520.21</v>
      </c>
      <c r="AA37" s="955">
        <v>4170.24</v>
      </c>
      <c r="AC37" s="955">
        <v>3820.27</v>
      </c>
    </row>
    <row r="38" spans="1:29" s="952" customFormat="1" ht="3.75" customHeight="1" outlineLevel="1">
      <c r="A38" s="954"/>
      <c r="B38" s="954"/>
      <c r="C38" s="954"/>
      <c r="D38" s="954"/>
      <c r="G38" s="95"/>
      <c r="I38" s="95"/>
      <c r="K38" s="95"/>
      <c r="M38" s="95"/>
      <c r="O38" s="95"/>
      <c r="Q38" s="95"/>
      <c r="S38" s="95"/>
      <c r="U38" s="95"/>
      <c r="W38" s="95"/>
      <c r="Y38" s="95"/>
      <c r="AA38" s="95"/>
      <c r="AC38" s="95"/>
    </row>
    <row r="39" spans="1:29" s="952" customFormat="1">
      <c r="C39" s="953" t="s">
        <v>1815</v>
      </c>
      <c r="G39" s="92">
        <f>SUM(G34:G38)</f>
        <v>8358.630000000001</v>
      </c>
      <c r="I39" s="92">
        <f>SUM(I34:I38)</f>
        <v>7341.2199999999993</v>
      </c>
      <c r="K39" s="92">
        <f>SUM(K34:K38)</f>
        <v>6355.3</v>
      </c>
      <c r="M39" s="92">
        <f>SUM(M34:M38)</f>
        <v>5698.71</v>
      </c>
      <c r="O39" s="92">
        <f>SUM(O34:O38)</f>
        <v>16373.869999999999</v>
      </c>
      <c r="Q39" s="92">
        <f>SUM(Q34:Q38)</f>
        <v>11685.8</v>
      </c>
      <c r="S39" s="92">
        <f>SUM(S34:S38)</f>
        <v>11722.83</v>
      </c>
      <c r="U39" s="92">
        <f>SUM(U34:U38)</f>
        <v>10604.86</v>
      </c>
      <c r="W39" s="92">
        <f>SUM(W34:W38)</f>
        <v>12409.82</v>
      </c>
      <c r="Y39" s="92">
        <f>SUM(Y34:Y38)</f>
        <v>15517.380000000001</v>
      </c>
      <c r="AA39" s="92">
        <f>SUM(AA34:AA38)</f>
        <v>10033.33</v>
      </c>
      <c r="AC39" s="92">
        <f>SUM(AC34:AC38)</f>
        <v>8502.3700000000008</v>
      </c>
    </row>
    <row r="40" spans="1:29" s="101" customFormat="1" outlineLevel="1"/>
    <row r="41" spans="1:29" s="952" customFormat="1" ht="3.75" customHeight="1" outlineLevel="1">
      <c r="A41" s="954"/>
      <c r="B41" s="954"/>
      <c r="C41" s="954"/>
      <c r="D41" s="954"/>
      <c r="G41" s="95"/>
      <c r="I41" s="95"/>
      <c r="K41" s="95"/>
      <c r="M41" s="95"/>
      <c r="O41" s="95"/>
      <c r="Q41" s="95"/>
      <c r="S41" s="95"/>
      <c r="U41" s="95"/>
      <c r="W41" s="95"/>
      <c r="Y41" s="95"/>
      <c r="AA41" s="95"/>
      <c r="AC41" s="95"/>
    </row>
    <row r="42" spans="1:29" s="952" customFormat="1">
      <c r="C42" s="953" t="s">
        <v>1816</v>
      </c>
      <c r="G42" s="92">
        <f>SUM(G40:G41)</f>
        <v>0</v>
      </c>
      <c r="I42" s="92">
        <f>SUM(I40:I41)</f>
        <v>0</v>
      </c>
      <c r="K42" s="92">
        <f>SUM(K40:K41)</f>
        <v>0</v>
      </c>
      <c r="M42" s="92">
        <f>SUM(M40:M41)</f>
        <v>0</v>
      </c>
      <c r="O42" s="92">
        <f>SUM(O40:O41)</f>
        <v>0</v>
      </c>
      <c r="Q42" s="92">
        <f>SUM(Q40:Q41)</f>
        <v>0</v>
      </c>
      <c r="S42" s="92">
        <f>SUM(S40:S41)</f>
        <v>0</v>
      </c>
      <c r="U42" s="92">
        <f>SUM(U40:U41)</f>
        <v>0</v>
      </c>
      <c r="W42" s="92">
        <f>SUM(W40:W41)</f>
        <v>0</v>
      </c>
      <c r="Y42" s="92">
        <f>SUM(Y40:Y41)</f>
        <v>0</v>
      </c>
      <c r="AA42" s="92">
        <f>SUM(AA40:AA41)</f>
        <v>0</v>
      </c>
      <c r="AC42" s="92">
        <f>SUM(AC40:AC41)</f>
        <v>0</v>
      </c>
    </row>
    <row r="43" spans="1:29" s="952" customFormat="1" ht="7.5" customHeight="1">
      <c r="G43" s="94"/>
      <c r="I43" s="94"/>
      <c r="K43" s="94"/>
      <c r="M43" s="94"/>
      <c r="O43" s="94"/>
      <c r="Q43" s="94"/>
      <c r="S43" s="94"/>
      <c r="U43" s="94"/>
      <c r="W43" s="94"/>
      <c r="Y43" s="94"/>
      <c r="AA43" s="94"/>
      <c r="AC43" s="94"/>
    </row>
    <row r="44" spans="1:29" s="952" customFormat="1">
      <c r="B44" s="967" t="s">
        <v>1817</v>
      </c>
      <c r="G44" s="98">
        <f>SUM(G18,G27,G33,G39,G42)</f>
        <v>341109.72</v>
      </c>
      <c r="I44" s="98">
        <f>SUM(I18,I27,I33,I39,I42)</f>
        <v>258364.91</v>
      </c>
      <c r="K44" s="98">
        <f>SUM(K18,K27,K33,K39,K42)</f>
        <v>348467.61000000004</v>
      </c>
      <c r="M44" s="98">
        <f>SUM(M18,M27,M33,M39,M42)</f>
        <v>246870.93999999997</v>
      </c>
      <c r="O44" s="98">
        <f>SUM(O18,O27,O33,O39,O42)</f>
        <v>357351.19000000006</v>
      </c>
      <c r="Q44" s="98">
        <f>SUM(Q18,Q27,Q33,Q39,Q42)</f>
        <v>248474.26999999996</v>
      </c>
      <c r="S44" s="98">
        <f>SUM(S18,S27,S33,S39,S42)</f>
        <v>323269.06</v>
      </c>
      <c r="U44" s="98">
        <f>SUM(U18,U27,U33,U39,U42)</f>
        <v>245342.97999999998</v>
      </c>
      <c r="W44" s="98">
        <f>SUM(W18,W27,W33,W39,W42)</f>
        <v>337829.24000000011</v>
      </c>
      <c r="Y44" s="98">
        <f>SUM(Y18,Y27,Y33,Y39,Y42)</f>
        <v>275392.74</v>
      </c>
      <c r="AA44" s="98">
        <f>SUM(AA18,AA27,AA33,AA39,AA42)</f>
        <v>339668.39</v>
      </c>
      <c r="AC44" s="98">
        <f>SUM(AC18,AC27,AC33,AC39,AC42)</f>
        <v>272679.10000000003</v>
      </c>
    </row>
    <row r="45" spans="1:29" s="952" customFormat="1" ht="7.5" customHeight="1">
      <c r="G45" s="94"/>
      <c r="I45" s="94"/>
      <c r="K45" s="94"/>
      <c r="M45" s="94"/>
      <c r="O45" s="94"/>
      <c r="Q45" s="94"/>
      <c r="S45" s="94"/>
      <c r="U45" s="94"/>
      <c r="W45" s="94"/>
      <c r="Y45" s="94"/>
      <c r="AA45" s="94"/>
      <c r="AC45" s="94"/>
    </row>
    <row r="46" spans="1:29" s="952" customFormat="1" outlineLevel="1">
      <c r="G46" s="94"/>
      <c r="I46" s="94"/>
      <c r="K46" s="94"/>
      <c r="M46" s="94"/>
      <c r="O46" s="94"/>
      <c r="Q46" s="94"/>
      <c r="S46" s="94"/>
      <c r="U46" s="94"/>
      <c r="W46" s="94"/>
      <c r="Y46" s="94"/>
      <c r="AA46" s="94"/>
      <c r="AC46" s="94"/>
    </row>
    <row r="47" spans="1:29" s="952" customFormat="1" outlineLevel="1">
      <c r="A47" s="953">
        <v>14002</v>
      </c>
      <c r="B47" s="953" t="s">
        <v>1818</v>
      </c>
      <c r="C47" s="954"/>
      <c r="D47" s="954"/>
      <c r="G47" s="955">
        <v>94000</v>
      </c>
      <c r="I47" s="955">
        <v>94000</v>
      </c>
      <c r="K47" s="955">
        <v>94000</v>
      </c>
      <c r="M47" s="955">
        <v>94000</v>
      </c>
      <c r="O47" s="955">
        <v>94000</v>
      </c>
      <c r="Q47" s="955">
        <v>94000</v>
      </c>
      <c r="S47" s="955">
        <v>94000</v>
      </c>
      <c r="U47" s="955">
        <v>94000</v>
      </c>
      <c r="W47" s="955">
        <v>94000</v>
      </c>
      <c r="Y47" s="955">
        <v>94000</v>
      </c>
      <c r="AA47" s="955">
        <v>94000</v>
      </c>
      <c r="AC47" s="955">
        <v>94000</v>
      </c>
    </row>
    <row r="48" spans="1:29" s="952" customFormat="1" outlineLevel="1">
      <c r="A48" s="953">
        <v>14011</v>
      </c>
      <c r="B48" s="953" t="s">
        <v>1819</v>
      </c>
      <c r="C48" s="954"/>
      <c r="D48" s="954"/>
      <c r="G48" s="955">
        <v>32340</v>
      </c>
      <c r="I48" s="955">
        <v>58390.41</v>
      </c>
      <c r="K48" s="955">
        <v>58390.41</v>
      </c>
      <c r="M48" s="955">
        <v>58390.41</v>
      </c>
      <c r="O48" s="955">
        <v>58390.41</v>
      </c>
      <c r="Q48" s="955">
        <v>58390.41</v>
      </c>
      <c r="S48" s="955">
        <v>58390.41</v>
      </c>
      <c r="U48" s="955">
        <v>58390.41</v>
      </c>
      <c r="W48" s="955">
        <v>58390.41</v>
      </c>
      <c r="Y48" s="955">
        <v>58390.41</v>
      </c>
      <c r="AA48" s="955">
        <v>58390.41</v>
      </c>
      <c r="AC48" s="955">
        <v>58390.41</v>
      </c>
    </row>
    <row r="49" spans="1:29" s="952" customFormat="1" outlineLevel="1">
      <c r="A49" s="953">
        <v>14016</v>
      </c>
      <c r="B49" s="953" t="s">
        <v>1820</v>
      </c>
      <c r="C49" s="954"/>
      <c r="D49" s="954"/>
      <c r="G49" s="955">
        <v>-6198.5</v>
      </c>
      <c r="I49" s="955">
        <v>-6685.09</v>
      </c>
      <c r="K49" s="955">
        <v>-7171.67</v>
      </c>
      <c r="M49" s="955">
        <v>-7658.26</v>
      </c>
      <c r="O49" s="955">
        <v>-8144.84</v>
      </c>
      <c r="Q49" s="955">
        <v>-8631.43</v>
      </c>
      <c r="S49" s="955">
        <v>-9118.02</v>
      </c>
      <c r="U49" s="955">
        <v>-9604.6</v>
      </c>
      <c r="W49" s="955">
        <v>-10091.19</v>
      </c>
      <c r="Y49" s="955">
        <v>-10577.78</v>
      </c>
      <c r="AA49" s="955">
        <v>-11064.36</v>
      </c>
      <c r="AC49" s="955">
        <v>-11550.95</v>
      </c>
    </row>
    <row r="50" spans="1:29" s="952" customFormat="1" outlineLevel="1">
      <c r="A50" s="953">
        <v>14041</v>
      </c>
      <c r="B50" s="953" t="s">
        <v>1821</v>
      </c>
      <c r="C50" s="954"/>
      <c r="D50" s="954"/>
      <c r="G50" s="955">
        <v>1211345.1200000001</v>
      </c>
      <c r="I50" s="955">
        <v>1211345.1200000001</v>
      </c>
      <c r="K50" s="955">
        <v>1676110.44</v>
      </c>
      <c r="M50" s="955">
        <v>1676110.44</v>
      </c>
      <c r="O50" s="955">
        <v>1676110.44</v>
      </c>
      <c r="Q50" s="955">
        <v>1676110.44</v>
      </c>
      <c r="S50" s="955">
        <v>1929055.16</v>
      </c>
      <c r="U50" s="955">
        <v>1931668.12</v>
      </c>
      <c r="W50" s="955">
        <v>1937232.94</v>
      </c>
      <c r="Y50" s="955">
        <v>1937232.94</v>
      </c>
      <c r="AA50" s="955">
        <v>1937232.94</v>
      </c>
      <c r="AC50" s="955">
        <v>1937232.94</v>
      </c>
    </row>
    <row r="51" spans="1:29" s="952" customFormat="1" outlineLevel="1">
      <c r="A51" s="953">
        <v>14042</v>
      </c>
      <c r="B51" s="953" t="s">
        <v>1822</v>
      </c>
      <c r="C51" s="954"/>
      <c r="D51" s="954"/>
      <c r="G51" s="955">
        <v>574940</v>
      </c>
      <c r="I51" s="955">
        <v>574940</v>
      </c>
      <c r="K51" s="955">
        <v>574940</v>
      </c>
      <c r="M51" s="955">
        <v>574940</v>
      </c>
      <c r="O51" s="955">
        <v>574940</v>
      </c>
      <c r="Q51" s="955">
        <v>574940</v>
      </c>
      <c r="S51" s="955">
        <v>574940</v>
      </c>
      <c r="U51" s="955">
        <v>574940</v>
      </c>
      <c r="W51" s="955">
        <v>574940</v>
      </c>
      <c r="Y51" s="955">
        <v>574940</v>
      </c>
      <c r="AA51" s="955">
        <v>574940</v>
      </c>
      <c r="AC51" s="955">
        <v>574940</v>
      </c>
    </row>
    <row r="52" spans="1:29" s="952" customFormat="1" outlineLevel="1">
      <c r="A52" s="953">
        <v>14043</v>
      </c>
      <c r="B52" s="953" t="s">
        <v>1823</v>
      </c>
      <c r="C52" s="954"/>
      <c r="D52" s="954"/>
      <c r="G52" s="955">
        <v>-602982.44999999995</v>
      </c>
      <c r="I52" s="955">
        <v>-602982.44999999995</v>
      </c>
      <c r="K52" s="955">
        <v>-602982.44999999995</v>
      </c>
      <c r="M52" s="955">
        <v>-602982.44999999995</v>
      </c>
      <c r="O52" s="955">
        <v>-602982.44999999995</v>
      </c>
      <c r="Q52" s="955">
        <v>-602982.44999999995</v>
      </c>
      <c r="S52" s="955">
        <v>-602982.44999999995</v>
      </c>
      <c r="U52" s="955">
        <v>-602982.44999999995</v>
      </c>
      <c r="W52" s="955">
        <v>-602982.44999999995</v>
      </c>
      <c r="Y52" s="955">
        <v>-602982.44999999995</v>
      </c>
      <c r="AA52" s="955">
        <v>-602982.44999999995</v>
      </c>
      <c r="AC52" s="955">
        <v>-602982.44999999995</v>
      </c>
    </row>
    <row r="53" spans="1:29" s="952" customFormat="1" outlineLevel="1">
      <c r="A53" s="953">
        <v>14044</v>
      </c>
      <c r="B53" s="953" t="s">
        <v>1824</v>
      </c>
      <c r="C53" s="954"/>
      <c r="D53" s="954"/>
      <c r="G53" s="955">
        <v>-14147.8</v>
      </c>
      <c r="I53" s="955">
        <v>-14147.8</v>
      </c>
      <c r="K53" s="955">
        <v>-14147.8</v>
      </c>
      <c r="M53" s="955">
        <v>-24147.8</v>
      </c>
      <c r="O53" s="955">
        <v>-24147.8</v>
      </c>
      <c r="Q53" s="955">
        <v>-24147.8</v>
      </c>
      <c r="S53" s="955">
        <v>-24147.8</v>
      </c>
      <c r="U53" s="955">
        <v>-24147.8</v>
      </c>
      <c r="W53" s="955">
        <v>-24147.8</v>
      </c>
      <c r="Y53" s="955">
        <v>-24147.8</v>
      </c>
      <c r="AA53" s="955">
        <v>-24147.8</v>
      </c>
      <c r="AC53" s="955">
        <v>-24147.8</v>
      </c>
    </row>
    <row r="54" spans="1:29" s="952" customFormat="1" outlineLevel="1">
      <c r="A54" s="953">
        <v>14046</v>
      </c>
      <c r="B54" s="953" t="s">
        <v>1825</v>
      </c>
      <c r="C54" s="954"/>
      <c r="D54" s="954"/>
      <c r="G54" s="955">
        <v>-885257.17</v>
      </c>
      <c r="I54" s="955">
        <v>-891880.07</v>
      </c>
      <c r="K54" s="955">
        <v>-902582.72</v>
      </c>
      <c r="M54" s="955">
        <v>-913285.37</v>
      </c>
      <c r="O54" s="955">
        <v>-923988</v>
      </c>
      <c r="Q54" s="955">
        <v>-934690.66</v>
      </c>
      <c r="S54" s="955">
        <v>-945393.33</v>
      </c>
      <c r="U54" s="955">
        <v>-958225.62</v>
      </c>
      <c r="W54" s="955">
        <v>-971357.83</v>
      </c>
      <c r="Y54" s="955">
        <v>-984340</v>
      </c>
      <c r="AA54" s="955">
        <v>-997322.23999999999</v>
      </c>
      <c r="AC54" s="955">
        <v>-1010304.48</v>
      </c>
    </row>
    <row r="55" spans="1:29" s="952" customFormat="1" outlineLevel="1">
      <c r="A55" s="953">
        <v>14047</v>
      </c>
      <c r="B55" s="953" t="s">
        <v>1823</v>
      </c>
      <c r="C55" s="954"/>
      <c r="D55" s="954"/>
      <c r="G55" s="955">
        <v>26125.71</v>
      </c>
      <c r="I55" s="955">
        <v>26125.71</v>
      </c>
      <c r="K55" s="955">
        <v>26125.71</v>
      </c>
      <c r="M55" s="955">
        <v>26125.71</v>
      </c>
      <c r="O55" s="955">
        <v>26125.71</v>
      </c>
      <c r="Q55" s="955">
        <v>26125.71</v>
      </c>
      <c r="S55" s="955">
        <v>26125.71</v>
      </c>
      <c r="U55" s="955">
        <v>26125.71</v>
      </c>
      <c r="W55" s="955">
        <v>26125.71</v>
      </c>
      <c r="Y55" s="955">
        <v>26125.71</v>
      </c>
      <c r="AA55" s="955">
        <v>26125.71</v>
      </c>
      <c r="AC55" s="955">
        <v>26125.71</v>
      </c>
    </row>
    <row r="56" spans="1:29" s="952" customFormat="1" outlineLevel="1">
      <c r="A56" s="953">
        <v>14048</v>
      </c>
      <c r="B56" s="953" t="s">
        <v>1824</v>
      </c>
      <c r="C56" s="954"/>
      <c r="D56" s="954"/>
      <c r="G56" s="955">
        <v>14147.8</v>
      </c>
      <c r="I56" s="955">
        <v>14147.8</v>
      </c>
      <c r="K56" s="955">
        <v>14147.8</v>
      </c>
      <c r="M56" s="955">
        <v>24147.8</v>
      </c>
      <c r="O56" s="955">
        <v>24147.8</v>
      </c>
      <c r="Q56" s="955">
        <v>24147.8</v>
      </c>
      <c r="S56" s="955">
        <v>24147.8</v>
      </c>
      <c r="U56" s="955">
        <v>24147.8</v>
      </c>
      <c r="W56" s="955">
        <v>24147.8</v>
      </c>
      <c r="Y56" s="955">
        <v>24147.8</v>
      </c>
      <c r="AA56" s="955">
        <v>24147.8</v>
      </c>
      <c r="AC56" s="955">
        <v>24147.8</v>
      </c>
    </row>
    <row r="57" spans="1:29" s="952" customFormat="1" outlineLevel="1">
      <c r="A57" s="953">
        <v>14051</v>
      </c>
      <c r="B57" s="953" t="s">
        <v>1826</v>
      </c>
      <c r="C57" s="954"/>
      <c r="D57" s="954"/>
      <c r="G57" s="955">
        <v>375139.43</v>
      </c>
      <c r="I57" s="955">
        <v>375139.43</v>
      </c>
      <c r="K57" s="955">
        <v>375139.43</v>
      </c>
      <c r="M57" s="955">
        <v>405159.57</v>
      </c>
      <c r="O57" s="955">
        <v>416172.14</v>
      </c>
      <c r="Q57" s="955">
        <v>416172.14</v>
      </c>
      <c r="S57" s="955">
        <v>416172.14</v>
      </c>
      <c r="U57" s="955">
        <v>416172.14</v>
      </c>
      <c r="W57" s="955">
        <v>416172.14</v>
      </c>
      <c r="Y57" s="955">
        <v>416172.14</v>
      </c>
      <c r="AA57" s="955">
        <v>416172.14</v>
      </c>
      <c r="AC57" s="955">
        <v>416172.14</v>
      </c>
    </row>
    <row r="58" spans="1:29" s="952" customFormat="1" outlineLevel="1">
      <c r="A58" s="953">
        <v>14052</v>
      </c>
      <c r="B58" s="953" t="s">
        <v>1827</v>
      </c>
      <c r="C58" s="954"/>
      <c r="D58" s="954"/>
      <c r="G58" s="955">
        <v>72790</v>
      </c>
      <c r="I58" s="955">
        <v>72790</v>
      </c>
      <c r="K58" s="955">
        <v>72790</v>
      </c>
      <c r="M58" s="955">
        <v>72790</v>
      </c>
      <c r="O58" s="955">
        <v>72790</v>
      </c>
      <c r="Q58" s="955">
        <v>72790</v>
      </c>
      <c r="S58" s="955">
        <v>72790</v>
      </c>
      <c r="U58" s="955">
        <v>72790</v>
      </c>
      <c r="W58" s="955">
        <v>72790</v>
      </c>
      <c r="Y58" s="955">
        <v>72790</v>
      </c>
      <c r="AA58" s="955">
        <v>72790</v>
      </c>
      <c r="AC58" s="955">
        <v>72790</v>
      </c>
    </row>
    <row r="59" spans="1:29" s="952" customFormat="1" outlineLevel="1">
      <c r="A59" s="953">
        <v>14053</v>
      </c>
      <c r="B59" s="953" t="s">
        <v>1828</v>
      </c>
      <c r="C59" s="954"/>
      <c r="D59" s="954"/>
      <c r="G59" s="955">
        <v>11193.65</v>
      </c>
      <c r="I59" s="955">
        <v>11193.65</v>
      </c>
      <c r="K59" s="955">
        <v>11193.65</v>
      </c>
      <c r="M59" s="955">
        <v>11193.65</v>
      </c>
      <c r="O59" s="955">
        <v>11193.65</v>
      </c>
      <c r="Q59" s="955">
        <v>11193.65</v>
      </c>
      <c r="S59" s="955">
        <v>11193.65</v>
      </c>
      <c r="U59" s="955">
        <v>11193.65</v>
      </c>
      <c r="W59" s="955">
        <v>11193.65</v>
      </c>
      <c r="Y59" s="955">
        <v>11193.65</v>
      </c>
      <c r="AA59" s="955">
        <v>11193.65</v>
      </c>
      <c r="AC59" s="955">
        <v>11193.65</v>
      </c>
    </row>
    <row r="60" spans="1:29" s="952" customFormat="1" outlineLevel="1">
      <c r="A60" s="953">
        <v>14054</v>
      </c>
      <c r="B60" s="953" t="s">
        <v>1829</v>
      </c>
      <c r="C60" s="954"/>
      <c r="D60" s="954"/>
      <c r="G60" s="955">
        <v>-3682</v>
      </c>
      <c r="I60" s="955">
        <v>-3682</v>
      </c>
      <c r="K60" s="955">
        <v>-3682</v>
      </c>
      <c r="M60" s="955">
        <v>-3682</v>
      </c>
      <c r="O60" s="955">
        <v>-3682</v>
      </c>
      <c r="Q60" s="955">
        <v>-3682</v>
      </c>
      <c r="S60" s="955">
        <v>-3682</v>
      </c>
      <c r="U60" s="955">
        <v>-3682</v>
      </c>
      <c r="W60" s="955">
        <v>-3682</v>
      </c>
      <c r="Y60" s="955">
        <v>-3682</v>
      </c>
      <c r="AA60" s="955">
        <v>-3682</v>
      </c>
      <c r="AC60" s="955">
        <v>-3682</v>
      </c>
    </row>
    <row r="61" spans="1:29" s="952" customFormat="1" outlineLevel="1">
      <c r="A61" s="953">
        <v>14056</v>
      </c>
      <c r="B61" s="953" t="s">
        <v>1830</v>
      </c>
      <c r="C61" s="954"/>
      <c r="D61" s="954"/>
      <c r="G61" s="955">
        <v>-325957.49</v>
      </c>
      <c r="I61" s="955">
        <v>-328476.83</v>
      </c>
      <c r="K61" s="955">
        <v>-330996.24</v>
      </c>
      <c r="M61" s="955">
        <v>-333624.96000000002</v>
      </c>
      <c r="O61" s="955">
        <v>-336483.88</v>
      </c>
      <c r="Q61" s="955">
        <v>-339342.74</v>
      </c>
      <c r="S61" s="955">
        <v>-342201.73</v>
      </c>
      <c r="U61" s="955">
        <v>-345060.71</v>
      </c>
      <c r="W61" s="955">
        <v>-347919.73</v>
      </c>
      <c r="Y61" s="955">
        <v>-350778.54</v>
      </c>
      <c r="AA61" s="955">
        <v>-353619.58</v>
      </c>
      <c r="AC61" s="955">
        <v>-356460.61</v>
      </c>
    </row>
    <row r="62" spans="1:29" s="952" customFormat="1" outlineLevel="1">
      <c r="A62" s="953">
        <v>14057</v>
      </c>
      <c r="B62" s="953" t="s">
        <v>1831</v>
      </c>
      <c r="C62" s="954"/>
      <c r="D62" s="954"/>
      <c r="G62" s="955">
        <v>-4409.91</v>
      </c>
      <c r="I62" s="955">
        <v>-4409.91</v>
      </c>
      <c r="K62" s="955">
        <v>-4409.91</v>
      </c>
      <c r="M62" s="955">
        <v>-4409.91</v>
      </c>
      <c r="O62" s="955">
        <v>-4409.91</v>
      </c>
      <c r="Q62" s="955">
        <v>-4409.91</v>
      </c>
      <c r="S62" s="955">
        <v>-4409.91</v>
      </c>
      <c r="U62" s="955">
        <v>-4409.91</v>
      </c>
      <c r="W62" s="955">
        <v>-4409.91</v>
      </c>
      <c r="Y62" s="955">
        <v>-4409.91</v>
      </c>
      <c r="AA62" s="955">
        <v>-4409.91</v>
      </c>
      <c r="AC62" s="955">
        <v>-4409.91</v>
      </c>
    </row>
    <row r="63" spans="1:29" s="952" customFormat="1" outlineLevel="1">
      <c r="A63" s="953">
        <v>14058</v>
      </c>
      <c r="B63" s="953" t="s">
        <v>1832</v>
      </c>
      <c r="C63" s="954"/>
      <c r="D63" s="954"/>
      <c r="G63" s="955">
        <v>428.11</v>
      </c>
      <c r="I63" s="955">
        <v>428.11</v>
      </c>
      <c r="K63" s="955">
        <v>428.11</v>
      </c>
      <c r="M63" s="955">
        <v>428.11</v>
      </c>
      <c r="O63" s="955">
        <v>428.11</v>
      </c>
      <c r="Q63" s="955">
        <v>428.11</v>
      </c>
      <c r="S63" s="955">
        <v>428.11</v>
      </c>
      <c r="U63" s="955">
        <v>428.11</v>
      </c>
      <c r="W63" s="955">
        <v>428.11</v>
      </c>
      <c r="Y63" s="955">
        <v>428.11</v>
      </c>
      <c r="AA63" s="955">
        <v>428.11</v>
      </c>
      <c r="AC63" s="955">
        <v>428.11</v>
      </c>
    </row>
    <row r="64" spans="1:29" s="952" customFormat="1" outlineLevel="1">
      <c r="A64" s="953">
        <v>14071</v>
      </c>
      <c r="B64" s="953" t="s">
        <v>1833</v>
      </c>
      <c r="C64" s="954"/>
      <c r="D64" s="954"/>
      <c r="G64" s="955">
        <v>27207.27</v>
      </c>
      <c r="I64" s="955">
        <v>27207.27</v>
      </c>
      <c r="K64" s="955">
        <v>27207.27</v>
      </c>
      <c r="M64" s="955">
        <v>27207.27</v>
      </c>
      <c r="O64" s="955">
        <v>27207.27</v>
      </c>
      <c r="Q64" s="955">
        <v>27207.27</v>
      </c>
      <c r="S64" s="955">
        <v>27207.27</v>
      </c>
      <c r="U64" s="955">
        <v>27207.27</v>
      </c>
      <c r="W64" s="955">
        <v>27207.27</v>
      </c>
      <c r="Y64" s="955">
        <v>27207.27</v>
      </c>
      <c r="AA64" s="955">
        <v>27207.27</v>
      </c>
      <c r="AC64" s="955">
        <v>27207.27</v>
      </c>
    </row>
    <row r="65" spans="1:29" s="952" customFormat="1" outlineLevel="1">
      <c r="A65" s="953">
        <v>14073</v>
      </c>
      <c r="B65" s="953" t="s">
        <v>1834</v>
      </c>
      <c r="C65" s="954"/>
      <c r="D65" s="954"/>
      <c r="G65" s="955">
        <v>4572.38</v>
      </c>
      <c r="I65" s="955">
        <v>4572.38</v>
      </c>
      <c r="K65" s="955">
        <v>4572.38</v>
      </c>
      <c r="M65" s="955">
        <v>4572.38</v>
      </c>
      <c r="O65" s="955">
        <v>4572.38</v>
      </c>
      <c r="Q65" s="955">
        <v>4572.38</v>
      </c>
      <c r="S65" s="955">
        <v>4572.38</v>
      </c>
      <c r="U65" s="955">
        <v>4572.38</v>
      </c>
      <c r="W65" s="955">
        <v>4572.38</v>
      </c>
      <c r="Y65" s="955">
        <v>4572.38</v>
      </c>
      <c r="AA65" s="955">
        <v>4572.38</v>
      </c>
      <c r="AC65" s="955">
        <v>4572.38</v>
      </c>
    </row>
    <row r="66" spans="1:29" s="952" customFormat="1" outlineLevel="1">
      <c r="A66" s="953">
        <v>14076</v>
      </c>
      <c r="B66" s="953" t="s">
        <v>1835</v>
      </c>
      <c r="C66" s="954"/>
      <c r="D66" s="954"/>
      <c r="G66" s="955">
        <v>-26232.69</v>
      </c>
      <c r="I66" s="955">
        <v>-26359.79</v>
      </c>
      <c r="K66" s="955">
        <v>-26486.9</v>
      </c>
      <c r="M66" s="955">
        <v>-26614.01</v>
      </c>
      <c r="O66" s="955">
        <v>-26741.119999999999</v>
      </c>
      <c r="Q66" s="955">
        <v>-26868.22</v>
      </c>
      <c r="S66" s="955">
        <v>-26995.33</v>
      </c>
      <c r="U66" s="955">
        <v>-27122.44</v>
      </c>
      <c r="W66" s="955">
        <v>-27249.55</v>
      </c>
      <c r="Y66" s="955">
        <v>-27376.65</v>
      </c>
      <c r="AA66" s="955">
        <v>-27503.759999999998</v>
      </c>
      <c r="AC66" s="955">
        <v>-27630.87</v>
      </c>
    </row>
    <row r="67" spans="1:29" s="952" customFormat="1" outlineLevel="1">
      <c r="A67" s="953">
        <v>14077</v>
      </c>
      <c r="B67" s="953" t="s">
        <v>1836</v>
      </c>
      <c r="C67" s="954"/>
      <c r="D67" s="954"/>
      <c r="G67" s="955">
        <v>-3429.3</v>
      </c>
      <c r="I67" s="955">
        <v>-3429.3</v>
      </c>
      <c r="K67" s="955">
        <v>-3429.3</v>
      </c>
      <c r="M67" s="955">
        <v>-3429.3</v>
      </c>
      <c r="O67" s="955">
        <v>-3429.3</v>
      </c>
      <c r="Q67" s="955">
        <v>-3429.3</v>
      </c>
      <c r="S67" s="955">
        <v>-3429.3</v>
      </c>
      <c r="U67" s="955">
        <v>-3429.3</v>
      </c>
      <c r="W67" s="955">
        <v>-3429.3</v>
      </c>
      <c r="Y67" s="955">
        <v>-3429.3</v>
      </c>
      <c r="AA67" s="955">
        <v>-3429.3</v>
      </c>
      <c r="AC67" s="955">
        <v>-3429.3</v>
      </c>
    </row>
    <row r="68" spans="1:29" s="952" customFormat="1" outlineLevel="1">
      <c r="A68" s="953">
        <v>14081</v>
      </c>
      <c r="B68" s="953" t="s">
        <v>1837</v>
      </c>
      <c r="C68" s="954"/>
      <c r="D68" s="954"/>
      <c r="G68" s="955">
        <v>101069.3</v>
      </c>
      <c r="I68" s="955">
        <v>101069.3</v>
      </c>
      <c r="K68" s="955">
        <v>101069.3</v>
      </c>
      <c r="M68" s="955">
        <v>101069.3</v>
      </c>
      <c r="O68" s="955">
        <v>101069.3</v>
      </c>
      <c r="Q68" s="955">
        <v>101069.3</v>
      </c>
      <c r="S68" s="955">
        <v>101069.3</v>
      </c>
      <c r="U68" s="955">
        <v>101069.3</v>
      </c>
      <c r="W68" s="955">
        <v>101069.3</v>
      </c>
      <c r="Y68" s="955">
        <v>101069.3</v>
      </c>
      <c r="AA68" s="955">
        <v>101069.3</v>
      </c>
      <c r="AC68" s="955">
        <v>101069.3</v>
      </c>
    </row>
    <row r="69" spans="1:29" s="952" customFormat="1" outlineLevel="1">
      <c r="A69" s="953">
        <v>14082</v>
      </c>
      <c r="B69" s="953" t="s">
        <v>1838</v>
      </c>
      <c r="C69" s="954"/>
      <c r="D69" s="954"/>
      <c r="G69" s="955">
        <v>200000</v>
      </c>
      <c r="I69" s="955">
        <v>200000</v>
      </c>
      <c r="K69" s="955">
        <v>200000</v>
      </c>
      <c r="M69" s="955">
        <v>200000</v>
      </c>
      <c r="O69" s="955">
        <v>200000</v>
      </c>
      <c r="Q69" s="955">
        <v>200000</v>
      </c>
      <c r="S69" s="955">
        <v>200000</v>
      </c>
      <c r="U69" s="955">
        <v>200000</v>
      </c>
      <c r="W69" s="955">
        <v>200000</v>
      </c>
      <c r="Y69" s="955">
        <v>200000</v>
      </c>
      <c r="AA69" s="955">
        <v>200000</v>
      </c>
      <c r="AC69" s="955">
        <v>200000</v>
      </c>
    </row>
    <row r="70" spans="1:29" s="952" customFormat="1" outlineLevel="1">
      <c r="A70" s="953">
        <v>14086</v>
      </c>
      <c r="B70" s="953" t="s">
        <v>1839</v>
      </c>
      <c r="C70" s="954"/>
      <c r="D70" s="954"/>
      <c r="G70" s="955">
        <v>-155843.26999999999</v>
      </c>
      <c r="I70" s="955">
        <v>-157453.57</v>
      </c>
      <c r="K70" s="955">
        <v>-159063.88</v>
      </c>
      <c r="M70" s="955">
        <v>-160674.16</v>
      </c>
      <c r="O70" s="955">
        <v>-162284.46</v>
      </c>
      <c r="Q70" s="955">
        <v>-163894.74</v>
      </c>
      <c r="S70" s="955">
        <v>-165505.01</v>
      </c>
      <c r="U70" s="955">
        <v>-167115.32</v>
      </c>
      <c r="W70" s="955">
        <v>-168725.62</v>
      </c>
      <c r="Y70" s="955">
        <v>-170335.91</v>
      </c>
      <c r="AA70" s="955">
        <v>-171946.2</v>
      </c>
      <c r="AC70" s="955">
        <v>-173556.49</v>
      </c>
    </row>
    <row r="71" spans="1:29" s="952" customFormat="1" outlineLevel="1">
      <c r="A71" s="953">
        <v>14103</v>
      </c>
      <c r="B71" s="953" t="s">
        <v>1840</v>
      </c>
      <c r="C71" s="954"/>
      <c r="D71" s="954"/>
      <c r="G71" s="955">
        <v>0</v>
      </c>
      <c r="I71" s="955">
        <v>0</v>
      </c>
      <c r="K71" s="955">
        <v>0</v>
      </c>
      <c r="M71" s="955">
        <v>0</v>
      </c>
      <c r="O71" s="955">
        <v>0</v>
      </c>
      <c r="Q71" s="955">
        <v>0</v>
      </c>
      <c r="S71" s="955">
        <v>0</v>
      </c>
      <c r="U71" s="955">
        <v>0</v>
      </c>
      <c r="W71" s="955">
        <v>0</v>
      </c>
      <c r="Y71" s="955">
        <v>0</v>
      </c>
      <c r="AA71" s="955">
        <v>0</v>
      </c>
      <c r="AC71" s="955">
        <v>2658.37</v>
      </c>
    </row>
    <row r="72" spans="1:29" s="952" customFormat="1" outlineLevel="1">
      <c r="A72" s="953">
        <v>14106</v>
      </c>
      <c r="B72" s="953" t="s">
        <v>1841</v>
      </c>
      <c r="C72" s="954"/>
      <c r="D72" s="954"/>
      <c r="G72" s="955">
        <v>0</v>
      </c>
      <c r="I72" s="955">
        <v>0</v>
      </c>
      <c r="K72" s="955">
        <v>0</v>
      </c>
      <c r="M72" s="955">
        <v>0</v>
      </c>
      <c r="O72" s="955">
        <v>0</v>
      </c>
      <c r="Q72" s="955">
        <v>0</v>
      </c>
      <c r="S72" s="955">
        <v>0</v>
      </c>
      <c r="U72" s="955">
        <v>0</v>
      </c>
      <c r="W72" s="955">
        <v>0</v>
      </c>
      <c r="Y72" s="955">
        <v>0</v>
      </c>
      <c r="AA72" s="955">
        <v>0</v>
      </c>
      <c r="AC72" s="955">
        <v>-44.31</v>
      </c>
    </row>
    <row r="73" spans="1:29" s="952" customFormat="1" outlineLevel="1">
      <c r="A73" s="953">
        <v>14107</v>
      </c>
      <c r="B73" s="953" t="s">
        <v>1842</v>
      </c>
      <c r="C73" s="954"/>
      <c r="D73" s="954"/>
      <c r="G73" s="955">
        <v>0</v>
      </c>
      <c r="I73" s="955">
        <v>0</v>
      </c>
      <c r="K73" s="955">
        <v>0</v>
      </c>
      <c r="M73" s="955">
        <v>0</v>
      </c>
      <c r="O73" s="955">
        <v>0</v>
      </c>
      <c r="Q73" s="955">
        <v>0</v>
      </c>
      <c r="S73" s="955">
        <v>0</v>
      </c>
      <c r="U73" s="955">
        <v>0</v>
      </c>
      <c r="W73" s="955">
        <v>0</v>
      </c>
      <c r="Y73" s="955">
        <v>0</v>
      </c>
      <c r="AA73" s="955">
        <v>0</v>
      </c>
      <c r="AC73" s="955">
        <v>-88.61</v>
      </c>
    </row>
    <row r="74" spans="1:29" s="952" customFormat="1" outlineLevel="1">
      <c r="A74" s="953">
        <v>14111</v>
      </c>
      <c r="B74" s="953" t="s">
        <v>1843</v>
      </c>
      <c r="C74" s="954"/>
      <c r="D74" s="954"/>
      <c r="G74" s="955">
        <v>39031.49</v>
      </c>
      <c r="I74" s="955">
        <v>39031.49</v>
      </c>
      <c r="K74" s="955">
        <v>39031.49</v>
      </c>
      <c r="M74" s="955">
        <v>39031.49</v>
      </c>
      <c r="O74" s="955">
        <v>39031.49</v>
      </c>
      <c r="Q74" s="955">
        <v>39031.49</v>
      </c>
      <c r="S74" s="955">
        <v>39031.49</v>
      </c>
      <c r="U74" s="955">
        <v>39031.49</v>
      </c>
      <c r="W74" s="955">
        <v>39031.49</v>
      </c>
      <c r="Y74" s="955">
        <v>39031.49</v>
      </c>
      <c r="AA74" s="955">
        <v>39031.49</v>
      </c>
      <c r="AC74" s="955">
        <v>41564.400000000001</v>
      </c>
    </row>
    <row r="75" spans="1:29" s="952" customFormat="1" outlineLevel="1">
      <c r="A75" s="953">
        <v>14113</v>
      </c>
      <c r="B75" s="953" t="s">
        <v>1844</v>
      </c>
      <c r="C75" s="954"/>
      <c r="D75" s="954"/>
      <c r="G75" s="955">
        <v>-4291.8599999999997</v>
      </c>
      <c r="I75" s="955">
        <v>-4291.8599999999997</v>
      </c>
      <c r="K75" s="955">
        <v>-4291.8599999999997</v>
      </c>
      <c r="M75" s="955">
        <v>-4291.8599999999997</v>
      </c>
      <c r="O75" s="955">
        <v>-4291.8599999999997</v>
      </c>
      <c r="Q75" s="955">
        <v>-4291.8599999999997</v>
      </c>
      <c r="S75" s="955">
        <v>-4291.8599999999997</v>
      </c>
      <c r="U75" s="955">
        <v>-4291.8599999999997</v>
      </c>
      <c r="W75" s="955">
        <v>-4291.8599999999997</v>
      </c>
      <c r="Y75" s="955">
        <v>-4291.8599999999997</v>
      </c>
      <c r="AA75" s="955">
        <v>-4291.8599999999997</v>
      </c>
      <c r="AC75" s="955">
        <v>-4291.8599999999997</v>
      </c>
    </row>
    <row r="76" spans="1:29" s="952" customFormat="1" outlineLevel="1">
      <c r="A76" s="953">
        <v>14116</v>
      </c>
      <c r="B76" s="953" t="s">
        <v>1845</v>
      </c>
      <c r="C76" s="954"/>
      <c r="D76" s="954"/>
      <c r="G76" s="955">
        <v>-33639.96</v>
      </c>
      <c r="I76" s="955">
        <v>-34006.379999999997</v>
      </c>
      <c r="K76" s="955">
        <v>-34372.79</v>
      </c>
      <c r="M76" s="955">
        <v>-34739.19</v>
      </c>
      <c r="O76" s="955">
        <v>-34926.46</v>
      </c>
      <c r="Q76" s="955">
        <v>-35067.4</v>
      </c>
      <c r="S76" s="955">
        <v>-35208.35</v>
      </c>
      <c r="U76" s="955">
        <v>-35349.279999999999</v>
      </c>
      <c r="W76" s="955">
        <v>-35490.22</v>
      </c>
      <c r="Y76" s="955">
        <v>-35631.15</v>
      </c>
      <c r="AA76" s="955">
        <v>-35772.080000000002</v>
      </c>
      <c r="AC76" s="955">
        <v>-35913.03</v>
      </c>
    </row>
    <row r="77" spans="1:29" s="952" customFormat="1" outlineLevel="1">
      <c r="A77" s="953">
        <v>14117</v>
      </c>
      <c r="B77" s="953" t="s">
        <v>1846</v>
      </c>
      <c r="C77" s="954"/>
      <c r="D77" s="954"/>
      <c r="G77" s="955">
        <v>2998.84</v>
      </c>
      <c r="I77" s="955">
        <v>2998.84</v>
      </c>
      <c r="K77" s="955">
        <v>2998.84</v>
      </c>
      <c r="M77" s="955">
        <v>2998.84</v>
      </c>
      <c r="O77" s="955">
        <v>2998.84</v>
      </c>
      <c r="Q77" s="955">
        <v>2998.84</v>
      </c>
      <c r="S77" s="955">
        <v>2998.84</v>
      </c>
      <c r="U77" s="955">
        <v>2998.84</v>
      </c>
      <c r="W77" s="955">
        <v>2998.84</v>
      </c>
      <c r="Y77" s="955">
        <v>2998.84</v>
      </c>
      <c r="AA77" s="955">
        <v>2998.84</v>
      </c>
      <c r="AC77" s="955">
        <v>2998.84</v>
      </c>
    </row>
    <row r="78" spans="1:29" s="952" customFormat="1" outlineLevel="1">
      <c r="A78" s="953">
        <v>14201</v>
      </c>
      <c r="B78" s="953" t="s">
        <v>1847</v>
      </c>
      <c r="C78" s="954"/>
      <c r="D78" s="954"/>
      <c r="G78" s="955">
        <v>240137.91</v>
      </c>
      <c r="I78" s="955">
        <v>463173.45</v>
      </c>
      <c r="K78" s="955">
        <v>0</v>
      </c>
      <c r="M78" s="955">
        <v>0</v>
      </c>
      <c r="O78" s="955">
        <v>0</v>
      </c>
      <c r="Q78" s="955">
        <v>0</v>
      </c>
      <c r="S78" s="955">
        <v>0</v>
      </c>
      <c r="U78" s="955">
        <v>0</v>
      </c>
      <c r="W78" s="955">
        <v>0</v>
      </c>
      <c r="Y78" s="955">
        <v>0</v>
      </c>
      <c r="AA78" s="955">
        <v>0</v>
      </c>
      <c r="AC78" s="955">
        <v>0</v>
      </c>
    </row>
    <row r="79" spans="1:29" s="952" customFormat="1" ht="4.5" customHeight="1" outlineLevel="1">
      <c r="A79" s="968"/>
      <c r="G79" s="95"/>
      <c r="I79" s="95"/>
      <c r="K79" s="95"/>
      <c r="M79" s="95"/>
      <c r="O79" s="95"/>
      <c r="Q79" s="95"/>
      <c r="S79" s="95"/>
      <c r="U79" s="95"/>
      <c r="W79" s="95"/>
      <c r="Y79" s="95"/>
      <c r="AA79" s="95"/>
      <c r="AC79" s="95"/>
    </row>
    <row r="80" spans="1:29" s="952" customFormat="1">
      <c r="C80" s="952" t="s">
        <v>1848</v>
      </c>
      <c r="G80" s="92">
        <f>SUM(G47:G79)</f>
        <v>961394.61000000022</v>
      </c>
      <c r="I80" s="92">
        <f>SUM(I47:I79)</f>
        <v>1198747.9100000004</v>
      </c>
      <c r="K80" s="92">
        <f>SUM(K47:K79)</f>
        <v>1184527.3099999994</v>
      </c>
      <c r="M80" s="92">
        <f>SUM(M47:M79)</f>
        <v>1198625.7</v>
      </c>
      <c r="O80" s="92">
        <f>SUM(O47:O79)</f>
        <v>1193665.4599999997</v>
      </c>
      <c r="Q80" s="92">
        <f>SUM(Q47:Q79)</f>
        <v>1177739.0299999998</v>
      </c>
      <c r="S80" s="92">
        <f>SUM(S47:S79)</f>
        <v>1414757.1699999995</v>
      </c>
      <c r="U80" s="92">
        <f>SUM(U47:U79)</f>
        <v>1399313.93</v>
      </c>
      <c r="W80" s="92">
        <f>SUM(W47:W79)</f>
        <v>1386522.58</v>
      </c>
      <c r="Y80" s="92">
        <f>SUM(Y47:Y79)</f>
        <v>1368316.69</v>
      </c>
      <c r="AA80" s="92">
        <f>SUM(AA47:AA79)</f>
        <v>1350128.5000000002</v>
      </c>
      <c r="AC80" s="92">
        <f>SUM(AC47:AC79)</f>
        <v>1336998.6499999997</v>
      </c>
    </row>
    <row r="81" spans="1:29" s="101" customFormat="1" outlineLevel="1"/>
    <row r="82" spans="1:29" s="952" customFormat="1" ht="5.0999999999999996" customHeight="1" outlineLevel="1">
      <c r="A82" s="954"/>
      <c r="B82" s="954"/>
      <c r="C82" s="954"/>
      <c r="D82" s="954"/>
      <c r="G82" s="95"/>
      <c r="I82" s="95"/>
      <c r="K82" s="95"/>
      <c r="M82" s="95"/>
      <c r="O82" s="95"/>
      <c r="Q82" s="95"/>
      <c r="S82" s="95"/>
      <c r="U82" s="95"/>
      <c r="W82" s="95"/>
      <c r="Y82" s="95"/>
      <c r="AA82" s="95"/>
      <c r="AC82" s="95"/>
    </row>
    <row r="83" spans="1:29" s="952" customFormat="1">
      <c r="C83" s="953" t="s">
        <v>1849</v>
      </c>
      <c r="G83" s="92">
        <f>SUM(G81:G82)</f>
        <v>0</v>
      </c>
      <c r="I83" s="92">
        <f>SUM(I81:I82)</f>
        <v>0</v>
      </c>
      <c r="K83" s="92">
        <f>SUM(K81:K82)</f>
        <v>0</v>
      </c>
      <c r="M83" s="92">
        <f>SUM(M81:M82)</f>
        <v>0</v>
      </c>
      <c r="O83" s="92">
        <f>SUM(O81:O82)</f>
        <v>0</v>
      </c>
      <c r="Q83" s="92">
        <f>SUM(Q81:Q82)</f>
        <v>0</v>
      </c>
      <c r="S83" s="92">
        <f>SUM(S81:S82)</f>
        <v>0</v>
      </c>
      <c r="U83" s="92">
        <f>SUM(U81:U82)</f>
        <v>0</v>
      </c>
      <c r="W83" s="92">
        <f>SUM(W81:W82)</f>
        <v>0</v>
      </c>
      <c r="Y83" s="92">
        <f>SUM(Y81:Y82)</f>
        <v>0</v>
      </c>
      <c r="AA83" s="92">
        <f>SUM(AA81:AA82)</f>
        <v>0</v>
      </c>
      <c r="AC83" s="92">
        <f>SUM(AC81:AC82)</f>
        <v>0</v>
      </c>
    </row>
    <row r="84" spans="1:29" s="952" customFormat="1" outlineLevel="1">
      <c r="A84" s="953">
        <v>15111</v>
      </c>
      <c r="B84" s="953" t="s">
        <v>1850</v>
      </c>
      <c r="C84" s="954"/>
      <c r="D84" s="954"/>
      <c r="G84" s="955">
        <v>2548700.21</v>
      </c>
      <c r="I84" s="955">
        <v>2548700.21</v>
      </c>
      <c r="K84" s="955">
        <v>2548700.21</v>
      </c>
      <c r="M84" s="955">
        <v>2548700.21</v>
      </c>
      <c r="O84" s="955">
        <v>2548700.21</v>
      </c>
      <c r="Q84" s="955">
        <v>2548700.21</v>
      </c>
      <c r="S84" s="955">
        <v>2548700.21</v>
      </c>
      <c r="U84" s="955">
        <v>2548700.21</v>
      </c>
      <c r="W84" s="955">
        <v>2548700.21</v>
      </c>
      <c r="Y84" s="955">
        <v>2548700.21</v>
      </c>
      <c r="AA84" s="955">
        <v>2548700.21</v>
      </c>
      <c r="AC84" s="955">
        <v>2548700.21</v>
      </c>
    </row>
    <row r="85" spans="1:29" s="952" customFormat="1" outlineLevel="1">
      <c r="A85" s="953">
        <v>15112</v>
      </c>
      <c r="B85" s="953" t="s">
        <v>1851</v>
      </c>
      <c r="C85" s="954"/>
      <c r="D85" s="954"/>
      <c r="G85" s="955">
        <v>-94415.71</v>
      </c>
      <c r="I85" s="955">
        <v>-94415.71</v>
      </c>
      <c r="K85" s="955">
        <v>-94415.71</v>
      </c>
      <c r="M85" s="955">
        <v>-94415.71</v>
      </c>
      <c r="O85" s="955">
        <v>-94415.71</v>
      </c>
      <c r="Q85" s="955">
        <v>-94415.71</v>
      </c>
      <c r="S85" s="955">
        <v>-94415.71</v>
      </c>
      <c r="U85" s="955">
        <v>-94415.71</v>
      </c>
      <c r="W85" s="955">
        <v>-94415.71</v>
      </c>
      <c r="Y85" s="955">
        <v>-94415.71</v>
      </c>
      <c r="AA85" s="955">
        <v>-94415.71</v>
      </c>
      <c r="AC85" s="955">
        <v>-94415.71</v>
      </c>
    </row>
    <row r="86" spans="1:29" s="952" customFormat="1" ht="4.5" customHeight="1" outlineLevel="1">
      <c r="A86" s="968"/>
      <c r="G86" s="95"/>
      <c r="I86" s="95"/>
      <c r="K86" s="95"/>
      <c r="M86" s="95"/>
      <c r="O86" s="95"/>
      <c r="Q86" s="95"/>
      <c r="S86" s="95"/>
      <c r="U86" s="95"/>
      <c r="W86" s="95"/>
      <c r="Y86" s="95"/>
      <c r="AA86" s="95"/>
      <c r="AC86" s="95"/>
    </row>
    <row r="87" spans="1:29" s="952" customFormat="1">
      <c r="C87" s="952" t="s">
        <v>1690</v>
      </c>
      <c r="G87" s="92">
        <f>SUM(G84:G86)</f>
        <v>2454284.5</v>
      </c>
      <c r="I87" s="92">
        <f>SUM(I84:I86)</f>
        <v>2454284.5</v>
      </c>
      <c r="K87" s="92">
        <f>SUM(K84:K86)</f>
        <v>2454284.5</v>
      </c>
      <c r="M87" s="92">
        <f>SUM(M84:M86)</f>
        <v>2454284.5</v>
      </c>
      <c r="O87" s="92">
        <f>SUM(O84:O86)</f>
        <v>2454284.5</v>
      </c>
      <c r="Q87" s="92">
        <f>SUM(Q84:Q86)</f>
        <v>2454284.5</v>
      </c>
      <c r="S87" s="92">
        <f>SUM(S84:S86)</f>
        <v>2454284.5</v>
      </c>
      <c r="U87" s="92">
        <f>SUM(U84:U86)</f>
        <v>2454284.5</v>
      </c>
      <c r="W87" s="92">
        <f>SUM(W84:W86)</f>
        <v>2454284.5</v>
      </c>
      <c r="Y87" s="92">
        <f>SUM(Y84:Y86)</f>
        <v>2454284.5</v>
      </c>
      <c r="AA87" s="92">
        <f>SUM(AA84:AA86)</f>
        <v>2454284.5</v>
      </c>
      <c r="AC87" s="92">
        <f>SUM(AC84:AC86)</f>
        <v>2454284.5</v>
      </c>
    </row>
    <row r="88" spans="1:29" s="952" customFormat="1" outlineLevel="1">
      <c r="A88" s="953">
        <v>15211</v>
      </c>
      <c r="B88" s="953" t="s">
        <v>1852</v>
      </c>
      <c r="C88" s="954"/>
      <c r="D88" s="954"/>
      <c r="G88" s="955">
        <v>31000</v>
      </c>
      <c r="I88" s="955">
        <v>31000</v>
      </c>
      <c r="K88" s="955">
        <v>31000</v>
      </c>
      <c r="M88" s="955">
        <v>31000</v>
      </c>
      <c r="O88" s="955">
        <v>31000</v>
      </c>
      <c r="Q88" s="955">
        <v>31000</v>
      </c>
      <c r="S88" s="955">
        <v>31000</v>
      </c>
      <c r="U88" s="955">
        <v>31000</v>
      </c>
      <c r="W88" s="955">
        <v>31000</v>
      </c>
      <c r="Y88" s="955">
        <v>31000</v>
      </c>
      <c r="AA88" s="955">
        <v>31000</v>
      </c>
      <c r="AC88" s="955">
        <v>31000</v>
      </c>
    </row>
    <row r="89" spans="1:29" s="952" customFormat="1" outlineLevel="1">
      <c r="A89" s="953">
        <v>15216</v>
      </c>
      <c r="B89" s="953" t="s">
        <v>1853</v>
      </c>
      <c r="C89" s="954"/>
      <c r="D89" s="954"/>
      <c r="G89" s="955">
        <v>-31000</v>
      </c>
      <c r="I89" s="955">
        <v>-31000</v>
      </c>
      <c r="K89" s="955">
        <v>-31000</v>
      </c>
      <c r="M89" s="955">
        <v>-31000</v>
      </c>
      <c r="O89" s="955">
        <v>-31000</v>
      </c>
      <c r="Q89" s="955">
        <v>-31000</v>
      </c>
      <c r="S89" s="955">
        <v>-31000</v>
      </c>
      <c r="U89" s="955">
        <v>-31000</v>
      </c>
      <c r="W89" s="955">
        <v>-31000</v>
      </c>
      <c r="Y89" s="955">
        <v>-31000</v>
      </c>
      <c r="AA89" s="955">
        <v>-31000</v>
      </c>
      <c r="AC89" s="955">
        <v>-31000</v>
      </c>
    </row>
    <row r="90" spans="1:29" s="952" customFormat="1" outlineLevel="1">
      <c r="A90" s="953">
        <v>15251</v>
      </c>
      <c r="B90" s="953" t="s">
        <v>1854</v>
      </c>
      <c r="C90" s="954"/>
      <c r="D90" s="954"/>
      <c r="G90" s="955">
        <v>113859.33</v>
      </c>
      <c r="I90" s="955">
        <v>113859.33</v>
      </c>
      <c r="K90" s="955">
        <v>113859.33</v>
      </c>
      <c r="M90" s="955">
        <v>113859.33</v>
      </c>
      <c r="O90" s="955">
        <v>113859.33</v>
      </c>
      <c r="Q90" s="955">
        <v>113859.33</v>
      </c>
      <c r="S90" s="955">
        <v>113859.33</v>
      </c>
      <c r="U90" s="955">
        <v>113859.33</v>
      </c>
      <c r="W90" s="955">
        <v>113859.33</v>
      </c>
      <c r="Y90" s="955">
        <v>113859.33</v>
      </c>
      <c r="AA90" s="955">
        <v>113859.33</v>
      </c>
      <c r="AC90" s="955">
        <v>113859.33</v>
      </c>
    </row>
    <row r="91" spans="1:29" s="952" customFormat="1" outlineLevel="1">
      <c r="A91" s="953">
        <v>15256</v>
      </c>
      <c r="B91" s="953" t="s">
        <v>1855</v>
      </c>
      <c r="C91" s="954"/>
      <c r="D91" s="954"/>
      <c r="G91" s="955">
        <v>-55796.89</v>
      </c>
      <c r="I91" s="955">
        <v>-56448.59</v>
      </c>
      <c r="K91" s="955">
        <v>-57100.3</v>
      </c>
      <c r="M91" s="955">
        <v>-57752.02</v>
      </c>
      <c r="O91" s="955">
        <v>-58403.72</v>
      </c>
      <c r="Q91" s="955">
        <v>-59055.43</v>
      </c>
      <c r="S91" s="955">
        <v>-59707.14</v>
      </c>
      <c r="U91" s="955">
        <v>-60358.85</v>
      </c>
      <c r="W91" s="955">
        <v>-61010.559999999998</v>
      </c>
      <c r="Y91" s="955">
        <v>-61662.27</v>
      </c>
      <c r="AA91" s="955">
        <v>-62313.97</v>
      </c>
      <c r="AC91" s="955">
        <v>-62965.69</v>
      </c>
    </row>
    <row r="92" spans="1:29" s="952" customFormat="1" outlineLevel="1">
      <c r="A92" s="953">
        <v>15261</v>
      </c>
      <c r="B92" s="953" t="s">
        <v>1856</v>
      </c>
      <c r="C92" s="954"/>
      <c r="D92" s="954"/>
      <c r="G92" s="955">
        <v>167101.01999999999</v>
      </c>
      <c r="I92" s="955">
        <v>167101.01999999999</v>
      </c>
      <c r="K92" s="955">
        <v>167101.01999999999</v>
      </c>
      <c r="M92" s="955">
        <v>167101.01999999999</v>
      </c>
      <c r="O92" s="955">
        <v>167101.01999999999</v>
      </c>
      <c r="Q92" s="955">
        <v>167101.01999999999</v>
      </c>
      <c r="S92" s="955">
        <v>167101.01999999999</v>
      </c>
      <c r="U92" s="955">
        <v>167101.01999999999</v>
      </c>
      <c r="W92" s="955">
        <v>167101.01999999999</v>
      </c>
      <c r="Y92" s="955">
        <v>167101.01999999999</v>
      </c>
      <c r="AA92" s="955">
        <v>167101.01999999999</v>
      </c>
      <c r="AC92" s="955">
        <v>167101.01999999999</v>
      </c>
    </row>
    <row r="93" spans="1:29" s="952" customFormat="1" ht="5.0999999999999996" customHeight="1" outlineLevel="1">
      <c r="A93" s="954"/>
      <c r="B93" s="954"/>
      <c r="C93" s="954"/>
      <c r="D93" s="954"/>
      <c r="G93" s="95"/>
      <c r="I93" s="95"/>
      <c r="K93" s="95"/>
      <c r="M93" s="95"/>
      <c r="O93" s="95"/>
      <c r="Q93" s="95"/>
      <c r="S93" s="95"/>
      <c r="U93" s="95"/>
      <c r="W93" s="95"/>
      <c r="Y93" s="95"/>
      <c r="AA93" s="95"/>
      <c r="AC93" s="95"/>
    </row>
    <row r="94" spans="1:29" s="952" customFormat="1">
      <c r="C94" s="953" t="s">
        <v>1857</v>
      </c>
      <c r="D94" s="969"/>
      <c r="E94" s="969"/>
      <c r="F94" s="969"/>
      <c r="G94" s="92">
        <f>SUM(G88:G93)</f>
        <v>225163.46</v>
      </c>
      <c r="I94" s="92">
        <f>SUM(I88:I93)</f>
        <v>224511.76</v>
      </c>
      <c r="K94" s="92">
        <f>SUM(K88:K93)</f>
        <v>223860.05</v>
      </c>
      <c r="M94" s="92">
        <f>SUM(M88:M93)</f>
        <v>223208.33</v>
      </c>
      <c r="O94" s="92">
        <f>SUM(O88:O93)</f>
        <v>222556.63</v>
      </c>
      <c r="Q94" s="92">
        <f>SUM(Q88:Q93)</f>
        <v>221904.91999999998</v>
      </c>
      <c r="S94" s="92">
        <f>SUM(S88:S93)</f>
        <v>221253.21</v>
      </c>
      <c r="U94" s="92">
        <f>SUM(U88:U93)</f>
        <v>220601.5</v>
      </c>
      <c r="W94" s="92">
        <f>SUM(W88:W93)</f>
        <v>219949.78999999998</v>
      </c>
      <c r="Y94" s="92">
        <f>SUM(Y88:Y93)</f>
        <v>219298.08</v>
      </c>
      <c r="AA94" s="92">
        <f>SUM(AA88:AA93)</f>
        <v>218646.38</v>
      </c>
      <c r="AC94" s="92">
        <f>SUM(AC88:AC93)</f>
        <v>217994.65999999997</v>
      </c>
    </row>
    <row r="95" spans="1:29" s="101" customFormat="1" outlineLevel="1"/>
    <row r="96" spans="1:29" s="952" customFormat="1" ht="5.0999999999999996" customHeight="1" outlineLevel="1">
      <c r="A96" s="954"/>
      <c r="B96" s="954"/>
      <c r="C96" s="954"/>
      <c r="D96" s="954"/>
      <c r="G96" s="95"/>
      <c r="I96" s="95"/>
      <c r="K96" s="95"/>
      <c r="M96" s="95"/>
      <c r="O96" s="95"/>
      <c r="Q96" s="95"/>
      <c r="S96" s="95"/>
      <c r="U96" s="95"/>
      <c r="W96" s="95"/>
      <c r="Y96" s="95"/>
      <c r="AA96" s="95"/>
      <c r="AC96" s="95"/>
    </row>
    <row r="97" spans="1:29" s="952" customFormat="1">
      <c r="C97" s="953" t="s">
        <v>1858</v>
      </c>
      <c r="D97" s="969"/>
      <c r="E97" s="969"/>
      <c r="F97" s="969"/>
      <c r="G97" s="92">
        <f>SUM(G95:G96)</f>
        <v>0</v>
      </c>
      <c r="I97" s="92">
        <f>SUM(I95:I96)</f>
        <v>0</v>
      </c>
      <c r="K97" s="92">
        <f>SUM(K95:K96)</f>
        <v>0</v>
      </c>
      <c r="M97" s="92">
        <f>SUM(M95:M96)</f>
        <v>0</v>
      </c>
      <c r="O97" s="92">
        <f>SUM(O95:O96)</f>
        <v>0</v>
      </c>
      <c r="Q97" s="92">
        <f>SUM(Q95:Q96)</f>
        <v>0</v>
      </c>
      <c r="S97" s="92">
        <f>SUM(S95:S96)</f>
        <v>0</v>
      </c>
      <c r="U97" s="92">
        <f>SUM(U95:U96)</f>
        <v>0</v>
      </c>
      <c r="W97" s="92">
        <f>SUM(W95:W96)</f>
        <v>0</v>
      </c>
      <c r="Y97" s="92">
        <f>SUM(Y95:Y96)</f>
        <v>0</v>
      </c>
      <c r="AA97" s="92">
        <f>SUM(AA95:AA96)</f>
        <v>0</v>
      </c>
      <c r="AC97" s="92">
        <f>SUM(AC95:AC96)</f>
        <v>0</v>
      </c>
    </row>
    <row r="98" spans="1:29" s="101" customFormat="1" outlineLevel="1"/>
    <row r="99" spans="1:29" s="952" customFormat="1" ht="4.5" customHeight="1" outlineLevel="1">
      <c r="A99" s="968"/>
      <c r="G99" s="95"/>
      <c r="I99" s="95"/>
      <c r="K99" s="95"/>
      <c r="M99" s="95"/>
      <c r="O99" s="95"/>
      <c r="Q99" s="95"/>
      <c r="S99" s="95"/>
      <c r="U99" s="95"/>
      <c r="W99" s="95"/>
      <c r="Y99" s="95"/>
      <c r="AA99" s="95"/>
      <c r="AC99" s="95"/>
    </row>
    <row r="100" spans="1:29" s="952" customFormat="1">
      <c r="C100" s="952" t="s">
        <v>1859</v>
      </c>
      <c r="G100" s="92">
        <f>SUM(G98:G99)</f>
        <v>0</v>
      </c>
      <c r="I100" s="92">
        <f>SUM(I98:I99)</f>
        <v>0</v>
      </c>
      <c r="K100" s="92">
        <f>SUM(K98:K99)</f>
        <v>0</v>
      </c>
      <c r="M100" s="92">
        <f>SUM(M98:M99)</f>
        <v>0</v>
      </c>
      <c r="O100" s="92">
        <f>SUM(O98:O99)</f>
        <v>0</v>
      </c>
      <c r="Q100" s="92">
        <f>SUM(Q98:Q99)</f>
        <v>0</v>
      </c>
      <c r="S100" s="92">
        <f>SUM(S98:S99)</f>
        <v>0</v>
      </c>
      <c r="U100" s="92">
        <f>SUM(U98:U99)</f>
        <v>0</v>
      </c>
      <c r="W100" s="92">
        <f>SUM(W98:W99)</f>
        <v>0</v>
      </c>
      <c r="Y100" s="92">
        <f>SUM(Y98:Y99)</f>
        <v>0</v>
      </c>
      <c r="AA100" s="92">
        <f>SUM(AA98:AA99)</f>
        <v>0</v>
      </c>
      <c r="AC100" s="92">
        <f>SUM(AC98:AC99)</f>
        <v>0</v>
      </c>
    </row>
    <row r="101" spans="1:29" s="101" customFormat="1" outlineLevel="1"/>
    <row r="102" spans="1:29" s="952" customFormat="1" ht="5.0999999999999996" customHeight="1" outlineLevel="1">
      <c r="A102" s="954"/>
      <c r="B102" s="954"/>
      <c r="C102" s="954"/>
      <c r="D102" s="954"/>
      <c r="G102" s="95"/>
      <c r="I102" s="95"/>
      <c r="K102" s="95"/>
      <c r="M102" s="95"/>
      <c r="O102" s="95"/>
      <c r="Q102" s="95"/>
      <c r="S102" s="95"/>
      <c r="U102" s="95"/>
      <c r="W102" s="95"/>
      <c r="Y102" s="95"/>
      <c r="AA102" s="95"/>
      <c r="AC102" s="95"/>
    </row>
    <row r="103" spans="1:29" s="952" customFormat="1">
      <c r="C103" s="953" t="s">
        <v>1860</v>
      </c>
      <c r="G103" s="92">
        <f>SUM(G101:G102)</f>
        <v>0</v>
      </c>
      <c r="I103" s="92">
        <f>SUM(I101:I102)</f>
        <v>0</v>
      </c>
      <c r="K103" s="92">
        <f>SUM(K101:K102)</f>
        <v>0</v>
      </c>
      <c r="M103" s="92">
        <f>SUM(M101:M102)</f>
        <v>0</v>
      </c>
      <c r="O103" s="92">
        <f>SUM(O101:O102)</f>
        <v>0</v>
      </c>
      <c r="Q103" s="92">
        <f>SUM(Q101:Q102)</f>
        <v>0</v>
      </c>
      <c r="S103" s="92">
        <f>SUM(S101:S102)</f>
        <v>0</v>
      </c>
      <c r="U103" s="92">
        <f>SUM(U101:U102)</f>
        <v>0</v>
      </c>
      <c r="W103" s="92">
        <f>SUM(W101:W102)</f>
        <v>0</v>
      </c>
      <c r="Y103" s="92">
        <f>SUM(Y101:Y102)</f>
        <v>0</v>
      </c>
      <c r="AA103" s="92">
        <f>SUM(AA101:AA102)</f>
        <v>0</v>
      </c>
      <c r="AC103" s="92">
        <f>SUM(AC101:AC102)</f>
        <v>0</v>
      </c>
    </row>
    <row r="104" spans="1:29" s="101" customFormat="1" outlineLevel="1"/>
    <row r="105" spans="1:29" s="952" customFormat="1" ht="5.0999999999999996" customHeight="1" outlineLevel="1">
      <c r="A105" s="954"/>
      <c r="B105" s="954"/>
      <c r="C105" s="954"/>
      <c r="D105" s="954"/>
      <c r="G105" s="95"/>
      <c r="I105" s="95"/>
      <c r="K105" s="95"/>
      <c r="M105" s="95"/>
      <c r="O105" s="95"/>
      <c r="Q105" s="95"/>
      <c r="S105" s="95"/>
      <c r="U105" s="95"/>
      <c r="W105" s="95"/>
      <c r="Y105" s="95"/>
      <c r="AA105" s="95"/>
      <c r="AC105" s="95"/>
    </row>
    <row r="106" spans="1:29" s="952" customFormat="1">
      <c r="C106" s="953" t="s">
        <v>1861</v>
      </c>
      <c r="G106" s="92">
        <f>SUM(G104:G105)</f>
        <v>0</v>
      </c>
      <c r="I106" s="92">
        <f>SUM(I104:I105)</f>
        <v>0</v>
      </c>
      <c r="K106" s="92">
        <f>SUM(K104:K105)</f>
        <v>0</v>
      </c>
      <c r="M106" s="92">
        <f>SUM(M104:M105)</f>
        <v>0</v>
      </c>
      <c r="O106" s="92">
        <f>SUM(O104:O105)</f>
        <v>0</v>
      </c>
      <c r="Q106" s="92">
        <f>SUM(Q104:Q105)</f>
        <v>0</v>
      </c>
      <c r="S106" s="92">
        <f>SUM(S104:S105)</f>
        <v>0</v>
      </c>
      <c r="U106" s="92">
        <f>SUM(U104:U105)</f>
        <v>0</v>
      </c>
      <c r="W106" s="92">
        <f>SUM(W104:W105)</f>
        <v>0</v>
      </c>
      <c r="Y106" s="92">
        <f>SUM(Y104:Y105)</f>
        <v>0</v>
      </c>
      <c r="AA106" s="92">
        <f>SUM(AA104:AA105)</f>
        <v>0</v>
      </c>
      <c r="AC106" s="92">
        <f>SUM(AC104:AC105)</f>
        <v>0</v>
      </c>
    </row>
    <row r="107" spans="1:29" s="952" customFormat="1" outlineLevel="1">
      <c r="A107" s="953">
        <v>17100</v>
      </c>
      <c r="B107" s="953" t="s">
        <v>1862</v>
      </c>
      <c r="C107" s="954"/>
      <c r="D107" s="954"/>
      <c r="G107" s="955">
        <v>345646.5</v>
      </c>
      <c r="I107" s="955">
        <v>112276.32</v>
      </c>
      <c r="K107" s="955">
        <v>111602.99</v>
      </c>
      <c r="M107" s="955">
        <v>171021.72</v>
      </c>
      <c r="O107" s="955">
        <v>140683.12</v>
      </c>
      <c r="Q107" s="955">
        <v>208032.22</v>
      </c>
      <c r="S107" s="955">
        <v>-54993.23</v>
      </c>
      <c r="U107" s="955">
        <v>-60864.71</v>
      </c>
      <c r="W107" s="955">
        <v>-26447.14</v>
      </c>
      <c r="Y107" s="955">
        <v>-2494</v>
      </c>
      <c r="AA107" s="955">
        <v>-65778.05</v>
      </c>
      <c r="AC107" s="955">
        <v>38159.97</v>
      </c>
    </row>
    <row r="108" spans="1:29" s="952" customFormat="1" outlineLevel="1">
      <c r="A108" s="953">
        <v>18100</v>
      </c>
      <c r="B108" s="953" t="s">
        <v>1863</v>
      </c>
      <c r="C108" s="954"/>
      <c r="D108" s="954"/>
      <c r="G108" s="955">
        <v>-3505850</v>
      </c>
      <c r="I108" s="955">
        <v>-3505850</v>
      </c>
      <c r="K108" s="955">
        <v>-3505850</v>
      </c>
      <c r="M108" s="955">
        <v>-3505850</v>
      </c>
      <c r="O108" s="955">
        <v>-3505850</v>
      </c>
      <c r="Q108" s="955">
        <v>-3505850</v>
      </c>
      <c r="S108" s="955">
        <v>-3505850</v>
      </c>
      <c r="U108" s="955">
        <v>-3505850</v>
      </c>
      <c r="W108" s="955">
        <v>-3505850</v>
      </c>
      <c r="Y108" s="955">
        <v>-3505850</v>
      </c>
      <c r="AA108" s="955">
        <v>-3508344</v>
      </c>
      <c r="AC108" s="955">
        <v>-3508344</v>
      </c>
    </row>
    <row r="109" spans="1:29" s="952" customFormat="1" ht="5.0999999999999996" customHeight="1" outlineLevel="1">
      <c r="A109" s="954"/>
      <c r="B109" s="954"/>
      <c r="C109" s="954"/>
      <c r="D109" s="954"/>
      <c r="G109" s="95"/>
      <c r="I109" s="95"/>
      <c r="K109" s="95"/>
      <c r="M109" s="95"/>
      <c r="O109" s="95"/>
      <c r="Q109" s="95"/>
      <c r="S109" s="95"/>
      <c r="U109" s="95"/>
      <c r="W109" s="95"/>
      <c r="Y109" s="95"/>
      <c r="AA109" s="95"/>
      <c r="AC109" s="95"/>
    </row>
    <row r="110" spans="1:29" s="952" customFormat="1">
      <c r="C110" s="953" t="s">
        <v>1698</v>
      </c>
      <c r="G110" s="92">
        <f>SUM(G107:G109)</f>
        <v>-3160203.5</v>
      </c>
      <c r="I110" s="92">
        <f>SUM(I107:I109)</f>
        <v>-3393573.68</v>
      </c>
      <c r="K110" s="92">
        <f>SUM(K107:K109)</f>
        <v>-3394247.01</v>
      </c>
      <c r="M110" s="92">
        <f>SUM(M107:M109)</f>
        <v>-3334828.28</v>
      </c>
      <c r="O110" s="92">
        <f>SUM(O107:O109)</f>
        <v>-3365166.88</v>
      </c>
      <c r="Q110" s="92">
        <f>SUM(Q107:Q109)</f>
        <v>-3297817.78</v>
      </c>
      <c r="S110" s="92">
        <f>SUM(S107:S109)</f>
        <v>-3560843.23</v>
      </c>
      <c r="U110" s="92">
        <f>SUM(U107:U109)</f>
        <v>-3566714.71</v>
      </c>
      <c r="W110" s="92">
        <f>SUM(W107:W109)</f>
        <v>-3532297.14</v>
      </c>
      <c r="Y110" s="92">
        <f>SUM(Y107:Y109)</f>
        <v>-3508344</v>
      </c>
      <c r="AA110" s="92">
        <f>SUM(AA107:AA109)</f>
        <v>-3574122.05</v>
      </c>
      <c r="AC110" s="92">
        <f>SUM(AC107:AC109)</f>
        <v>-3470184.03</v>
      </c>
    </row>
    <row r="111" spans="1:29" s="952" customFormat="1" ht="7.5" customHeight="1">
      <c r="G111" s="94"/>
      <c r="I111" s="94"/>
      <c r="K111" s="94"/>
      <c r="M111" s="94"/>
      <c r="O111" s="94"/>
      <c r="Q111" s="94"/>
      <c r="S111" s="94"/>
      <c r="U111" s="94"/>
      <c r="W111" s="94"/>
      <c r="Y111" s="94"/>
      <c r="AA111" s="94"/>
      <c r="AC111" s="94"/>
    </row>
    <row r="112" spans="1:29" s="952" customFormat="1" ht="13.5" thickBot="1">
      <c r="B112" s="967" t="s">
        <v>1864</v>
      </c>
      <c r="G112" s="118">
        <f>SUM(G80,G83,G87,G94,G97,G100,G103,G106,G110,G44)</f>
        <v>821748.79000000027</v>
      </c>
      <c r="I112" s="118">
        <f>SUM(I80,I83,I87,I94,I97,I100,I103,I106,I110,I44)</f>
        <v>742335.39999999979</v>
      </c>
      <c r="K112" s="118">
        <f>SUM(K80,K83,K87,K94,K97,K100,K103,K106,K110,K44)</f>
        <v>816892.45999999973</v>
      </c>
      <c r="M112" s="118">
        <f>SUM(M80,M83,M87,M94,M97,M100,M103,M106,M110,M44)</f>
        <v>788161.19000000041</v>
      </c>
      <c r="O112" s="118">
        <f>SUM(O80,O83,O87,O94,O97,O100,O103,O106,O110,O44)</f>
        <v>862690.9</v>
      </c>
      <c r="Q112" s="118">
        <f>SUM(Q80,Q83,Q87,Q94,Q97,Q100,Q103,Q106,Q110,Q44)</f>
        <v>804584.94</v>
      </c>
      <c r="S112" s="118">
        <f>SUM(S80,S83,S87,S94,S97,S100,S103,S106,S110,S44)</f>
        <v>852720.7099999995</v>
      </c>
      <c r="U112" s="118">
        <f>SUM(U80,U83,U87,U94,U97,U100,U103,U106,U110,U44)</f>
        <v>752828.19999999972</v>
      </c>
      <c r="W112" s="118">
        <f>SUM(W80,W83,W87,W94,W97,W100,W103,W106,W110,W44)</f>
        <v>866288.97000000009</v>
      </c>
      <c r="Y112" s="118">
        <f>SUM(Y80,Y83,Y87,Y94,Y97,Y100,Y103,Y106,Y110,Y44)</f>
        <v>808948.01</v>
      </c>
      <c r="AA112" s="118">
        <f>SUM(AA80,AA83,AA87,AA94,AA97,AA100,AA103,AA106,AA110,AA44)</f>
        <v>788605.72000000009</v>
      </c>
      <c r="AC112" s="118">
        <f>SUM(AC80,AC83,AC87,AC94,AC97,AC100,AC103,AC106,AC110,AC44)</f>
        <v>811772.87999999989</v>
      </c>
    </row>
    <row r="113" spans="1:29" s="952" customFormat="1" ht="7.5" customHeight="1" thickTop="1">
      <c r="G113" s="94"/>
      <c r="I113" s="94"/>
      <c r="K113" s="94"/>
      <c r="M113" s="94"/>
      <c r="O113" s="94"/>
      <c r="Q113" s="94"/>
      <c r="S113" s="94"/>
      <c r="U113" s="94"/>
      <c r="W113" s="94"/>
      <c r="Y113" s="94"/>
      <c r="AA113" s="94"/>
      <c r="AC113" s="94"/>
    </row>
    <row r="114" spans="1:29" s="952" customFormat="1" outlineLevel="1">
      <c r="G114" s="94"/>
      <c r="I114" s="94"/>
      <c r="K114" s="94"/>
      <c r="M114" s="94"/>
      <c r="O114" s="94"/>
      <c r="Q114" s="94"/>
      <c r="S114" s="94"/>
      <c r="U114" s="94"/>
      <c r="W114" s="94"/>
      <c r="Y114" s="94"/>
      <c r="AA114" s="94"/>
      <c r="AC114" s="94"/>
    </row>
    <row r="115" spans="1:29" s="101" customFormat="1" outlineLevel="1"/>
    <row r="116" spans="1:29" s="952" customFormat="1" ht="5.0999999999999996" customHeight="1" outlineLevel="1">
      <c r="A116" s="954"/>
      <c r="B116" s="954"/>
      <c r="C116" s="954"/>
      <c r="D116" s="954"/>
      <c r="G116" s="95"/>
      <c r="I116" s="95"/>
      <c r="K116" s="95"/>
      <c r="M116" s="95"/>
      <c r="O116" s="95"/>
      <c r="Q116" s="95"/>
      <c r="S116" s="95"/>
      <c r="U116" s="95"/>
      <c r="W116" s="95"/>
      <c r="Y116" s="95"/>
      <c r="AA116" s="95"/>
      <c r="AC116" s="95"/>
    </row>
    <row r="117" spans="1:29" s="952" customFormat="1">
      <c r="C117" s="953" t="s">
        <v>1865</v>
      </c>
      <c r="G117" s="92">
        <f>SUM(G115:G116)</f>
        <v>0</v>
      </c>
      <c r="I117" s="92">
        <f>SUM(I115:I116)</f>
        <v>0</v>
      </c>
      <c r="K117" s="92">
        <f>SUM(K115:K116)</f>
        <v>0</v>
      </c>
      <c r="M117" s="92">
        <f>SUM(M115:M116)</f>
        <v>0</v>
      </c>
      <c r="O117" s="92">
        <f>SUM(O115:O116)</f>
        <v>0</v>
      </c>
      <c r="Q117" s="92">
        <f>SUM(Q115:Q116)</f>
        <v>0</v>
      </c>
      <c r="S117" s="92">
        <f>SUM(S115:S116)</f>
        <v>0</v>
      </c>
      <c r="U117" s="92">
        <f>SUM(U115:U116)</f>
        <v>0</v>
      </c>
      <c r="W117" s="92">
        <f>SUM(W115:W116)</f>
        <v>0</v>
      </c>
      <c r="Y117" s="92">
        <f>SUM(Y115:Y116)</f>
        <v>0</v>
      </c>
      <c r="AA117" s="92">
        <f>SUM(AA115:AA116)</f>
        <v>0</v>
      </c>
      <c r="AC117" s="92">
        <f>SUM(AC115:AC116)</f>
        <v>0</v>
      </c>
    </row>
    <row r="118" spans="1:29" s="952" customFormat="1" outlineLevel="1">
      <c r="A118" s="953">
        <v>20120</v>
      </c>
      <c r="B118" s="953" t="s">
        <v>1866</v>
      </c>
      <c r="C118" s="954"/>
      <c r="D118" s="954"/>
      <c r="G118" s="955">
        <v>81610.91</v>
      </c>
      <c r="I118" s="955">
        <v>15272.97</v>
      </c>
      <c r="K118" s="955">
        <v>24414.76</v>
      </c>
      <c r="M118" s="955">
        <v>16039.12</v>
      </c>
      <c r="O118" s="955">
        <v>21136.22</v>
      </c>
      <c r="Q118" s="955">
        <v>87237.18</v>
      </c>
      <c r="S118" s="955">
        <v>88578.1</v>
      </c>
      <c r="U118" s="955">
        <v>35519.85</v>
      </c>
      <c r="W118" s="955">
        <v>90576.1</v>
      </c>
      <c r="Y118" s="955">
        <v>78441.66</v>
      </c>
      <c r="AA118" s="955">
        <v>15475.21</v>
      </c>
      <c r="AC118" s="955">
        <v>107660.17</v>
      </c>
    </row>
    <row r="119" spans="1:29" s="952" customFormat="1" outlineLevel="1">
      <c r="A119" s="953">
        <v>20123</v>
      </c>
      <c r="B119" s="953" t="s">
        <v>1867</v>
      </c>
      <c r="C119" s="954"/>
      <c r="D119" s="954"/>
      <c r="G119" s="955">
        <v>1305.55</v>
      </c>
      <c r="I119" s="955">
        <v>2019.12</v>
      </c>
      <c r="K119" s="955">
        <v>850.98</v>
      </c>
      <c r="M119" s="955">
        <v>2517.61</v>
      </c>
      <c r="O119" s="955">
        <v>755.46</v>
      </c>
      <c r="Q119" s="955">
        <v>1832.01</v>
      </c>
      <c r="S119" s="955">
        <v>1191.69</v>
      </c>
      <c r="U119" s="955">
        <v>1376.95</v>
      </c>
      <c r="W119" s="955">
        <v>1361.08</v>
      </c>
      <c r="Y119" s="955">
        <v>606.33000000000004</v>
      </c>
      <c r="AA119" s="955">
        <v>2326.7399999999998</v>
      </c>
      <c r="AC119" s="955">
        <v>717.44</v>
      </c>
    </row>
    <row r="120" spans="1:29" s="952" customFormat="1" outlineLevel="1">
      <c r="A120" s="953">
        <v>20140</v>
      </c>
      <c r="B120" s="953" t="s">
        <v>1868</v>
      </c>
      <c r="C120" s="954"/>
      <c r="D120" s="954"/>
      <c r="G120" s="955">
        <v>142.21</v>
      </c>
      <c r="I120" s="955">
        <v>20.440000000000001</v>
      </c>
      <c r="K120" s="955">
        <v>54.05</v>
      </c>
      <c r="M120" s="955">
        <v>165.05</v>
      </c>
      <c r="O120" s="955">
        <v>0.03</v>
      </c>
      <c r="Q120" s="955">
        <v>369.64</v>
      </c>
      <c r="S120" s="955">
        <v>107.8</v>
      </c>
      <c r="U120" s="955">
        <v>101.65</v>
      </c>
      <c r="W120" s="955">
        <v>67.3</v>
      </c>
      <c r="Y120" s="955">
        <v>88.89</v>
      </c>
      <c r="AA120" s="955">
        <v>29.97</v>
      </c>
      <c r="AC120" s="955">
        <v>6.58</v>
      </c>
    </row>
    <row r="121" spans="1:29" s="952" customFormat="1" outlineLevel="1">
      <c r="A121" s="953">
        <v>20170</v>
      </c>
      <c r="B121" s="953" t="s">
        <v>1869</v>
      </c>
      <c r="C121" s="954"/>
      <c r="D121" s="954"/>
      <c r="G121" s="955">
        <v>3659.51</v>
      </c>
      <c r="I121" s="955">
        <v>3711.33</v>
      </c>
      <c r="K121" s="955">
        <v>3537.73</v>
      </c>
      <c r="M121" s="955">
        <v>3559.23</v>
      </c>
      <c r="O121" s="955">
        <v>3576.69</v>
      </c>
      <c r="Q121" s="955">
        <v>3364.96</v>
      </c>
      <c r="S121" s="955">
        <v>3426.36</v>
      </c>
      <c r="U121" s="955">
        <v>3460.7</v>
      </c>
      <c r="W121" s="955">
        <v>3635.71</v>
      </c>
      <c r="Y121" s="955">
        <v>3719.85</v>
      </c>
      <c r="AA121" s="955">
        <v>3768.76</v>
      </c>
      <c r="AC121" s="955">
        <v>4036.23</v>
      </c>
    </row>
    <row r="122" spans="1:29" s="952" customFormat="1" outlineLevel="1">
      <c r="A122" s="953">
        <v>20175</v>
      </c>
      <c r="B122" s="953" t="s">
        <v>1870</v>
      </c>
      <c r="C122" s="954"/>
      <c r="D122" s="954"/>
      <c r="G122" s="955">
        <v>4463.58</v>
      </c>
      <c r="I122" s="955">
        <v>5728.05</v>
      </c>
      <c r="K122" s="955">
        <v>6873.5</v>
      </c>
      <c r="M122" s="955">
        <v>4435.67</v>
      </c>
      <c r="O122" s="955">
        <v>5655.97</v>
      </c>
      <c r="Q122" s="955">
        <v>6802.09</v>
      </c>
      <c r="S122" s="955">
        <v>4303.45</v>
      </c>
      <c r="U122" s="955">
        <v>5503.39</v>
      </c>
      <c r="W122" s="955">
        <v>6845.15</v>
      </c>
      <c r="Y122" s="955">
        <v>4631.6000000000004</v>
      </c>
      <c r="AA122" s="955">
        <v>5709.79</v>
      </c>
      <c r="AC122" s="955">
        <v>7103.65</v>
      </c>
    </row>
    <row r="123" spans="1:29" s="952" customFormat="1" outlineLevel="1">
      <c r="A123" s="953">
        <v>20178</v>
      </c>
      <c r="B123" s="953" t="s">
        <v>1871</v>
      </c>
      <c r="C123" s="954"/>
      <c r="D123" s="954"/>
      <c r="G123" s="955">
        <v>6695</v>
      </c>
      <c r="I123" s="955">
        <v>7433</v>
      </c>
      <c r="K123" s="955">
        <v>8586</v>
      </c>
      <c r="M123" s="955">
        <v>9303</v>
      </c>
      <c r="O123" s="955">
        <v>10442</v>
      </c>
      <c r="Q123" s="955">
        <v>10988</v>
      </c>
      <c r="S123" s="955">
        <v>12199</v>
      </c>
      <c r="U123" s="955">
        <v>12856</v>
      </c>
      <c r="W123" s="955">
        <v>13974</v>
      </c>
      <c r="Y123" s="955">
        <v>3740.19</v>
      </c>
      <c r="AA123" s="955">
        <v>4854</v>
      </c>
      <c r="AC123" s="955">
        <v>5625</v>
      </c>
    </row>
    <row r="124" spans="1:29" s="952" customFormat="1" outlineLevel="1">
      <c r="A124" s="953">
        <v>20180</v>
      </c>
      <c r="B124" s="953" t="s">
        <v>1872</v>
      </c>
      <c r="C124" s="954"/>
      <c r="D124" s="954"/>
      <c r="G124" s="955">
        <v>12108.17</v>
      </c>
      <c r="I124" s="955">
        <v>9575.6</v>
      </c>
      <c r="K124" s="955">
        <v>12160.41</v>
      </c>
      <c r="M124" s="955">
        <v>9592.5</v>
      </c>
      <c r="O124" s="955">
        <v>12237.98</v>
      </c>
      <c r="Q124" s="955">
        <v>9356.7099999999991</v>
      </c>
      <c r="S124" s="955">
        <v>11927.33</v>
      </c>
      <c r="U124" s="955">
        <v>9350.32</v>
      </c>
      <c r="W124" s="955">
        <v>12289.75</v>
      </c>
      <c r="Y124" s="955">
        <v>9992.7800000000007</v>
      </c>
      <c r="AA124" s="955">
        <v>12320.81</v>
      </c>
      <c r="AC124" s="955">
        <v>10241.39</v>
      </c>
    </row>
    <row r="125" spans="1:29" s="952" customFormat="1" ht="5.0999999999999996" customHeight="1" outlineLevel="1">
      <c r="A125" s="954"/>
      <c r="B125" s="954"/>
      <c r="C125" s="954"/>
      <c r="D125" s="954"/>
      <c r="G125" s="95"/>
      <c r="I125" s="95"/>
      <c r="K125" s="95"/>
      <c r="M125" s="95"/>
      <c r="O125" s="95"/>
      <c r="Q125" s="95"/>
      <c r="S125" s="95"/>
      <c r="U125" s="95"/>
      <c r="W125" s="95"/>
      <c r="Y125" s="95"/>
      <c r="AA125" s="95"/>
      <c r="AC125" s="95"/>
    </row>
    <row r="126" spans="1:29" s="952" customFormat="1">
      <c r="C126" s="953" t="s">
        <v>1873</v>
      </c>
      <c r="G126" s="92">
        <f>SUM(G118:G125)</f>
        <v>109984.93000000001</v>
      </c>
      <c r="I126" s="92">
        <f>SUM(I118:I125)</f>
        <v>43760.51</v>
      </c>
      <c r="K126" s="92">
        <f>SUM(K118:K125)</f>
        <v>56477.429999999993</v>
      </c>
      <c r="M126" s="92">
        <f>SUM(M118:M125)</f>
        <v>45612.18</v>
      </c>
      <c r="O126" s="92">
        <f>SUM(O118:O125)</f>
        <v>53804.349999999991</v>
      </c>
      <c r="Q126" s="92">
        <f>SUM(Q118:Q125)</f>
        <v>119950.59</v>
      </c>
      <c r="S126" s="92">
        <f>SUM(S118:S125)</f>
        <v>121733.73000000001</v>
      </c>
      <c r="U126" s="92">
        <f>SUM(U118:U125)</f>
        <v>68168.859999999986</v>
      </c>
      <c r="W126" s="92">
        <f>SUM(W118:W125)</f>
        <v>128749.09000000001</v>
      </c>
      <c r="Y126" s="92">
        <f>SUM(Y118:Y125)</f>
        <v>101221.30000000002</v>
      </c>
      <c r="AA126" s="92">
        <f>SUM(AA118:AA125)</f>
        <v>44485.279999999999</v>
      </c>
      <c r="AC126" s="92">
        <f>SUM(AC118:AC125)</f>
        <v>135390.46</v>
      </c>
    </row>
    <row r="127" spans="1:29" s="952" customFormat="1" outlineLevel="1">
      <c r="A127" s="953">
        <v>20300</v>
      </c>
      <c r="B127" s="953" t="s">
        <v>1874</v>
      </c>
      <c r="C127" s="954"/>
      <c r="D127" s="954"/>
      <c r="G127" s="955">
        <v>80093.58</v>
      </c>
      <c r="I127" s="955">
        <v>30063.99</v>
      </c>
      <c r="K127" s="955">
        <v>79817.91</v>
      </c>
      <c r="M127" s="955">
        <v>30380.79</v>
      </c>
      <c r="O127" s="955">
        <v>79752.160000000003</v>
      </c>
      <c r="Q127" s="955">
        <v>30587.31</v>
      </c>
      <c r="S127" s="955">
        <v>79043.94</v>
      </c>
      <c r="U127" s="955">
        <v>30560.51</v>
      </c>
      <c r="W127" s="955">
        <v>79086.33</v>
      </c>
      <c r="Y127" s="955">
        <v>31415.200000000001</v>
      </c>
      <c r="AA127" s="955">
        <v>79825.23</v>
      </c>
      <c r="AC127" s="955">
        <v>31990.13</v>
      </c>
    </row>
    <row r="128" spans="1:29" s="952" customFormat="1" ht="5.0999999999999996" customHeight="1" outlineLevel="1">
      <c r="A128" s="954"/>
      <c r="B128" s="954"/>
      <c r="C128" s="954"/>
      <c r="D128" s="954"/>
      <c r="G128" s="95"/>
      <c r="I128" s="95"/>
      <c r="K128" s="95"/>
      <c r="M128" s="95"/>
      <c r="O128" s="95"/>
      <c r="Q128" s="95"/>
      <c r="S128" s="95"/>
      <c r="U128" s="95"/>
      <c r="W128" s="95"/>
      <c r="Y128" s="95"/>
      <c r="AA128" s="95"/>
      <c r="AC128" s="95"/>
    </row>
    <row r="129" spans="1:29" s="952" customFormat="1">
      <c r="C129" s="953" t="s">
        <v>1875</v>
      </c>
      <c r="G129" s="92">
        <f>SUM(G127:G128)</f>
        <v>80093.58</v>
      </c>
      <c r="I129" s="92">
        <f>SUM(I127:I128)</f>
        <v>30063.99</v>
      </c>
      <c r="K129" s="92">
        <f>SUM(K127:K128)</f>
        <v>79817.91</v>
      </c>
      <c r="M129" s="92">
        <f>SUM(M127:M128)</f>
        <v>30380.79</v>
      </c>
      <c r="O129" s="92">
        <f>SUM(O127:O128)</f>
        <v>79752.160000000003</v>
      </c>
      <c r="Q129" s="92">
        <f>SUM(Q127:Q128)</f>
        <v>30587.31</v>
      </c>
      <c r="S129" s="92">
        <f>SUM(S127:S128)</f>
        <v>79043.94</v>
      </c>
      <c r="U129" s="92">
        <f>SUM(U127:U128)</f>
        <v>30560.51</v>
      </c>
      <c r="W129" s="92">
        <f>SUM(W127:W128)</f>
        <v>79086.33</v>
      </c>
      <c r="Y129" s="92">
        <f>SUM(Y127:Y128)</f>
        <v>31415.200000000001</v>
      </c>
      <c r="AA129" s="92">
        <f>SUM(AA127:AA128)</f>
        <v>79825.23</v>
      </c>
      <c r="AC129" s="92">
        <f>SUM(AC127:AC128)</f>
        <v>31990.13</v>
      </c>
    </row>
    <row r="130" spans="1:29" s="952" customFormat="1" outlineLevel="1">
      <c r="A130" s="953">
        <v>20320</v>
      </c>
      <c r="B130" s="953" t="s">
        <v>1876</v>
      </c>
      <c r="C130" s="954"/>
      <c r="D130" s="954"/>
      <c r="G130" s="955">
        <v>12937.63</v>
      </c>
      <c r="I130" s="955">
        <v>15280.48</v>
      </c>
      <c r="K130" s="955">
        <v>20880.28</v>
      </c>
      <c r="M130" s="955">
        <v>26901.66</v>
      </c>
      <c r="O130" s="955">
        <v>29558.69</v>
      </c>
      <c r="Q130" s="955">
        <v>11963.38</v>
      </c>
      <c r="S130" s="955">
        <v>13444.96</v>
      </c>
      <c r="U130" s="955">
        <v>16505.55</v>
      </c>
      <c r="W130" s="955">
        <v>26042.05</v>
      </c>
      <c r="Y130" s="955">
        <v>27709.95</v>
      </c>
      <c r="AA130" s="955">
        <v>5232.93</v>
      </c>
      <c r="AC130" s="955">
        <v>12395.14</v>
      </c>
    </row>
    <row r="131" spans="1:29" s="952" customFormat="1" outlineLevel="1">
      <c r="A131" s="953">
        <v>20321</v>
      </c>
      <c r="B131" s="953" t="s">
        <v>1877</v>
      </c>
      <c r="C131" s="954"/>
      <c r="D131" s="954"/>
      <c r="G131" s="955">
        <v>16947.599999999999</v>
      </c>
      <c r="I131" s="955">
        <v>15774.56</v>
      </c>
      <c r="K131" s="955">
        <v>17203.419999999998</v>
      </c>
      <c r="M131" s="955">
        <v>16924.53</v>
      </c>
      <c r="O131" s="955">
        <v>16421.080000000002</v>
      </c>
      <c r="Q131" s="955">
        <v>14488.77</v>
      </c>
      <c r="S131" s="955">
        <v>14910.3</v>
      </c>
      <c r="U131" s="955">
        <v>14226.96</v>
      </c>
      <c r="W131" s="955">
        <v>16145.28</v>
      </c>
      <c r="Y131" s="955">
        <v>16721.89</v>
      </c>
      <c r="AA131" s="955">
        <v>15588.91</v>
      </c>
      <c r="AC131" s="955">
        <v>16017.66</v>
      </c>
    </row>
    <row r="132" spans="1:29" s="952" customFormat="1" outlineLevel="1">
      <c r="A132" s="953">
        <v>20340</v>
      </c>
      <c r="B132" s="953" t="s">
        <v>1878</v>
      </c>
      <c r="C132" s="954"/>
      <c r="D132" s="954"/>
      <c r="G132" s="955">
        <v>11865.5</v>
      </c>
      <c r="I132" s="955">
        <v>13248.5</v>
      </c>
      <c r="K132" s="955">
        <v>14573.5</v>
      </c>
      <c r="M132" s="955">
        <v>15625.5</v>
      </c>
      <c r="O132" s="955">
        <v>17026.5</v>
      </c>
      <c r="Q132" s="955">
        <v>2854.77</v>
      </c>
      <c r="S132" s="955">
        <v>4255.7700000000004</v>
      </c>
      <c r="U132" s="955">
        <v>5572.77</v>
      </c>
      <c r="W132" s="955">
        <v>6903.77</v>
      </c>
      <c r="Y132" s="955">
        <v>8248.77</v>
      </c>
      <c r="AA132" s="955">
        <v>9704.77</v>
      </c>
      <c r="AC132" s="955">
        <v>11090.77</v>
      </c>
    </row>
    <row r="133" spans="1:29" s="952" customFormat="1" outlineLevel="1">
      <c r="A133" s="953">
        <v>20351</v>
      </c>
      <c r="B133" s="953" t="s">
        <v>1879</v>
      </c>
      <c r="C133" s="954"/>
      <c r="D133" s="954"/>
      <c r="G133" s="955">
        <v>911.73</v>
      </c>
      <c r="I133" s="955">
        <v>467.62</v>
      </c>
      <c r="K133" s="955">
        <v>794.59</v>
      </c>
      <c r="M133" s="955">
        <v>3531.05</v>
      </c>
      <c r="O133" s="955">
        <v>645.16999999999996</v>
      </c>
      <c r="Q133" s="955">
        <v>807.39</v>
      </c>
      <c r="S133" s="955">
        <v>1007.76</v>
      </c>
      <c r="U133" s="955">
        <v>488.34</v>
      </c>
      <c r="W133" s="955">
        <v>741.62</v>
      </c>
      <c r="Y133" s="955">
        <v>997.52</v>
      </c>
      <c r="AA133" s="955">
        <v>484.38</v>
      </c>
      <c r="AC133" s="955">
        <v>726.57</v>
      </c>
    </row>
    <row r="134" spans="1:29" s="952" customFormat="1" outlineLevel="1">
      <c r="A134" s="953">
        <v>20360</v>
      </c>
      <c r="B134" s="953" t="s">
        <v>1880</v>
      </c>
      <c r="C134" s="954"/>
      <c r="D134" s="954"/>
      <c r="G134" s="955">
        <v>0</v>
      </c>
      <c r="I134" s="955">
        <v>0</v>
      </c>
      <c r="K134" s="955">
        <v>0</v>
      </c>
      <c r="M134" s="955">
        <v>0</v>
      </c>
      <c r="O134" s="955">
        <v>0</v>
      </c>
      <c r="Q134" s="955">
        <v>0</v>
      </c>
      <c r="S134" s="955">
        <v>250</v>
      </c>
      <c r="U134" s="955">
        <v>500</v>
      </c>
      <c r="W134" s="955">
        <v>950</v>
      </c>
      <c r="Y134" s="955">
        <v>0</v>
      </c>
      <c r="AA134" s="955">
        <v>0</v>
      </c>
      <c r="AC134" s="955">
        <v>-624.47</v>
      </c>
    </row>
    <row r="135" spans="1:29" s="952" customFormat="1" outlineLevel="1">
      <c r="A135" s="953">
        <v>20397</v>
      </c>
      <c r="B135" s="953" t="s">
        <v>1881</v>
      </c>
      <c r="C135" s="954"/>
      <c r="D135" s="954"/>
      <c r="G135" s="955">
        <v>1.65</v>
      </c>
      <c r="I135" s="955">
        <v>1.65</v>
      </c>
      <c r="K135" s="955">
        <v>1.65</v>
      </c>
      <c r="M135" s="955">
        <v>-2.73</v>
      </c>
      <c r="O135" s="955">
        <v>1.65</v>
      </c>
      <c r="Q135" s="955">
        <v>0</v>
      </c>
      <c r="S135" s="955">
        <v>0</v>
      </c>
      <c r="U135" s="955">
        <v>0</v>
      </c>
      <c r="W135" s="955">
        <v>0</v>
      </c>
      <c r="Y135" s="955">
        <v>0</v>
      </c>
      <c r="AA135" s="955">
        <v>0</v>
      </c>
      <c r="AC135" s="955">
        <v>0.35</v>
      </c>
    </row>
    <row r="136" spans="1:29" s="952" customFormat="1" ht="4.5" customHeight="1" outlineLevel="1">
      <c r="A136" s="968"/>
      <c r="G136" s="95"/>
      <c r="I136" s="95"/>
      <c r="K136" s="95"/>
      <c r="M136" s="95"/>
      <c r="O136" s="95"/>
      <c r="Q136" s="95"/>
      <c r="S136" s="95"/>
      <c r="U136" s="95"/>
      <c r="W136" s="95"/>
      <c r="Y136" s="95"/>
      <c r="AA136" s="95"/>
      <c r="AC136" s="95"/>
    </row>
    <row r="137" spans="1:29" s="952" customFormat="1">
      <c r="C137" s="952" t="s">
        <v>1882</v>
      </c>
      <c r="G137" s="92">
        <f>SUM(G130:G136)</f>
        <v>42664.11</v>
      </c>
      <c r="I137" s="92">
        <f>SUM(I130:I136)</f>
        <v>44772.810000000005</v>
      </c>
      <c r="K137" s="92">
        <f>SUM(K130:K136)</f>
        <v>53453.439999999995</v>
      </c>
      <c r="M137" s="92">
        <f>SUM(M130:M136)</f>
        <v>62980.01</v>
      </c>
      <c r="O137" s="92">
        <f>SUM(O130:O136)</f>
        <v>63653.090000000004</v>
      </c>
      <c r="Q137" s="92">
        <f>SUM(Q130:Q136)</f>
        <v>30114.31</v>
      </c>
      <c r="S137" s="92">
        <f>SUM(S130:S136)</f>
        <v>33868.79</v>
      </c>
      <c r="U137" s="92">
        <f>SUM(U130:U136)</f>
        <v>37293.619999999995</v>
      </c>
      <c r="W137" s="92">
        <f>SUM(W130:W136)</f>
        <v>50782.720000000008</v>
      </c>
      <c r="Y137" s="92">
        <f>SUM(Y130:Y136)</f>
        <v>53678.13</v>
      </c>
      <c r="AA137" s="92">
        <f>SUM(AA130:AA136)</f>
        <v>31010.99</v>
      </c>
      <c r="AC137" s="92">
        <f>SUM(AC130:AC136)</f>
        <v>39606.019999999997</v>
      </c>
    </row>
    <row r="138" spans="1:29" s="952" customFormat="1" ht="7.5" customHeight="1">
      <c r="G138" s="94"/>
      <c r="I138" s="94"/>
      <c r="K138" s="94"/>
      <c r="M138" s="94"/>
      <c r="O138" s="94"/>
      <c r="Q138" s="94"/>
      <c r="S138" s="94"/>
      <c r="U138" s="94"/>
      <c r="W138" s="94"/>
      <c r="Y138" s="94"/>
      <c r="AA138" s="94"/>
      <c r="AC138" s="94"/>
    </row>
    <row r="139" spans="1:29" s="952" customFormat="1">
      <c r="B139" s="967" t="s">
        <v>1883</v>
      </c>
      <c r="G139" s="98">
        <f>SUM(G117,G126,G129,G137)</f>
        <v>232742.62</v>
      </c>
      <c r="I139" s="98">
        <f>SUM(I117,I126,I129,I137)</f>
        <v>118597.31</v>
      </c>
      <c r="K139" s="98">
        <f>SUM(K117,K126,K129,K137)</f>
        <v>189748.78</v>
      </c>
      <c r="M139" s="98">
        <f>SUM(M117,M126,M129,M137)</f>
        <v>138972.98000000001</v>
      </c>
      <c r="O139" s="98">
        <f>SUM(O117,O126,O129,O137)</f>
        <v>197209.60000000001</v>
      </c>
      <c r="Q139" s="98">
        <f>SUM(Q117,Q126,Q129,Q137)</f>
        <v>180652.21</v>
      </c>
      <c r="S139" s="98">
        <f>SUM(S117,S126,S129,S137)</f>
        <v>234646.46000000002</v>
      </c>
      <c r="U139" s="98">
        <f>SUM(U117,U126,U129,U137)</f>
        <v>136022.99</v>
      </c>
      <c r="W139" s="98">
        <f>SUM(W117,W126,W129,W137)</f>
        <v>258618.14</v>
      </c>
      <c r="Y139" s="98">
        <f>SUM(Y117,Y126,Y129,Y137)</f>
        <v>186314.63000000003</v>
      </c>
      <c r="AA139" s="98">
        <f>SUM(AA117,AA126,AA129,AA137)</f>
        <v>155321.5</v>
      </c>
      <c r="AC139" s="98">
        <f>SUM(AC117,AC126,AC129,AC137)</f>
        <v>206986.61</v>
      </c>
    </row>
    <row r="140" spans="1:29" s="952" customFormat="1" ht="7.5" customHeight="1">
      <c r="G140" s="94"/>
      <c r="I140" s="94"/>
      <c r="K140" s="94"/>
      <c r="M140" s="94"/>
      <c r="O140" s="94"/>
      <c r="Q140" s="94"/>
      <c r="S140" s="94"/>
      <c r="U140" s="94"/>
      <c r="W140" s="94"/>
      <c r="Y140" s="94"/>
      <c r="AA140" s="94"/>
      <c r="AC140" s="94"/>
    </row>
    <row r="141" spans="1:29" s="952" customFormat="1" outlineLevel="1">
      <c r="G141" s="94"/>
      <c r="I141" s="94"/>
      <c r="K141" s="94"/>
      <c r="M141" s="94"/>
      <c r="O141" s="94"/>
      <c r="Q141" s="94"/>
      <c r="S141" s="94"/>
      <c r="U141" s="94"/>
      <c r="W141" s="94"/>
      <c r="Y141" s="94"/>
      <c r="AA141" s="94"/>
      <c r="AC141" s="94"/>
    </row>
    <row r="142" spans="1:29" s="101" customFormat="1" outlineLevel="1"/>
    <row r="143" spans="1:29" s="952" customFormat="1" ht="5.0999999999999996" customHeight="1" outlineLevel="1">
      <c r="A143" s="954"/>
      <c r="B143" s="954"/>
      <c r="C143" s="954"/>
      <c r="D143" s="954"/>
      <c r="G143" s="95"/>
      <c r="I143" s="95"/>
      <c r="K143" s="95"/>
      <c r="M143" s="95"/>
      <c r="O143" s="95"/>
      <c r="Q143" s="95"/>
      <c r="S143" s="95"/>
      <c r="U143" s="95"/>
      <c r="W143" s="95"/>
      <c r="Y143" s="95"/>
      <c r="AA143" s="95"/>
      <c r="AC143" s="95"/>
    </row>
    <row r="144" spans="1:29" s="952" customFormat="1">
      <c r="C144" s="953" t="s">
        <v>1884</v>
      </c>
      <c r="G144" s="92">
        <f>SUM(G142:G143)</f>
        <v>0</v>
      </c>
      <c r="I144" s="92">
        <f>SUM(I142:I143)</f>
        <v>0</v>
      </c>
      <c r="K144" s="92">
        <f>SUM(K142:K143)</f>
        <v>0</v>
      </c>
      <c r="M144" s="92">
        <f>SUM(M142:M143)</f>
        <v>0</v>
      </c>
      <c r="O144" s="92">
        <f>SUM(O142:O143)</f>
        <v>0</v>
      </c>
      <c r="Q144" s="92">
        <f>SUM(Q142:Q143)</f>
        <v>0</v>
      </c>
      <c r="S144" s="92">
        <f>SUM(S142:S143)</f>
        <v>0</v>
      </c>
      <c r="U144" s="92">
        <f>SUM(U142:U143)</f>
        <v>0</v>
      </c>
      <c r="W144" s="92">
        <f>SUM(W142:W143)</f>
        <v>0</v>
      </c>
      <c r="Y144" s="92">
        <f>SUM(Y142:Y143)</f>
        <v>0</v>
      </c>
      <c r="AA144" s="92">
        <f>SUM(AA142:AA143)</f>
        <v>0</v>
      </c>
      <c r="AC144" s="92">
        <f>SUM(AC142:AC143)</f>
        <v>0</v>
      </c>
    </row>
    <row r="145" spans="1:29" s="101" customFormat="1" outlineLevel="1"/>
    <row r="146" spans="1:29" s="952" customFormat="1" ht="5.0999999999999996" customHeight="1" outlineLevel="1">
      <c r="A146" s="954"/>
      <c r="B146" s="954"/>
      <c r="C146" s="954"/>
      <c r="D146" s="954"/>
      <c r="G146" s="95"/>
      <c r="I146" s="95"/>
      <c r="K146" s="95"/>
      <c r="M146" s="95"/>
      <c r="O146" s="95"/>
      <c r="Q146" s="95"/>
      <c r="S146" s="95"/>
      <c r="U146" s="95"/>
      <c r="W146" s="95"/>
      <c r="Y146" s="95"/>
      <c r="AA146" s="95"/>
      <c r="AC146" s="95"/>
    </row>
    <row r="147" spans="1:29" s="952" customFormat="1">
      <c r="C147" s="953" t="s">
        <v>1885</v>
      </c>
      <c r="G147" s="92">
        <f>SUM(G145:G146)</f>
        <v>0</v>
      </c>
      <c r="I147" s="92">
        <f>SUM(I145:I146)</f>
        <v>0</v>
      </c>
      <c r="K147" s="92">
        <f>SUM(K145:K146)</f>
        <v>0</v>
      </c>
      <c r="M147" s="92">
        <f>SUM(M145:M146)</f>
        <v>0</v>
      </c>
      <c r="O147" s="92">
        <f>SUM(O145:O146)</f>
        <v>0</v>
      </c>
      <c r="Q147" s="92">
        <f>SUM(Q145:Q146)</f>
        <v>0</v>
      </c>
      <c r="S147" s="92">
        <f>SUM(S145:S146)</f>
        <v>0</v>
      </c>
      <c r="U147" s="92">
        <f>SUM(U145:U146)</f>
        <v>0</v>
      </c>
      <c r="W147" s="92">
        <f>SUM(W145:W146)</f>
        <v>0</v>
      </c>
      <c r="Y147" s="92">
        <f>SUM(Y145:Y146)</f>
        <v>0</v>
      </c>
      <c r="AA147" s="92">
        <f>SUM(AA145:AA146)</f>
        <v>0</v>
      </c>
      <c r="AC147" s="92">
        <f>SUM(AC145:AC146)</f>
        <v>0</v>
      </c>
    </row>
    <row r="148" spans="1:29" s="101" customFormat="1" outlineLevel="1"/>
    <row r="149" spans="1:29" s="952" customFormat="1" ht="5.0999999999999996" customHeight="1" outlineLevel="1">
      <c r="A149" s="954"/>
      <c r="B149" s="954"/>
      <c r="C149" s="954"/>
      <c r="D149" s="954"/>
      <c r="G149" s="95"/>
      <c r="I149" s="95"/>
      <c r="K149" s="95"/>
      <c r="M149" s="95"/>
      <c r="O149" s="95"/>
      <c r="Q149" s="95"/>
      <c r="S149" s="95"/>
      <c r="U149" s="95"/>
      <c r="W149" s="95"/>
      <c r="Y149" s="95"/>
      <c r="AA149" s="95"/>
      <c r="AC149" s="95"/>
    </row>
    <row r="150" spans="1:29" s="952" customFormat="1">
      <c r="C150" s="953" t="s">
        <v>1886</v>
      </c>
      <c r="G150" s="92">
        <f>SUM(G148:G149)</f>
        <v>0</v>
      </c>
      <c r="I150" s="92">
        <f>SUM(I148:I149)</f>
        <v>0</v>
      </c>
      <c r="K150" s="92">
        <f>SUM(K148:K149)</f>
        <v>0</v>
      </c>
      <c r="M150" s="92">
        <f>SUM(M148:M149)</f>
        <v>0</v>
      </c>
      <c r="O150" s="92">
        <f>SUM(O148:O149)</f>
        <v>0</v>
      </c>
      <c r="Q150" s="92">
        <f>SUM(Q148:Q149)</f>
        <v>0</v>
      </c>
      <c r="S150" s="92">
        <f>SUM(S148:S149)</f>
        <v>0</v>
      </c>
      <c r="U150" s="92">
        <f>SUM(U148:U149)</f>
        <v>0</v>
      </c>
      <c r="W150" s="92">
        <f>SUM(W148:W149)</f>
        <v>0</v>
      </c>
      <c r="Y150" s="92">
        <f>SUM(Y148:Y149)</f>
        <v>0</v>
      </c>
      <c r="AA150" s="92">
        <f>SUM(AA148:AA149)</f>
        <v>0</v>
      </c>
      <c r="AC150" s="92">
        <f>SUM(AC148:AC149)</f>
        <v>0</v>
      </c>
    </row>
    <row r="151" spans="1:29" s="101" customFormat="1" outlineLevel="1"/>
    <row r="152" spans="1:29" s="952" customFormat="1" ht="5.0999999999999996" customHeight="1" outlineLevel="1">
      <c r="A152" s="954"/>
      <c r="B152" s="954"/>
      <c r="C152" s="954"/>
      <c r="D152" s="954"/>
      <c r="G152" s="95"/>
      <c r="I152" s="95"/>
      <c r="K152" s="95"/>
      <c r="M152" s="95"/>
      <c r="O152" s="95"/>
      <c r="Q152" s="95"/>
      <c r="S152" s="95"/>
      <c r="U152" s="95"/>
      <c r="W152" s="95"/>
      <c r="Y152" s="95"/>
      <c r="AA152" s="95"/>
      <c r="AC152" s="95"/>
    </row>
    <row r="153" spans="1:29" s="952" customFormat="1">
      <c r="C153" s="953" t="s">
        <v>1887</v>
      </c>
      <c r="G153" s="92">
        <f>SUM(G151:G152)</f>
        <v>0</v>
      </c>
      <c r="I153" s="92">
        <f>SUM(I151:I152)</f>
        <v>0</v>
      </c>
      <c r="K153" s="92">
        <f>SUM(K151:K152)</f>
        <v>0</v>
      </c>
      <c r="M153" s="92">
        <f>SUM(M151:M152)</f>
        <v>0</v>
      </c>
      <c r="O153" s="92">
        <f>SUM(O151:O152)</f>
        <v>0</v>
      </c>
      <c r="Q153" s="92">
        <f>SUM(Q151:Q152)</f>
        <v>0</v>
      </c>
      <c r="S153" s="92">
        <f>SUM(S151:S152)</f>
        <v>0</v>
      </c>
      <c r="U153" s="92">
        <f>SUM(U151:U152)</f>
        <v>0</v>
      </c>
      <c r="W153" s="92">
        <f>SUM(W151:W152)</f>
        <v>0</v>
      </c>
      <c r="Y153" s="92">
        <f>SUM(Y151:Y152)</f>
        <v>0</v>
      </c>
      <c r="AA153" s="92">
        <f>SUM(AA151:AA152)</f>
        <v>0</v>
      </c>
      <c r="AC153" s="92">
        <f>SUM(AC151:AC152)</f>
        <v>0</v>
      </c>
    </row>
    <row r="154" spans="1:29" s="101" customFormat="1" outlineLevel="1"/>
    <row r="155" spans="1:29" s="952" customFormat="1" ht="5.0999999999999996" customHeight="1" outlineLevel="1">
      <c r="A155" s="954"/>
      <c r="B155" s="954"/>
      <c r="C155" s="954"/>
      <c r="D155" s="954"/>
      <c r="G155" s="95"/>
      <c r="I155" s="95"/>
      <c r="K155" s="95"/>
      <c r="M155" s="95"/>
      <c r="O155" s="95"/>
      <c r="Q155" s="95"/>
      <c r="S155" s="95"/>
      <c r="U155" s="95"/>
      <c r="W155" s="95"/>
      <c r="Y155" s="95"/>
      <c r="AA155" s="95"/>
      <c r="AC155" s="95"/>
    </row>
    <row r="156" spans="1:29" s="952" customFormat="1">
      <c r="C156" s="953" t="s">
        <v>1888</v>
      </c>
      <c r="G156" s="92">
        <f>SUM(G154:G155)</f>
        <v>0</v>
      </c>
      <c r="I156" s="92">
        <f>SUM(I154:I155)</f>
        <v>0</v>
      </c>
      <c r="K156" s="92">
        <f>SUM(K154:K155)</f>
        <v>0</v>
      </c>
      <c r="M156" s="92">
        <f>SUM(M154:M155)</f>
        <v>0</v>
      </c>
      <c r="O156" s="92">
        <f>SUM(O154:O155)</f>
        <v>0</v>
      </c>
      <c r="Q156" s="92">
        <f>SUM(Q154:Q155)</f>
        <v>0</v>
      </c>
      <c r="S156" s="92">
        <f>SUM(S154:S155)</f>
        <v>0</v>
      </c>
      <c r="U156" s="92">
        <f>SUM(U154:U155)</f>
        <v>0</v>
      </c>
      <c r="W156" s="92">
        <f>SUM(W154:W155)</f>
        <v>0</v>
      </c>
      <c r="Y156" s="92">
        <f>SUM(Y154:Y155)</f>
        <v>0</v>
      </c>
      <c r="AA156" s="92">
        <f>SUM(AA154:AA155)</f>
        <v>0</v>
      </c>
      <c r="AC156" s="92">
        <f>SUM(AC154:AC155)</f>
        <v>0</v>
      </c>
    </row>
    <row r="157" spans="1:29" s="952" customFormat="1" ht="7.5" customHeight="1">
      <c r="G157" s="94"/>
      <c r="I157" s="94"/>
      <c r="K157" s="94"/>
      <c r="M157" s="94"/>
      <c r="O157" s="94"/>
      <c r="Q157" s="94"/>
      <c r="S157" s="94"/>
      <c r="U157" s="94"/>
      <c r="W157" s="94"/>
      <c r="Y157" s="94"/>
      <c r="AA157" s="94"/>
      <c r="AC157" s="94"/>
    </row>
    <row r="158" spans="1:29" s="952" customFormat="1">
      <c r="B158" s="967" t="s">
        <v>1889</v>
      </c>
      <c r="G158" s="98">
        <f>SUM(G144,G150,G156,G139,G147,G153)</f>
        <v>232742.62</v>
      </c>
      <c r="I158" s="98">
        <f>SUM(I144,I150,I156,I139,I147,I153)</f>
        <v>118597.31</v>
      </c>
      <c r="K158" s="98">
        <f>SUM(K144,K150,K156,K139,K147,K153)</f>
        <v>189748.78</v>
      </c>
      <c r="M158" s="98">
        <f>SUM(M144,M150,M156,M139,M147,M153)</f>
        <v>138972.98000000001</v>
      </c>
      <c r="O158" s="98">
        <f>SUM(O144,O150,O156,O139,O147,O153)</f>
        <v>197209.60000000001</v>
      </c>
      <c r="Q158" s="98">
        <f>SUM(Q144,Q150,Q156,Q139,Q147,Q153)</f>
        <v>180652.21</v>
      </c>
      <c r="S158" s="98">
        <f>SUM(S144,S150,S156,S139,S147,S153)</f>
        <v>234646.46000000002</v>
      </c>
      <c r="U158" s="98">
        <f>SUM(U144,U150,U156,U139,U147,U153)</f>
        <v>136022.99</v>
      </c>
      <c r="W158" s="98">
        <f>SUM(W144,W150,W156,W139,W147,W153)</f>
        <v>258618.14</v>
      </c>
      <c r="Y158" s="98">
        <f>SUM(Y144,Y150,Y156,Y139,Y147,Y153)</f>
        <v>186314.63000000003</v>
      </c>
      <c r="AA158" s="98">
        <f>SUM(AA144,AA150,AA156,AA139,AA147,AA153)</f>
        <v>155321.5</v>
      </c>
      <c r="AC158" s="98">
        <f>SUM(AC144,AC150,AC156,AC139,AC147,AC153)</f>
        <v>206986.61</v>
      </c>
    </row>
    <row r="159" spans="1:29" s="952" customFormat="1" ht="7.5" customHeight="1">
      <c r="G159" s="94"/>
      <c r="I159" s="94"/>
      <c r="K159" s="94"/>
      <c r="M159" s="94"/>
      <c r="O159" s="94"/>
      <c r="Q159" s="94"/>
      <c r="S159" s="94"/>
      <c r="U159" s="94"/>
      <c r="W159" s="94"/>
      <c r="Y159" s="94"/>
      <c r="AA159" s="94"/>
      <c r="AC159" s="94"/>
    </row>
    <row r="160" spans="1:29" s="101" customFormat="1" outlineLevel="1"/>
    <row r="161" spans="1:29" s="952" customFormat="1" ht="5.0999999999999996" customHeight="1" outlineLevel="1">
      <c r="A161" s="954"/>
      <c r="B161" s="954"/>
      <c r="C161" s="954"/>
      <c r="D161" s="954"/>
      <c r="G161" s="95"/>
      <c r="I161" s="95"/>
      <c r="K161" s="95"/>
      <c r="M161" s="95"/>
      <c r="O161" s="95"/>
      <c r="Q161" s="95"/>
      <c r="S161" s="95"/>
      <c r="U161" s="95"/>
      <c r="W161" s="95"/>
      <c r="Y161" s="95"/>
      <c r="AA161" s="95"/>
      <c r="AC161" s="95"/>
    </row>
    <row r="162" spans="1:29" s="952" customFormat="1">
      <c r="C162" s="953" t="s">
        <v>1890</v>
      </c>
      <c r="G162" s="92">
        <f>SUM(G160:G161)</f>
        <v>0</v>
      </c>
      <c r="I162" s="92">
        <f>SUM(I160:I161)</f>
        <v>0</v>
      </c>
      <c r="K162" s="92">
        <f>SUM(K160:K161)</f>
        <v>0</v>
      </c>
      <c r="M162" s="92">
        <f>SUM(M160:M161)</f>
        <v>0</v>
      </c>
      <c r="O162" s="92">
        <f>SUM(O160:O161)</f>
        <v>0</v>
      </c>
      <c r="Q162" s="92">
        <f>SUM(Q160:Q161)</f>
        <v>0</v>
      </c>
      <c r="S162" s="92">
        <f>SUM(S160:S161)</f>
        <v>0</v>
      </c>
      <c r="U162" s="92">
        <f>SUM(U160:U161)</f>
        <v>0</v>
      </c>
      <c r="W162" s="92">
        <f>SUM(W160:W161)</f>
        <v>0</v>
      </c>
      <c r="Y162" s="92">
        <f>SUM(Y160:Y161)</f>
        <v>0</v>
      </c>
      <c r="AA162" s="92">
        <f>SUM(AA160:AA161)</f>
        <v>0</v>
      </c>
      <c r="AC162" s="92">
        <f>SUM(AC160:AC161)</f>
        <v>0</v>
      </c>
    </row>
    <row r="163" spans="1:29" s="101" customFormat="1" outlineLevel="1"/>
    <row r="164" spans="1:29" s="952" customFormat="1" ht="5.0999999999999996" customHeight="1" outlineLevel="1">
      <c r="A164" s="954"/>
      <c r="B164" s="954"/>
      <c r="C164" s="954"/>
      <c r="D164" s="954"/>
      <c r="G164" s="95"/>
      <c r="I164" s="95"/>
      <c r="K164" s="95"/>
      <c r="M164" s="95"/>
      <c r="O164" s="95"/>
      <c r="Q164" s="95"/>
      <c r="S164" s="95"/>
      <c r="U164" s="95"/>
      <c r="W164" s="95"/>
      <c r="Y164" s="95"/>
      <c r="AA164" s="95"/>
      <c r="AC164" s="95"/>
    </row>
    <row r="165" spans="1:29" s="952" customFormat="1">
      <c r="C165" s="953" t="s">
        <v>1891</v>
      </c>
      <c r="G165" s="92">
        <f>SUM(G163:G164)</f>
        <v>0</v>
      </c>
      <c r="I165" s="92">
        <f>SUM(I163:I164)</f>
        <v>0</v>
      </c>
      <c r="K165" s="92">
        <f>SUM(K163:K164)</f>
        <v>0</v>
      </c>
      <c r="M165" s="92">
        <f>SUM(M163:M164)</f>
        <v>0</v>
      </c>
      <c r="O165" s="92">
        <f>SUM(O163:O164)</f>
        <v>0</v>
      </c>
      <c r="Q165" s="92">
        <f>SUM(Q163:Q164)</f>
        <v>0</v>
      </c>
      <c r="S165" s="92">
        <f>SUM(S163:S164)</f>
        <v>0</v>
      </c>
      <c r="U165" s="92">
        <f>SUM(U163:U164)</f>
        <v>0</v>
      </c>
      <c r="W165" s="92">
        <f>SUM(W163:W164)</f>
        <v>0</v>
      </c>
      <c r="Y165" s="92">
        <f>SUM(Y163:Y164)</f>
        <v>0</v>
      </c>
      <c r="AA165" s="92">
        <f>SUM(AA163:AA164)</f>
        <v>0</v>
      </c>
      <c r="AC165" s="92">
        <f>SUM(AC163:AC164)</f>
        <v>0</v>
      </c>
    </row>
    <row r="166" spans="1:29" s="101" customFormat="1" outlineLevel="1"/>
    <row r="167" spans="1:29" s="952" customFormat="1" ht="5.0999999999999996" customHeight="1" outlineLevel="1">
      <c r="A167" s="954"/>
      <c r="B167" s="954"/>
      <c r="C167" s="954"/>
      <c r="D167" s="954"/>
      <c r="G167" s="95"/>
      <c r="I167" s="95"/>
      <c r="K167" s="95"/>
      <c r="M167" s="95"/>
      <c r="O167" s="95"/>
      <c r="Q167" s="95"/>
      <c r="S167" s="95"/>
      <c r="U167" s="95"/>
      <c r="W167" s="95"/>
      <c r="Y167" s="95"/>
      <c r="AA167" s="95"/>
      <c r="AC167" s="95"/>
    </row>
    <row r="168" spans="1:29" s="952" customFormat="1">
      <c r="C168" s="953" t="s">
        <v>1892</v>
      </c>
      <c r="G168" s="92">
        <f>SUM(G166:G167)</f>
        <v>0</v>
      </c>
      <c r="I168" s="92">
        <f>SUM(I166:I167)</f>
        <v>0</v>
      </c>
      <c r="K168" s="92">
        <f>SUM(K166:K167)</f>
        <v>0</v>
      </c>
      <c r="M168" s="92">
        <f>SUM(M166:M167)</f>
        <v>0</v>
      </c>
      <c r="O168" s="92">
        <f>SUM(O166:O167)</f>
        <v>0</v>
      </c>
      <c r="Q168" s="92">
        <f>SUM(Q166:Q167)</f>
        <v>0</v>
      </c>
      <c r="S168" s="92">
        <f>SUM(S166:S167)</f>
        <v>0</v>
      </c>
      <c r="U168" s="92">
        <f>SUM(U166:U167)</f>
        <v>0</v>
      </c>
      <c r="W168" s="92">
        <f>SUM(W166:W167)</f>
        <v>0</v>
      </c>
      <c r="Y168" s="92">
        <f>SUM(Y166:Y167)</f>
        <v>0</v>
      </c>
      <c r="AA168" s="92">
        <f>SUM(AA166:AA167)</f>
        <v>0</v>
      </c>
      <c r="AC168" s="92">
        <f>SUM(AC166:AC167)</f>
        <v>0</v>
      </c>
    </row>
    <row r="169" spans="1:29" s="101" customFormat="1" outlineLevel="1"/>
    <row r="170" spans="1:29" s="952" customFormat="1" ht="5.0999999999999996" customHeight="1" outlineLevel="1">
      <c r="A170" s="954"/>
      <c r="B170" s="954"/>
      <c r="C170" s="954"/>
      <c r="D170" s="954"/>
      <c r="G170" s="95"/>
      <c r="I170" s="95"/>
      <c r="K170" s="95"/>
      <c r="M170" s="95"/>
      <c r="O170" s="95"/>
      <c r="Q170" s="95"/>
      <c r="S170" s="95"/>
      <c r="U170" s="95"/>
      <c r="W170" s="95"/>
      <c r="Y170" s="95"/>
      <c r="AA170" s="95"/>
      <c r="AC170" s="95"/>
    </row>
    <row r="171" spans="1:29" s="952" customFormat="1">
      <c r="C171" s="953" t="s">
        <v>1893</v>
      </c>
      <c r="G171" s="92">
        <f>SUM(G169:G170)</f>
        <v>0</v>
      </c>
      <c r="I171" s="92">
        <f>SUM(I169:I170)</f>
        <v>0</v>
      </c>
      <c r="K171" s="92">
        <f>SUM(K169:K170)</f>
        <v>0</v>
      </c>
      <c r="M171" s="92">
        <f>SUM(M169:M170)</f>
        <v>0</v>
      </c>
      <c r="O171" s="92">
        <f>SUM(O169:O170)</f>
        <v>0</v>
      </c>
      <c r="Q171" s="92">
        <f>SUM(Q169:Q170)</f>
        <v>0</v>
      </c>
      <c r="S171" s="92">
        <f>SUM(S169:S170)</f>
        <v>0</v>
      </c>
      <c r="U171" s="92">
        <f>SUM(U169:U170)</f>
        <v>0</v>
      </c>
      <c r="W171" s="92">
        <f>SUM(W169:W170)</f>
        <v>0</v>
      </c>
      <c r="Y171" s="92">
        <f>SUM(Y169:Y170)</f>
        <v>0</v>
      </c>
      <c r="AA171" s="92">
        <f>SUM(AA169:AA170)</f>
        <v>0</v>
      </c>
      <c r="AC171" s="92">
        <f>SUM(AC169:AC170)</f>
        <v>0</v>
      </c>
    </row>
    <row r="172" spans="1:29" s="101" customFormat="1" outlineLevel="1"/>
    <row r="173" spans="1:29" s="952" customFormat="1" ht="5.0999999999999996" customHeight="1" outlineLevel="1">
      <c r="A173" s="954"/>
      <c r="B173" s="954"/>
      <c r="C173" s="954"/>
      <c r="D173" s="954"/>
      <c r="G173" s="95"/>
      <c r="I173" s="95"/>
      <c r="K173" s="95"/>
      <c r="M173" s="95"/>
      <c r="O173" s="95"/>
      <c r="Q173" s="95"/>
      <c r="S173" s="95"/>
      <c r="U173" s="95"/>
      <c r="W173" s="95"/>
      <c r="Y173" s="95"/>
      <c r="AA173" s="95"/>
      <c r="AC173" s="95"/>
    </row>
    <row r="174" spans="1:29" s="952" customFormat="1">
      <c r="C174" s="953" t="s">
        <v>1894</v>
      </c>
      <c r="G174" s="92">
        <f>SUM(G172:G173)</f>
        <v>0</v>
      </c>
      <c r="I174" s="92">
        <f>SUM(I172:I173)</f>
        <v>0</v>
      </c>
      <c r="K174" s="92">
        <f>SUM(K172:K173)</f>
        <v>0</v>
      </c>
      <c r="M174" s="92">
        <f>SUM(M172:M173)</f>
        <v>0</v>
      </c>
      <c r="O174" s="92">
        <f>SUM(O172:O173)</f>
        <v>0</v>
      </c>
      <c r="Q174" s="92">
        <f>SUM(Q172:Q173)</f>
        <v>0</v>
      </c>
      <c r="S174" s="92">
        <f>SUM(S172:S173)</f>
        <v>0</v>
      </c>
      <c r="U174" s="92">
        <f>SUM(U172:U173)</f>
        <v>0</v>
      </c>
      <c r="W174" s="92">
        <f>SUM(W172:W173)</f>
        <v>0</v>
      </c>
      <c r="Y174" s="92">
        <f>SUM(Y172:Y173)</f>
        <v>0</v>
      </c>
      <c r="AA174" s="92">
        <f>SUM(AA172:AA173)</f>
        <v>0</v>
      </c>
      <c r="AC174" s="92">
        <f>SUM(AC172:AC173)</f>
        <v>0</v>
      </c>
    </row>
    <row r="175" spans="1:29" s="101" customFormat="1" outlineLevel="1"/>
    <row r="176" spans="1:29" s="952" customFormat="1" ht="5.0999999999999996" customHeight="1" outlineLevel="1">
      <c r="A176" s="954"/>
      <c r="B176" s="954"/>
      <c r="C176" s="954"/>
      <c r="D176" s="954"/>
      <c r="G176" s="95"/>
      <c r="I176" s="95"/>
      <c r="K176" s="95"/>
      <c r="M176" s="95"/>
      <c r="O176" s="95"/>
      <c r="Q176" s="95"/>
      <c r="S176" s="95"/>
      <c r="U176" s="95"/>
      <c r="W176" s="95"/>
      <c r="Y176" s="95"/>
      <c r="AA176" s="95"/>
      <c r="AC176" s="95"/>
    </row>
    <row r="177" spans="1:265" s="952" customFormat="1">
      <c r="C177" s="953" t="s">
        <v>1895</v>
      </c>
      <c r="G177" s="92">
        <f>SUM(G175:G176)</f>
        <v>0</v>
      </c>
      <c r="I177" s="92">
        <f>SUM(I175:I176)</f>
        <v>0</v>
      </c>
      <c r="K177" s="92">
        <f>SUM(K175:K176)</f>
        <v>0</v>
      </c>
      <c r="M177" s="92">
        <f>SUM(M175:M176)</f>
        <v>0</v>
      </c>
      <c r="O177" s="92">
        <f>SUM(O175:O176)</f>
        <v>0</v>
      </c>
      <c r="Q177" s="92">
        <f>SUM(Q175:Q176)</f>
        <v>0</v>
      </c>
      <c r="S177" s="92">
        <f>SUM(S175:S176)</f>
        <v>0</v>
      </c>
      <c r="U177" s="92">
        <f>SUM(U175:U176)</f>
        <v>0</v>
      </c>
      <c r="W177" s="92">
        <f>SUM(W175:W176)</f>
        <v>0</v>
      </c>
      <c r="Y177" s="92">
        <f>SUM(Y175:Y176)</f>
        <v>0</v>
      </c>
      <c r="AA177" s="92">
        <f>SUM(AA175:AA176)</f>
        <v>0</v>
      </c>
      <c r="AC177" s="92">
        <f>SUM(AC175:AC176)</f>
        <v>0</v>
      </c>
    </row>
    <row r="178" spans="1:265" s="952" customFormat="1" outlineLevel="1">
      <c r="A178" s="953">
        <v>29100</v>
      </c>
      <c r="B178" s="953" t="s">
        <v>1896</v>
      </c>
      <c r="C178" s="954"/>
      <c r="D178" s="954"/>
      <c r="G178" s="955">
        <v>589006.17000000004</v>
      </c>
      <c r="I178" s="955">
        <v>623738.09</v>
      </c>
      <c r="K178" s="955">
        <v>627143.68000000005</v>
      </c>
      <c r="M178" s="955">
        <v>649188.21</v>
      </c>
      <c r="O178" s="955">
        <v>665481.30000000005</v>
      </c>
      <c r="Q178" s="955">
        <v>623932.73</v>
      </c>
      <c r="S178" s="955">
        <v>618074.25</v>
      </c>
      <c r="U178" s="955">
        <v>616805.21</v>
      </c>
      <c r="W178" s="955">
        <v>607670.82999999996</v>
      </c>
      <c r="Y178" s="955">
        <v>622633.38</v>
      </c>
      <c r="AA178" s="955">
        <v>633284.22</v>
      </c>
      <c r="AC178" s="955">
        <v>604786.27</v>
      </c>
    </row>
    <row r="179" spans="1:265" s="952" customFormat="1" ht="5.0999999999999996" customHeight="1" outlineLevel="1">
      <c r="A179" s="954"/>
      <c r="B179" s="954"/>
      <c r="C179" s="954"/>
      <c r="D179" s="954"/>
      <c r="G179" s="95"/>
      <c r="I179" s="95"/>
      <c r="K179" s="95"/>
      <c r="M179" s="95"/>
      <c r="O179" s="95"/>
      <c r="Q179" s="95"/>
      <c r="S179" s="95"/>
      <c r="U179" s="95"/>
      <c r="W179" s="95"/>
      <c r="Y179" s="95"/>
      <c r="AA179" s="95"/>
      <c r="AC179" s="95"/>
    </row>
    <row r="180" spans="1:265" s="952" customFormat="1">
      <c r="C180" s="953" t="s">
        <v>1896</v>
      </c>
      <c r="G180" s="92">
        <f>SUM(G178:G179)</f>
        <v>589006.17000000004</v>
      </c>
      <c r="I180" s="92">
        <f>SUM(I178:I179)</f>
        <v>623738.09</v>
      </c>
      <c r="K180" s="92">
        <f>SUM(K178:K179)</f>
        <v>627143.68000000005</v>
      </c>
      <c r="M180" s="92">
        <f>SUM(M178:M179)</f>
        <v>649188.21</v>
      </c>
      <c r="O180" s="92">
        <f>SUM(O178:O179)</f>
        <v>665481.30000000005</v>
      </c>
      <c r="Q180" s="92">
        <f>SUM(Q178:Q179)</f>
        <v>623932.73</v>
      </c>
      <c r="S180" s="92">
        <f>SUM(S178:S179)</f>
        <v>618074.25</v>
      </c>
      <c r="U180" s="92">
        <f>SUM(U178:U179)</f>
        <v>616805.21</v>
      </c>
      <c r="W180" s="92">
        <f>SUM(W178:W179)</f>
        <v>607670.82999999996</v>
      </c>
      <c r="Y180" s="92">
        <f>SUM(Y178:Y179)</f>
        <v>622633.38</v>
      </c>
      <c r="AA180" s="92">
        <f>SUM(AA178:AA179)</f>
        <v>633284.22</v>
      </c>
      <c r="AC180" s="92">
        <f>SUM(AC178:AC179)</f>
        <v>604786.27</v>
      </c>
    </row>
    <row r="181" spans="1:265" s="952" customFormat="1" ht="7.5" customHeight="1">
      <c r="G181" s="94"/>
      <c r="I181" s="94"/>
      <c r="K181" s="94"/>
      <c r="M181" s="94"/>
      <c r="O181" s="94"/>
      <c r="Q181" s="94"/>
      <c r="S181" s="94"/>
      <c r="U181" s="94"/>
      <c r="W181" s="94"/>
      <c r="Y181" s="94"/>
      <c r="AA181" s="94"/>
      <c r="AC181" s="94"/>
    </row>
    <row r="182" spans="1:265" s="952" customFormat="1">
      <c r="B182" s="967" t="s">
        <v>1896</v>
      </c>
      <c r="G182" s="98">
        <f>SUM(G162,G168,G174,G180,G171,G165,G177)</f>
        <v>589006.17000000004</v>
      </c>
      <c r="I182" s="98">
        <f>SUM(I162,I168,I174,I180,I171,I165,I177)</f>
        <v>623738.09</v>
      </c>
      <c r="K182" s="98">
        <f>SUM(K162,K168,K174,K180,K171,K165,K177)</f>
        <v>627143.68000000005</v>
      </c>
      <c r="M182" s="98">
        <f>SUM(M162,M168,M174,M180,M171,M165,M177)</f>
        <v>649188.21</v>
      </c>
      <c r="O182" s="98">
        <f>SUM(O162,O168,O174,O180,O171,O165,O177)</f>
        <v>665481.30000000005</v>
      </c>
      <c r="Q182" s="98">
        <f>SUM(Q162,Q168,Q174,Q180,Q171,Q165,Q177)</f>
        <v>623932.73</v>
      </c>
      <c r="S182" s="98">
        <f>SUM(S162,S168,S174,S180,S171,S165,S177)</f>
        <v>618074.25</v>
      </c>
      <c r="U182" s="98">
        <f>SUM(U162,U168,U174,U180,U171,U165,U177)</f>
        <v>616805.21</v>
      </c>
      <c r="W182" s="98">
        <f>SUM(W162,W168,W174,W180,W171,W165,W177)</f>
        <v>607670.82999999996</v>
      </c>
      <c r="Y182" s="98">
        <f>SUM(Y162,Y168,Y174,Y180,Y171,Y165,Y177)</f>
        <v>622633.38</v>
      </c>
      <c r="AA182" s="98">
        <f>SUM(AA162,AA168,AA174,AA180,AA171,AA165,AA177)</f>
        <v>633284.22</v>
      </c>
      <c r="AC182" s="98">
        <f>SUM(AC162,AC168,AC174,AC180,AC171,AC165,AC177)</f>
        <v>604786.27</v>
      </c>
    </row>
    <row r="183" spans="1:265" s="952" customFormat="1" ht="7.5" customHeight="1">
      <c r="G183" s="94"/>
      <c r="I183" s="94"/>
      <c r="K183" s="94"/>
      <c r="M183" s="94"/>
      <c r="O183" s="94"/>
      <c r="Q183" s="94"/>
      <c r="S183" s="94"/>
      <c r="U183" s="94"/>
      <c r="W183" s="94"/>
      <c r="Y183" s="94"/>
      <c r="AA183" s="94"/>
      <c r="AC183" s="94"/>
    </row>
    <row r="184" spans="1:265" s="952" customFormat="1" ht="13.5" thickBot="1">
      <c r="B184" s="967" t="s">
        <v>1897</v>
      </c>
      <c r="G184" s="118">
        <f>+G158+G182</f>
        <v>821748.79</v>
      </c>
      <c r="I184" s="118">
        <f>+I158+I182</f>
        <v>742335.39999999991</v>
      </c>
      <c r="K184" s="118">
        <f>+K158+K182</f>
        <v>816892.46000000008</v>
      </c>
      <c r="M184" s="118">
        <f>+M158+M182</f>
        <v>788161.19</v>
      </c>
      <c r="O184" s="118">
        <f>+O158+O182</f>
        <v>862690.9</v>
      </c>
      <c r="Q184" s="118">
        <f>+Q158+Q182</f>
        <v>804584.94</v>
      </c>
      <c r="S184" s="118">
        <f>+S158+S182</f>
        <v>852720.71</v>
      </c>
      <c r="U184" s="118">
        <f>+U158+U182</f>
        <v>752828.2</v>
      </c>
      <c r="W184" s="118">
        <f>+W158+W182</f>
        <v>866288.97</v>
      </c>
      <c r="Y184" s="118">
        <f>+Y158+Y182</f>
        <v>808948.01</v>
      </c>
      <c r="AA184" s="118">
        <f>+AA158+AA182</f>
        <v>788605.72</v>
      </c>
      <c r="AC184" s="118">
        <f>+AC158+AC182</f>
        <v>811772.88</v>
      </c>
    </row>
    <row r="185" spans="1:265" s="952" customFormat="1" ht="7.5" customHeight="1" thickTop="1">
      <c r="G185" s="94"/>
      <c r="I185" s="94"/>
      <c r="K185" s="94"/>
      <c r="M185" s="94"/>
      <c r="O185" s="94"/>
      <c r="Q185" s="94"/>
      <c r="S185" s="94"/>
      <c r="U185" s="94"/>
      <c r="W185" s="94"/>
      <c r="Y185" s="94"/>
      <c r="AA185" s="94"/>
      <c r="AC185" s="94"/>
    </row>
    <row r="186" spans="1:265" s="970" customFormat="1" ht="11.25">
      <c r="C186" s="970" t="s">
        <v>1898</v>
      </c>
      <c r="G186" s="971">
        <f>G112-G184</f>
        <v>0</v>
      </c>
      <c r="I186" s="971">
        <f>I112-I184</f>
        <v>0</v>
      </c>
      <c r="K186" s="971">
        <f>K112-K184</f>
        <v>0</v>
      </c>
      <c r="M186" s="971">
        <f>M112-M184</f>
        <v>0</v>
      </c>
      <c r="O186" s="971">
        <f>O112-O184</f>
        <v>0</v>
      </c>
      <c r="Q186" s="971">
        <f>Q112-Q184</f>
        <v>0</v>
      </c>
      <c r="S186" s="971">
        <f>S112-S184</f>
        <v>0</v>
      </c>
      <c r="U186" s="971">
        <f>U112-U184</f>
        <v>0</v>
      </c>
      <c r="W186" s="971">
        <f>W112-W184</f>
        <v>0</v>
      </c>
      <c r="Y186" s="971">
        <f>Y112-Y184</f>
        <v>0</v>
      </c>
      <c r="AA186" s="971">
        <f>AA112-AA184</f>
        <v>0</v>
      </c>
      <c r="AC186" s="971">
        <f>AC112-AC184</f>
        <v>0</v>
      </c>
    </row>
    <row r="187" spans="1:265" s="119" customFormat="1" ht="9.75" customHeight="1">
      <c r="A187" s="952"/>
      <c r="B187" s="952"/>
      <c r="C187" s="953"/>
      <c r="D187" s="952"/>
      <c r="E187" s="60"/>
      <c r="F187" s="60"/>
      <c r="H187" s="60"/>
      <c r="J187" s="60"/>
      <c r="L187" s="60"/>
      <c r="N187" s="60"/>
      <c r="P187" s="60"/>
      <c r="R187" s="60"/>
      <c r="T187" s="60"/>
      <c r="V187" s="60"/>
      <c r="X187" s="60"/>
      <c r="Z187" s="60"/>
      <c r="AB187" s="60"/>
      <c r="AD187" s="60"/>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60"/>
      <c r="CD187" s="60"/>
      <c r="CE187" s="60"/>
      <c r="CF187" s="60"/>
      <c r="CG187" s="60"/>
      <c r="CH187" s="60"/>
      <c r="CI187" s="60"/>
      <c r="CJ187" s="60"/>
      <c r="CK187" s="60"/>
      <c r="CL187" s="60"/>
      <c r="CM187" s="60"/>
      <c r="CN187" s="60"/>
      <c r="CO187" s="60"/>
      <c r="CP187" s="60"/>
      <c r="CQ187" s="60"/>
      <c r="CR187" s="60"/>
      <c r="CS187" s="60"/>
      <c r="CT187" s="60"/>
      <c r="CU187" s="60"/>
      <c r="CV187" s="60"/>
      <c r="CW187" s="60"/>
      <c r="CX187" s="60"/>
      <c r="CY187" s="60"/>
      <c r="CZ187" s="60"/>
      <c r="DA187" s="60"/>
      <c r="DB187" s="60"/>
      <c r="DC187" s="60"/>
      <c r="DD187" s="60"/>
      <c r="DE187" s="60"/>
      <c r="DF187" s="60"/>
      <c r="DG187" s="60"/>
      <c r="DH187" s="60"/>
      <c r="DI187" s="60"/>
      <c r="DJ187" s="60"/>
      <c r="DK187" s="60"/>
      <c r="DL187" s="60"/>
      <c r="DM187" s="60"/>
      <c r="DN187" s="60"/>
      <c r="DO187" s="60"/>
      <c r="DP187" s="60"/>
      <c r="DQ187" s="60"/>
      <c r="DR187" s="60"/>
      <c r="DS187" s="60"/>
      <c r="DT187" s="60"/>
      <c r="DU187" s="60"/>
      <c r="DV187" s="60"/>
      <c r="DW187" s="60"/>
      <c r="DX187" s="60"/>
      <c r="DY187" s="60"/>
      <c r="DZ187" s="60"/>
      <c r="EA187" s="60"/>
      <c r="EB187" s="60"/>
      <c r="EC187" s="60"/>
      <c r="ED187" s="60"/>
      <c r="EE187" s="60"/>
      <c r="EF187" s="60"/>
      <c r="EG187" s="60"/>
      <c r="EH187" s="60"/>
      <c r="EI187" s="60"/>
      <c r="EJ187" s="60"/>
      <c r="EK187" s="60"/>
      <c r="EL187" s="60"/>
      <c r="EM187" s="60"/>
      <c r="EN187" s="60"/>
      <c r="EO187" s="60"/>
      <c r="EP187" s="60"/>
      <c r="EQ187" s="60"/>
      <c r="ER187" s="60"/>
      <c r="ES187" s="60"/>
      <c r="ET187" s="60"/>
      <c r="EU187" s="60"/>
      <c r="EV187" s="60"/>
      <c r="EW187" s="60"/>
      <c r="EX187" s="60"/>
      <c r="EY187" s="60"/>
      <c r="EZ187" s="60"/>
      <c r="FA187" s="60"/>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60"/>
      <c r="GP187" s="60"/>
      <c r="GQ187" s="60"/>
      <c r="GR187" s="60"/>
      <c r="GS187" s="60"/>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60"/>
      <c r="IH187" s="60"/>
      <c r="II187" s="60"/>
      <c r="IJ187" s="60"/>
      <c r="IK187" s="60"/>
      <c r="IL187" s="60"/>
      <c r="IM187" s="60"/>
      <c r="IN187" s="60"/>
      <c r="IO187" s="60"/>
      <c r="IP187" s="60"/>
      <c r="IQ187" s="60"/>
      <c r="IR187" s="60"/>
      <c r="IS187" s="60"/>
      <c r="IT187" s="60"/>
      <c r="IU187" s="60"/>
      <c r="IV187" s="60"/>
      <c r="IW187" s="60"/>
      <c r="IX187" s="60"/>
      <c r="IY187" s="60"/>
      <c r="IZ187" s="60"/>
      <c r="JA187" s="60"/>
      <c r="JB187" s="60"/>
      <c r="JC187" s="60"/>
      <c r="JD187" s="60"/>
      <c r="JE187" s="60"/>
    </row>
    <row r="188" spans="1:265">
      <c r="G188" s="972"/>
      <c r="H188" s="972"/>
      <c r="I188" s="972"/>
      <c r="J188" s="972"/>
      <c r="K188" s="972"/>
      <c r="L188" s="972"/>
      <c r="M188" s="972"/>
      <c r="N188" s="972"/>
      <c r="O188" s="972"/>
      <c r="P188" s="972"/>
      <c r="Q188" s="972"/>
      <c r="R188" s="972"/>
      <c r="S188" s="972"/>
      <c r="T188" s="972"/>
      <c r="U188" s="972"/>
      <c r="V188" s="972"/>
      <c r="W188" s="972"/>
      <c r="X188" s="972"/>
      <c r="Y188" s="972"/>
      <c r="Z188" s="972"/>
      <c r="AA188" s="972"/>
      <c r="AB188" s="972"/>
      <c r="AC188" s="972"/>
      <c r="AD188" s="972"/>
      <c r="AE188" s="973"/>
    </row>
  </sheetData>
  <pageMargins left="0.5" right="0.5" top="0.39" bottom="0.4" header="0.25" footer="0.25"/>
  <pageSetup scale="50" fitToHeight="2" orientation="landscape" errors="blank" horizontalDpi="4294967292" r:id="rId1"/>
  <headerFooter alignWithMargins="0">
    <oddHeader>&amp;R&amp;D - &amp;T</oddHeader>
    <oddFooter>&amp;L&amp;F - &amp;A&amp;RPage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U113"/>
  <sheetViews>
    <sheetView zoomScale="110" zoomScaleNormal="110" workbookViewId="0">
      <pane xSplit="2" ySplit="6" topLeftCell="E82" activePane="bottomRight" state="frozen"/>
      <selection activeCell="E180" sqref="E180"/>
      <selection pane="topRight" activeCell="E180" sqref="E180"/>
      <selection pane="bottomLeft" activeCell="E180" sqref="E180"/>
      <selection pane="bottomRight" activeCell="A3" sqref="A3"/>
    </sheetView>
  </sheetViews>
  <sheetFormatPr defaultRowHeight="12.75" outlineLevelCol="1"/>
  <cols>
    <col min="1" max="1" width="22.7109375" style="152" customWidth="1"/>
    <col min="2" max="2" width="29.140625" style="152" bestFit="1" customWidth="1"/>
    <col min="3" max="3" width="12.28515625" style="137" hidden="1" customWidth="1" outlineLevel="1"/>
    <col min="4" max="4" width="12.42578125" style="137" hidden="1" customWidth="1" outlineLevel="1"/>
    <col min="5" max="5" width="2" style="137" customWidth="1" collapsed="1"/>
    <col min="6" max="6" width="11.140625" style="137" hidden="1" customWidth="1" outlineLevel="1"/>
    <col min="7" max="7" width="12.42578125" style="137" hidden="1" customWidth="1" outlineLevel="1"/>
    <col min="8" max="8" width="2" style="137" hidden="1" customWidth="1" outlineLevel="1"/>
    <col min="9" max="9" width="13.5703125" style="137" bestFit="1" customWidth="1" collapsed="1"/>
    <col min="10" max="10" width="5.7109375" style="137" customWidth="1"/>
    <col min="11" max="11" width="12.140625" style="137" hidden="1" customWidth="1" outlineLevel="1"/>
    <col min="12" max="12" width="12.42578125" style="137" hidden="1" customWidth="1" outlineLevel="1"/>
    <col min="13" max="13" width="7.5703125" style="137" bestFit="1" customWidth="1" collapsed="1"/>
    <col min="14" max="14" width="6.140625" style="138" bestFit="1" customWidth="1"/>
    <col min="15" max="15" width="8" style="137" bestFit="1" customWidth="1"/>
    <col min="16" max="16" width="5.85546875" style="137" customWidth="1"/>
    <col min="17" max="17" width="11.28515625" style="137" bestFit="1" customWidth="1"/>
    <col min="18" max="18" width="11" style="137" bestFit="1" customWidth="1"/>
    <col min="19" max="19" width="7.5703125" style="137" bestFit="1" customWidth="1"/>
    <col min="20" max="20" width="12" style="137" customWidth="1"/>
    <col min="21" max="16384" width="9.140625" style="137"/>
  </cols>
  <sheetData>
    <row r="1" spans="1:20" ht="12" customHeight="1" thickBot="1">
      <c r="A1" s="133" t="s">
        <v>245</v>
      </c>
      <c r="B1" s="134"/>
      <c r="C1" s="135"/>
      <c r="D1" s="135"/>
      <c r="E1" s="134"/>
      <c r="F1" s="136"/>
      <c r="G1" s="136"/>
      <c r="H1" s="136"/>
      <c r="I1" s="136"/>
      <c r="J1" s="136"/>
      <c r="K1" s="136"/>
      <c r="L1" s="136"/>
    </row>
    <row r="2" spans="1:20" ht="12" customHeight="1" thickBot="1">
      <c r="A2" s="133" t="s">
        <v>246</v>
      </c>
      <c r="B2" s="134"/>
      <c r="C2" s="135"/>
      <c r="D2" s="135"/>
      <c r="E2" s="134"/>
      <c r="F2" s="139" t="s">
        <v>247</v>
      </c>
      <c r="G2" s="136"/>
      <c r="H2" s="136"/>
      <c r="I2" s="136"/>
      <c r="J2" s="136"/>
      <c r="K2" s="136"/>
      <c r="L2" s="136"/>
      <c r="Q2" s="995" t="s">
        <v>1907</v>
      </c>
      <c r="R2" s="996">
        <f>'LG - Packer,RO'!E39</f>
        <v>5.7835718294118654E-2</v>
      </c>
    </row>
    <row r="3" spans="1:20" ht="12" customHeight="1">
      <c r="A3" s="140" t="s">
        <v>220</v>
      </c>
      <c r="B3" s="134"/>
      <c r="C3" s="135"/>
      <c r="D3" s="135"/>
      <c r="E3" s="134"/>
      <c r="F3" s="141"/>
      <c r="G3" s="136"/>
      <c r="H3" s="136"/>
      <c r="I3" s="136"/>
      <c r="J3" s="136"/>
      <c r="K3" s="136"/>
      <c r="L3" s="136"/>
    </row>
    <row r="4" spans="1:20" ht="12" customHeight="1">
      <c r="A4" s="134"/>
      <c r="B4" s="142"/>
      <c r="C4" s="143" t="s">
        <v>248</v>
      </c>
      <c r="D4" s="143" t="s">
        <v>249</v>
      </c>
      <c r="E4" s="134"/>
      <c r="F4" s="144" t="s">
        <v>248</v>
      </c>
      <c r="G4" s="144" t="s">
        <v>249</v>
      </c>
      <c r="H4" s="144"/>
      <c r="I4" s="145" t="s">
        <v>3</v>
      </c>
      <c r="J4" s="136"/>
      <c r="K4" s="146" t="s">
        <v>248</v>
      </c>
      <c r="L4" s="146" t="s">
        <v>249</v>
      </c>
      <c r="M4" s="146" t="s">
        <v>250</v>
      </c>
      <c r="N4" s="147" t="s">
        <v>251</v>
      </c>
      <c r="O4" s="147" t="s">
        <v>252</v>
      </c>
      <c r="Q4" s="997" t="s">
        <v>1908</v>
      </c>
      <c r="R4" s="997" t="s">
        <v>1909</v>
      </c>
      <c r="S4" s="997" t="s">
        <v>1910</v>
      </c>
    </row>
    <row r="5" spans="1:20" ht="12" customHeight="1">
      <c r="A5" s="148" t="s">
        <v>253</v>
      </c>
      <c r="B5" s="142" t="s">
        <v>254</v>
      </c>
      <c r="C5" s="149" t="s">
        <v>255</v>
      </c>
      <c r="D5" s="149" t="s">
        <v>255</v>
      </c>
      <c r="E5" s="142"/>
      <c r="F5" s="145" t="s">
        <v>64</v>
      </c>
      <c r="G5" s="145" t="s">
        <v>64</v>
      </c>
      <c r="H5" s="145"/>
      <c r="I5" s="145" t="s">
        <v>64</v>
      </c>
      <c r="J5" s="136"/>
      <c r="K5" s="150" t="s">
        <v>256</v>
      </c>
      <c r="L5" s="150" t="s">
        <v>256</v>
      </c>
      <c r="M5" s="150" t="s">
        <v>257</v>
      </c>
      <c r="N5" s="151" t="s">
        <v>258</v>
      </c>
      <c r="O5" s="151" t="s">
        <v>59</v>
      </c>
      <c r="Q5" s="997" t="s">
        <v>944</v>
      </c>
      <c r="R5" s="997" t="s">
        <v>64</v>
      </c>
      <c r="S5" s="997" t="s">
        <v>255</v>
      </c>
    </row>
    <row r="6" spans="1:20" ht="12" customHeight="1"/>
    <row r="7" spans="1:20" s="136" customFormat="1" ht="12" customHeight="1">
      <c r="A7" s="155" t="s">
        <v>259</v>
      </c>
      <c r="B7" s="155" t="s">
        <v>259</v>
      </c>
      <c r="C7" s="135"/>
      <c r="D7" s="135"/>
      <c r="E7" s="154"/>
      <c r="M7" s="137"/>
      <c r="N7" s="153"/>
    </row>
    <row r="8" spans="1:20" s="136" customFormat="1" ht="8.25" customHeight="1">
      <c r="A8" s="155"/>
      <c r="B8" s="155"/>
      <c r="C8" s="135"/>
      <c r="D8" s="135"/>
      <c r="E8" s="154"/>
      <c r="M8" s="137"/>
      <c r="N8" s="153"/>
    </row>
    <row r="9" spans="1:20" s="136" customFormat="1" ht="24.75" customHeight="1">
      <c r="A9" s="156" t="s">
        <v>260</v>
      </c>
      <c r="B9" s="156" t="s">
        <v>260</v>
      </c>
      <c r="C9" s="157"/>
      <c r="D9" s="157"/>
      <c r="E9" s="157"/>
      <c r="F9" s="153"/>
      <c r="G9" s="153"/>
      <c r="H9" s="153"/>
      <c r="I9" s="158"/>
      <c r="K9" s="153"/>
      <c r="L9" s="153"/>
      <c r="M9" s="137"/>
      <c r="N9" s="153"/>
      <c r="T9" s="149" t="s">
        <v>2061</v>
      </c>
    </row>
    <row r="10" spans="1:20" s="136" customFormat="1" ht="12" customHeight="1">
      <c r="A10" s="137" t="s">
        <v>261</v>
      </c>
      <c r="B10" s="137" t="s">
        <v>262</v>
      </c>
      <c r="C10" s="157">
        <v>14.4</v>
      </c>
      <c r="D10" s="157">
        <v>14.43</v>
      </c>
      <c r="E10" s="157"/>
      <c r="F10" s="159">
        <v>345.63</v>
      </c>
      <c r="G10" s="159">
        <v>353.51</v>
      </c>
      <c r="H10" s="159"/>
      <c r="I10" s="158">
        <f t="shared" ref="I10:I29" si="0">SUM(F10:H10)</f>
        <v>699.14</v>
      </c>
      <c r="K10" s="153">
        <f>IFERROR((F10/$C10/6),0)</f>
        <v>4.0003472222222216</v>
      </c>
      <c r="L10" s="153">
        <f>IFERROR((G10/$D10/6),0)</f>
        <v>4.0830445830445834</v>
      </c>
      <c r="M10" s="138">
        <f>SUM(K10:L10)/2</f>
        <v>4.0416959026334025</v>
      </c>
      <c r="N10" s="153">
        <v>0</v>
      </c>
      <c r="O10" s="160">
        <f>(F10/C10)+(G10/D10)</f>
        <v>48.500350831600826</v>
      </c>
      <c r="Q10" s="158">
        <f>D10*$R$2</f>
        <v>0.83456941498413217</v>
      </c>
      <c r="R10" s="998">
        <f>Q10*O10</f>
        <v>40.47690942005427</v>
      </c>
      <c r="S10" s="158">
        <f>D10+Q10</f>
        <v>15.264569414984132</v>
      </c>
    </row>
    <row r="11" spans="1:20" s="136" customFormat="1" ht="12" customHeight="1">
      <c r="A11" s="137" t="s">
        <v>263</v>
      </c>
      <c r="B11" s="137" t="s">
        <v>264</v>
      </c>
      <c r="C11" s="157">
        <v>11.24</v>
      </c>
      <c r="D11" s="157">
        <v>11.25</v>
      </c>
      <c r="E11" s="157"/>
      <c r="F11" s="159">
        <v>269.76499999999999</v>
      </c>
      <c r="G11" s="159">
        <v>348.745</v>
      </c>
      <c r="H11" s="159"/>
      <c r="I11" s="158">
        <f t="shared" si="0"/>
        <v>618.51</v>
      </c>
      <c r="K11" s="153">
        <f t="shared" ref="K11:K29" si="1">IFERROR((F11/$C11/6),0)</f>
        <v>4.0000741399762747</v>
      </c>
      <c r="L11" s="153">
        <f t="shared" ref="L11:L29" si="2">IFERROR((G11/$D11/6),0)</f>
        <v>5.1665925925925924</v>
      </c>
      <c r="M11" s="138">
        <f t="shared" ref="M11:M29" si="3">SUM(K11:L11)/2</f>
        <v>4.5833333662844336</v>
      </c>
      <c r="N11" s="153">
        <v>0</v>
      </c>
      <c r="O11" s="160">
        <f t="shared" ref="O11:O29" si="4">(F11/C11)+(G11/D11)</f>
        <v>55.00000039541321</v>
      </c>
      <c r="Q11" s="158">
        <f t="shared" ref="Q11:Q29" si="5">D11*$R$2</f>
        <v>0.65065183080883482</v>
      </c>
      <c r="R11" s="998">
        <f t="shared" ref="R11:R29" si="6">Q11*O11</f>
        <v>35.785850951762242</v>
      </c>
      <c r="S11" s="158">
        <f t="shared" ref="S11:S29" si="7">D11+Q11</f>
        <v>11.900651830808835</v>
      </c>
    </row>
    <row r="12" spans="1:20" s="136" customFormat="1" ht="12" customHeight="1">
      <c r="A12" s="137" t="s">
        <v>265</v>
      </c>
      <c r="B12" s="137" t="s">
        <v>266</v>
      </c>
      <c r="C12" s="157">
        <v>17.670000000000002</v>
      </c>
      <c r="D12" s="157">
        <v>17.71</v>
      </c>
      <c r="E12" s="157"/>
      <c r="F12" s="159">
        <v>47197.184999999998</v>
      </c>
      <c r="G12" s="159">
        <v>47350.06</v>
      </c>
      <c r="H12" s="159"/>
      <c r="I12" s="158">
        <f t="shared" si="0"/>
        <v>94547.244999999995</v>
      </c>
      <c r="K12" s="153">
        <f t="shared" si="1"/>
        <v>445.17246745896995</v>
      </c>
      <c r="L12" s="153">
        <f t="shared" si="2"/>
        <v>445.6056841709015</v>
      </c>
      <c r="M12" s="138">
        <f t="shared" si="3"/>
        <v>445.38907581493572</v>
      </c>
      <c r="N12" s="153">
        <v>0</v>
      </c>
      <c r="O12" s="160">
        <f t="shared" si="4"/>
        <v>5344.6689097792287</v>
      </c>
      <c r="Q12" s="158">
        <f t="shared" si="5"/>
        <v>1.0242705709888413</v>
      </c>
      <c r="R12" s="998">
        <f t="shared" si="6"/>
        <v>5474.3870759658785</v>
      </c>
      <c r="S12" s="158">
        <f t="shared" si="7"/>
        <v>18.734270570988841</v>
      </c>
    </row>
    <row r="13" spans="1:20" s="136" customFormat="1" ht="12" customHeight="1">
      <c r="A13" s="137" t="s">
        <v>267</v>
      </c>
      <c r="B13" s="137" t="s">
        <v>268</v>
      </c>
      <c r="C13" s="157">
        <v>24.95</v>
      </c>
      <c r="D13" s="157">
        <v>25.01</v>
      </c>
      <c r="E13" s="157"/>
      <c r="F13" s="159">
        <v>20588.535</v>
      </c>
      <c r="G13" s="159">
        <v>20243.719999999998</v>
      </c>
      <c r="H13" s="159"/>
      <c r="I13" s="158">
        <f t="shared" si="0"/>
        <v>40832.254999999997</v>
      </c>
      <c r="K13" s="153">
        <f t="shared" si="1"/>
        <v>137.53196392785571</v>
      </c>
      <c r="L13" s="153">
        <f t="shared" si="2"/>
        <v>134.90417166466744</v>
      </c>
      <c r="M13" s="138">
        <f t="shared" si="3"/>
        <v>136.21806779626158</v>
      </c>
      <c r="N13" s="153">
        <v>0</v>
      </c>
      <c r="O13" s="160">
        <f t="shared" si="4"/>
        <v>1634.6168135551388</v>
      </c>
      <c r="Q13" s="158">
        <f t="shared" si="5"/>
        <v>1.4464713145359076</v>
      </c>
      <c r="R13" s="998">
        <f t="shared" si="6"/>
        <v>2364.4263310655983</v>
      </c>
      <c r="S13" s="158">
        <f t="shared" si="7"/>
        <v>26.456471314535911</v>
      </c>
    </row>
    <row r="14" spans="1:20" s="136" customFormat="1" ht="12" customHeight="1">
      <c r="A14" s="137" t="s">
        <v>269</v>
      </c>
      <c r="B14" s="137" t="s">
        <v>270</v>
      </c>
      <c r="C14" s="157">
        <v>35.58</v>
      </c>
      <c r="D14" s="157">
        <v>35.68</v>
      </c>
      <c r="E14" s="157"/>
      <c r="F14" s="159">
        <v>426.95999999999992</v>
      </c>
      <c r="G14" s="159">
        <v>428.16</v>
      </c>
      <c r="H14" s="159"/>
      <c r="I14" s="158">
        <f t="shared" si="0"/>
        <v>855.11999999999989</v>
      </c>
      <c r="K14" s="153">
        <f t="shared" si="1"/>
        <v>1.9999999999999998</v>
      </c>
      <c r="L14" s="153">
        <f t="shared" si="2"/>
        <v>2</v>
      </c>
      <c r="M14" s="138">
        <f t="shared" si="3"/>
        <v>2</v>
      </c>
      <c r="N14" s="153">
        <v>0</v>
      </c>
      <c r="O14" s="160">
        <f t="shared" si="4"/>
        <v>24</v>
      </c>
      <c r="Q14" s="158">
        <f t="shared" si="5"/>
        <v>2.0635784287341536</v>
      </c>
      <c r="R14" s="998">
        <f t="shared" si="6"/>
        <v>49.525882289619688</v>
      </c>
      <c r="S14" s="158">
        <f t="shared" si="7"/>
        <v>37.743578428734153</v>
      </c>
    </row>
    <row r="15" spans="1:20" s="136" customFormat="1" ht="12" customHeight="1">
      <c r="A15" s="137" t="s">
        <v>271</v>
      </c>
      <c r="B15" s="137" t="s">
        <v>272</v>
      </c>
      <c r="C15" s="157">
        <v>26.62</v>
      </c>
      <c r="D15" s="157">
        <v>26.68</v>
      </c>
      <c r="E15" s="157"/>
      <c r="F15" s="159">
        <v>35786.605000000003</v>
      </c>
      <c r="G15" s="159">
        <v>37947.179999999993</v>
      </c>
      <c r="H15" s="159"/>
      <c r="I15" s="158">
        <f t="shared" si="0"/>
        <v>73733.785000000003</v>
      </c>
      <c r="K15" s="153">
        <f t="shared" si="1"/>
        <v>224.05838342098673</v>
      </c>
      <c r="L15" s="153">
        <f t="shared" si="2"/>
        <v>237.05134932533727</v>
      </c>
      <c r="M15" s="138">
        <f t="shared" si="3"/>
        <v>230.55486637316199</v>
      </c>
      <c r="N15" s="153">
        <f>M15*1</f>
        <v>230.55486637316199</v>
      </c>
      <c r="O15" s="160">
        <f t="shared" si="4"/>
        <v>2766.6583964779438</v>
      </c>
      <c r="Q15" s="158">
        <f t="shared" si="5"/>
        <v>1.5430569640870857</v>
      </c>
      <c r="R15" s="998">
        <f t="shared" si="6"/>
        <v>4269.1115059353006</v>
      </c>
      <c r="S15" s="158">
        <f t="shared" si="7"/>
        <v>28.223056964087085</v>
      </c>
    </row>
    <row r="16" spans="1:20" s="136" customFormat="1" ht="12" customHeight="1">
      <c r="A16" s="137" t="s">
        <v>273</v>
      </c>
      <c r="B16" s="137" t="s">
        <v>274</v>
      </c>
      <c r="C16" s="157">
        <f>C15*2</f>
        <v>53.24</v>
      </c>
      <c r="D16" s="157">
        <v>53.36</v>
      </c>
      <c r="E16" s="157"/>
      <c r="F16" s="159">
        <v>319.44</v>
      </c>
      <c r="G16" s="159">
        <v>320.04000000000002</v>
      </c>
      <c r="H16" s="159"/>
      <c r="I16" s="158">
        <f t="shared" si="0"/>
        <v>639.48</v>
      </c>
      <c r="K16" s="153">
        <f t="shared" si="1"/>
        <v>1</v>
      </c>
      <c r="L16" s="153">
        <f t="shared" si="2"/>
        <v>0.99962518740629702</v>
      </c>
      <c r="M16" s="138">
        <f t="shared" si="3"/>
        <v>0.99981259370314857</v>
      </c>
      <c r="N16" s="153">
        <f>+M16*2</f>
        <v>1.9996251874062971</v>
      </c>
      <c r="O16" s="160">
        <f t="shared" si="4"/>
        <v>11.997751124437782</v>
      </c>
      <c r="Q16" s="158">
        <f t="shared" si="5"/>
        <v>3.0861139281741714</v>
      </c>
      <c r="R16" s="998">
        <f t="shared" si="6"/>
        <v>37.026426851894762</v>
      </c>
      <c r="S16" s="158">
        <f t="shared" si="7"/>
        <v>56.446113928174171</v>
      </c>
    </row>
    <row r="17" spans="1:20" s="136" customFormat="1" ht="12" customHeight="1">
      <c r="A17" s="137" t="s">
        <v>275</v>
      </c>
      <c r="B17" s="137" t="s">
        <v>276</v>
      </c>
      <c r="C17" s="157">
        <v>33.229999999999997</v>
      </c>
      <c r="D17" s="157">
        <v>33.32</v>
      </c>
      <c r="E17" s="157"/>
      <c r="F17" s="159">
        <v>60862.689999999995</v>
      </c>
      <c r="G17" s="159">
        <v>61656.76</v>
      </c>
      <c r="H17" s="159"/>
      <c r="I17" s="158">
        <f t="shared" si="0"/>
        <v>122519.45</v>
      </c>
      <c r="K17" s="153">
        <f t="shared" si="1"/>
        <v>305.25975524124789</v>
      </c>
      <c r="L17" s="153">
        <f t="shared" si="2"/>
        <v>308.40716286514606</v>
      </c>
      <c r="M17" s="138">
        <f t="shared" si="3"/>
        <v>306.83345905319698</v>
      </c>
      <c r="N17" s="153">
        <f>+M17*1</f>
        <v>306.83345905319698</v>
      </c>
      <c r="O17" s="160">
        <f t="shared" si="4"/>
        <v>3682.0015086383637</v>
      </c>
      <c r="Q17" s="158">
        <f t="shared" si="5"/>
        <v>1.9270861335600336</v>
      </c>
      <c r="R17" s="998">
        <f>Q17*O17</f>
        <v>7095.5340510441147</v>
      </c>
      <c r="S17" s="158">
        <f>D17+Q17</f>
        <v>35.247086133560032</v>
      </c>
      <c r="T17" s="158"/>
    </row>
    <row r="18" spans="1:20" s="136" customFormat="1" ht="12" customHeight="1">
      <c r="A18" s="137" t="s">
        <v>277</v>
      </c>
      <c r="B18" s="137" t="s">
        <v>278</v>
      </c>
      <c r="C18" s="157">
        <f>C17*2</f>
        <v>66.459999999999994</v>
      </c>
      <c r="D18" s="157">
        <v>66.64</v>
      </c>
      <c r="E18" s="157"/>
      <c r="F18" s="159">
        <v>1595.1299999999999</v>
      </c>
      <c r="G18" s="159">
        <v>682.96999999999991</v>
      </c>
      <c r="H18" s="159"/>
      <c r="I18" s="158">
        <f t="shared" si="0"/>
        <v>2278.1</v>
      </c>
      <c r="K18" s="153">
        <f t="shared" si="1"/>
        <v>4.0002256996689738</v>
      </c>
      <c r="L18" s="153">
        <f t="shared" si="2"/>
        <v>1.7081082432973187</v>
      </c>
      <c r="M18" s="138">
        <f t="shared" si="3"/>
        <v>2.8541669714831461</v>
      </c>
      <c r="N18" s="153">
        <f>+M18*2</f>
        <v>5.7083339429662923</v>
      </c>
      <c r="O18" s="160">
        <f t="shared" si="4"/>
        <v>34.250003657797755</v>
      </c>
      <c r="Q18" s="158">
        <f t="shared" si="5"/>
        <v>3.8541722671200671</v>
      </c>
      <c r="R18" s="998">
        <f t="shared" si="6"/>
        <v>132.00541424664496</v>
      </c>
      <c r="S18" s="158">
        <f t="shared" si="7"/>
        <v>70.494172267120064</v>
      </c>
    </row>
    <row r="19" spans="1:20" s="136" customFormat="1" ht="12" customHeight="1">
      <c r="A19" s="137" t="s">
        <v>279</v>
      </c>
      <c r="B19" s="137" t="s">
        <v>280</v>
      </c>
      <c r="C19" s="157">
        <f>C17*3</f>
        <v>99.69</v>
      </c>
      <c r="D19" s="157">
        <v>99.96</v>
      </c>
      <c r="E19" s="157"/>
      <c r="F19" s="159">
        <v>598.14</v>
      </c>
      <c r="G19" s="159">
        <v>749.7</v>
      </c>
      <c r="H19" s="159"/>
      <c r="I19" s="158">
        <f t="shared" si="0"/>
        <v>1347.8400000000001</v>
      </c>
      <c r="K19" s="153">
        <f t="shared" si="1"/>
        <v>1</v>
      </c>
      <c r="L19" s="153">
        <f t="shared" si="2"/>
        <v>1.2500000000000002</v>
      </c>
      <c r="M19" s="138">
        <f t="shared" si="3"/>
        <v>1.125</v>
      </c>
      <c r="N19" s="153">
        <f>+M19*3</f>
        <v>3.375</v>
      </c>
      <c r="O19" s="160">
        <f t="shared" si="4"/>
        <v>13.5</v>
      </c>
      <c r="Q19" s="158">
        <f t="shared" si="5"/>
        <v>5.7812584006801</v>
      </c>
      <c r="R19" s="998">
        <f t="shared" si="6"/>
        <v>78.046988409181353</v>
      </c>
      <c r="S19" s="158">
        <f t="shared" si="7"/>
        <v>105.7412584006801</v>
      </c>
    </row>
    <row r="20" spans="1:20" s="136" customFormat="1" ht="12" customHeight="1">
      <c r="A20" s="137" t="s">
        <v>281</v>
      </c>
      <c r="B20" s="137" t="s">
        <v>282</v>
      </c>
      <c r="C20" s="157">
        <v>12.33</v>
      </c>
      <c r="D20" s="157">
        <v>12.34</v>
      </c>
      <c r="E20" s="157"/>
      <c r="F20" s="159">
        <v>0</v>
      </c>
      <c r="G20" s="159">
        <v>24.68</v>
      </c>
      <c r="H20" s="159"/>
      <c r="I20" s="158">
        <f t="shared" si="0"/>
        <v>24.68</v>
      </c>
      <c r="K20" s="153">
        <f t="shared" si="1"/>
        <v>0</v>
      </c>
      <c r="L20" s="153">
        <f t="shared" si="2"/>
        <v>0.33333333333333331</v>
      </c>
      <c r="M20" s="138">
        <f t="shared" si="3"/>
        <v>0.16666666666666666</v>
      </c>
      <c r="N20" s="153"/>
      <c r="O20" s="160">
        <f t="shared" si="4"/>
        <v>2</v>
      </c>
      <c r="Q20" s="158">
        <f t="shared" si="5"/>
        <v>0.71369276374942414</v>
      </c>
      <c r="R20" s="998">
        <f t="shared" si="6"/>
        <v>1.4273855274988483</v>
      </c>
      <c r="S20" s="158">
        <f t="shared" si="7"/>
        <v>13.053692763749424</v>
      </c>
    </row>
    <row r="21" spans="1:20" s="136" customFormat="1" ht="12" customHeight="1">
      <c r="A21" s="137" t="s">
        <v>283</v>
      </c>
      <c r="B21" s="137" t="s">
        <v>284</v>
      </c>
      <c r="C21" s="157">
        <v>4.2</v>
      </c>
      <c r="D21" s="157">
        <v>4.21</v>
      </c>
      <c r="E21" s="157"/>
      <c r="F21" s="159">
        <v>3089.17</v>
      </c>
      <c r="G21" s="159">
        <v>2974.6499999999996</v>
      </c>
      <c r="H21" s="159"/>
      <c r="I21" s="158">
        <f t="shared" si="0"/>
        <v>6063.82</v>
      </c>
      <c r="K21" s="153">
        <f t="shared" si="1"/>
        <v>122.58611111111111</v>
      </c>
      <c r="L21" s="153">
        <f t="shared" si="2"/>
        <v>117.76128266033253</v>
      </c>
      <c r="M21" s="138">
        <f t="shared" si="3"/>
        <v>120.17369688572182</v>
      </c>
      <c r="N21" s="153"/>
      <c r="O21" s="160">
        <f t="shared" si="4"/>
        <v>1442.0843626286619</v>
      </c>
      <c r="Q21" s="158">
        <f t="shared" si="5"/>
        <v>0.24348837401823953</v>
      </c>
      <c r="R21" s="998">
        <f t="shared" si="6"/>
        <v>351.13077665358219</v>
      </c>
      <c r="S21" s="158">
        <f t="shared" si="7"/>
        <v>4.4534883740182396</v>
      </c>
    </row>
    <row r="22" spans="1:20" s="136" customFormat="1" ht="12" customHeight="1">
      <c r="A22" s="137" t="s">
        <v>285</v>
      </c>
      <c r="B22" s="137" t="s">
        <v>286</v>
      </c>
      <c r="C22" s="157">
        <v>21.41</v>
      </c>
      <c r="D22" s="157">
        <v>21.45</v>
      </c>
      <c r="E22" s="157"/>
      <c r="F22" s="159">
        <v>256.93</v>
      </c>
      <c r="G22" s="159">
        <v>10.72</v>
      </c>
      <c r="H22" s="159"/>
      <c r="I22" s="158">
        <f t="shared" si="0"/>
        <v>267.65000000000003</v>
      </c>
      <c r="K22" s="153">
        <f t="shared" si="1"/>
        <v>2.0000778452436556</v>
      </c>
      <c r="L22" s="153">
        <f t="shared" si="2"/>
        <v>8.3294483294483301E-2</v>
      </c>
      <c r="M22" s="138">
        <f t="shared" si="3"/>
        <v>1.0416861642690693</v>
      </c>
      <c r="N22" s="153"/>
      <c r="O22" s="160">
        <f t="shared" si="4"/>
        <v>12.500233971228834</v>
      </c>
      <c r="Q22" s="158">
        <f t="shared" si="5"/>
        <v>1.2405761574088452</v>
      </c>
      <c r="R22" s="998">
        <f t="shared" si="6"/>
        <v>15.507492226738576</v>
      </c>
      <c r="S22" s="158">
        <f t="shared" si="7"/>
        <v>22.690576157408845</v>
      </c>
    </row>
    <row r="23" spans="1:20" s="134" customFormat="1" ht="12" customHeight="1">
      <c r="A23" s="137" t="s">
        <v>287</v>
      </c>
      <c r="B23" s="137" t="s">
        <v>288</v>
      </c>
      <c r="C23" s="157">
        <v>21.41</v>
      </c>
      <c r="D23" s="157">
        <v>21.45</v>
      </c>
      <c r="E23" s="157"/>
      <c r="F23" s="159">
        <v>0</v>
      </c>
      <c r="G23" s="159">
        <v>42.9</v>
      </c>
      <c r="H23" s="159"/>
      <c r="I23" s="158">
        <f t="shared" si="0"/>
        <v>42.9</v>
      </c>
      <c r="K23" s="153">
        <f t="shared" si="1"/>
        <v>0</v>
      </c>
      <c r="L23" s="153">
        <f t="shared" si="2"/>
        <v>0.33333333333333331</v>
      </c>
      <c r="M23" s="138">
        <f t="shared" si="3"/>
        <v>0.16666666666666666</v>
      </c>
      <c r="N23" s="153"/>
      <c r="O23" s="160">
        <f t="shared" si="4"/>
        <v>2</v>
      </c>
      <c r="Q23" s="158">
        <f t="shared" si="5"/>
        <v>1.2405761574088452</v>
      </c>
      <c r="R23" s="998">
        <f t="shared" si="6"/>
        <v>2.4811523148176904</v>
      </c>
      <c r="S23" s="158">
        <f t="shared" si="7"/>
        <v>22.690576157408845</v>
      </c>
    </row>
    <row r="24" spans="1:20" s="134" customFormat="1" ht="12" customHeight="1">
      <c r="A24" s="137" t="s">
        <v>289</v>
      </c>
      <c r="B24" s="137" t="s">
        <v>290</v>
      </c>
      <c r="C24" s="157">
        <v>4.2</v>
      </c>
      <c r="D24" s="157">
        <v>4.21</v>
      </c>
      <c r="E24" s="157"/>
      <c r="F24" s="159">
        <v>37.799999999999997</v>
      </c>
      <c r="G24" s="159">
        <v>46.31</v>
      </c>
      <c r="H24" s="159"/>
      <c r="I24" s="158">
        <f t="shared" si="0"/>
        <v>84.11</v>
      </c>
      <c r="K24" s="153">
        <f t="shared" si="1"/>
        <v>1.4999999999999998</v>
      </c>
      <c r="L24" s="153">
        <f t="shared" si="2"/>
        <v>1.8333333333333333</v>
      </c>
      <c r="M24" s="138">
        <f t="shared" si="3"/>
        <v>1.6666666666666665</v>
      </c>
      <c r="N24" s="153"/>
      <c r="O24" s="160">
        <f t="shared" si="4"/>
        <v>20</v>
      </c>
      <c r="Q24" s="158">
        <f t="shared" si="5"/>
        <v>0.24348837401823953</v>
      </c>
      <c r="R24" s="998">
        <f t="shared" si="6"/>
        <v>4.869767480364791</v>
      </c>
      <c r="S24" s="158">
        <f t="shared" si="7"/>
        <v>4.4534883740182396</v>
      </c>
    </row>
    <row r="25" spans="1:20" s="136" customFormat="1" ht="12" customHeight="1">
      <c r="A25" s="137" t="s">
        <v>291</v>
      </c>
      <c r="B25" s="137" t="s">
        <v>292</v>
      </c>
      <c r="C25" s="157">
        <v>4.2</v>
      </c>
      <c r="D25" s="157">
        <v>4.21</v>
      </c>
      <c r="E25" s="157"/>
      <c r="F25" s="159">
        <v>50.400000000000006</v>
      </c>
      <c r="G25" s="159">
        <v>8.42</v>
      </c>
      <c r="H25" s="159"/>
      <c r="I25" s="158">
        <f t="shared" si="0"/>
        <v>58.820000000000007</v>
      </c>
      <c r="K25" s="153">
        <f t="shared" si="1"/>
        <v>2</v>
      </c>
      <c r="L25" s="153">
        <f t="shared" si="2"/>
        <v>0.33333333333333331</v>
      </c>
      <c r="M25" s="138">
        <f t="shared" si="3"/>
        <v>1.1666666666666667</v>
      </c>
      <c r="N25" s="153"/>
      <c r="O25" s="160">
        <f t="shared" si="4"/>
        <v>14</v>
      </c>
      <c r="Q25" s="158">
        <f t="shared" si="5"/>
        <v>0.24348837401823953</v>
      </c>
      <c r="R25" s="998">
        <f t="shared" si="6"/>
        <v>3.4088372362553532</v>
      </c>
      <c r="S25" s="158">
        <f t="shared" si="7"/>
        <v>4.4534883740182396</v>
      </c>
    </row>
    <row r="26" spans="1:20" s="136" customFormat="1" ht="12" customHeight="1">
      <c r="A26" s="137" t="s">
        <v>293</v>
      </c>
      <c r="B26" s="137" t="s">
        <v>294</v>
      </c>
      <c r="C26" s="157">
        <v>6.62</v>
      </c>
      <c r="D26" s="157">
        <v>6.62</v>
      </c>
      <c r="E26" s="157"/>
      <c r="F26" s="159">
        <v>1608.2199999999998</v>
      </c>
      <c r="G26" s="159">
        <v>1555.4099999999999</v>
      </c>
      <c r="H26" s="159"/>
      <c r="I26" s="158">
        <f t="shared" si="0"/>
        <v>3163.6299999999997</v>
      </c>
      <c r="K26" s="153">
        <f t="shared" si="1"/>
        <v>40.488922457200395</v>
      </c>
      <c r="L26" s="153">
        <f t="shared" si="2"/>
        <v>39.159365558912384</v>
      </c>
      <c r="M26" s="138">
        <f t="shared" si="3"/>
        <v>39.824144008056393</v>
      </c>
      <c r="N26" s="153"/>
      <c r="O26" s="160">
        <f t="shared" si="4"/>
        <v>477.88972809667666</v>
      </c>
      <c r="Q26" s="158">
        <f t="shared" si="5"/>
        <v>0.38287245510706552</v>
      </c>
      <c r="R26" s="998">
        <f t="shared" si="6"/>
        <v>182.97081346682259</v>
      </c>
      <c r="S26" s="158">
        <f t="shared" si="7"/>
        <v>7.0028724551070658</v>
      </c>
      <c r="T26" s="1027">
        <f>ROUND(Q26/References!$B$11,2)</f>
        <v>0.09</v>
      </c>
    </row>
    <row r="27" spans="1:20" s="136" customFormat="1" ht="12" customHeight="1">
      <c r="A27" s="137" t="s">
        <v>295</v>
      </c>
      <c r="B27" s="137" t="s">
        <v>296</v>
      </c>
      <c r="C27" s="157">
        <v>8.0299999999999994</v>
      </c>
      <c r="D27" s="157">
        <v>8.0299999999999994</v>
      </c>
      <c r="E27" s="157"/>
      <c r="F27" s="159">
        <v>8.0299999999999994</v>
      </c>
      <c r="G27" s="159">
        <v>0</v>
      </c>
      <c r="H27" s="159"/>
      <c r="I27" s="158">
        <f t="shared" si="0"/>
        <v>8.0299999999999994</v>
      </c>
      <c r="K27" s="153">
        <f t="shared" si="1"/>
        <v>0.16666666666666666</v>
      </c>
      <c r="L27" s="153">
        <f t="shared" si="2"/>
        <v>0</v>
      </c>
      <c r="M27" s="138">
        <f t="shared" si="3"/>
        <v>8.3333333333333329E-2</v>
      </c>
      <c r="N27" s="153"/>
      <c r="O27" s="160">
        <f t="shared" si="4"/>
        <v>1</v>
      </c>
      <c r="Q27" s="158">
        <f t="shared" si="5"/>
        <v>0.46442081790177275</v>
      </c>
      <c r="R27" s="998">
        <f t="shared" si="6"/>
        <v>0.46442081790177275</v>
      </c>
      <c r="S27" s="158">
        <f t="shared" si="7"/>
        <v>8.4944208179017728</v>
      </c>
    </row>
    <row r="28" spans="1:20" s="134" customFormat="1" ht="12" customHeight="1">
      <c r="A28" s="137" t="s">
        <v>297</v>
      </c>
      <c r="B28" s="137" t="s">
        <v>298</v>
      </c>
      <c r="C28" s="157">
        <v>21.86</v>
      </c>
      <c r="D28" s="157">
        <v>21.86</v>
      </c>
      <c r="E28" s="157"/>
      <c r="F28" s="159">
        <v>21.86</v>
      </c>
      <c r="G28" s="159">
        <v>21.86</v>
      </c>
      <c r="H28" s="159"/>
      <c r="I28" s="158">
        <f t="shared" si="0"/>
        <v>43.72</v>
      </c>
      <c r="K28" s="153">
        <f t="shared" si="1"/>
        <v>0.16666666666666666</v>
      </c>
      <c r="L28" s="153">
        <f t="shared" si="2"/>
        <v>0.16666666666666666</v>
      </c>
      <c r="M28" s="138">
        <f t="shared" si="3"/>
        <v>0.16666666666666666</v>
      </c>
      <c r="N28" s="153"/>
      <c r="O28" s="160">
        <f t="shared" si="4"/>
        <v>2</v>
      </c>
      <c r="Q28" s="158">
        <f t="shared" si="5"/>
        <v>1.2642888019094338</v>
      </c>
      <c r="R28" s="998">
        <f t="shared" si="6"/>
        <v>2.5285776038188676</v>
      </c>
      <c r="S28" s="158">
        <f t="shared" si="7"/>
        <v>23.124288801909433</v>
      </c>
    </row>
    <row r="29" spans="1:20" s="134" customFormat="1" ht="12" customHeight="1">
      <c r="A29" s="137" t="s">
        <v>299</v>
      </c>
      <c r="B29" s="137" t="s">
        <v>300</v>
      </c>
      <c r="C29" s="157">
        <v>13.12</v>
      </c>
      <c r="D29" s="157">
        <v>13.12</v>
      </c>
      <c r="E29" s="157"/>
      <c r="F29" s="159">
        <v>262.39999999999998</v>
      </c>
      <c r="G29" s="159">
        <v>249.27999999999997</v>
      </c>
      <c r="H29" s="159"/>
      <c r="I29" s="158">
        <f t="shared" si="0"/>
        <v>511.67999999999995</v>
      </c>
      <c r="K29" s="153">
        <f t="shared" si="1"/>
        <v>3.3333333333333335</v>
      </c>
      <c r="L29" s="153">
        <f t="shared" si="2"/>
        <v>3.1666666666666665</v>
      </c>
      <c r="M29" s="138">
        <f t="shared" si="3"/>
        <v>3.25</v>
      </c>
      <c r="N29" s="153"/>
      <c r="O29" s="160">
        <f t="shared" si="4"/>
        <v>39</v>
      </c>
      <c r="Q29" s="158">
        <f t="shared" si="5"/>
        <v>0.75880462401883675</v>
      </c>
      <c r="R29" s="998">
        <f t="shared" si="6"/>
        <v>29.593380336734633</v>
      </c>
      <c r="S29" s="158">
        <f t="shared" si="7"/>
        <v>13.878804624018835</v>
      </c>
    </row>
    <row r="30" spans="1:20" s="136" customFormat="1" ht="12" customHeight="1" thickBot="1">
      <c r="A30" s="161"/>
      <c r="B30" s="161"/>
      <c r="C30" s="157"/>
      <c r="D30" s="157"/>
      <c r="E30" s="157"/>
      <c r="F30" s="153"/>
      <c r="G30" s="153"/>
      <c r="H30" s="153"/>
      <c r="I30" s="158"/>
      <c r="M30" s="137"/>
      <c r="N30" s="153"/>
    </row>
    <row r="31" spans="1:20" s="134" customFormat="1" ht="12" customHeight="1" thickBot="1">
      <c r="A31" s="162"/>
      <c r="B31" s="163" t="s">
        <v>301</v>
      </c>
      <c r="C31" s="157"/>
      <c r="D31" s="157"/>
      <c r="E31" s="157"/>
      <c r="F31" s="164">
        <f>SUM(F10:F30)</f>
        <v>173324.88999999998</v>
      </c>
      <c r="G31" s="164">
        <f>SUM(G10:G30)</f>
        <v>175015.07499999998</v>
      </c>
      <c r="H31" s="164"/>
      <c r="I31" s="164">
        <f>SUM(F31:H31)</f>
        <v>348339.96499999997</v>
      </c>
      <c r="K31" s="153"/>
      <c r="L31" s="153"/>
      <c r="M31" s="165">
        <f>SUM(M10:M19)</f>
        <v>1134.5994778716604</v>
      </c>
      <c r="N31" s="159"/>
      <c r="R31" s="164">
        <f>SUM(R10:R30)</f>
        <v>20170.709039844576</v>
      </c>
      <c r="S31" s="1000"/>
    </row>
    <row r="32" spans="1:20" s="136" customFormat="1" ht="12" customHeight="1">
      <c r="C32" s="157"/>
      <c r="D32" s="157"/>
      <c r="E32" s="157"/>
      <c r="I32" s="158"/>
      <c r="K32" s="153"/>
      <c r="L32" s="153"/>
      <c r="M32" s="137"/>
      <c r="N32" s="153"/>
    </row>
    <row r="33" spans="1:21" ht="12" customHeight="1">
      <c r="A33" s="166" t="s">
        <v>302</v>
      </c>
      <c r="B33" s="166" t="s">
        <v>302</v>
      </c>
      <c r="D33" s="182"/>
      <c r="R33" s="1001"/>
    </row>
    <row r="34" spans="1:21" ht="12" customHeight="1">
      <c r="A34" s="166"/>
      <c r="B34" s="166"/>
    </row>
    <row r="35" spans="1:21" s="136" customFormat="1" ht="25.5">
      <c r="A35" s="156" t="s">
        <v>303</v>
      </c>
      <c r="B35" s="156" t="s">
        <v>303</v>
      </c>
      <c r="C35" s="149" t="s">
        <v>2060</v>
      </c>
      <c r="D35" s="149" t="s">
        <v>2060</v>
      </c>
      <c r="E35" s="157"/>
      <c r="I35" s="158"/>
      <c r="K35" s="153"/>
      <c r="L35" s="153"/>
      <c r="M35" s="137"/>
      <c r="N35" s="153"/>
      <c r="T35" s="149" t="s">
        <v>2061</v>
      </c>
      <c r="U35" s="1028"/>
    </row>
    <row r="36" spans="1:21" s="136" customFormat="1" ht="12" customHeight="1">
      <c r="A36" s="137" t="s">
        <v>304</v>
      </c>
      <c r="B36" s="137" t="s">
        <v>305</v>
      </c>
      <c r="C36" s="157">
        <v>71.959999999999994</v>
      </c>
      <c r="D36" s="157">
        <v>72.180000000000007</v>
      </c>
      <c r="E36" s="157"/>
      <c r="F36" s="159">
        <v>9804.5499999999993</v>
      </c>
      <c r="G36" s="159">
        <v>10863.100000000002</v>
      </c>
      <c r="H36" s="159"/>
      <c r="I36" s="158">
        <f t="shared" ref="I36:I75" si="8">SUM(F36:H36)</f>
        <v>20667.650000000001</v>
      </c>
      <c r="K36" s="153">
        <f t="shared" ref="K36:K75" si="9">IFERROR((F36/$C36/6),0)</f>
        <v>22.708333333333332</v>
      </c>
      <c r="L36" s="153">
        <f t="shared" ref="L36:L75" si="10">IFERROR((G36/$D36/6),0)</f>
        <v>25.083356423755429</v>
      </c>
      <c r="M36" s="138">
        <f t="shared" ref="M36:M75" si="11">SUM(K36:L36)/2</f>
        <v>23.895844878544381</v>
      </c>
      <c r="N36" s="153">
        <f>M36*1</f>
        <v>23.895844878544381</v>
      </c>
      <c r="O36" s="160">
        <f t="shared" ref="O36:O75" si="12">(F36/C36)+(G36/D36)</f>
        <v>286.75013854253257</v>
      </c>
      <c r="Q36" s="158">
        <f t="shared" ref="Q36:Q75" si="13">D36*$R$2</f>
        <v>4.1745821464694846</v>
      </c>
      <c r="R36" s="998">
        <f t="shared" ref="R36:R75" si="14">Q36*O36</f>
        <v>1197.0620088573078</v>
      </c>
      <c r="S36" s="158">
        <f t="shared" ref="S36:S75" si="15">D36+Q36</f>
        <v>76.354582146469497</v>
      </c>
      <c r="T36" s="1027">
        <f>ROUND(Q36/References!$B$11,2)</f>
        <v>0.96</v>
      </c>
    </row>
    <row r="37" spans="1:21" s="136" customFormat="1" ht="12" customHeight="1">
      <c r="A37" s="137" t="s">
        <v>306</v>
      </c>
      <c r="B37" s="137" t="s">
        <v>307</v>
      </c>
      <c r="C37" s="157">
        <v>107.86</v>
      </c>
      <c r="D37" s="157">
        <v>108.16</v>
      </c>
      <c r="E37" s="157"/>
      <c r="F37" s="159">
        <v>7253.59</v>
      </c>
      <c r="G37" s="159">
        <v>6976.32</v>
      </c>
      <c r="H37" s="159"/>
      <c r="I37" s="158">
        <f t="shared" si="8"/>
        <v>14229.91</v>
      </c>
      <c r="K37" s="153">
        <f t="shared" si="9"/>
        <v>11.208341059397986</v>
      </c>
      <c r="L37" s="153">
        <f t="shared" si="10"/>
        <v>10.75</v>
      </c>
      <c r="M37" s="138">
        <f t="shared" si="11"/>
        <v>10.979170529698994</v>
      </c>
      <c r="N37" s="153">
        <f>M37*1</f>
        <v>10.979170529698994</v>
      </c>
      <c r="O37" s="160">
        <f t="shared" si="12"/>
        <v>131.75004635638791</v>
      </c>
      <c r="Q37" s="158">
        <f t="shared" si="13"/>
        <v>6.2555112906918735</v>
      </c>
      <c r="R37" s="998">
        <f t="shared" si="14"/>
        <v>824.16390253156237</v>
      </c>
      <c r="S37" s="158">
        <f t="shared" si="15"/>
        <v>114.41551129069187</v>
      </c>
      <c r="T37" s="1027">
        <f>ROUND(Q37/References!$B$11,2)</f>
        <v>1.44</v>
      </c>
    </row>
    <row r="38" spans="1:21" s="136" customFormat="1" ht="12" customHeight="1">
      <c r="A38" s="137" t="s">
        <v>308</v>
      </c>
      <c r="B38" s="137" t="s">
        <v>309</v>
      </c>
      <c r="C38" s="157">
        <v>215.72</v>
      </c>
      <c r="D38" s="157">
        <v>216.32</v>
      </c>
      <c r="E38" s="157"/>
      <c r="F38" s="159">
        <v>970.74</v>
      </c>
      <c r="G38" s="159">
        <v>486.57</v>
      </c>
      <c r="H38" s="159"/>
      <c r="I38" s="158">
        <f t="shared" si="8"/>
        <v>1457.31</v>
      </c>
      <c r="K38" s="153">
        <f t="shared" si="9"/>
        <v>0.75</v>
      </c>
      <c r="L38" s="153">
        <f t="shared" si="10"/>
        <v>0.37488443047337278</v>
      </c>
      <c r="M38" s="138">
        <f t="shared" si="11"/>
        <v>0.56244221523668636</v>
      </c>
      <c r="N38" s="153">
        <f>+M38*2</f>
        <v>1.1248844304733727</v>
      </c>
      <c r="O38" s="160">
        <f t="shared" si="12"/>
        <v>6.7493065828402372</v>
      </c>
      <c r="Q38" s="158">
        <f t="shared" si="13"/>
        <v>12.511022581383747</v>
      </c>
      <c r="R38" s="998">
        <f t="shared" si="14"/>
        <v>84.440727066596182</v>
      </c>
      <c r="S38" s="158">
        <f t="shared" si="15"/>
        <v>228.83102258138373</v>
      </c>
    </row>
    <row r="39" spans="1:21" s="136" customFormat="1" ht="12" customHeight="1">
      <c r="A39" s="137" t="s">
        <v>310</v>
      </c>
      <c r="B39" s="137" t="s">
        <v>311</v>
      </c>
      <c r="C39" s="157">
        <v>323.58</v>
      </c>
      <c r="D39" s="157">
        <v>324.48</v>
      </c>
      <c r="E39" s="157"/>
      <c r="F39" s="159">
        <v>0</v>
      </c>
      <c r="G39" s="159">
        <v>648.96</v>
      </c>
      <c r="H39" s="159"/>
      <c r="I39" s="158">
        <f t="shared" si="8"/>
        <v>648.96</v>
      </c>
      <c r="K39" s="153">
        <f t="shared" si="9"/>
        <v>0</v>
      </c>
      <c r="L39" s="153">
        <f t="shared" si="10"/>
        <v>0.33333333333333331</v>
      </c>
      <c r="M39" s="138">
        <f t="shared" si="11"/>
        <v>0.16666666666666666</v>
      </c>
      <c r="N39" s="153">
        <f>+M39*2</f>
        <v>0.33333333333333331</v>
      </c>
      <c r="O39" s="160">
        <f t="shared" si="12"/>
        <v>2</v>
      </c>
      <c r="Q39" s="158">
        <f t="shared" si="13"/>
        <v>18.766533872075623</v>
      </c>
      <c r="R39" s="998">
        <f t="shared" si="14"/>
        <v>37.533067744151246</v>
      </c>
      <c r="S39" s="158">
        <f t="shared" si="15"/>
        <v>343.24653387207564</v>
      </c>
    </row>
    <row r="40" spans="1:21" s="136" customFormat="1" ht="12" customHeight="1">
      <c r="A40" s="137" t="s">
        <v>312</v>
      </c>
      <c r="B40" s="137" t="s">
        <v>313</v>
      </c>
      <c r="C40" s="157">
        <v>143.41</v>
      </c>
      <c r="D40" s="157">
        <v>143.80000000000001</v>
      </c>
      <c r="E40" s="157"/>
      <c r="F40" s="159">
        <v>7743.6</v>
      </c>
      <c r="G40" s="159">
        <v>7765.2</v>
      </c>
      <c r="H40" s="159"/>
      <c r="I40" s="158">
        <f t="shared" si="8"/>
        <v>15508.8</v>
      </c>
      <c r="K40" s="153">
        <f t="shared" si="9"/>
        <v>8.9993724287009282</v>
      </c>
      <c r="L40" s="153">
        <f t="shared" si="10"/>
        <v>8.9999999999999982</v>
      </c>
      <c r="M40" s="138">
        <f t="shared" si="11"/>
        <v>8.9996862143504632</v>
      </c>
      <c r="N40" s="153">
        <f>+M40</f>
        <v>8.9996862143504632</v>
      </c>
      <c r="O40" s="160">
        <f t="shared" si="12"/>
        <v>107.99623457220557</v>
      </c>
      <c r="Q40" s="158">
        <f t="shared" si="13"/>
        <v>8.3167762906942624</v>
      </c>
      <c r="R40" s="998">
        <f t="shared" si="14"/>
        <v>898.18052317437525</v>
      </c>
      <c r="S40" s="158">
        <f t="shared" si="15"/>
        <v>152.11677629069428</v>
      </c>
      <c r="T40" s="1027">
        <f>ROUND(Q40/References!$B$11,2)</f>
        <v>1.92</v>
      </c>
    </row>
    <row r="41" spans="1:21" s="136" customFormat="1" ht="12" customHeight="1">
      <c r="A41" s="137" t="s">
        <v>314</v>
      </c>
      <c r="B41" s="137" t="s">
        <v>315</v>
      </c>
      <c r="C41" s="157">
        <v>201.35</v>
      </c>
      <c r="D41" s="157">
        <v>201.95</v>
      </c>
      <c r="E41" s="157"/>
      <c r="F41" s="159">
        <v>4379.1499999999996</v>
      </c>
      <c r="G41" s="159">
        <v>3635.1</v>
      </c>
      <c r="H41" s="159"/>
      <c r="I41" s="158">
        <f t="shared" si="8"/>
        <v>8014.25</v>
      </c>
      <c r="K41" s="153">
        <f t="shared" si="9"/>
        <v>3.6248241039649032</v>
      </c>
      <c r="L41" s="153">
        <f t="shared" si="10"/>
        <v>3</v>
      </c>
      <c r="M41" s="138">
        <f t="shared" si="11"/>
        <v>3.3124120519824514</v>
      </c>
      <c r="N41" s="153">
        <f>+M41</f>
        <v>3.3124120519824514</v>
      </c>
      <c r="O41" s="160">
        <f t="shared" si="12"/>
        <v>39.74894462378942</v>
      </c>
      <c r="Q41" s="158">
        <f t="shared" si="13"/>
        <v>11.679923309497262</v>
      </c>
      <c r="R41" s="998">
        <f t="shared" si="14"/>
        <v>464.26462483931391</v>
      </c>
      <c r="S41" s="158">
        <f t="shared" si="15"/>
        <v>213.62992330949726</v>
      </c>
      <c r="T41" s="1027">
        <f>ROUND(Q41/References!$B$11,2)</f>
        <v>2.7</v>
      </c>
    </row>
    <row r="42" spans="1:21" s="136" customFormat="1" ht="12" customHeight="1">
      <c r="A42" s="137" t="s">
        <v>316</v>
      </c>
      <c r="B42" s="137" t="s">
        <v>317</v>
      </c>
      <c r="C42" s="157">
        <v>402.69</v>
      </c>
      <c r="D42" s="157">
        <v>403.9</v>
      </c>
      <c r="E42" s="157"/>
      <c r="F42" s="159">
        <v>4832.28</v>
      </c>
      <c r="G42" s="159">
        <v>4846.8</v>
      </c>
      <c r="H42" s="159"/>
      <c r="I42" s="158">
        <f t="shared" si="8"/>
        <v>9679.08</v>
      </c>
      <c r="K42" s="153">
        <f t="shared" si="9"/>
        <v>2</v>
      </c>
      <c r="L42" s="153">
        <f t="shared" si="10"/>
        <v>2.0000000000000004</v>
      </c>
      <c r="M42" s="138">
        <f t="shared" si="11"/>
        <v>2</v>
      </c>
      <c r="N42" s="153">
        <f>+M42*2</f>
        <v>4</v>
      </c>
      <c r="O42" s="160">
        <f t="shared" si="12"/>
        <v>24</v>
      </c>
      <c r="Q42" s="158">
        <f t="shared" si="13"/>
        <v>23.359846618994524</v>
      </c>
      <c r="R42" s="998">
        <f t="shared" si="14"/>
        <v>560.63631885586858</v>
      </c>
      <c r="S42" s="158">
        <f t="shared" si="15"/>
        <v>427.25984661899452</v>
      </c>
    </row>
    <row r="43" spans="1:21" s="136" customFormat="1" ht="12" customHeight="1">
      <c r="A43" s="137" t="s">
        <v>318</v>
      </c>
      <c r="B43" s="137" t="s">
        <v>319</v>
      </c>
      <c r="C43" s="157">
        <v>266.68</v>
      </c>
      <c r="D43" s="157">
        <v>267.45999999999998</v>
      </c>
      <c r="E43" s="157"/>
      <c r="F43" s="159">
        <v>8000.4</v>
      </c>
      <c r="G43" s="159">
        <v>8023.8</v>
      </c>
      <c r="H43" s="159"/>
      <c r="I43" s="158">
        <f t="shared" si="8"/>
        <v>16024.2</v>
      </c>
      <c r="K43" s="153">
        <f t="shared" si="9"/>
        <v>4.9999999999999991</v>
      </c>
      <c r="L43" s="153">
        <f t="shared" si="10"/>
        <v>5.0000000000000009</v>
      </c>
      <c r="M43" s="138">
        <f t="shared" si="11"/>
        <v>5</v>
      </c>
      <c r="N43" s="153">
        <f>+M43</f>
        <v>5</v>
      </c>
      <c r="O43" s="160">
        <f t="shared" si="12"/>
        <v>60</v>
      </c>
      <c r="Q43" s="158">
        <f t="shared" si="13"/>
        <v>15.468741214944973</v>
      </c>
      <c r="R43" s="998">
        <f t="shared" si="14"/>
        <v>928.12447289669842</v>
      </c>
      <c r="S43" s="158">
        <f t="shared" si="15"/>
        <v>282.92874121494498</v>
      </c>
      <c r="T43" s="1027">
        <f>ROUND(Q43/References!$B$11,2)</f>
        <v>3.57</v>
      </c>
    </row>
    <row r="44" spans="1:21" s="136" customFormat="1" ht="12" customHeight="1">
      <c r="A44" s="137" t="s">
        <v>320</v>
      </c>
      <c r="B44" s="137" t="s">
        <v>321</v>
      </c>
      <c r="C44" s="157">
        <v>533.37</v>
      </c>
      <c r="D44" s="157">
        <v>534.91999999999996</v>
      </c>
      <c r="E44" s="157"/>
      <c r="F44" s="159">
        <v>3200.1600000000003</v>
      </c>
      <c r="G44" s="159">
        <v>3209.52</v>
      </c>
      <c r="H44" s="159"/>
      <c r="I44" s="158">
        <f t="shared" si="8"/>
        <v>6409.68</v>
      </c>
      <c r="K44" s="153">
        <f t="shared" si="9"/>
        <v>0.99998125128897397</v>
      </c>
      <c r="L44" s="153">
        <f t="shared" si="10"/>
        <v>1</v>
      </c>
      <c r="M44" s="138">
        <f t="shared" si="11"/>
        <v>0.99999062564448704</v>
      </c>
      <c r="N44" s="153">
        <f>+M44*2</f>
        <v>1.9999812512889741</v>
      </c>
      <c r="O44" s="160">
        <f t="shared" si="12"/>
        <v>11.999887507733844</v>
      </c>
      <c r="Q44" s="158">
        <f t="shared" si="13"/>
        <v>30.937482429889947</v>
      </c>
      <c r="R44" s="998">
        <f t="shared" si="14"/>
        <v>371.24630893117165</v>
      </c>
      <c r="S44" s="158">
        <f t="shared" si="15"/>
        <v>565.85748242988996</v>
      </c>
    </row>
    <row r="45" spans="1:21" s="136" customFormat="1" ht="12" customHeight="1">
      <c r="A45" s="137" t="s">
        <v>322</v>
      </c>
      <c r="B45" s="137" t="s">
        <v>323</v>
      </c>
      <c r="C45" s="157">
        <v>773.94</v>
      </c>
      <c r="D45" s="157">
        <v>776.11</v>
      </c>
      <c r="E45" s="157"/>
      <c r="F45" s="159">
        <v>4643.6400000000003</v>
      </c>
      <c r="G45" s="159">
        <v>4656.6000000000004</v>
      </c>
      <c r="H45" s="159"/>
      <c r="I45" s="158">
        <f t="shared" si="8"/>
        <v>9300.2400000000016</v>
      </c>
      <c r="K45" s="153">
        <f t="shared" si="9"/>
        <v>1</v>
      </c>
      <c r="L45" s="153">
        <f t="shared" si="10"/>
        <v>0.99998711522851147</v>
      </c>
      <c r="M45" s="138">
        <f t="shared" si="11"/>
        <v>0.99999355761425579</v>
      </c>
      <c r="N45" s="153">
        <f>+M45*2</f>
        <v>1.9999871152285116</v>
      </c>
      <c r="O45" s="160">
        <f t="shared" si="12"/>
        <v>11.999922691371069</v>
      </c>
      <c r="Q45" s="158">
        <f t="shared" si="13"/>
        <v>44.886879325248429</v>
      </c>
      <c r="R45" s="998">
        <f t="shared" si="14"/>
        <v>538.63908175988354</v>
      </c>
      <c r="S45" s="158">
        <f t="shared" si="15"/>
        <v>820.99687932524841</v>
      </c>
    </row>
    <row r="46" spans="1:21" s="136" customFormat="1" ht="12" customHeight="1">
      <c r="A46" s="137" t="s">
        <v>324</v>
      </c>
      <c r="B46" s="137" t="s">
        <v>325</v>
      </c>
      <c r="C46" s="157">
        <v>18.100000000000001</v>
      </c>
      <c r="D46" s="157">
        <v>18.14</v>
      </c>
      <c r="E46" s="157"/>
      <c r="F46" s="159">
        <v>1303.2</v>
      </c>
      <c r="G46" s="159">
        <v>1124.6999999999998</v>
      </c>
      <c r="H46" s="159"/>
      <c r="I46" s="158">
        <f t="shared" si="8"/>
        <v>2427.8999999999996</v>
      </c>
      <c r="K46" s="153">
        <f t="shared" si="9"/>
        <v>12</v>
      </c>
      <c r="L46" s="153">
        <f t="shared" si="10"/>
        <v>10.333517089305401</v>
      </c>
      <c r="M46" s="138">
        <f t="shared" si="11"/>
        <v>11.166758544652701</v>
      </c>
      <c r="N46" s="153">
        <v>0</v>
      </c>
      <c r="O46" s="160">
        <f t="shared" si="12"/>
        <v>134.00110253583239</v>
      </c>
      <c r="Q46" s="158">
        <f t="shared" si="13"/>
        <v>1.0491399298553123</v>
      </c>
      <c r="R46" s="998">
        <f t="shared" si="14"/>
        <v>140.5859073149777</v>
      </c>
      <c r="S46" s="158">
        <f t="shared" si="15"/>
        <v>19.189139929855312</v>
      </c>
    </row>
    <row r="47" spans="1:21" s="136" customFormat="1" ht="12" customHeight="1">
      <c r="A47" s="137" t="s">
        <v>326</v>
      </c>
      <c r="B47" s="137" t="s">
        <v>327</v>
      </c>
      <c r="C47" s="157">
        <v>34.729999999999997</v>
      </c>
      <c r="D47" s="157">
        <v>34.81</v>
      </c>
      <c r="E47" s="157"/>
      <c r="F47" s="159">
        <v>416.64</v>
      </c>
      <c r="G47" s="159">
        <v>313.29000000000002</v>
      </c>
      <c r="H47" s="159"/>
      <c r="I47" s="158">
        <f t="shared" si="8"/>
        <v>729.93000000000006</v>
      </c>
      <c r="K47" s="153">
        <f t="shared" si="9"/>
        <v>1.9994241289951054</v>
      </c>
      <c r="L47" s="153">
        <f t="shared" si="10"/>
        <v>1.5</v>
      </c>
      <c r="M47" s="138">
        <f t="shared" si="11"/>
        <v>1.7497120644975528</v>
      </c>
      <c r="N47" s="153">
        <v>0</v>
      </c>
      <c r="O47" s="160">
        <f t="shared" si="12"/>
        <v>20.996544773970633</v>
      </c>
      <c r="Q47" s="158">
        <f t="shared" si="13"/>
        <v>2.0132613538182706</v>
      </c>
      <c r="R47" s="998">
        <f t="shared" si="14"/>
        <v>42.271532157150055</v>
      </c>
      <c r="S47" s="158">
        <f t="shared" si="15"/>
        <v>36.823261353818275</v>
      </c>
      <c r="T47" s="1027">
        <f>ROUND(Q47/References!$B$11/2,2)</f>
        <v>0.23</v>
      </c>
    </row>
    <row r="48" spans="1:21" s="136" customFormat="1" ht="12" customHeight="1">
      <c r="A48" s="137" t="s">
        <v>328</v>
      </c>
      <c r="B48" s="137" t="s">
        <v>329</v>
      </c>
      <c r="C48" s="157">
        <v>33.97</v>
      </c>
      <c r="D48" s="157">
        <v>34.03</v>
      </c>
      <c r="E48" s="157"/>
      <c r="F48" s="159">
        <v>815.7600000000001</v>
      </c>
      <c r="G48" s="159">
        <v>850.75</v>
      </c>
      <c r="H48" s="159"/>
      <c r="I48" s="158">
        <f t="shared" si="8"/>
        <v>1666.5100000000002</v>
      </c>
      <c r="K48" s="153">
        <f t="shared" si="9"/>
        <v>4.002355019134531</v>
      </c>
      <c r="L48" s="153">
        <f t="shared" si="10"/>
        <v>4.166666666666667</v>
      </c>
      <c r="M48" s="138">
        <f t="shared" si="11"/>
        <v>4.084510842900599</v>
      </c>
      <c r="N48" s="153">
        <f>+M48</f>
        <v>4.084510842900599</v>
      </c>
      <c r="O48" s="160">
        <f t="shared" si="12"/>
        <v>49.014130114807188</v>
      </c>
      <c r="Q48" s="158">
        <f t="shared" si="13"/>
        <v>1.9681494935488579</v>
      </c>
      <c r="R48" s="998">
        <f t="shared" si="14"/>
        <v>96.467135362195592</v>
      </c>
      <c r="S48" s="158">
        <f t="shared" si="15"/>
        <v>35.998149493548858</v>
      </c>
    </row>
    <row r="49" spans="1:20" s="136" customFormat="1" ht="12" customHeight="1">
      <c r="A49" s="137" t="s">
        <v>330</v>
      </c>
      <c r="B49" s="137" t="s">
        <v>331</v>
      </c>
      <c r="C49" s="157">
        <v>41.71</v>
      </c>
      <c r="D49" s="157">
        <v>41.8</v>
      </c>
      <c r="E49" s="157"/>
      <c r="F49" s="159">
        <v>1397.29</v>
      </c>
      <c r="G49" s="159">
        <v>1342.8300000000002</v>
      </c>
      <c r="H49" s="159"/>
      <c r="I49" s="158">
        <f t="shared" si="8"/>
        <v>2740.12</v>
      </c>
      <c r="K49" s="153">
        <f t="shared" si="9"/>
        <v>5.5833533125549417</v>
      </c>
      <c r="L49" s="153">
        <f t="shared" si="10"/>
        <v>5.3541866028708149</v>
      </c>
      <c r="M49" s="138">
        <f t="shared" si="11"/>
        <v>5.4687699577128779</v>
      </c>
      <c r="N49" s="153">
        <f>+M49</f>
        <v>5.4687699577128779</v>
      </c>
      <c r="O49" s="160">
        <f t="shared" si="12"/>
        <v>65.625239492554542</v>
      </c>
      <c r="Q49" s="158">
        <f t="shared" si="13"/>
        <v>2.4175330246941598</v>
      </c>
      <c r="R49" s="998">
        <f t="shared" si="14"/>
        <v>158.65118372671401</v>
      </c>
      <c r="S49" s="158">
        <f t="shared" si="15"/>
        <v>44.217533024694156</v>
      </c>
    </row>
    <row r="50" spans="1:20" s="136" customFormat="1" ht="12" customHeight="1">
      <c r="A50" s="137" t="s">
        <v>332</v>
      </c>
      <c r="B50" s="137" t="s">
        <v>333</v>
      </c>
      <c r="C50" s="157">
        <v>83.39</v>
      </c>
      <c r="D50" s="157">
        <v>83.57</v>
      </c>
      <c r="E50" s="157"/>
      <c r="F50" s="159">
        <v>0</v>
      </c>
      <c r="G50" s="159">
        <v>417.84999999999997</v>
      </c>
      <c r="H50" s="159"/>
      <c r="I50" s="158">
        <f t="shared" si="8"/>
        <v>417.84999999999997</v>
      </c>
      <c r="K50" s="153">
        <f t="shared" si="9"/>
        <v>0</v>
      </c>
      <c r="L50" s="153">
        <f t="shared" si="10"/>
        <v>0.83333333333333337</v>
      </c>
      <c r="M50" s="138">
        <f t="shared" si="11"/>
        <v>0.41666666666666669</v>
      </c>
      <c r="N50" s="153">
        <f>+M50*2</f>
        <v>0.83333333333333337</v>
      </c>
      <c r="O50" s="160">
        <f t="shared" si="12"/>
        <v>5</v>
      </c>
      <c r="Q50" s="158">
        <f t="shared" si="13"/>
        <v>4.8333309778394957</v>
      </c>
      <c r="R50" s="998">
        <f t="shared" si="14"/>
        <v>24.166654889197478</v>
      </c>
      <c r="S50" s="158">
        <f t="shared" si="15"/>
        <v>88.403330977839488</v>
      </c>
      <c r="T50" s="1027">
        <f>ROUND(Q50/References!$B$11/2,2)</f>
        <v>0.56000000000000005</v>
      </c>
    </row>
    <row r="51" spans="1:20" s="136" customFormat="1" ht="12" customHeight="1">
      <c r="A51" s="137" t="s">
        <v>334</v>
      </c>
      <c r="B51" s="137" t="s">
        <v>335</v>
      </c>
      <c r="C51" s="157">
        <v>11.53</v>
      </c>
      <c r="D51" s="157">
        <v>11.54</v>
      </c>
      <c r="E51" s="157"/>
      <c r="F51" s="159">
        <v>34.589999999999996</v>
      </c>
      <c r="G51" s="159">
        <v>23.08</v>
      </c>
      <c r="H51" s="159"/>
      <c r="I51" s="158">
        <f t="shared" si="8"/>
        <v>57.669999999999995</v>
      </c>
      <c r="K51" s="153">
        <f t="shared" si="9"/>
        <v>0.5</v>
      </c>
      <c r="L51" s="153">
        <f t="shared" si="10"/>
        <v>0.33333333333333331</v>
      </c>
      <c r="M51" s="138">
        <f t="shared" si="11"/>
        <v>0.41666666666666663</v>
      </c>
      <c r="N51" s="153">
        <v>0</v>
      </c>
      <c r="O51" s="160">
        <f t="shared" si="12"/>
        <v>5</v>
      </c>
      <c r="Q51" s="158">
        <f t="shared" si="13"/>
        <v>0.66742418911412926</v>
      </c>
      <c r="R51" s="998">
        <f t="shared" si="14"/>
        <v>3.3371209455706463</v>
      </c>
      <c r="S51" s="158">
        <f t="shared" si="15"/>
        <v>12.207424189114128</v>
      </c>
    </row>
    <row r="52" spans="1:20" s="136" customFormat="1" ht="12" customHeight="1">
      <c r="A52" s="137" t="s">
        <v>336</v>
      </c>
      <c r="B52" s="137" t="s">
        <v>337</v>
      </c>
      <c r="C52" s="157">
        <v>44.76</v>
      </c>
      <c r="D52" s="157">
        <v>44.81</v>
      </c>
      <c r="E52" s="157"/>
      <c r="F52" s="159">
        <v>44.76</v>
      </c>
      <c r="G52" s="159">
        <v>89.62</v>
      </c>
      <c r="H52" s="159"/>
      <c r="I52" s="158">
        <f t="shared" si="8"/>
        <v>134.38</v>
      </c>
      <c r="K52" s="153">
        <f t="shared" si="9"/>
        <v>0.16666666666666666</v>
      </c>
      <c r="L52" s="153">
        <f t="shared" si="10"/>
        <v>0.33333333333333331</v>
      </c>
      <c r="M52" s="138">
        <f t="shared" si="11"/>
        <v>0.25</v>
      </c>
      <c r="N52" s="153">
        <f>M52</f>
        <v>0.25</v>
      </c>
      <c r="O52" s="160">
        <f t="shared" si="12"/>
        <v>3</v>
      </c>
      <c r="Q52" s="158">
        <f t="shared" si="13"/>
        <v>2.5916185367594569</v>
      </c>
      <c r="R52" s="998">
        <f t="shared" si="14"/>
        <v>7.7748556102783706</v>
      </c>
      <c r="S52" s="158">
        <f t="shared" si="15"/>
        <v>47.401618536759457</v>
      </c>
    </row>
    <row r="53" spans="1:20" s="136" customFormat="1" ht="12" customHeight="1">
      <c r="A53" s="137" t="s">
        <v>338</v>
      </c>
      <c r="B53" s="137" t="s">
        <v>339</v>
      </c>
      <c r="C53" s="157">
        <v>63.61</v>
      </c>
      <c r="D53" s="157">
        <v>63.68</v>
      </c>
      <c r="E53" s="157"/>
      <c r="F53" s="159">
        <v>190.82999999999998</v>
      </c>
      <c r="G53" s="159">
        <v>127.36</v>
      </c>
      <c r="H53" s="159"/>
      <c r="I53" s="158">
        <f t="shared" si="8"/>
        <v>318.19</v>
      </c>
      <c r="K53" s="153">
        <f t="shared" si="9"/>
        <v>0.49999999999999994</v>
      </c>
      <c r="L53" s="153">
        <f t="shared" si="10"/>
        <v>0.33333333333333331</v>
      </c>
      <c r="M53" s="138">
        <f t="shared" si="11"/>
        <v>0.41666666666666663</v>
      </c>
      <c r="N53" s="153">
        <f>M53</f>
        <v>0.41666666666666663</v>
      </c>
      <c r="O53" s="160">
        <f t="shared" si="12"/>
        <v>5</v>
      </c>
      <c r="Q53" s="158">
        <f t="shared" si="13"/>
        <v>3.6829785409694757</v>
      </c>
      <c r="R53" s="998">
        <f t="shared" si="14"/>
        <v>18.414892704847379</v>
      </c>
      <c r="S53" s="158">
        <f t="shared" si="15"/>
        <v>67.362978540969479</v>
      </c>
    </row>
    <row r="54" spans="1:20" s="136" customFormat="1" ht="12" customHeight="1">
      <c r="A54" s="137" t="s">
        <v>340</v>
      </c>
      <c r="B54" s="137" t="s">
        <v>341</v>
      </c>
      <c r="C54" s="157">
        <v>20.37</v>
      </c>
      <c r="D54" s="157">
        <v>20.420000000000002</v>
      </c>
      <c r="E54" s="157"/>
      <c r="F54" s="159">
        <v>0</v>
      </c>
      <c r="G54" s="159">
        <v>20.420000000000002</v>
      </c>
      <c r="H54" s="159"/>
      <c r="I54" s="158">
        <f t="shared" si="8"/>
        <v>20.420000000000002</v>
      </c>
      <c r="K54" s="153">
        <f t="shared" si="9"/>
        <v>0</v>
      </c>
      <c r="L54" s="153">
        <f t="shared" si="10"/>
        <v>0.16666666666666666</v>
      </c>
      <c r="M54" s="138">
        <f t="shared" si="11"/>
        <v>8.3333333333333329E-2</v>
      </c>
      <c r="N54" s="153">
        <f>M54</f>
        <v>8.3333333333333329E-2</v>
      </c>
      <c r="O54" s="160">
        <f t="shared" si="12"/>
        <v>1</v>
      </c>
      <c r="Q54" s="158">
        <f t="shared" si="13"/>
        <v>1.1810053675659029</v>
      </c>
      <c r="R54" s="998">
        <f t="shared" si="14"/>
        <v>1.1810053675659029</v>
      </c>
      <c r="S54" s="158">
        <f t="shared" si="15"/>
        <v>21.601005367565904</v>
      </c>
    </row>
    <row r="55" spans="1:20" s="136" customFormat="1" ht="12" customHeight="1">
      <c r="A55" s="137" t="s">
        <v>342</v>
      </c>
      <c r="B55" s="137" t="s">
        <v>343</v>
      </c>
      <c r="C55" s="157">
        <v>30.67</v>
      </c>
      <c r="D55" s="157">
        <v>30.74</v>
      </c>
      <c r="E55" s="157"/>
      <c r="F55" s="159">
        <v>30.67</v>
      </c>
      <c r="G55" s="159">
        <v>30.74</v>
      </c>
      <c r="H55" s="159"/>
      <c r="I55" s="158">
        <f t="shared" si="8"/>
        <v>61.41</v>
      </c>
      <c r="K55" s="153">
        <f t="shared" si="9"/>
        <v>0.16666666666666666</v>
      </c>
      <c r="L55" s="153">
        <f t="shared" si="10"/>
        <v>0.16666666666666666</v>
      </c>
      <c r="M55" s="138">
        <f t="shared" si="11"/>
        <v>0.16666666666666666</v>
      </c>
      <c r="N55" s="153">
        <f t="shared" ref="N55:N58" si="16">M55</f>
        <v>0.16666666666666666</v>
      </c>
      <c r="O55" s="160">
        <f t="shared" si="12"/>
        <v>2</v>
      </c>
      <c r="Q55" s="158">
        <f t="shared" si="13"/>
        <v>1.7778699803612072</v>
      </c>
      <c r="R55" s="998">
        <f t="shared" si="14"/>
        <v>3.5557399607224145</v>
      </c>
      <c r="S55" s="158">
        <f t="shared" si="15"/>
        <v>32.517869980361205</v>
      </c>
    </row>
    <row r="56" spans="1:20" s="136" customFormat="1" ht="12" customHeight="1">
      <c r="A56" s="137" t="s">
        <v>344</v>
      </c>
      <c r="B56" s="137" t="s">
        <v>345</v>
      </c>
      <c r="C56" s="157">
        <v>39.31</v>
      </c>
      <c r="D56" s="157">
        <v>39.4</v>
      </c>
      <c r="E56" s="157"/>
      <c r="F56" s="159">
        <v>314.48</v>
      </c>
      <c r="G56" s="159">
        <v>354.6</v>
      </c>
      <c r="H56" s="159"/>
      <c r="I56" s="158">
        <f t="shared" si="8"/>
        <v>669.08</v>
      </c>
      <c r="K56" s="153">
        <f t="shared" si="9"/>
        <v>1.3333333333333333</v>
      </c>
      <c r="L56" s="153">
        <f t="shared" si="10"/>
        <v>1.5000000000000002</v>
      </c>
      <c r="M56" s="138">
        <f t="shared" si="11"/>
        <v>1.4166666666666667</v>
      </c>
      <c r="N56" s="153">
        <f t="shared" si="16"/>
        <v>1.4166666666666667</v>
      </c>
      <c r="O56" s="160">
        <f t="shared" si="12"/>
        <v>17</v>
      </c>
      <c r="Q56" s="158">
        <f t="shared" si="13"/>
        <v>2.2787273007882747</v>
      </c>
      <c r="R56" s="998">
        <f t="shared" si="14"/>
        <v>38.738364113400671</v>
      </c>
      <c r="S56" s="158">
        <f t="shared" si="15"/>
        <v>41.678727300788275</v>
      </c>
    </row>
    <row r="57" spans="1:20" s="136" customFormat="1" ht="12" customHeight="1">
      <c r="A57" s="137" t="s">
        <v>346</v>
      </c>
      <c r="B57" s="137" t="s">
        <v>347</v>
      </c>
      <c r="C57" s="157">
        <v>55.3</v>
      </c>
      <c r="D57" s="157">
        <v>55.44</v>
      </c>
      <c r="E57" s="157"/>
      <c r="F57" s="159">
        <v>55.3</v>
      </c>
      <c r="G57" s="159">
        <v>55.44</v>
      </c>
      <c r="H57" s="159"/>
      <c r="I57" s="158">
        <f t="shared" si="8"/>
        <v>110.74</v>
      </c>
      <c r="K57" s="153">
        <f t="shared" si="9"/>
        <v>0.16666666666666666</v>
      </c>
      <c r="L57" s="153">
        <f t="shared" si="10"/>
        <v>0.16666666666666666</v>
      </c>
      <c r="M57" s="138">
        <f t="shared" si="11"/>
        <v>0.16666666666666666</v>
      </c>
      <c r="N57" s="153">
        <f t="shared" si="16"/>
        <v>0.16666666666666666</v>
      </c>
      <c r="O57" s="160">
        <f t="shared" si="12"/>
        <v>2</v>
      </c>
      <c r="Q57" s="158">
        <f t="shared" si="13"/>
        <v>3.2064122222259379</v>
      </c>
      <c r="R57" s="998">
        <f t="shared" si="14"/>
        <v>6.4128244444518758</v>
      </c>
      <c r="S57" s="158">
        <f t="shared" si="15"/>
        <v>58.646412222225933</v>
      </c>
    </row>
    <row r="58" spans="1:20" s="136" customFormat="1" ht="12" customHeight="1">
      <c r="A58" s="137" t="s">
        <v>348</v>
      </c>
      <c r="B58" s="137" t="s">
        <v>349</v>
      </c>
      <c r="C58" s="157">
        <v>73.81</v>
      </c>
      <c r="D58" s="157">
        <v>73.989999999999995</v>
      </c>
      <c r="E58" s="157"/>
      <c r="F58" s="159">
        <v>738.09999999999991</v>
      </c>
      <c r="G58" s="159">
        <v>369.95</v>
      </c>
      <c r="H58" s="159"/>
      <c r="I58" s="158">
        <f t="shared" si="8"/>
        <v>1108.05</v>
      </c>
      <c r="K58" s="153">
        <f t="shared" si="9"/>
        <v>1.6666666666666663</v>
      </c>
      <c r="L58" s="153">
        <f t="shared" si="10"/>
        <v>0.83333333333333337</v>
      </c>
      <c r="M58" s="138">
        <f t="shared" si="11"/>
        <v>1.2499999999999998</v>
      </c>
      <c r="N58" s="153">
        <f t="shared" si="16"/>
        <v>1.2499999999999998</v>
      </c>
      <c r="O58" s="160">
        <f t="shared" si="12"/>
        <v>14.999999999999998</v>
      </c>
      <c r="Q58" s="158">
        <f t="shared" si="13"/>
        <v>4.2792647965818391</v>
      </c>
      <c r="R58" s="998">
        <f t="shared" si="14"/>
        <v>64.188971948727584</v>
      </c>
      <c r="S58" s="158">
        <f t="shared" si="15"/>
        <v>78.269264796581837</v>
      </c>
    </row>
    <row r="59" spans="1:20" s="136" customFormat="1" ht="12" customHeight="1">
      <c r="A59" s="137" t="s">
        <v>350</v>
      </c>
      <c r="B59" s="137" t="s">
        <v>351</v>
      </c>
      <c r="C59" s="157">
        <v>4.01</v>
      </c>
      <c r="D59" s="157">
        <v>4.0199999999999996</v>
      </c>
      <c r="E59" s="157"/>
      <c r="F59" s="159">
        <v>1716.65</v>
      </c>
      <c r="G59" s="159">
        <v>1647.8600000000001</v>
      </c>
      <c r="H59" s="159"/>
      <c r="I59" s="158">
        <f t="shared" si="8"/>
        <v>3364.51</v>
      </c>
      <c r="K59" s="153">
        <f t="shared" si="9"/>
        <v>71.34871155444722</v>
      </c>
      <c r="L59" s="153">
        <f t="shared" si="10"/>
        <v>68.319237147595373</v>
      </c>
      <c r="M59" s="138">
        <f t="shared" si="11"/>
        <v>69.833974351021297</v>
      </c>
      <c r="N59" s="153"/>
      <c r="O59" s="160">
        <f t="shared" si="12"/>
        <v>838.00769221225551</v>
      </c>
      <c r="Q59" s="158">
        <f t="shared" si="13"/>
        <v>0.23249958754235697</v>
      </c>
      <c r="R59" s="998">
        <f t="shared" si="14"/>
        <v>194.83644279667183</v>
      </c>
      <c r="S59" s="158">
        <f t="shared" si="15"/>
        <v>4.2524995875423564</v>
      </c>
    </row>
    <row r="60" spans="1:20" s="136" customFormat="1" ht="12" customHeight="1">
      <c r="A60" s="137" t="s">
        <v>352</v>
      </c>
      <c r="B60" s="137" t="s">
        <v>353</v>
      </c>
      <c r="C60" s="157">
        <v>21.41</v>
      </c>
      <c r="D60" s="157">
        <v>21.45</v>
      </c>
      <c r="E60" s="157"/>
      <c r="F60" s="159">
        <v>85.67</v>
      </c>
      <c r="G60" s="159">
        <v>117.94</v>
      </c>
      <c r="H60" s="159"/>
      <c r="I60" s="158">
        <f t="shared" si="8"/>
        <v>203.61</v>
      </c>
      <c r="K60" s="153">
        <f t="shared" si="9"/>
        <v>0.66690020239763348</v>
      </c>
      <c r="L60" s="153">
        <f t="shared" si="10"/>
        <v>0.91639471639471637</v>
      </c>
      <c r="M60" s="138">
        <f t="shared" si="11"/>
        <v>0.79164745939617487</v>
      </c>
      <c r="N60" s="153"/>
      <c r="O60" s="160">
        <f t="shared" si="12"/>
        <v>9.4997695127540993</v>
      </c>
      <c r="Q60" s="158">
        <f t="shared" si="13"/>
        <v>1.2405761574088452</v>
      </c>
      <c r="R60" s="998">
        <f t="shared" si="14"/>
        <v>11.785187558402178</v>
      </c>
      <c r="S60" s="158">
        <f t="shared" si="15"/>
        <v>22.690576157408845</v>
      </c>
    </row>
    <row r="61" spans="1:20" s="136" customFormat="1" ht="12" customHeight="1">
      <c r="A61" s="137" t="s">
        <v>354</v>
      </c>
      <c r="B61" s="137" t="s">
        <v>355</v>
      </c>
      <c r="C61" s="157">
        <v>12.15</v>
      </c>
      <c r="D61" s="157">
        <v>12.15</v>
      </c>
      <c r="E61" s="157"/>
      <c r="F61" s="159">
        <v>926.44999999999993</v>
      </c>
      <c r="G61" s="159">
        <v>886.96</v>
      </c>
      <c r="H61" s="159"/>
      <c r="I61" s="158">
        <f t="shared" si="8"/>
        <v>1813.4099999999999</v>
      </c>
      <c r="K61" s="153">
        <f t="shared" si="9"/>
        <v>12.708504801097392</v>
      </c>
      <c r="L61" s="153">
        <f t="shared" si="10"/>
        <v>12.166803840877916</v>
      </c>
      <c r="M61" s="138">
        <f t="shared" si="11"/>
        <v>12.437654320987654</v>
      </c>
      <c r="N61" s="153"/>
      <c r="O61" s="160">
        <f t="shared" si="12"/>
        <v>149.25185185185185</v>
      </c>
      <c r="Q61" s="158">
        <f t="shared" si="13"/>
        <v>0.70270397727354172</v>
      </c>
      <c r="R61" s="998">
        <f t="shared" si="14"/>
        <v>104.87986991173771</v>
      </c>
      <c r="S61" s="158">
        <f t="shared" si="15"/>
        <v>12.852703977273542</v>
      </c>
    </row>
    <row r="62" spans="1:20" s="136" customFormat="1" ht="12" customHeight="1">
      <c r="A62" s="137" t="s">
        <v>356</v>
      </c>
      <c r="B62" s="137" t="s">
        <v>357</v>
      </c>
      <c r="C62" s="157">
        <v>24.53</v>
      </c>
      <c r="D62" s="157">
        <v>24.53</v>
      </c>
      <c r="E62" s="157"/>
      <c r="F62" s="159">
        <v>122.65</v>
      </c>
      <c r="G62" s="159">
        <v>0</v>
      </c>
      <c r="H62" s="159"/>
      <c r="I62" s="158">
        <f t="shared" si="8"/>
        <v>122.65</v>
      </c>
      <c r="K62" s="153">
        <f t="shared" si="9"/>
        <v>0.83333333333333337</v>
      </c>
      <c r="L62" s="153">
        <f t="shared" si="10"/>
        <v>0</v>
      </c>
      <c r="M62" s="138">
        <f t="shared" si="11"/>
        <v>0.41666666666666669</v>
      </c>
      <c r="N62" s="153"/>
      <c r="O62" s="160">
        <f t="shared" si="12"/>
        <v>5</v>
      </c>
      <c r="Q62" s="158">
        <f t="shared" si="13"/>
        <v>1.4187101697547306</v>
      </c>
      <c r="R62" s="998">
        <f t="shared" si="14"/>
        <v>7.0935508487736527</v>
      </c>
      <c r="S62" s="158">
        <f t="shared" si="15"/>
        <v>25.948710169754733</v>
      </c>
    </row>
    <row r="63" spans="1:20" s="136" customFormat="1" ht="12" customHeight="1">
      <c r="A63" s="137" t="s">
        <v>358</v>
      </c>
      <c r="B63" s="137" t="s">
        <v>359</v>
      </c>
      <c r="C63" s="157">
        <v>10.11</v>
      </c>
      <c r="D63" s="157">
        <v>10.11</v>
      </c>
      <c r="E63" s="157"/>
      <c r="F63" s="159">
        <v>1342.1100000000001</v>
      </c>
      <c r="G63" s="159">
        <v>1521.56</v>
      </c>
      <c r="H63" s="159"/>
      <c r="I63" s="158">
        <f t="shared" si="8"/>
        <v>2863.67</v>
      </c>
      <c r="K63" s="153">
        <f t="shared" si="9"/>
        <v>22.125123639960439</v>
      </c>
      <c r="L63" s="153">
        <f t="shared" si="10"/>
        <v>25.083415759973622</v>
      </c>
      <c r="M63" s="138">
        <f t="shared" si="11"/>
        <v>23.604269699967031</v>
      </c>
      <c r="N63" s="153"/>
      <c r="O63" s="160">
        <f t="shared" si="12"/>
        <v>283.25123639960441</v>
      </c>
      <c r="Q63" s="158">
        <f t="shared" si="13"/>
        <v>0.58471911195353954</v>
      </c>
      <c r="R63" s="998">
        <f t="shared" si="14"/>
        <v>165.62241140731879</v>
      </c>
      <c r="S63" s="158">
        <f t="shared" si="15"/>
        <v>10.694719111953539</v>
      </c>
    </row>
    <row r="64" spans="1:20" s="136" customFormat="1" ht="12" customHeight="1">
      <c r="A64" s="137" t="s">
        <v>360</v>
      </c>
      <c r="B64" s="137" t="s">
        <v>361</v>
      </c>
      <c r="C64" s="157">
        <v>22.3</v>
      </c>
      <c r="D64" s="157">
        <v>22.3</v>
      </c>
      <c r="E64" s="157"/>
      <c r="F64" s="159">
        <v>0</v>
      </c>
      <c r="G64" s="159">
        <v>22.3</v>
      </c>
      <c r="H64" s="159"/>
      <c r="I64" s="158">
        <f t="shared" si="8"/>
        <v>22.3</v>
      </c>
      <c r="K64" s="153">
        <f t="shared" si="9"/>
        <v>0</v>
      </c>
      <c r="L64" s="153">
        <f t="shared" si="10"/>
        <v>0.16666666666666666</v>
      </c>
      <c r="M64" s="138">
        <f t="shared" si="11"/>
        <v>8.3333333333333329E-2</v>
      </c>
      <c r="N64" s="153"/>
      <c r="O64" s="160">
        <f t="shared" si="12"/>
        <v>1</v>
      </c>
      <c r="Q64" s="158">
        <f t="shared" si="13"/>
        <v>1.289736517958846</v>
      </c>
      <c r="R64" s="998">
        <f t="shared" si="14"/>
        <v>1.289736517958846</v>
      </c>
      <c r="S64" s="158">
        <f t="shared" si="15"/>
        <v>23.589736517958848</v>
      </c>
    </row>
    <row r="65" spans="1:20" s="136" customFormat="1" ht="12" customHeight="1">
      <c r="A65" s="137" t="s">
        <v>362</v>
      </c>
      <c r="B65" s="137" t="s">
        <v>363</v>
      </c>
      <c r="C65" s="157">
        <v>16.690000000000001</v>
      </c>
      <c r="D65" s="157">
        <v>16.690000000000001</v>
      </c>
      <c r="E65" s="157"/>
      <c r="F65" s="159">
        <v>905.43000000000018</v>
      </c>
      <c r="G65" s="159">
        <v>901.2600000000001</v>
      </c>
      <c r="H65" s="159"/>
      <c r="I65" s="158">
        <f t="shared" si="8"/>
        <v>1806.6900000000003</v>
      </c>
      <c r="K65" s="153">
        <f t="shared" si="9"/>
        <v>9.0416417016177366</v>
      </c>
      <c r="L65" s="153">
        <f t="shared" si="10"/>
        <v>9</v>
      </c>
      <c r="M65" s="138">
        <f t="shared" si="11"/>
        <v>9.0208208508088674</v>
      </c>
      <c r="N65" s="153"/>
      <c r="O65" s="160">
        <f t="shared" si="12"/>
        <v>108.24985020970641</v>
      </c>
      <c r="Q65" s="158">
        <f t="shared" si="13"/>
        <v>0.96527813832884046</v>
      </c>
      <c r="R65" s="998">
        <f t="shared" si="14"/>
        <v>104.49121388480124</v>
      </c>
      <c r="S65" s="158">
        <f t="shared" si="15"/>
        <v>17.655278138328843</v>
      </c>
    </row>
    <row r="66" spans="1:20" s="136" customFormat="1" ht="12" customHeight="1">
      <c r="A66" s="137" t="s">
        <v>364</v>
      </c>
      <c r="B66" s="137" t="s">
        <v>365</v>
      </c>
      <c r="C66" s="157">
        <v>33.44</v>
      </c>
      <c r="D66" s="157">
        <v>33.44</v>
      </c>
      <c r="E66" s="157"/>
      <c r="F66" s="159">
        <v>171.66</v>
      </c>
      <c r="G66" s="159">
        <v>158.29</v>
      </c>
      <c r="H66" s="159"/>
      <c r="I66" s="158">
        <f t="shared" si="8"/>
        <v>329.95</v>
      </c>
      <c r="K66" s="153">
        <f t="shared" si="9"/>
        <v>0.8555622009569378</v>
      </c>
      <c r="L66" s="153">
        <f t="shared" si="10"/>
        <v>0.78892543859649134</v>
      </c>
      <c r="M66" s="138">
        <f t="shared" si="11"/>
        <v>0.82224381977671457</v>
      </c>
      <c r="N66" s="153"/>
      <c r="O66" s="160">
        <f t="shared" si="12"/>
        <v>9.8669258373205757</v>
      </c>
      <c r="Q66" s="158">
        <f t="shared" si="13"/>
        <v>1.9340264197553276</v>
      </c>
      <c r="R66" s="998">
        <f t="shared" si="14"/>
        <v>19.08289525114445</v>
      </c>
      <c r="S66" s="158">
        <f t="shared" si="15"/>
        <v>35.374026419755324</v>
      </c>
    </row>
    <row r="67" spans="1:20" s="136" customFormat="1" ht="12" customHeight="1">
      <c r="A67" s="137" t="s">
        <v>366</v>
      </c>
      <c r="B67" s="137" t="s">
        <v>367</v>
      </c>
      <c r="C67" s="157">
        <v>20.59</v>
      </c>
      <c r="D67" s="157">
        <v>20.59</v>
      </c>
      <c r="E67" s="157"/>
      <c r="F67" s="159">
        <v>941.99</v>
      </c>
      <c r="G67" s="159">
        <v>864.78</v>
      </c>
      <c r="H67" s="159"/>
      <c r="I67" s="158">
        <f t="shared" si="8"/>
        <v>1806.77</v>
      </c>
      <c r="K67" s="153">
        <f t="shared" si="9"/>
        <v>7.6249797636393071</v>
      </c>
      <c r="L67" s="153">
        <f t="shared" si="10"/>
        <v>7</v>
      </c>
      <c r="M67" s="138">
        <f t="shared" si="11"/>
        <v>7.3124898818196531</v>
      </c>
      <c r="N67" s="153"/>
      <c r="O67" s="160">
        <f t="shared" si="12"/>
        <v>87.749878581835844</v>
      </c>
      <c r="Q67" s="158">
        <f t="shared" si="13"/>
        <v>1.1908374396759032</v>
      </c>
      <c r="R67" s="998">
        <f t="shared" si="14"/>
        <v>104.49584074226478</v>
      </c>
      <c r="S67" s="158">
        <f t="shared" si="15"/>
        <v>21.780837439675903</v>
      </c>
    </row>
    <row r="68" spans="1:20" s="136" customFormat="1" ht="12" customHeight="1">
      <c r="A68" s="137" t="s">
        <v>368</v>
      </c>
      <c r="B68" s="137" t="s">
        <v>369</v>
      </c>
      <c r="C68" s="157">
        <v>40.130000000000003</v>
      </c>
      <c r="D68" s="157">
        <v>40.130000000000003</v>
      </c>
      <c r="E68" s="157"/>
      <c r="F68" s="159">
        <v>0</v>
      </c>
      <c r="G68" s="159">
        <v>40.130000000000003</v>
      </c>
      <c r="H68" s="159"/>
      <c r="I68" s="158">
        <f t="shared" si="8"/>
        <v>40.130000000000003</v>
      </c>
      <c r="K68" s="153">
        <f t="shared" si="9"/>
        <v>0</v>
      </c>
      <c r="L68" s="153">
        <f t="shared" si="10"/>
        <v>0.16666666666666666</v>
      </c>
      <c r="M68" s="138">
        <f t="shared" si="11"/>
        <v>8.3333333333333329E-2</v>
      </c>
      <c r="N68" s="153"/>
      <c r="O68" s="160">
        <f t="shared" si="12"/>
        <v>1</v>
      </c>
      <c r="Q68" s="158">
        <f t="shared" si="13"/>
        <v>2.3209473751429819</v>
      </c>
      <c r="R68" s="998">
        <f t="shared" si="14"/>
        <v>2.3209473751429819</v>
      </c>
      <c r="S68" s="158">
        <f t="shared" si="15"/>
        <v>42.450947375142988</v>
      </c>
    </row>
    <row r="69" spans="1:20" s="134" customFormat="1" ht="12" customHeight="1">
      <c r="A69" s="137" t="s">
        <v>370</v>
      </c>
      <c r="B69" s="137" t="s">
        <v>371</v>
      </c>
      <c r="C69" s="157">
        <v>23.32</v>
      </c>
      <c r="D69" s="157">
        <v>23.32</v>
      </c>
      <c r="E69" s="157"/>
      <c r="F69" s="159">
        <v>979.44</v>
      </c>
      <c r="G69" s="159">
        <v>979.44</v>
      </c>
      <c r="H69" s="159"/>
      <c r="I69" s="158">
        <f t="shared" si="8"/>
        <v>1958.88</v>
      </c>
      <c r="K69" s="153">
        <f t="shared" si="9"/>
        <v>7</v>
      </c>
      <c r="L69" s="153">
        <f t="shared" si="10"/>
        <v>7</v>
      </c>
      <c r="M69" s="138">
        <f t="shared" si="11"/>
        <v>7</v>
      </c>
      <c r="N69" s="153"/>
      <c r="O69" s="160">
        <f t="shared" si="12"/>
        <v>84</v>
      </c>
      <c r="Q69" s="158">
        <f t="shared" si="13"/>
        <v>1.3487289506188471</v>
      </c>
      <c r="R69" s="998">
        <f t="shared" si="14"/>
        <v>113.29323185198317</v>
      </c>
      <c r="S69" s="158">
        <f t="shared" si="15"/>
        <v>24.668728950618849</v>
      </c>
    </row>
    <row r="70" spans="1:20" s="136" customFormat="1" ht="12" customHeight="1">
      <c r="A70" s="137" t="s">
        <v>372</v>
      </c>
      <c r="B70" s="137" t="s">
        <v>373</v>
      </c>
      <c r="C70" s="157">
        <v>44.59</v>
      </c>
      <c r="D70" s="157">
        <v>44.59</v>
      </c>
      <c r="E70" s="157"/>
      <c r="F70" s="159">
        <v>214.03</v>
      </c>
      <c r="G70" s="159">
        <v>294.29000000000002</v>
      </c>
      <c r="H70" s="159"/>
      <c r="I70" s="158">
        <f t="shared" si="8"/>
        <v>508.32000000000005</v>
      </c>
      <c r="K70" s="153">
        <f t="shared" si="9"/>
        <v>0.79999252448232028</v>
      </c>
      <c r="L70" s="153">
        <f t="shared" si="10"/>
        <v>1.0999850489646408</v>
      </c>
      <c r="M70" s="138">
        <f t="shared" si="11"/>
        <v>0.94998878672348053</v>
      </c>
      <c r="N70" s="153"/>
      <c r="O70" s="160">
        <f t="shared" si="12"/>
        <v>11.399865440681767</v>
      </c>
      <c r="Q70" s="158">
        <f t="shared" si="13"/>
        <v>2.5788946787347511</v>
      </c>
      <c r="R70" s="998">
        <f t="shared" si="14"/>
        <v>29.399052323266396</v>
      </c>
      <c r="S70" s="158">
        <f t="shared" si="15"/>
        <v>47.168894678734752</v>
      </c>
    </row>
    <row r="71" spans="1:20" s="136" customFormat="1" ht="12" customHeight="1">
      <c r="A71" s="137" t="s">
        <v>374</v>
      </c>
      <c r="B71" s="137" t="s">
        <v>375</v>
      </c>
      <c r="C71" s="157">
        <v>30.89</v>
      </c>
      <c r="D71" s="157">
        <v>30.89</v>
      </c>
      <c r="E71" s="157"/>
      <c r="F71" s="159">
        <v>370.67999999999995</v>
      </c>
      <c r="G71" s="159">
        <v>370.67999999999995</v>
      </c>
      <c r="H71" s="159"/>
      <c r="I71" s="158">
        <f t="shared" si="8"/>
        <v>741.3599999999999</v>
      </c>
      <c r="K71" s="153">
        <f t="shared" si="9"/>
        <v>1.9999999999999998</v>
      </c>
      <c r="L71" s="153">
        <f t="shared" si="10"/>
        <v>1.9999999999999998</v>
      </c>
      <c r="M71" s="138">
        <f t="shared" si="11"/>
        <v>1.9999999999999998</v>
      </c>
      <c r="N71" s="153"/>
      <c r="O71" s="160">
        <f t="shared" si="12"/>
        <v>23.999999999999996</v>
      </c>
      <c r="Q71" s="158">
        <f t="shared" si="13"/>
        <v>1.7865453381053253</v>
      </c>
      <c r="R71" s="998">
        <f t="shared" si="14"/>
        <v>42.877088114527801</v>
      </c>
      <c r="S71" s="158">
        <f t="shared" si="15"/>
        <v>32.676545338105328</v>
      </c>
    </row>
    <row r="72" spans="1:20" s="136" customFormat="1" ht="12" customHeight="1">
      <c r="A72" s="137" t="s">
        <v>376</v>
      </c>
      <c r="B72" s="137" t="s">
        <v>377</v>
      </c>
      <c r="C72" s="157">
        <v>51.84</v>
      </c>
      <c r="D72" s="157">
        <v>51.84</v>
      </c>
      <c r="E72" s="157"/>
      <c r="F72" s="159">
        <v>311.04000000000008</v>
      </c>
      <c r="G72" s="159">
        <v>466.56000000000006</v>
      </c>
      <c r="H72" s="159"/>
      <c r="I72" s="158">
        <f t="shared" si="8"/>
        <v>777.60000000000014</v>
      </c>
      <c r="K72" s="153">
        <f t="shared" si="9"/>
        <v>1.0000000000000002</v>
      </c>
      <c r="L72" s="153">
        <f t="shared" si="10"/>
        <v>1.5</v>
      </c>
      <c r="M72" s="138">
        <f t="shared" si="11"/>
        <v>1.25</v>
      </c>
      <c r="N72" s="153"/>
      <c r="O72" s="160">
        <f t="shared" si="12"/>
        <v>15</v>
      </c>
      <c r="Q72" s="158">
        <f t="shared" si="13"/>
        <v>2.9982036363671112</v>
      </c>
      <c r="R72" s="998">
        <f t="shared" si="14"/>
        <v>44.97305454550667</v>
      </c>
      <c r="S72" s="158">
        <f t="shared" si="15"/>
        <v>54.838203636367112</v>
      </c>
    </row>
    <row r="73" spans="1:20" s="136" customFormat="1" ht="12" customHeight="1">
      <c r="A73" s="137" t="s">
        <v>378</v>
      </c>
      <c r="B73" s="137" t="s">
        <v>379</v>
      </c>
      <c r="C73" s="157">
        <v>3.46</v>
      </c>
      <c r="D73" s="1035">
        <v>3.46</v>
      </c>
      <c r="E73" s="157"/>
      <c r="F73" s="159">
        <v>20.76</v>
      </c>
      <c r="G73" s="159">
        <v>20.76</v>
      </c>
      <c r="H73" s="159"/>
      <c r="I73" s="158">
        <f t="shared" si="8"/>
        <v>41.52</v>
      </c>
      <c r="K73" s="153">
        <f t="shared" si="9"/>
        <v>1.0000000000000002</v>
      </c>
      <c r="L73" s="153">
        <f t="shared" si="10"/>
        <v>1.0000000000000002</v>
      </c>
      <c r="M73" s="138">
        <f t="shared" si="11"/>
        <v>1.0000000000000002</v>
      </c>
      <c r="N73" s="153"/>
      <c r="O73" s="160">
        <f t="shared" si="12"/>
        <v>12.000000000000002</v>
      </c>
      <c r="Q73" s="158">
        <f t="shared" si="13"/>
        <v>0.20011158529765055</v>
      </c>
      <c r="R73" s="998">
        <f t="shared" si="14"/>
        <v>2.4013390235718068</v>
      </c>
      <c r="S73" s="158">
        <f t="shared" si="15"/>
        <v>3.6601115852976505</v>
      </c>
      <c r="T73" s="1027">
        <f>ROUND(Q73/References!$B$11,2)</f>
        <v>0.05</v>
      </c>
    </row>
    <row r="74" spans="1:20" s="136" customFormat="1" ht="12" customHeight="1">
      <c r="A74" s="137" t="s">
        <v>380</v>
      </c>
      <c r="B74" s="137" t="s">
        <v>381</v>
      </c>
      <c r="C74" s="157">
        <v>6.62</v>
      </c>
      <c r="D74" s="157">
        <v>6.62</v>
      </c>
      <c r="E74" s="157"/>
      <c r="F74" s="159">
        <v>52.959999999999994</v>
      </c>
      <c r="G74" s="159">
        <v>39.72</v>
      </c>
      <c r="H74" s="159"/>
      <c r="I74" s="158">
        <f t="shared" si="8"/>
        <v>92.679999999999993</v>
      </c>
      <c r="K74" s="153">
        <f t="shared" si="9"/>
        <v>1.3333333333333333</v>
      </c>
      <c r="L74" s="153">
        <f t="shared" si="10"/>
        <v>1</v>
      </c>
      <c r="M74" s="138">
        <f t="shared" si="11"/>
        <v>1.1666666666666665</v>
      </c>
      <c r="N74" s="153"/>
      <c r="O74" s="160">
        <f t="shared" si="12"/>
        <v>14</v>
      </c>
      <c r="Q74" s="158">
        <f t="shared" si="13"/>
        <v>0.38287245510706552</v>
      </c>
      <c r="R74" s="998">
        <f t="shared" si="14"/>
        <v>5.360214371498917</v>
      </c>
      <c r="S74" s="158">
        <f t="shared" si="15"/>
        <v>7.0028724551070658</v>
      </c>
      <c r="T74" s="1027">
        <f>ROUND(Q74/References!$B$11,2)</f>
        <v>0.09</v>
      </c>
    </row>
    <row r="75" spans="1:20" s="136" customFormat="1" ht="12" customHeight="1">
      <c r="A75" s="137" t="s">
        <v>382</v>
      </c>
      <c r="B75" s="137" t="s">
        <v>383</v>
      </c>
      <c r="C75" s="157">
        <v>13.12</v>
      </c>
      <c r="D75" s="1034">
        <v>13.12</v>
      </c>
      <c r="E75" s="157"/>
      <c r="F75" s="159">
        <v>13.12</v>
      </c>
      <c r="G75" s="159">
        <v>13.12</v>
      </c>
      <c r="H75" s="159"/>
      <c r="I75" s="158">
        <f t="shared" si="8"/>
        <v>26.24</v>
      </c>
      <c r="K75" s="153">
        <f t="shared" si="9"/>
        <v>0.16666666666666666</v>
      </c>
      <c r="L75" s="153">
        <f t="shared" si="10"/>
        <v>0.16666666666666666</v>
      </c>
      <c r="M75" s="138">
        <f t="shared" si="11"/>
        <v>0.16666666666666666</v>
      </c>
      <c r="N75" s="153"/>
      <c r="O75" s="160">
        <f t="shared" si="12"/>
        <v>2</v>
      </c>
      <c r="Q75" s="158">
        <f t="shared" si="13"/>
        <v>0.75880462401883675</v>
      </c>
      <c r="R75" s="998">
        <f t="shared" si="14"/>
        <v>1.5176092480376735</v>
      </c>
      <c r="S75" s="158">
        <f t="shared" si="15"/>
        <v>13.878804624018835</v>
      </c>
    </row>
    <row r="76" spans="1:20" s="136" customFormat="1" ht="12" customHeight="1" thickBot="1">
      <c r="A76" s="167"/>
      <c r="B76" s="167"/>
      <c r="C76" s="157"/>
      <c r="D76" s="157"/>
      <c r="E76" s="157"/>
      <c r="F76" s="153"/>
      <c r="G76" s="153"/>
      <c r="H76" s="153"/>
      <c r="I76" s="158"/>
      <c r="M76" s="137"/>
      <c r="N76" s="153"/>
    </row>
    <row r="77" spans="1:20" s="136" customFormat="1" ht="12" customHeight="1" thickBot="1">
      <c r="A77" s="167"/>
      <c r="B77" s="168" t="s">
        <v>384</v>
      </c>
      <c r="C77" s="157"/>
      <c r="D77" s="157"/>
      <c r="E77" s="157"/>
      <c r="F77" s="164">
        <f>SUM(F36:F76)</f>
        <v>64344.370000000017</v>
      </c>
      <c r="G77" s="164">
        <f>SUM(G36:G76)</f>
        <v>64578.250000000007</v>
      </c>
      <c r="H77" s="164"/>
      <c r="I77" s="164">
        <f>SUM(I36:I76)</f>
        <v>128922.62000000002</v>
      </c>
      <c r="M77" s="169">
        <f>SUM(M36:M50,M54:M58)</f>
        <v>82.885958149502116</v>
      </c>
      <c r="N77" s="153"/>
      <c r="R77" s="164">
        <f>SUM(R36:R76)</f>
        <v>7465.7569109753367</v>
      </c>
      <c r="T77" s="190"/>
    </row>
    <row r="78" spans="1:20" ht="12" customHeight="1">
      <c r="A78" s="134"/>
      <c r="B78" s="134"/>
    </row>
    <row r="79" spans="1:20" ht="12" customHeight="1">
      <c r="A79" s="166" t="s">
        <v>385</v>
      </c>
      <c r="B79" s="166" t="s">
        <v>385</v>
      </c>
    </row>
    <row r="80" spans="1:20" ht="12" customHeight="1">
      <c r="A80" s="170"/>
      <c r="B80" s="170"/>
    </row>
    <row r="81" spans="1:20" ht="12" customHeight="1">
      <c r="A81" s="171" t="s">
        <v>386</v>
      </c>
      <c r="B81" s="171" t="s">
        <v>386</v>
      </c>
    </row>
    <row r="82" spans="1:20" ht="12" customHeight="1">
      <c r="A82" s="137" t="s">
        <v>387</v>
      </c>
      <c r="B82" s="137" t="s">
        <v>388</v>
      </c>
      <c r="C82" s="157">
        <v>245.35</v>
      </c>
      <c r="D82" s="157">
        <v>245.35</v>
      </c>
      <c r="F82" s="159">
        <v>3380.7999999999993</v>
      </c>
      <c r="G82" s="159">
        <v>3900.45</v>
      </c>
      <c r="H82" s="159"/>
      <c r="I82" s="158">
        <f t="shared" ref="I82:I89" si="17">SUM(F82:H82)</f>
        <v>7281.2499999999991</v>
      </c>
      <c r="J82" s="172"/>
      <c r="K82" s="153">
        <f t="shared" ref="K82:K89" si="18">IFERROR((F82/$C82/6),0)</f>
        <v>2.2965831125602878</v>
      </c>
      <c r="L82" s="153">
        <f t="shared" ref="L82:L89" si="19">IFERROR((G82/$D82/6),0)</f>
        <v>2.6495822294681068</v>
      </c>
      <c r="M82" s="138">
        <f t="shared" ref="M82:M89" si="20">SUM(K82:L82)/2</f>
        <v>2.4730826710141973</v>
      </c>
      <c r="N82" s="153"/>
      <c r="O82" s="160">
        <f t="shared" ref="O82:O89" si="21">(F82/C82)+(G82/D82)</f>
        <v>29.676992052170366</v>
      </c>
      <c r="Q82" s="158">
        <f>D82*$R$2</f>
        <v>14.189993483462011</v>
      </c>
      <c r="R82" s="998">
        <f t="shared" ref="R82:R88" si="22">Q82*O82</f>
        <v>421.1163238290514</v>
      </c>
      <c r="S82" s="158">
        <f t="shared" ref="S82:S89" si="23">D82+Q82</f>
        <v>259.53999348346201</v>
      </c>
    </row>
    <row r="83" spans="1:20" ht="12" customHeight="1">
      <c r="A83" s="137" t="s">
        <v>389</v>
      </c>
      <c r="B83" s="137" t="s">
        <v>390</v>
      </c>
      <c r="C83" s="157">
        <v>227.87</v>
      </c>
      <c r="D83" s="157">
        <v>227.87</v>
      </c>
      <c r="F83" s="159">
        <v>2506.5699999999997</v>
      </c>
      <c r="G83" s="159">
        <v>2050.83</v>
      </c>
      <c r="H83" s="159"/>
      <c r="I83" s="158">
        <f t="shared" si="17"/>
        <v>4557.3999999999996</v>
      </c>
      <c r="K83" s="153">
        <f t="shared" si="18"/>
        <v>1.833333333333333</v>
      </c>
      <c r="L83" s="153">
        <f t="shared" si="19"/>
        <v>1.5</v>
      </c>
      <c r="M83" s="138">
        <f t="shared" si="20"/>
        <v>1.6666666666666665</v>
      </c>
      <c r="N83" s="153"/>
      <c r="O83" s="160">
        <f t="shared" si="21"/>
        <v>20</v>
      </c>
      <c r="Q83" s="158">
        <f t="shared" ref="Q83:Q89" si="24">D83*$R$2</f>
        <v>13.179025127680818</v>
      </c>
      <c r="R83" s="998">
        <f t="shared" si="22"/>
        <v>263.58050255361638</v>
      </c>
      <c r="S83" s="158">
        <f t="shared" si="23"/>
        <v>241.04902512768084</v>
      </c>
    </row>
    <row r="84" spans="1:20" ht="12" customHeight="1">
      <c r="A84" s="137" t="s">
        <v>391</v>
      </c>
      <c r="B84" s="137" t="s">
        <v>392</v>
      </c>
      <c r="C84" s="157">
        <v>338.35</v>
      </c>
      <c r="D84" s="157">
        <v>338.35</v>
      </c>
      <c r="F84" s="159">
        <v>338.35</v>
      </c>
      <c r="G84" s="159">
        <v>1691.75</v>
      </c>
      <c r="H84" s="159"/>
      <c r="I84" s="158">
        <f t="shared" si="17"/>
        <v>2030.1</v>
      </c>
      <c r="K84" s="153">
        <f t="shared" si="18"/>
        <v>0.16666666666666666</v>
      </c>
      <c r="L84" s="153">
        <f t="shared" si="19"/>
        <v>0.83333333333333337</v>
      </c>
      <c r="M84" s="138">
        <f t="shared" si="20"/>
        <v>0.5</v>
      </c>
      <c r="N84" s="153"/>
      <c r="O84" s="160">
        <f t="shared" si="21"/>
        <v>6</v>
      </c>
      <c r="Q84" s="158">
        <f t="shared" si="24"/>
        <v>19.568715284815049</v>
      </c>
      <c r="R84" s="998">
        <f t="shared" si="22"/>
        <v>117.41229170889029</v>
      </c>
      <c r="S84" s="158">
        <f t="shared" si="23"/>
        <v>357.91871528481505</v>
      </c>
    </row>
    <row r="85" spans="1:20" ht="12" customHeight="1">
      <c r="A85" s="137" t="s">
        <v>393</v>
      </c>
      <c r="B85" s="137" t="s">
        <v>394</v>
      </c>
      <c r="C85" s="157">
        <v>212.02</v>
      </c>
      <c r="D85" s="157">
        <v>212.02</v>
      </c>
      <c r="F85" s="159">
        <v>636.06000000000006</v>
      </c>
      <c r="G85" s="159">
        <v>848.08</v>
      </c>
      <c r="H85" s="159"/>
      <c r="I85" s="158">
        <f t="shared" si="17"/>
        <v>1484.14</v>
      </c>
      <c r="K85" s="153">
        <f t="shared" si="18"/>
        <v>0.5</v>
      </c>
      <c r="L85" s="153">
        <f t="shared" si="19"/>
        <v>0.66666666666666663</v>
      </c>
      <c r="M85" s="138">
        <f t="shared" si="20"/>
        <v>0.58333333333333326</v>
      </c>
      <c r="N85" s="153"/>
      <c r="O85" s="160">
        <f t="shared" si="21"/>
        <v>7</v>
      </c>
      <c r="Q85" s="158">
        <f t="shared" si="24"/>
        <v>12.262328992719038</v>
      </c>
      <c r="R85" s="998">
        <f t="shared" si="22"/>
        <v>85.836302949033268</v>
      </c>
      <c r="S85" s="158">
        <f t="shared" si="23"/>
        <v>224.28232899271904</v>
      </c>
    </row>
    <row r="86" spans="1:20" ht="12" customHeight="1">
      <c r="A86" s="137" t="s">
        <v>395</v>
      </c>
      <c r="B86" s="137" t="s">
        <v>396</v>
      </c>
      <c r="C86" s="157">
        <v>96.3</v>
      </c>
      <c r="D86" s="157">
        <v>96.3</v>
      </c>
      <c r="F86" s="159">
        <v>426.93</v>
      </c>
      <c r="G86" s="159">
        <v>606.69000000000005</v>
      </c>
      <c r="H86" s="159"/>
      <c r="I86" s="158">
        <f>SUM(F86:H86)</f>
        <v>1033.6200000000001</v>
      </c>
      <c r="K86" s="153">
        <f t="shared" si="18"/>
        <v>0.73888888888888893</v>
      </c>
      <c r="L86" s="153">
        <f t="shared" si="19"/>
        <v>1.05</v>
      </c>
      <c r="M86" s="138">
        <f t="shared" si="20"/>
        <v>0.89444444444444449</v>
      </c>
      <c r="N86" s="153"/>
      <c r="O86" s="160">
        <f t="shared" si="21"/>
        <v>10.733333333333334</v>
      </c>
      <c r="Q86" s="158">
        <f t="shared" si="24"/>
        <v>5.5695796717236261</v>
      </c>
      <c r="R86" s="998">
        <f t="shared" si="22"/>
        <v>59.780155143166922</v>
      </c>
      <c r="S86" s="158">
        <f t="shared" si="23"/>
        <v>101.86957967172363</v>
      </c>
    </row>
    <row r="87" spans="1:20" ht="12" customHeight="1">
      <c r="A87" s="137" t="s">
        <v>397</v>
      </c>
      <c r="B87" s="137" t="s">
        <v>398</v>
      </c>
      <c r="C87" s="157">
        <v>120.3</v>
      </c>
      <c r="D87" s="157">
        <v>120.3</v>
      </c>
      <c r="F87" s="159">
        <v>60.15</v>
      </c>
      <c r="G87" s="159">
        <v>100.25</v>
      </c>
      <c r="H87" s="159"/>
      <c r="I87" s="158">
        <f t="shared" si="17"/>
        <v>160.4</v>
      </c>
      <c r="K87" s="153">
        <f t="shared" si="18"/>
        <v>8.3333333333333329E-2</v>
      </c>
      <c r="L87" s="153">
        <f t="shared" si="19"/>
        <v>0.1388888888888889</v>
      </c>
      <c r="M87" s="138">
        <f t="shared" si="20"/>
        <v>0.1111111111111111</v>
      </c>
      <c r="N87" s="153"/>
      <c r="O87" s="160">
        <f t="shared" si="21"/>
        <v>1.3333333333333335</v>
      </c>
      <c r="Q87" s="158">
        <f t="shared" si="24"/>
        <v>6.9576369107824743</v>
      </c>
      <c r="R87" s="998">
        <f t="shared" si="22"/>
        <v>9.2768492143766341</v>
      </c>
      <c r="S87" s="158">
        <f t="shared" si="23"/>
        <v>127.25763691078247</v>
      </c>
    </row>
    <row r="88" spans="1:20" ht="12" customHeight="1">
      <c r="A88" s="137" t="s">
        <v>399</v>
      </c>
      <c r="B88" s="137" t="s">
        <v>400</v>
      </c>
      <c r="C88" s="157">
        <v>72.55</v>
      </c>
      <c r="D88" s="157">
        <v>72.55</v>
      </c>
      <c r="F88" s="159">
        <v>507.84999999999997</v>
      </c>
      <c r="G88" s="159">
        <v>870.6</v>
      </c>
      <c r="H88" s="159"/>
      <c r="I88" s="158">
        <f t="shared" si="17"/>
        <v>1378.45</v>
      </c>
      <c r="K88" s="153">
        <f t="shared" si="18"/>
        <v>1.1666666666666667</v>
      </c>
      <c r="L88" s="153">
        <f t="shared" si="19"/>
        <v>2</v>
      </c>
      <c r="M88" s="138">
        <f t="shared" si="20"/>
        <v>1.5833333333333335</v>
      </c>
      <c r="N88" s="153"/>
      <c r="O88" s="160">
        <f t="shared" si="21"/>
        <v>19</v>
      </c>
      <c r="Q88" s="158">
        <f t="shared" si="24"/>
        <v>4.1959813622383084</v>
      </c>
      <c r="R88" s="998">
        <f t="shared" si="22"/>
        <v>79.723645882527862</v>
      </c>
      <c r="S88" s="158">
        <f t="shared" si="23"/>
        <v>76.745981362238311</v>
      </c>
    </row>
    <row r="89" spans="1:20" ht="12" customHeight="1">
      <c r="A89" s="137" t="s">
        <v>401</v>
      </c>
      <c r="B89" s="137" t="s">
        <v>402</v>
      </c>
      <c r="C89" s="157">
        <v>5.26</v>
      </c>
      <c r="D89" s="157">
        <v>5.26</v>
      </c>
      <c r="F89" s="159">
        <v>2945.5999999999995</v>
      </c>
      <c r="G89" s="159">
        <v>3329.58</v>
      </c>
      <c r="H89" s="159"/>
      <c r="I89" s="158">
        <f t="shared" si="17"/>
        <v>6275.1799999999994</v>
      </c>
      <c r="K89" s="153">
        <f t="shared" si="18"/>
        <v>93.333333333333314</v>
      </c>
      <c r="L89" s="153">
        <f t="shared" si="19"/>
        <v>105.5</v>
      </c>
      <c r="M89" s="138">
        <f t="shared" si="20"/>
        <v>99.416666666666657</v>
      </c>
      <c r="N89" s="153"/>
      <c r="O89" s="160">
        <f t="shared" si="21"/>
        <v>1193</v>
      </c>
      <c r="Q89" s="158">
        <f t="shared" si="24"/>
        <v>0.30421587822706408</v>
      </c>
      <c r="R89" s="998">
        <f>Q89*O89</f>
        <v>362.92954272488743</v>
      </c>
      <c r="S89" s="158">
        <f t="shared" si="23"/>
        <v>5.5642158782270634</v>
      </c>
    </row>
    <row r="90" spans="1:20" ht="12" customHeight="1" thickBot="1">
      <c r="A90" s="162"/>
      <c r="B90" s="162"/>
    </row>
    <row r="91" spans="1:20" ht="12" customHeight="1" thickBot="1">
      <c r="A91" s="162"/>
      <c r="B91" s="173" t="s">
        <v>403</v>
      </c>
      <c r="F91" s="164">
        <f>SUM(F82:F90)</f>
        <v>10802.31</v>
      </c>
      <c r="G91" s="164">
        <f>SUM(G82:G90)</f>
        <v>13398.230000000001</v>
      </c>
      <c r="H91" s="164"/>
      <c r="I91" s="164">
        <f>SUM(I82:I90)</f>
        <v>24200.54</v>
      </c>
      <c r="M91" s="169">
        <f>SUM(M82:M90)</f>
        <v>107.22863822656974</v>
      </c>
      <c r="R91" s="164">
        <f>SUM(R82:R90)</f>
        <v>1399.65561400555</v>
      </c>
      <c r="T91" s="190"/>
    </row>
    <row r="92" spans="1:20" ht="12" customHeight="1">
      <c r="A92" s="162"/>
      <c r="B92" s="173"/>
      <c r="F92" s="174"/>
      <c r="G92" s="174"/>
      <c r="H92" s="174"/>
      <c r="I92" s="174"/>
    </row>
    <row r="93" spans="1:20" s="136" customFormat="1" ht="12" customHeight="1">
      <c r="A93" s="175" t="s">
        <v>404</v>
      </c>
      <c r="B93" s="175" t="s">
        <v>523</v>
      </c>
      <c r="C93" s="176"/>
      <c r="D93" s="176"/>
      <c r="E93" s="177"/>
      <c r="F93" s="159"/>
      <c r="G93" s="159"/>
      <c r="N93" s="153"/>
    </row>
    <row r="94" spans="1:20" s="136" customFormat="1" ht="12" customHeight="1">
      <c r="A94" s="178" t="s">
        <v>405</v>
      </c>
      <c r="B94" s="178" t="s">
        <v>406</v>
      </c>
      <c r="C94" s="157"/>
      <c r="D94" s="157"/>
      <c r="E94" s="157"/>
      <c r="F94" s="159">
        <v>2025</v>
      </c>
      <c r="G94" s="159">
        <v>2000</v>
      </c>
      <c r="H94" s="159"/>
      <c r="I94" s="158">
        <f>SUM(F94:H94)</f>
        <v>4025</v>
      </c>
      <c r="K94" s="153">
        <f>IFERROR(F94/$C94,0)</f>
        <v>0</v>
      </c>
      <c r="L94" s="153">
        <f>IFERROR(G94/$C94,0)</f>
        <v>0</v>
      </c>
      <c r="N94" s="153"/>
    </row>
    <row r="95" spans="1:20" s="136" customFormat="1" ht="12" customHeight="1">
      <c r="A95" s="137"/>
      <c r="B95" s="137"/>
      <c r="C95" s="157"/>
      <c r="D95" s="157"/>
      <c r="E95" s="157"/>
      <c r="F95" s="159"/>
      <c r="G95" s="159"/>
      <c r="N95" s="153"/>
    </row>
    <row r="96" spans="1:20" s="136" customFormat="1" ht="12" customHeight="1">
      <c r="A96" s="137"/>
      <c r="B96" s="163" t="s">
        <v>407</v>
      </c>
      <c r="C96" s="157"/>
      <c r="D96" s="157"/>
      <c r="E96" s="157"/>
      <c r="F96" s="164">
        <f t="shared" ref="F96:I96" si="25">SUM(F94:F95)</f>
        <v>2025</v>
      </c>
      <c r="G96" s="164">
        <f t="shared" si="25"/>
        <v>2000</v>
      </c>
      <c r="H96" s="164"/>
      <c r="I96" s="164">
        <f t="shared" si="25"/>
        <v>4025</v>
      </c>
      <c r="N96" s="153"/>
    </row>
    <row r="97" spans="1:20" ht="12" customHeight="1">
      <c r="A97" s="162"/>
      <c r="B97" s="162"/>
    </row>
    <row r="98" spans="1:20" ht="12" customHeight="1">
      <c r="A98" s="171" t="s">
        <v>408</v>
      </c>
      <c r="B98" s="171" t="s">
        <v>408</v>
      </c>
    </row>
    <row r="99" spans="1:20" ht="12" customHeight="1">
      <c r="A99" s="152" t="s">
        <v>409</v>
      </c>
      <c r="B99" s="152" t="s">
        <v>410</v>
      </c>
      <c r="F99" s="159">
        <v>10472.92</v>
      </c>
      <c r="G99" s="159">
        <v>13518.560000000001</v>
      </c>
      <c r="H99" s="159"/>
      <c r="I99" s="158">
        <f>SUM(F99:H99)</f>
        <v>23991.480000000003</v>
      </c>
    </row>
    <row r="100" spans="1:20" ht="12" customHeight="1">
      <c r="I100" s="179"/>
    </row>
    <row r="101" spans="1:20" ht="12" customHeight="1">
      <c r="A101" s="162"/>
      <c r="B101" s="173" t="s">
        <v>411</v>
      </c>
      <c r="F101" s="164">
        <f t="shared" ref="F101:I101" si="26">SUM(F99:F100)</f>
        <v>10472.92</v>
      </c>
      <c r="G101" s="164">
        <f t="shared" si="26"/>
        <v>13518.560000000001</v>
      </c>
      <c r="H101" s="164"/>
      <c r="I101" s="164">
        <f t="shared" si="26"/>
        <v>23991.480000000003</v>
      </c>
    </row>
    <row r="102" spans="1:20" ht="12" customHeight="1">
      <c r="A102" s="162"/>
      <c r="B102" s="173"/>
      <c r="F102" s="174"/>
      <c r="G102" s="174"/>
      <c r="H102" s="174"/>
      <c r="I102" s="174"/>
      <c r="O102" s="1009"/>
      <c r="P102" s="1009"/>
      <c r="Q102" s="1009"/>
      <c r="R102" s="1009"/>
      <c r="S102" s="1009"/>
      <c r="T102" s="1009"/>
    </row>
    <row r="103" spans="1:20" s="136" customFormat="1" ht="12" customHeight="1">
      <c r="A103" s="180" t="s">
        <v>237</v>
      </c>
      <c r="B103" s="180" t="s">
        <v>237</v>
      </c>
      <c r="C103" s="157"/>
      <c r="D103" s="157"/>
      <c r="E103" s="157"/>
      <c r="I103" s="158"/>
      <c r="K103" s="153"/>
      <c r="L103" s="153"/>
      <c r="M103" s="137"/>
      <c r="N103" s="153"/>
      <c r="O103" s="181"/>
      <c r="P103" s="181"/>
      <c r="Q103" s="181"/>
      <c r="R103" s="181"/>
      <c r="S103" s="181"/>
      <c r="T103" s="181"/>
    </row>
    <row r="104" spans="1:20" s="136" customFormat="1" ht="12" customHeight="1">
      <c r="A104" s="137" t="s">
        <v>412</v>
      </c>
      <c r="B104" s="137" t="s">
        <v>413</v>
      </c>
      <c r="C104" s="157"/>
      <c r="D104" s="157"/>
      <c r="E104" s="157"/>
      <c r="F104" s="159">
        <v>394.35999999999996</v>
      </c>
      <c r="G104" s="159">
        <v>359.94</v>
      </c>
      <c r="H104" s="159"/>
      <c r="I104" s="158">
        <f>SUM(F104:H104)</f>
        <v>754.3</v>
      </c>
      <c r="K104" s="153"/>
      <c r="L104" s="153"/>
      <c r="M104" s="137"/>
      <c r="N104" s="153"/>
      <c r="O104" s="181"/>
      <c r="P104" s="181"/>
      <c r="Q104" s="181"/>
      <c r="R104" s="181"/>
      <c r="S104" s="181"/>
      <c r="T104" s="181"/>
    </row>
    <row r="105" spans="1:20" s="136" customFormat="1" ht="12" customHeight="1">
      <c r="A105" s="137" t="s">
        <v>414</v>
      </c>
      <c r="B105" s="137" t="s">
        <v>415</v>
      </c>
      <c r="C105" s="157"/>
      <c r="D105" s="157"/>
      <c r="E105" s="157"/>
      <c r="F105" s="159">
        <v>0</v>
      </c>
      <c r="G105" s="159">
        <v>0</v>
      </c>
      <c r="H105" s="159"/>
      <c r="I105" s="158">
        <f>SUM(F105:H105)</f>
        <v>0</v>
      </c>
      <c r="K105" s="153"/>
      <c r="L105" s="153"/>
      <c r="M105" s="137"/>
      <c r="N105" s="153"/>
    </row>
    <row r="106" spans="1:20" s="136" customFormat="1" ht="12" customHeight="1">
      <c r="A106" s="161"/>
      <c r="B106" s="161"/>
      <c r="C106" s="157"/>
      <c r="D106" s="157"/>
      <c r="E106" s="157"/>
      <c r="I106" s="158"/>
      <c r="K106" s="153"/>
      <c r="L106" s="153"/>
      <c r="M106" s="137"/>
      <c r="N106" s="153"/>
    </row>
    <row r="107" spans="1:20" s="136" customFormat="1" ht="12" customHeight="1">
      <c r="A107" s="181"/>
      <c r="B107" s="163" t="s">
        <v>416</v>
      </c>
      <c r="C107" s="157"/>
      <c r="D107" s="157"/>
      <c r="E107" s="157"/>
      <c r="F107" s="164">
        <f t="shared" ref="F107:G107" si="27">SUM(F104:F105)</f>
        <v>394.35999999999996</v>
      </c>
      <c r="G107" s="164">
        <f t="shared" si="27"/>
        <v>359.94</v>
      </c>
      <c r="H107" s="164"/>
      <c r="I107" s="164">
        <f>SUM(I104:I105)</f>
        <v>754.3</v>
      </c>
      <c r="K107" s="153"/>
      <c r="L107" s="153"/>
      <c r="M107" s="137"/>
      <c r="N107" s="153"/>
    </row>
    <row r="108" spans="1:20" ht="12" customHeight="1">
      <c r="A108" s="162"/>
      <c r="B108" s="173"/>
    </row>
    <row r="109" spans="1:20" ht="12" customHeight="1">
      <c r="A109" s="140"/>
      <c r="B109" s="168" t="s">
        <v>417</v>
      </c>
      <c r="F109" s="164">
        <f>SUM(F31,F77,F91,F96,F101,F107)</f>
        <v>261363.85</v>
      </c>
      <c r="G109" s="164">
        <f>SUM(G31,G77,G91,G96,G101,G107)</f>
        <v>268870.05499999999</v>
      </c>
      <c r="H109" s="164"/>
      <c r="I109" s="164">
        <f>SUM(I31,I77,I91,I96,I101,I107)</f>
        <v>530233.90500000003</v>
      </c>
    </row>
    <row r="110" spans="1:20">
      <c r="A110" s="140"/>
      <c r="B110" s="140"/>
    </row>
    <row r="111" spans="1:20">
      <c r="F111" s="179"/>
      <c r="G111" s="179"/>
    </row>
    <row r="112" spans="1:20">
      <c r="F112" s="182"/>
      <c r="G112" s="182"/>
      <c r="I112" s="190"/>
    </row>
    <row r="113" spans="9:9">
      <c r="I113" s="190"/>
    </row>
  </sheetData>
  <pageMargins left="0.7" right="0.7" top="0.75" bottom="0.75" header="0.3" footer="0.3"/>
  <pageSetup scale="85" fitToHeight="4"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T167"/>
  <sheetViews>
    <sheetView zoomScale="110" zoomScaleNormal="110" workbookViewId="0">
      <pane xSplit="2" ySplit="6" topLeftCell="C13" activePane="bottomRight" state="frozen"/>
      <selection activeCell="E180" sqref="E180"/>
      <selection pane="topRight" activeCell="E180" sqref="E180"/>
      <selection pane="bottomLeft" activeCell="E180" sqref="E180"/>
      <selection pane="bottomRight" activeCell="Q16" sqref="Q16"/>
    </sheetView>
  </sheetViews>
  <sheetFormatPr defaultRowHeight="12.75" outlineLevelCol="1"/>
  <cols>
    <col min="1" max="1" width="22.7109375" style="152" customWidth="1"/>
    <col min="2" max="2" width="29.140625" style="152" bestFit="1" customWidth="1"/>
    <col min="3" max="3" width="12.85546875" style="137" bestFit="1" customWidth="1"/>
    <col min="4" max="4" width="2" style="137" customWidth="1"/>
    <col min="5" max="5" width="14.28515625" style="137" hidden="1" customWidth="1" outlineLevel="1"/>
    <col min="6" max="6" width="13.5703125" style="137" hidden="1" customWidth="1" outlineLevel="1"/>
    <col min="7" max="7" width="1.28515625" style="137" hidden="1" customWidth="1" outlineLevel="1"/>
    <col min="8" max="8" width="13.7109375" style="137" customWidth="1" collapsed="1"/>
    <col min="9" max="9" width="3.42578125" style="137" customWidth="1"/>
    <col min="10" max="10" width="12.85546875" style="137" hidden="1" customWidth="1" outlineLevel="1"/>
    <col min="11" max="11" width="7.5703125" style="137" bestFit="1" customWidth="1" collapsed="1"/>
    <col min="12" max="12" width="6.5703125" style="138" bestFit="1" customWidth="1"/>
    <col min="13" max="13" width="8" style="137" bestFit="1" customWidth="1"/>
    <col min="14" max="14" width="2.7109375" style="137" customWidth="1"/>
    <col min="15" max="15" width="11.5703125" style="137" customWidth="1"/>
    <col min="16" max="17" width="11" style="137" bestFit="1" customWidth="1"/>
    <col min="18" max="18" width="11.140625" style="137" customWidth="1"/>
    <col min="19" max="16384" width="9.140625" style="137"/>
  </cols>
  <sheetData>
    <row r="1" spans="1:18" ht="12" customHeight="1" thickBot="1">
      <c r="A1" s="133" t="s">
        <v>245</v>
      </c>
      <c r="B1" s="134"/>
      <c r="C1" s="135"/>
      <c r="D1" s="134"/>
      <c r="E1" s="136"/>
      <c r="F1" s="136"/>
      <c r="G1" s="136"/>
      <c r="H1" s="136"/>
      <c r="I1" s="136"/>
      <c r="J1" s="136"/>
    </row>
    <row r="2" spans="1:18" ht="12" customHeight="1" thickBot="1">
      <c r="A2" s="133" t="s">
        <v>418</v>
      </c>
      <c r="B2" s="134"/>
      <c r="C2" s="135"/>
      <c r="D2" s="134"/>
      <c r="E2" s="139" t="s">
        <v>247</v>
      </c>
      <c r="F2" s="139" t="s">
        <v>247</v>
      </c>
      <c r="G2" s="136"/>
      <c r="H2" s="136"/>
      <c r="I2" s="136"/>
      <c r="J2" s="136"/>
      <c r="O2" s="995" t="s">
        <v>1907</v>
      </c>
      <c r="P2" s="996">
        <f>'LG - Packer,RO'!E39</f>
        <v>5.7835718294118654E-2</v>
      </c>
    </row>
    <row r="3" spans="1:18" ht="12" customHeight="1" thickBot="1">
      <c r="A3" s="140" t="str">
        <f>'Spokane Reg - Price out'!A3</f>
        <v>July 1, 2015 - June 30, 2016</v>
      </c>
      <c r="B3" s="134"/>
      <c r="C3" s="135"/>
      <c r="D3" s="134"/>
      <c r="E3" s="141"/>
      <c r="F3" s="141"/>
      <c r="G3" s="136"/>
      <c r="H3" s="136"/>
      <c r="I3" s="136"/>
      <c r="J3" s="136"/>
      <c r="O3" s="1049" t="s">
        <v>2135</v>
      </c>
      <c r="P3" s="1050">
        <f>'LG - Recycle'!J6</f>
        <v>0.44959840444297439</v>
      </c>
    </row>
    <row r="4" spans="1:18" ht="12" customHeight="1">
      <c r="A4" s="134"/>
      <c r="B4" s="142"/>
      <c r="C4" s="143" t="s">
        <v>419</v>
      </c>
      <c r="D4" s="134"/>
      <c r="E4" s="144" t="s">
        <v>419</v>
      </c>
      <c r="F4" s="144" t="s">
        <v>249</v>
      </c>
      <c r="G4" s="144"/>
      <c r="H4" s="145" t="s">
        <v>3</v>
      </c>
      <c r="I4" s="136"/>
      <c r="J4" s="146" t="s">
        <v>419</v>
      </c>
      <c r="K4" s="146" t="s">
        <v>250</v>
      </c>
      <c r="L4" s="147" t="s">
        <v>251</v>
      </c>
      <c r="M4" s="147" t="s">
        <v>252</v>
      </c>
      <c r="O4" s="997" t="s">
        <v>1908</v>
      </c>
      <c r="P4" s="997" t="s">
        <v>1909</v>
      </c>
      <c r="Q4" s="997" t="s">
        <v>1910</v>
      </c>
    </row>
    <row r="5" spans="1:18" ht="12" customHeight="1">
      <c r="A5" s="148" t="s">
        <v>253</v>
      </c>
      <c r="B5" s="142" t="s">
        <v>254</v>
      </c>
      <c r="C5" s="149" t="s">
        <v>255</v>
      </c>
      <c r="D5" s="142"/>
      <c r="E5" s="145" t="s">
        <v>64</v>
      </c>
      <c r="F5" s="145" t="s">
        <v>64</v>
      </c>
      <c r="G5" s="145"/>
      <c r="H5" s="145" t="s">
        <v>64</v>
      </c>
      <c r="I5" s="136"/>
      <c r="J5" s="150" t="s">
        <v>256</v>
      </c>
      <c r="K5" s="150" t="s">
        <v>257</v>
      </c>
      <c r="L5" s="151" t="s">
        <v>258</v>
      </c>
      <c r="M5" s="151" t="s">
        <v>59</v>
      </c>
      <c r="O5" s="997" t="s">
        <v>944</v>
      </c>
      <c r="P5" s="997" t="s">
        <v>64</v>
      </c>
      <c r="Q5" s="997" t="s">
        <v>255</v>
      </c>
    </row>
    <row r="6" spans="1:18" ht="12" customHeight="1"/>
    <row r="7" spans="1:18" s="136" customFormat="1" ht="12" customHeight="1">
      <c r="B7" s="134"/>
      <c r="C7" s="135"/>
      <c r="D7" s="134"/>
      <c r="K7" s="137"/>
      <c r="L7" s="153"/>
    </row>
    <row r="8" spans="1:18" s="136" customFormat="1" ht="12" customHeight="1">
      <c r="C8" s="135"/>
      <c r="D8" s="154"/>
      <c r="K8" s="137"/>
      <c r="L8" s="153"/>
    </row>
    <row r="9" spans="1:18" s="136" customFormat="1" ht="12" customHeight="1">
      <c r="A9" s="155" t="s">
        <v>259</v>
      </c>
      <c r="B9" s="155" t="s">
        <v>259</v>
      </c>
      <c r="C9" s="135"/>
      <c r="D9" s="154"/>
      <c r="K9" s="137"/>
      <c r="L9" s="153"/>
    </row>
    <row r="10" spans="1:18" s="136" customFormat="1" ht="6.75" customHeight="1">
      <c r="A10" s="155"/>
      <c r="B10" s="155"/>
      <c r="C10" s="135"/>
      <c r="D10" s="154"/>
      <c r="K10" s="137"/>
      <c r="L10" s="153"/>
    </row>
    <row r="11" spans="1:18" s="136" customFormat="1" ht="26.25" customHeight="1">
      <c r="A11" s="156" t="s">
        <v>260</v>
      </c>
      <c r="B11" s="156" t="s">
        <v>260</v>
      </c>
      <c r="C11" s="157"/>
      <c r="D11" s="157"/>
      <c r="E11" s="153"/>
      <c r="F11" s="153"/>
      <c r="G11" s="153"/>
      <c r="H11" s="158"/>
      <c r="J11" s="153"/>
      <c r="K11" s="137"/>
      <c r="L11" s="153"/>
      <c r="R11" s="149" t="s">
        <v>2061</v>
      </c>
    </row>
    <row r="12" spans="1:18" s="136" customFormat="1" ht="12" customHeight="1">
      <c r="A12" s="137" t="s">
        <v>261</v>
      </c>
      <c r="B12" s="137" t="s">
        <v>262</v>
      </c>
      <c r="C12" s="157">
        <v>13.43</v>
      </c>
      <c r="D12" s="157"/>
      <c r="E12" s="159">
        <v>951.86500000000001</v>
      </c>
      <c r="F12" s="159">
        <v>1059.2950000000001</v>
      </c>
      <c r="G12" s="159"/>
      <c r="H12" s="158">
        <f>SUM(E12:F12)</f>
        <v>2011.16</v>
      </c>
      <c r="J12" s="153">
        <f>IFERROR((H12/$C12)/12,0)</f>
        <v>12.479275254405559</v>
      </c>
      <c r="K12" s="183">
        <f>J12</f>
        <v>12.479275254405559</v>
      </c>
      <c r="L12" s="153">
        <v>0</v>
      </c>
      <c r="M12" s="160">
        <f>H12/C12</f>
        <v>149.75130305286672</v>
      </c>
      <c r="O12" s="158">
        <f>C12*$P$2</f>
        <v>0.77673369669001346</v>
      </c>
      <c r="P12" s="158">
        <f>M12*O12</f>
        <v>116.31688320439966</v>
      </c>
      <c r="Q12" s="158">
        <f>C12+O12</f>
        <v>14.206733696690014</v>
      </c>
    </row>
    <row r="13" spans="1:18" s="136" customFormat="1" ht="12" customHeight="1">
      <c r="A13" s="137" t="s">
        <v>263</v>
      </c>
      <c r="B13" s="137" t="s">
        <v>264</v>
      </c>
      <c r="C13" s="157">
        <v>10.83</v>
      </c>
      <c r="D13" s="157"/>
      <c r="E13" s="159">
        <v>2647.9350000000004</v>
      </c>
      <c r="F13" s="159">
        <v>2702.085</v>
      </c>
      <c r="G13" s="159"/>
      <c r="H13" s="158">
        <f t="shared" ref="H13:H35" si="0">SUM(E13:F13)</f>
        <v>5350.02</v>
      </c>
      <c r="J13" s="153">
        <f t="shared" ref="J13:J35" si="1">IFERROR((H13/$C13)/12,0)</f>
        <v>41.166666666666671</v>
      </c>
      <c r="K13" s="183">
        <f t="shared" ref="K13:K35" si="2">J13</f>
        <v>41.166666666666671</v>
      </c>
      <c r="L13" s="153">
        <v>0</v>
      </c>
      <c r="M13" s="160">
        <f t="shared" ref="M13:M35" si="3">H13/C13</f>
        <v>494.00000000000006</v>
      </c>
      <c r="O13" s="158">
        <f t="shared" ref="O13:O35" si="4">C13*$P$2</f>
        <v>0.626360829125305</v>
      </c>
      <c r="P13" s="158">
        <f t="shared" ref="P13:P35" si="5">M13*O13</f>
        <v>309.42224958790069</v>
      </c>
      <c r="Q13" s="158">
        <f t="shared" ref="Q13:Q35" si="6">C13+O13</f>
        <v>11.456360829125305</v>
      </c>
    </row>
    <row r="14" spans="1:18" s="136" customFormat="1" ht="12" customHeight="1">
      <c r="A14" s="137" t="s">
        <v>265</v>
      </c>
      <c r="B14" s="137" t="s">
        <v>266</v>
      </c>
      <c r="C14" s="157">
        <v>17.079999999999998</v>
      </c>
      <c r="D14" s="157"/>
      <c r="E14" s="159">
        <v>105410.955</v>
      </c>
      <c r="F14" s="159">
        <v>104398.08500000001</v>
      </c>
      <c r="G14" s="159"/>
      <c r="H14" s="158">
        <f t="shared" si="0"/>
        <v>209809.04</v>
      </c>
      <c r="J14" s="153">
        <f t="shared" si="1"/>
        <v>1023.6584699453553</v>
      </c>
      <c r="K14" s="183">
        <f t="shared" si="2"/>
        <v>1023.6584699453553</v>
      </c>
      <c r="L14" s="153">
        <v>0</v>
      </c>
      <c r="M14" s="160">
        <f t="shared" si="3"/>
        <v>12283.901639344263</v>
      </c>
      <c r="O14" s="158">
        <f t="shared" si="4"/>
        <v>0.98783406846354649</v>
      </c>
      <c r="P14" s="158">
        <f t="shared" si="5"/>
        <v>12134.456532999473</v>
      </c>
      <c r="Q14" s="158">
        <f t="shared" si="6"/>
        <v>18.067834068463544</v>
      </c>
    </row>
    <row r="15" spans="1:18" s="136" customFormat="1" ht="12" customHeight="1">
      <c r="A15" s="137" t="s">
        <v>267</v>
      </c>
      <c r="B15" s="137" t="s">
        <v>268</v>
      </c>
      <c r="C15" s="157">
        <v>22.67</v>
      </c>
      <c r="D15" s="157"/>
      <c r="E15" s="159">
        <v>24962.520000000004</v>
      </c>
      <c r="F15" s="159">
        <v>24613.955000000002</v>
      </c>
      <c r="G15" s="159"/>
      <c r="H15" s="158">
        <f t="shared" si="0"/>
        <v>49576.475000000006</v>
      </c>
      <c r="J15" s="153">
        <f t="shared" si="1"/>
        <v>182.23965225702102</v>
      </c>
      <c r="K15" s="183">
        <f t="shared" si="2"/>
        <v>182.23965225702102</v>
      </c>
      <c r="L15" s="153">
        <v>0</v>
      </c>
      <c r="M15" s="160">
        <f t="shared" si="3"/>
        <v>2186.8758270842523</v>
      </c>
      <c r="O15" s="158">
        <f t="shared" si="4"/>
        <v>1.3111357337276699</v>
      </c>
      <c r="P15" s="158">
        <f t="shared" si="5"/>
        <v>2867.2910421154161</v>
      </c>
      <c r="Q15" s="158">
        <f t="shared" si="6"/>
        <v>23.981135733727672</v>
      </c>
    </row>
    <row r="16" spans="1:18" s="136" customFormat="1" ht="12" customHeight="1">
      <c r="A16" s="137" t="s">
        <v>269</v>
      </c>
      <c r="B16" s="137" t="s">
        <v>270</v>
      </c>
      <c r="C16" s="157">
        <v>30.04</v>
      </c>
      <c r="D16" s="157"/>
      <c r="E16" s="159">
        <v>1502</v>
      </c>
      <c r="F16" s="159">
        <v>1847.46</v>
      </c>
      <c r="G16" s="159"/>
      <c r="H16" s="158">
        <f t="shared" si="0"/>
        <v>3349.46</v>
      </c>
      <c r="J16" s="153">
        <f t="shared" si="1"/>
        <v>9.2916666666666661</v>
      </c>
      <c r="K16" s="183">
        <f t="shared" si="2"/>
        <v>9.2916666666666661</v>
      </c>
      <c r="L16" s="153">
        <v>0</v>
      </c>
      <c r="M16" s="160">
        <f t="shared" si="3"/>
        <v>111.5</v>
      </c>
      <c r="O16" s="158">
        <f t="shared" si="4"/>
        <v>1.7373849775553243</v>
      </c>
      <c r="P16" s="158">
        <f t="shared" si="5"/>
        <v>193.71842499741865</v>
      </c>
      <c r="Q16" s="158">
        <f t="shared" si="6"/>
        <v>31.777384977555322</v>
      </c>
    </row>
    <row r="17" spans="1:19" s="136" customFormat="1" ht="12" customHeight="1">
      <c r="A17" s="137" t="s">
        <v>420</v>
      </c>
      <c r="B17" s="137" t="s">
        <v>421</v>
      </c>
      <c r="C17" s="157">
        <v>39.25</v>
      </c>
      <c r="D17" s="157"/>
      <c r="E17" s="159">
        <v>235.5</v>
      </c>
      <c r="F17" s="159">
        <v>235.5</v>
      </c>
      <c r="G17" s="159"/>
      <c r="H17" s="158">
        <f t="shared" si="0"/>
        <v>471</v>
      </c>
      <c r="J17" s="153">
        <f t="shared" si="1"/>
        <v>1</v>
      </c>
      <c r="K17" s="183">
        <f t="shared" si="2"/>
        <v>1</v>
      </c>
      <c r="L17" s="153">
        <v>0</v>
      </c>
      <c r="M17" s="160">
        <f t="shared" si="3"/>
        <v>12</v>
      </c>
      <c r="O17" s="158">
        <f t="shared" si="4"/>
        <v>2.270051943044157</v>
      </c>
      <c r="P17" s="158">
        <f t="shared" si="5"/>
        <v>27.240623316529884</v>
      </c>
      <c r="Q17" s="158">
        <f t="shared" si="6"/>
        <v>41.520051943044159</v>
      </c>
    </row>
    <row r="18" spans="1:19" s="136" customFormat="1" ht="12" customHeight="1">
      <c r="A18" s="137" t="s">
        <v>271</v>
      </c>
      <c r="B18" s="137" t="s">
        <v>272</v>
      </c>
      <c r="C18" s="157">
        <v>24.32</v>
      </c>
      <c r="D18" s="157"/>
      <c r="E18" s="159">
        <v>102298.78000000003</v>
      </c>
      <c r="F18" s="159">
        <v>105268.45999999999</v>
      </c>
      <c r="G18" s="159"/>
      <c r="H18" s="158">
        <f t="shared" si="0"/>
        <v>207567.24000000002</v>
      </c>
      <c r="J18" s="153">
        <f t="shared" si="1"/>
        <v>711.2364309210526</v>
      </c>
      <c r="K18" s="183">
        <f t="shared" si="2"/>
        <v>711.2364309210526</v>
      </c>
      <c r="L18" s="153">
        <f>+K18</f>
        <v>711.2364309210526</v>
      </c>
      <c r="M18" s="160">
        <f t="shared" si="3"/>
        <v>8534.8371710526317</v>
      </c>
      <c r="O18" s="158">
        <f t="shared" si="4"/>
        <v>1.4065646689129656</v>
      </c>
      <c r="P18" s="158">
        <f t="shared" si="5"/>
        <v>12004.800419727717</v>
      </c>
      <c r="Q18" s="158">
        <f t="shared" si="6"/>
        <v>25.726564668912967</v>
      </c>
    </row>
    <row r="19" spans="1:19" s="136" customFormat="1" ht="12" customHeight="1">
      <c r="A19" s="137" t="s">
        <v>273</v>
      </c>
      <c r="B19" s="137" t="s">
        <v>274</v>
      </c>
      <c r="C19" s="157">
        <v>48.64</v>
      </c>
      <c r="D19" s="157"/>
      <c r="E19" s="159">
        <v>0</v>
      </c>
      <c r="F19" s="159">
        <v>206.71999999999997</v>
      </c>
      <c r="G19" s="159"/>
      <c r="H19" s="158">
        <f t="shared" si="0"/>
        <v>206.71999999999997</v>
      </c>
      <c r="J19" s="153">
        <f t="shared" si="1"/>
        <v>0.35416666666666657</v>
      </c>
      <c r="K19" s="183">
        <f t="shared" si="2"/>
        <v>0.35416666666666657</v>
      </c>
      <c r="L19" s="153">
        <f>K19*2</f>
        <v>0.70833333333333315</v>
      </c>
      <c r="M19" s="160">
        <f t="shared" si="3"/>
        <v>4.2499999999999991</v>
      </c>
      <c r="O19" s="158">
        <f t="shared" si="4"/>
        <v>2.8131293378259312</v>
      </c>
      <c r="P19" s="158">
        <f t="shared" si="5"/>
        <v>11.955799685760205</v>
      </c>
      <c r="Q19" s="158">
        <f t="shared" si="6"/>
        <v>51.453129337825935</v>
      </c>
    </row>
    <row r="20" spans="1:19" s="136" customFormat="1" ht="12" customHeight="1">
      <c r="A20" s="137" t="s">
        <v>422</v>
      </c>
      <c r="B20" s="137" t="s">
        <v>423</v>
      </c>
      <c r="C20" s="157">
        <v>72.959999999999994</v>
      </c>
      <c r="D20" s="157"/>
      <c r="E20" s="159">
        <v>437.75999999999993</v>
      </c>
      <c r="F20" s="159">
        <v>857.27999999999986</v>
      </c>
      <c r="G20" s="159"/>
      <c r="H20" s="158">
        <f t="shared" si="0"/>
        <v>1295.0399999999997</v>
      </c>
      <c r="J20" s="153">
        <f t="shared" si="1"/>
        <v>1.4791666666666663</v>
      </c>
      <c r="K20" s="183">
        <f t="shared" si="2"/>
        <v>1.4791666666666663</v>
      </c>
      <c r="L20" s="153">
        <f>+K20*3</f>
        <v>4.4374999999999991</v>
      </c>
      <c r="M20" s="160">
        <f t="shared" si="3"/>
        <v>17.749999999999996</v>
      </c>
      <c r="O20" s="158">
        <f t="shared" si="4"/>
        <v>4.2196940067388971</v>
      </c>
      <c r="P20" s="158">
        <f t="shared" si="5"/>
        <v>74.899568619615408</v>
      </c>
      <c r="Q20" s="158">
        <f t="shared" si="6"/>
        <v>77.179694006738885</v>
      </c>
    </row>
    <row r="21" spans="1:19" s="136" customFormat="1" ht="12" customHeight="1">
      <c r="A21" s="137" t="s">
        <v>275</v>
      </c>
      <c r="B21" s="137" t="s">
        <v>276</v>
      </c>
      <c r="C21" s="157">
        <v>30.04</v>
      </c>
      <c r="D21" s="157"/>
      <c r="E21" s="159">
        <v>235429.98</v>
      </c>
      <c r="F21" s="159">
        <v>235317.11499999996</v>
      </c>
      <c r="G21" s="159"/>
      <c r="H21" s="158">
        <f t="shared" si="0"/>
        <v>470747.09499999997</v>
      </c>
      <c r="J21" s="153">
        <f t="shared" si="1"/>
        <v>1305.8896332667553</v>
      </c>
      <c r="K21" s="183">
        <f t="shared" si="2"/>
        <v>1305.8896332667553</v>
      </c>
      <c r="L21" s="153">
        <f>+K21</f>
        <v>1305.8896332667553</v>
      </c>
      <c r="M21" s="160">
        <f t="shared" si="3"/>
        <v>15670.675599201064</v>
      </c>
      <c r="O21" s="158">
        <f t="shared" si="4"/>
        <v>1.7373849775553243</v>
      </c>
      <c r="P21" s="158">
        <f t="shared" si="5"/>
        <v>27225.996374194707</v>
      </c>
      <c r="Q21" s="158">
        <f t="shared" si="6"/>
        <v>31.777384977555322</v>
      </c>
    </row>
    <row r="22" spans="1:19" s="136" customFormat="1" ht="12" customHeight="1">
      <c r="A22" s="137" t="s">
        <v>277</v>
      </c>
      <c r="B22" s="137" t="s">
        <v>278</v>
      </c>
      <c r="C22" s="157">
        <v>60.08</v>
      </c>
      <c r="D22" s="157"/>
      <c r="E22" s="159">
        <v>4085.4400000000005</v>
      </c>
      <c r="F22" s="159">
        <v>4055.2200000000003</v>
      </c>
      <c r="G22" s="159"/>
      <c r="H22" s="158">
        <f t="shared" si="0"/>
        <v>8140.6600000000008</v>
      </c>
      <c r="J22" s="153">
        <f t="shared" si="1"/>
        <v>11.291416999556148</v>
      </c>
      <c r="K22" s="183">
        <f t="shared" si="2"/>
        <v>11.291416999556148</v>
      </c>
      <c r="L22" s="153">
        <f>+K22*2</f>
        <v>22.582833999112296</v>
      </c>
      <c r="M22" s="160">
        <f t="shared" si="3"/>
        <v>135.49700399467378</v>
      </c>
      <c r="O22" s="158">
        <f t="shared" si="4"/>
        <v>3.4747699551106486</v>
      </c>
      <c r="P22" s="158">
        <f t="shared" si="5"/>
        <v>470.82091848819999</v>
      </c>
      <c r="Q22" s="158">
        <f t="shared" si="6"/>
        <v>63.554769955110643</v>
      </c>
    </row>
    <row r="23" spans="1:19" s="136" customFormat="1" ht="12" customHeight="1">
      <c r="A23" s="137" t="s">
        <v>281</v>
      </c>
      <c r="B23" s="137" t="s">
        <v>282</v>
      </c>
      <c r="C23" s="157">
        <v>11.92</v>
      </c>
      <c r="D23" s="157"/>
      <c r="E23" s="159">
        <v>143.03999999999996</v>
      </c>
      <c r="F23" s="159">
        <v>225.39</v>
      </c>
      <c r="G23" s="159"/>
      <c r="H23" s="158">
        <f t="shared" si="0"/>
        <v>368.42999999999995</v>
      </c>
      <c r="J23" s="153">
        <f t="shared" si="1"/>
        <v>2.5757130872483218</v>
      </c>
      <c r="K23" s="183">
        <f t="shared" si="2"/>
        <v>2.5757130872483218</v>
      </c>
      <c r="L23" s="153"/>
      <c r="M23" s="160">
        <f t="shared" si="3"/>
        <v>30.908557046979862</v>
      </c>
      <c r="O23" s="158">
        <f t="shared" si="4"/>
        <v>0.68940176206589432</v>
      </c>
      <c r="P23" s="158">
        <f t="shared" si="5"/>
        <v>21.308413691102132</v>
      </c>
      <c r="Q23" s="158">
        <f t="shared" si="6"/>
        <v>12.609401762065895</v>
      </c>
    </row>
    <row r="24" spans="1:19" s="136" customFormat="1" ht="12" customHeight="1">
      <c r="A24" s="137" t="s">
        <v>424</v>
      </c>
      <c r="B24" s="137" t="s">
        <v>425</v>
      </c>
      <c r="C24" s="157">
        <v>11.92</v>
      </c>
      <c r="D24" s="157"/>
      <c r="E24" s="159">
        <v>11.92</v>
      </c>
      <c r="F24" s="159">
        <v>65.53</v>
      </c>
      <c r="G24" s="159"/>
      <c r="H24" s="158">
        <f t="shared" si="0"/>
        <v>77.45</v>
      </c>
      <c r="J24" s="153">
        <f t="shared" si="1"/>
        <v>0.54145693512304249</v>
      </c>
      <c r="K24" s="183">
        <f t="shared" si="2"/>
        <v>0.54145693512304249</v>
      </c>
      <c r="L24" s="153"/>
      <c r="M24" s="160">
        <f t="shared" si="3"/>
        <v>6.4974832214765099</v>
      </c>
      <c r="O24" s="158">
        <f t="shared" si="4"/>
        <v>0.68940176206589432</v>
      </c>
      <c r="P24" s="158">
        <f t="shared" si="5"/>
        <v>4.4793763818794892</v>
      </c>
      <c r="Q24" s="158">
        <f t="shared" si="6"/>
        <v>12.609401762065895</v>
      </c>
    </row>
    <row r="25" spans="1:19" s="134" customFormat="1" ht="12" customHeight="1">
      <c r="A25" s="137" t="s">
        <v>283</v>
      </c>
      <c r="B25" s="137" t="s">
        <v>284</v>
      </c>
      <c r="C25" s="157">
        <v>3.91</v>
      </c>
      <c r="D25" s="157"/>
      <c r="E25" s="159">
        <v>7518.9299999999994</v>
      </c>
      <c r="F25" s="159">
        <v>8050.99</v>
      </c>
      <c r="G25" s="159"/>
      <c r="H25" s="158">
        <f t="shared" si="0"/>
        <v>15569.919999999998</v>
      </c>
      <c r="J25" s="153">
        <f t="shared" si="1"/>
        <v>331.83972719522586</v>
      </c>
      <c r="K25" s="183">
        <f t="shared" si="2"/>
        <v>331.83972719522586</v>
      </c>
      <c r="L25" s="153"/>
      <c r="M25" s="160">
        <f t="shared" si="3"/>
        <v>3982.0767263427106</v>
      </c>
      <c r="O25" s="158">
        <f t="shared" si="4"/>
        <v>0.22613765853000395</v>
      </c>
      <c r="P25" s="158">
        <f t="shared" si="5"/>
        <v>900.49750698196385</v>
      </c>
      <c r="Q25" s="158">
        <f t="shared" si="6"/>
        <v>4.1361376585300045</v>
      </c>
      <c r="S25" s="136"/>
    </row>
    <row r="26" spans="1:19" s="134" customFormat="1" ht="12" customHeight="1">
      <c r="A26" s="137" t="s">
        <v>285</v>
      </c>
      <c r="B26" s="137" t="s">
        <v>286</v>
      </c>
      <c r="C26" s="157">
        <v>19.559999999999999</v>
      </c>
      <c r="D26" s="157"/>
      <c r="E26" s="159">
        <v>586.79999999999995</v>
      </c>
      <c r="F26" s="159">
        <v>821.52</v>
      </c>
      <c r="G26" s="159"/>
      <c r="H26" s="158">
        <f t="shared" si="0"/>
        <v>1408.32</v>
      </c>
      <c r="J26" s="153">
        <f t="shared" si="1"/>
        <v>6</v>
      </c>
      <c r="K26" s="183">
        <f t="shared" si="2"/>
        <v>6</v>
      </c>
      <c r="L26" s="153"/>
      <c r="M26" s="160">
        <f t="shared" si="3"/>
        <v>72</v>
      </c>
      <c r="O26" s="158">
        <f t="shared" si="4"/>
        <v>1.1312666498329609</v>
      </c>
      <c r="P26" s="158">
        <f t="shared" si="5"/>
        <v>81.451198787973183</v>
      </c>
      <c r="Q26" s="158">
        <f t="shared" si="6"/>
        <v>20.691266649832961</v>
      </c>
      <c r="S26" s="136"/>
    </row>
    <row r="27" spans="1:19" s="136" customFormat="1" ht="12" customHeight="1">
      <c r="A27" s="137" t="s">
        <v>289</v>
      </c>
      <c r="B27" s="137" t="s">
        <v>290</v>
      </c>
      <c r="C27" s="157">
        <v>3.91</v>
      </c>
      <c r="D27" s="157"/>
      <c r="E27" s="159">
        <v>35.19</v>
      </c>
      <c r="F27" s="159">
        <v>54.739999999999995</v>
      </c>
      <c r="G27" s="159"/>
      <c r="H27" s="158">
        <f t="shared" si="0"/>
        <v>89.929999999999993</v>
      </c>
      <c r="J27" s="153">
        <f t="shared" si="1"/>
        <v>1.9166666666666663</v>
      </c>
      <c r="K27" s="183">
        <f t="shared" si="2"/>
        <v>1.9166666666666663</v>
      </c>
      <c r="L27" s="153"/>
      <c r="M27" s="160">
        <f t="shared" si="3"/>
        <v>22.999999999999996</v>
      </c>
      <c r="O27" s="158">
        <f t="shared" si="4"/>
        <v>0.22613765853000395</v>
      </c>
      <c r="P27" s="158">
        <f t="shared" si="5"/>
        <v>5.20116614619009</v>
      </c>
      <c r="Q27" s="158">
        <f t="shared" si="6"/>
        <v>4.1361376585300045</v>
      </c>
    </row>
    <row r="28" spans="1:19" s="136" customFormat="1" ht="12" customHeight="1">
      <c r="A28" s="137" t="s">
        <v>291</v>
      </c>
      <c r="B28" s="137" t="s">
        <v>292</v>
      </c>
      <c r="C28" s="157">
        <v>3.91</v>
      </c>
      <c r="D28" s="157"/>
      <c r="E28" s="159">
        <v>74.290000000000006</v>
      </c>
      <c r="F28" s="159">
        <v>19.55</v>
      </c>
      <c r="G28" s="159"/>
      <c r="H28" s="158">
        <f t="shared" si="0"/>
        <v>93.84</v>
      </c>
      <c r="J28" s="153">
        <f t="shared" si="1"/>
        <v>2</v>
      </c>
      <c r="K28" s="183">
        <f t="shared" si="2"/>
        <v>2</v>
      </c>
      <c r="L28" s="153"/>
      <c r="M28" s="160">
        <f t="shared" si="3"/>
        <v>24</v>
      </c>
      <c r="O28" s="158">
        <f t="shared" si="4"/>
        <v>0.22613765853000395</v>
      </c>
      <c r="P28" s="158">
        <f t="shared" si="5"/>
        <v>5.4273038047200952</v>
      </c>
      <c r="Q28" s="158">
        <f t="shared" si="6"/>
        <v>4.1361376585300045</v>
      </c>
    </row>
    <row r="29" spans="1:19" s="136" customFormat="1" ht="12" customHeight="1">
      <c r="A29" s="137" t="s">
        <v>287</v>
      </c>
      <c r="B29" s="137" t="s">
        <v>288</v>
      </c>
      <c r="C29" s="157">
        <v>19.559999999999999</v>
      </c>
      <c r="D29" s="157"/>
      <c r="E29" s="159">
        <v>107.57999999999998</v>
      </c>
      <c r="F29" s="159">
        <v>127.13999999999999</v>
      </c>
      <c r="G29" s="159"/>
      <c r="H29" s="158">
        <f t="shared" si="0"/>
        <v>234.71999999999997</v>
      </c>
      <c r="J29" s="153">
        <f t="shared" si="1"/>
        <v>1</v>
      </c>
      <c r="K29" s="183">
        <f t="shared" si="2"/>
        <v>1</v>
      </c>
      <c r="L29" s="153"/>
      <c r="M29" s="160">
        <f t="shared" si="3"/>
        <v>12</v>
      </c>
      <c r="O29" s="158">
        <f t="shared" si="4"/>
        <v>1.1312666498329609</v>
      </c>
      <c r="P29" s="158">
        <f t="shared" si="5"/>
        <v>13.575199797995531</v>
      </c>
      <c r="Q29" s="158">
        <f t="shared" si="6"/>
        <v>20.691266649832961</v>
      </c>
    </row>
    <row r="30" spans="1:19" s="134" customFormat="1" ht="12" customHeight="1">
      <c r="A30" s="137" t="s">
        <v>426</v>
      </c>
      <c r="B30" s="137" t="s">
        <v>427</v>
      </c>
      <c r="C30" s="157">
        <v>3.46</v>
      </c>
      <c r="D30" s="157"/>
      <c r="E30" s="159">
        <v>73.209999999999994</v>
      </c>
      <c r="F30" s="159">
        <v>62.37</v>
      </c>
      <c r="G30" s="159"/>
      <c r="H30" s="158">
        <f t="shared" si="0"/>
        <v>135.57999999999998</v>
      </c>
      <c r="J30" s="153">
        <f t="shared" si="1"/>
        <v>3.2654142581888244</v>
      </c>
      <c r="K30" s="183">
        <f t="shared" si="2"/>
        <v>3.2654142581888244</v>
      </c>
      <c r="L30" s="153"/>
      <c r="M30" s="160">
        <f t="shared" si="3"/>
        <v>39.184971098265891</v>
      </c>
      <c r="O30" s="158">
        <f t="shared" si="4"/>
        <v>0.20011158529765055</v>
      </c>
      <c r="P30" s="158">
        <f t="shared" si="5"/>
        <v>7.841366686316606</v>
      </c>
      <c r="Q30" s="158">
        <f t="shared" si="6"/>
        <v>3.6601115852976505</v>
      </c>
      <c r="R30" s="1027">
        <f>ROUND(O30/References!$B$11,2)</f>
        <v>0.05</v>
      </c>
      <c r="S30" s="158"/>
    </row>
    <row r="31" spans="1:19" s="134" customFormat="1" ht="12" customHeight="1">
      <c r="A31" s="137" t="s">
        <v>293</v>
      </c>
      <c r="B31" s="137" t="s">
        <v>294</v>
      </c>
      <c r="C31" s="157">
        <v>6.62</v>
      </c>
      <c r="D31" s="157"/>
      <c r="E31" s="159">
        <v>2802.3600000000006</v>
      </c>
      <c r="F31" s="159">
        <v>2681.8599999999997</v>
      </c>
      <c r="G31" s="159"/>
      <c r="H31" s="158">
        <f t="shared" si="0"/>
        <v>5484.22</v>
      </c>
      <c r="J31" s="153">
        <f t="shared" si="1"/>
        <v>69.036002014098685</v>
      </c>
      <c r="K31" s="183">
        <f t="shared" si="2"/>
        <v>69.036002014098685</v>
      </c>
      <c r="L31" s="153"/>
      <c r="M31" s="160">
        <f t="shared" si="3"/>
        <v>828.43202416918427</v>
      </c>
      <c r="O31" s="158">
        <f t="shared" si="4"/>
        <v>0.38287245510706552</v>
      </c>
      <c r="P31" s="158">
        <f t="shared" si="5"/>
        <v>317.18380298297143</v>
      </c>
      <c r="Q31" s="158">
        <f t="shared" si="6"/>
        <v>7.0028724551070658</v>
      </c>
      <c r="R31" s="1027">
        <f>ROUND(O31/References!$B$11,2)</f>
        <v>0.09</v>
      </c>
      <c r="S31" s="158"/>
    </row>
    <row r="32" spans="1:19" s="134" customFormat="1" ht="12" customHeight="1">
      <c r="A32" s="137" t="s">
        <v>428</v>
      </c>
      <c r="B32" s="137" t="s">
        <v>429</v>
      </c>
      <c r="C32" s="157">
        <v>3.46</v>
      </c>
      <c r="D32" s="157"/>
      <c r="E32" s="159">
        <v>0.8</v>
      </c>
      <c r="F32" s="159">
        <v>8.49</v>
      </c>
      <c r="G32" s="159"/>
      <c r="H32" s="158">
        <f t="shared" si="0"/>
        <v>9.2900000000000009</v>
      </c>
      <c r="J32" s="153">
        <f t="shared" si="1"/>
        <v>0.22374759152215803</v>
      </c>
      <c r="K32" s="183">
        <f t="shared" si="2"/>
        <v>0.22374759152215803</v>
      </c>
      <c r="L32" s="153"/>
      <c r="M32" s="160">
        <f t="shared" si="3"/>
        <v>2.6849710982658963</v>
      </c>
      <c r="O32" s="158">
        <f t="shared" si="4"/>
        <v>0.20011158529765055</v>
      </c>
      <c r="P32" s="158">
        <f t="shared" si="5"/>
        <v>0.53729382295236239</v>
      </c>
      <c r="Q32" s="158">
        <f t="shared" si="6"/>
        <v>3.6601115852976505</v>
      </c>
      <c r="R32" s="1027">
        <f>ROUND(O32/References!$B$11,2)</f>
        <v>0.05</v>
      </c>
      <c r="S32" s="158"/>
    </row>
    <row r="33" spans="1:19" s="134" customFormat="1" ht="12" customHeight="1">
      <c r="A33" s="137" t="s">
        <v>297</v>
      </c>
      <c r="B33" s="137" t="s">
        <v>298</v>
      </c>
      <c r="C33" s="157">
        <v>21.86</v>
      </c>
      <c r="D33" s="157"/>
      <c r="E33" s="159">
        <v>109.3</v>
      </c>
      <c r="F33" s="159">
        <v>109.3</v>
      </c>
      <c r="G33" s="159"/>
      <c r="H33" s="158">
        <f t="shared" si="0"/>
        <v>218.6</v>
      </c>
      <c r="J33" s="153">
        <f t="shared" si="1"/>
        <v>0.83333333333333337</v>
      </c>
      <c r="K33" s="183">
        <f t="shared" si="2"/>
        <v>0.83333333333333337</v>
      </c>
      <c r="L33" s="153"/>
      <c r="M33" s="160">
        <f t="shared" si="3"/>
        <v>10</v>
      </c>
      <c r="O33" s="158">
        <f t="shared" si="4"/>
        <v>1.2642888019094338</v>
      </c>
      <c r="P33" s="158">
        <f t="shared" si="5"/>
        <v>12.642888019094338</v>
      </c>
      <c r="Q33" s="158">
        <f t="shared" si="6"/>
        <v>23.124288801909433</v>
      </c>
      <c r="S33" s="136"/>
    </row>
    <row r="34" spans="1:19" s="136" customFormat="1" ht="12" customHeight="1">
      <c r="A34" s="137" t="s">
        <v>299</v>
      </c>
      <c r="B34" s="137" t="s">
        <v>300</v>
      </c>
      <c r="C34" s="157">
        <v>13.12</v>
      </c>
      <c r="D34" s="157"/>
      <c r="E34" s="159">
        <v>984</v>
      </c>
      <c r="F34" s="159">
        <v>774.07999999999993</v>
      </c>
      <c r="G34" s="159"/>
      <c r="H34" s="158">
        <f t="shared" si="0"/>
        <v>1758.08</v>
      </c>
      <c r="J34" s="153">
        <f t="shared" si="1"/>
        <v>11.166666666666666</v>
      </c>
      <c r="K34" s="183">
        <f t="shared" si="2"/>
        <v>11.166666666666666</v>
      </c>
      <c r="L34" s="153"/>
      <c r="M34" s="160">
        <f t="shared" si="3"/>
        <v>134</v>
      </c>
      <c r="O34" s="158">
        <f t="shared" si="4"/>
        <v>0.75880462401883675</v>
      </c>
      <c r="P34" s="158">
        <f t="shared" si="5"/>
        <v>101.67981961852412</v>
      </c>
      <c r="Q34" s="158">
        <f t="shared" si="6"/>
        <v>13.878804624018835</v>
      </c>
    </row>
    <row r="35" spans="1:19" s="136" customFormat="1" ht="12" customHeight="1">
      <c r="A35" s="137" t="s">
        <v>430</v>
      </c>
      <c r="B35" s="137" t="s">
        <v>431</v>
      </c>
      <c r="C35" s="157">
        <v>102</v>
      </c>
      <c r="D35" s="157"/>
      <c r="E35" s="159">
        <v>25.5</v>
      </c>
      <c r="F35" s="159">
        <v>0</v>
      </c>
      <c r="G35" s="159"/>
      <c r="H35" s="158">
        <f t="shared" si="0"/>
        <v>25.5</v>
      </c>
      <c r="J35" s="153">
        <f t="shared" si="1"/>
        <v>2.0833333333333332E-2</v>
      </c>
      <c r="K35" s="183">
        <f t="shared" si="2"/>
        <v>2.0833333333333332E-2</v>
      </c>
      <c r="L35" s="153"/>
      <c r="M35" s="160">
        <f t="shared" si="3"/>
        <v>0.25</v>
      </c>
      <c r="O35" s="158">
        <f t="shared" si="4"/>
        <v>5.8992432660001031</v>
      </c>
      <c r="P35" s="158">
        <f t="shared" si="5"/>
        <v>1.4748108165000258</v>
      </c>
      <c r="Q35" s="158">
        <f t="shared" si="6"/>
        <v>107.8992432660001</v>
      </c>
    </row>
    <row r="36" spans="1:19" s="136" customFormat="1" ht="12" customHeight="1" thickBot="1">
      <c r="A36" s="161"/>
      <c r="B36" s="161"/>
      <c r="C36" s="157"/>
      <c r="D36" s="157"/>
      <c r="E36" s="153"/>
      <c r="F36" s="153"/>
      <c r="G36" s="153"/>
      <c r="H36" s="158"/>
      <c r="K36" s="183"/>
      <c r="L36" s="153"/>
    </row>
    <row r="37" spans="1:19" s="134" customFormat="1" ht="12" customHeight="1" thickBot="1">
      <c r="A37" s="162"/>
      <c r="B37" s="163" t="s">
        <v>301</v>
      </c>
      <c r="C37" s="157"/>
      <c r="D37" s="157"/>
      <c r="E37" s="164">
        <f>SUM(E12:E36)</f>
        <v>490435.65499999997</v>
      </c>
      <c r="F37" s="164">
        <f>SUM(F12:F36)</f>
        <v>493562.13499999995</v>
      </c>
      <c r="G37" s="164"/>
      <c r="H37" s="164">
        <f>SUM(H12:H35)</f>
        <v>983997.78999999992</v>
      </c>
      <c r="J37" s="153"/>
      <c r="K37" s="169">
        <f>SUM(K12:K22)</f>
        <v>3300.0865453108131</v>
      </c>
      <c r="L37" s="159"/>
      <c r="P37" s="164">
        <f>SUM(P12:P35)</f>
        <v>56910.218984475323</v>
      </c>
      <c r="Q37" s="1000"/>
    </row>
    <row r="38" spans="1:19" s="136" customFormat="1" ht="12" customHeight="1">
      <c r="A38" s="155"/>
      <c r="B38" s="180"/>
      <c r="C38" s="157"/>
      <c r="D38" s="157"/>
      <c r="E38" s="184"/>
      <c r="F38" s="184"/>
      <c r="H38" s="158"/>
      <c r="J38" s="153"/>
      <c r="K38" s="183"/>
      <c r="L38" s="153"/>
    </row>
    <row r="39" spans="1:19" s="136" customFormat="1" ht="12" customHeight="1">
      <c r="A39" s="156" t="s">
        <v>432</v>
      </c>
      <c r="B39" s="156" t="s">
        <v>432</v>
      </c>
      <c r="C39" s="157"/>
      <c r="D39" s="157"/>
      <c r="E39" s="184"/>
      <c r="F39" s="184"/>
      <c r="H39" s="158"/>
      <c r="J39" s="153"/>
      <c r="K39" s="183"/>
      <c r="L39" s="153"/>
    </row>
    <row r="40" spans="1:19" s="136" customFormat="1" ht="12" customHeight="1">
      <c r="A40" s="152" t="s">
        <v>433</v>
      </c>
      <c r="B40" s="152" t="s">
        <v>434</v>
      </c>
      <c r="C40" s="157">
        <v>9.98</v>
      </c>
      <c r="D40" s="157"/>
      <c r="E40" s="159">
        <v>1716.56</v>
      </c>
      <c r="F40" s="159">
        <v>1976.04</v>
      </c>
      <c r="G40" s="159"/>
      <c r="H40" s="158">
        <f>SUM(E40:F40)</f>
        <v>3692.6</v>
      </c>
      <c r="J40" s="153">
        <f>IFERROR((H40/$C40)/12,0)</f>
        <v>30.833333333333332</v>
      </c>
      <c r="K40" s="183">
        <f t="shared" ref="K40" si="7">J40</f>
        <v>30.833333333333332</v>
      </c>
      <c r="L40" s="153"/>
      <c r="M40" s="160">
        <f t="shared" ref="M40" si="8">H40/C40</f>
        <v>370</v>
      </c>
      <c r="O40" s="158">
        <f>C40*$P$3</f>
        <v>4.4869920763408846</v>
      </c>
      <c r="P40" s="158">
        <f>M40*O40</f>
        <v>1660.1870682461274</v>
      </c>
      <c r="Q40" s="158">
        <f>C40+O40</f>
        <v>14.466992076340885</v>
      </c>
    </row>
    <row r="41" spans="1:19" s="136" customFormat="1" ht="12" customHeight="1" thickBot="1">
      <c r="A41" s="185"/>
      <c r="B41" s="137"/>
      <c r="C41" s="157"/>
      <c r="D41" s="157"/>
      <c r="E41" s="153"/>
      <c r="F41" s="153"/>
      <c r="G41" s="153"/>
      <c r="H41" s="153"/>
      <c r="J41" s="153"/>
      <c r="K41" s="137"/>
      <c r="L41" s="153"/>
    </row>
    <row r="42" spans="1:19" s="134" customFormat="1" ht="12" customHeight="1" thickBot="1">
      <c r="A42" s="162"/>
      <c r="B42" s="163" t="s">
        <v>435</v>
      </c>
      <c r="C42" s="157"/>
      <c r="D42" s="157"/>
      <c r="E42" s="164">
        <f t="shared" ref="E42" si="9">SUM(E40:E41)</f>
        <v>1716.56</v>
      </c>
      <c r="F42" s="164">
        <f t="shared" ref="F42:H42" si="10">SUM(F40:F41)</f>
        <v>1976.04</v>
      </c>
      <c r="G42" s="164"/>
      <c r="H42" s="164">
        <f t="shared" si="10"/>
        <v>3692.6</v>
      </c>
      <c r="J42" s="153"/>
      <c r="K42" s="165">
        <f>SUM(K40:K41)</f>
        <v>30.833333333333332</v>
      </c>
      <c r="L42" s="159"/>
      <c r="P42" s="165">
        <f>SUM(P40:P41)</f>
        <v>1660.1870682461274</v>
      </c>
    </row>
    <row r="43" spans="1:19" s="134" customFormat="1" ht="12" customHeight="1">
      <c r="A43" s="181"/>
      <c r="B43" s="181"/>
      <c r="C43" s="157"/>
      <c r="D43" s="157"/>
      <c r="E43" s="177"/>
      <c r="F43" s="177"/>
      <c r="H43" s="158"/>
      <c r="J43" s="153"/>
      <c r="L43" s="159"/>
    </row>
    <row r="44" spans="1:19" s="136" customFormat="1" ht="12" customHeight="1">
      <c r="C44" s="157"/>
      <c r="D44" s="157"/>
      <c r="H44" s="158"/>
      <c r="J44" s="153"/>
      <c r="K44" s="137"/>
      <c r="L44" s="153"/>
    </row>
    <row r="45" spans="1:19" ht="12" customHeight="1">
      <c r="A45" s="166" t="s">
        <v>302</v>
      </c>
      <c r="B45" s="166" t="s">
        <v>302</v>
      </c>
    </row>
    <row r="46" spans="1:19" ht="12" customHeight="1">
      <c r="A46" s="166"/>
      <c r="B46" s="166"/>
    </row>
    <row r="47" spans="1:19" s="136" customFormat="1" ht="39" customHeight="1">
      <c r="A47" s="156" t="s">
        <v>303</v>
      </c>
      <c r="B47" s="156" t="s">
        <v>303</v>
      </c>
      <c r="C47" s="157"/>
      <c r="D47" s="157"/>
      <c r="H47" s="158"/>
      <c r="J47" s="153"/>
      <c r="K47" s="137"/>
      <c r="L47" s="153"/>
      <c r="R47" s="149" t="s">
        <v>2061</v>
      </c>
    </row>
    <row r="48" spans="1:19" s="136" customFormat="1" ht="12" customHeight="1">
      <c r="A48" s="137" t="s">
        <v>304</v>
      </c>
      <c r="B48" s="137" t="s">
        <v>305</v>
      </c>
      <c r="C48" s="157">
        <v>63.74</v>
      </c>
      <c r="D48" s="157"/>
      <c r="E48" s="159">
        <v>96423.53</v>
      </c>
      <c r="F48" s="159">
        <v>95849.959999999992</v>
      </c>
      <c r="G48" s="159"/>
      <c r="H48" s="158">
        <f>SUM(E48:F48)</f>
        <v>192273.49</v>
      </c>
      <c r="J48" s="153">
        <f>IFERROR((H48/$C48)/12,0)</f>
        <v>251.37732716243067</v>
      </c>
      <c r="K48" s="183">
        <f>J48</f>
        <v>251.37732716243067</v>
      </c>
      <c r="L48" s="153">
        <f>+K48</f>
        <v>251.37732716243067</v>
      </c>
      <c r="M48" s="160">
        <f>H48/C48</f>
        <v>3016.5279259491681</v>
      </c>
      <c r="O48" s="158">
        <f t="shared" ref="O48:O111" si="11">C48*$P$2</f>
        <v>3.6864486840671233</v>
      </c>
      <c r="P48" s="158">
        <f t="shared" ref="P48:P111" si="12">M48*O48</f>
        <v>11120.27540306704</v>
      </c>
      <c r="Q48" s="158">
        <f t="shared" ref="Q48:Q111" si="13">C48+O48</f>
        <v>67.426448684067125</v>
      </c>
      <c r="R48" s="1027">
        <f>ROUND(O48/References!$B$11,2)</f>
        <v>0.85</v>
      </c>
    </row>
    <row r="49" spans="1:20" s="136" customFormat="1" ht="12" customHeight="1">
      <c r="A49" s="137" t="s">
        <v>436</v>
      </c>
      <c r="B49" s="137" t="s">
        <v>437</v>
      </c>
      <c r="C49" s="157">
        <v>14.72</v>
      </c>
      <c r="D49" s="157"/>
      <c r="E49" s="159">
        <v>86.94</v>
      </c>
      <c r="F49" s="159">
        <v>87.4</v>
      </c>
      <c r="G49" s="159"/>
      <c r="H49" s="158">
        <f t="shared" ref="H49:H112" si="14">SUM(E49:F49)</f>
        <v>174.34</v>
      </c>
      <c r="J49" s="153">
        <f t="shared" ref="J49:J112" si="15">IFERROR((H49/$C49)/12,0)</f>
        <v>0.98697916666666663</v>
      </c>
      <c r="K49" s="183">
        <f t="shared" ref="K49:K112" si="16">J49</f>
        <v>0.98697916666666663</v>
      </c>
      <c r="L49" s="153">
        <f>+K49</f>
        <v>0.98697916666666663</v>
      </c>
      <c r="M49" s="160">
        <f t="shared" ref="M49:M112" si="17">H49/C49</f>
        <v>11.84375</v>
      </c>
      <c r="O49" s="158">
        <f t="shared" si="11"/>
        <v>0.85134177328942662</v>
      </c>
      <c r="P49" s="158">
        <f t="shared" si="12"/>
        <v>10.083079127396646</v>
      </c>
      <c r="Q49" s="158">
        <f t="shared" si="13"/>
        <v>15.571341773289427</v>
      </c>
    </row>
    <row r="50" spans="1:20" s="136" customFormat="1" ht="12" customHeight="1">
      <c r="A50" s="137" t="s">
        <v>438</v>
      </c>
      <c r="B50" s="137" t="s">
        <v>439</v>
      </c>
      <c r="C50" s="157">
        <v>191.21</v>
      </c>
      <c r="D50" s="157"/>
      <c r="E50" s="159">
        <v>1147.26</v>
      </c>
      <c r="F50" s="159">
        <v>1147.26</v>
      </c>
      <c r="G50" s="159"/>
      <c r="H50" s="158">
        <f t="shared" si="14"/>
        <v>2294.52</v>
      </c>
      <c r="J50" s="153">
        <f t="shared" si="15"/>
        <v>1</v>
      </c>
      <c r="K50" s="183">
        <f t="shared" si="16"/>
        <v>1</v>
      </c>
      <c r="L50" s="153">
        <f>+K50</f>
        <v>1</v>
      </c>
      <c r="M50" s="160">
        <f t="shared" si="17"/>
        <v>12</v>
      </c>
      <c r="O50" s="158">
        <f t="shared" si="11"/>
        <v>11.058767695018428</v>
      </c>
      <c r="P50" s="158">
        <f t="shared" si="12"/>
        <v>132.70521234022112</v>
      </c>
      <c r="Q50" s="158">
        <f t="shared" si="13"/>
        <v>202.26876769501843</v>
      </c>
    </row>
    <row r="51" spans="1:20" s="136" customFormat="1" ht="12" customHeight="1">
      <c r="A51" s="137" t="s">
        <v>440</v>
      </c>
      <c r="B51" s="137" t="s">
        <v>441</v>
      </c>
      <c r="C51" s="157">
        <v>22.21</v>
      </c>
      <c r="D51" s="157"/>
      <c r="E51" s="159">
        <v>621.88</v>
      </c>
      <c r="F51" s="159">
        <v>666.3</v>
      </c>
      <c r="G51" s="159"/>
      <c r="H51" s="158">
        <f t="shared" si="14"/>
        <v>1288.1799999999998</v>
      </c>
      <c r="J51" s="153">
        <f t="shared" si="15"/>
        <v>4.833333333333333</v>
      </c>
      <c r="K51" s="183">
        <f t="shared" si="16"/>
        <v>4.833333333333333</v>
      </c>
      <c r="L51" s="153">
        <f>+K51</f>
        <v>4.833333333333333</v>
      </c>
      <c r="M51" s="160">
        <f t="shared" si="17"/>
        <v>57.999999999999993</v>
      </c>
      <c r="O51" s="158">
        <f t="shared" si="11"/>
        <v>1.2845313033123753</v>
      </c>
      <c r="P51" s="158">
        <f t="shared" si="12"/>
        <v>74.502815592117756</v>
      </c>
      <c r="Q51" s="158">
        <f t="shared" si="13"/>
        <v>23.494531303312375</v>
      </c>
    </row>
    <row r="52" spans="1:20" s="136" customFormat="1" ht="12" customHeight="1">
      <c r="A52" s="137" t="s">
        <v>306</v>
      </c>
      <c r="B52" s="137" t="s">
        <v>307</v>
      </c>
      <c r="C52" s="157">
        <v>96.17</v>
      </c>
      <c r="D52" s="157"/>
      <c r="E52" s="159">
        <v>56157.439999999988</v>
      </c>
      <c r="F52" s="159">
        <v>55003.520000000004</v>
      </c>
      <c r="G52" s="159"/>
      <c r="H52" s="158">
        <f t="shared" si="14"/>
        <v>111160.95999999999</v>
      </c>
      <c r="J52" s="153">
        <f t="shared" si="15"/>
        <v>96.323316349519942</v>
      </c>
      <c r="K52" s="183">
        <f t="shared" si="16"/>
        <v>96.323316349519942</v>
      </c>
      <c r="L52" s="153">
        <f>+K52</f>
        <v>96.323316349519942</v>
      </c>
      <c r="M52" s="160">
        <f t="shared" si="17"/>
        <v>1155.8797961942394</v>
      </c>
      <c r="O52" s="158">
        <f t="shared" si="11"/>
        <v>5.5620610283453908</v>
      </c>
      <c r="P52" s="158">
        <f t="shared" si="12"/>
        <v>6429.0739678637919</v>
      </c>
      <c r="Q52" s="158">
        <f t="shared" si="13"/>
        <v>101.7320610283454</v>
      </c>
      <c r="R52" s="1027">
        <f>ROUND(O52/References!$B$11,2)</f>
        <v>1.28</v>
      </c>
    </row>
    <row r="53" spans="1:20" s="136" customFormat="1" ht="12" customHeight="1">
      <c r="A53" s="137" t="s">
        <v>308</v>
      </c>
      <c r="B53" s="137" t="s">
        <v>309</v>
      </c>
      <c r="C53" s="157">
        <v>192.34</v>
      </c>
      <c r="D53" s="157"/>
      <c r="E53" s="159">
        <v>3461.9399999999996</v>
      </c>
      <c r="F53" s="159">
        <v>2211.7900000000004</v>
      </c>
      <c r="G53" s="159"/>
      <c r="H53" s="158">
        <f t="shared" si="14"/>
        <v>5673.73</v>
      </c>
      <c r="J53" s="153">
        <f t="shared" si="15"/>
        <v>2.4582033551696645</v>
      </c>
      <c r="K53" s="183">
        <f t="shared" si="16"/>
        <v>2.4582033551696645</v>
      </c>
      <c r="L53" s="153">
        <f>+K53*2</f>
        <v>4.916406710339329</v>
      </c>
      <c r="M53" s="160">
        <f t="shared" si="17"/>
        <v>29.498440262035974</v>
      </c>
      <c r="O53" s="158">
        <f t="shared" si="11"/>
        <v>11.124122056690782</v>
      </c>
      <c r="P53" s="158">
        <f t="shared" si="12"/>
        <v>328.14424995688978</v>
      </c>
      <c r="Q53" s="158">
        <f t="shared" si="13"/>
        <v>203.4641220566908</v>
      </c>
    </row>
    <row r="54" spans="1:20" s="136" customFormat="1" ht="12" customHeight="1">
      <c r="A54" s="137" t="s">
        <v>310</v>
      </c>
      <c r="B54" s="137" t="s">
        <v>311</v>
      </c>
      <c r="C54" s="157">
        <v>288.51</v>
      </c>
      <c r="D54" s="157"/>
      <c r="E54" s="159">
        <v>1731</v>
      </c>
      <c r="F54" s="159">
        <v>1731</v>
      </c>
      <c r="G54" s="159"/>
      <c r="H54" s="158">
        <f t="shared" si="14"/>
        <v>3462</v>
      </c>
      <c r="J54" s="153">
        <f t="shared" si="15"/>
        <v>0.9999653391563551</v>
      </c>
      <c r="K54" s="183">
        <f t="shared" si="16"/>
        <v>0.9999653391563551</v>
      </c>
      <c r="L54" s="153">
        <f>+K54*3</f>
        <v>2.9998960174690654</v>
      </c>
      <c r="M54" s="160">
        <f t="shared" si="17"/>
        <v>11.999584069876262</v>
      </c>
      <c r="O54" s="158">
        <f t="shared" si="11"/>
        <v>16.686183085036173</v>
      </c>
      <c r="P54" s="158">
        <f t="shared" si="12"/>
        <v>200.22725673423881</v>
      </c>
      <c r="Q54" s="158">
        <f t="shared" si="13"/>
        <v>305.19618308503618</v>
      </c>
    </row>
    <row r="55" spans="1:20" s="136" customFormat="1" ht="12" customHeight="1">
      <c r="A55" s="137" t="s">
        <v>442</v>
      </c>
      <c r="B55" s="137" t="s">
        <v>443</v>
      </c>
      <c r="C55" s="157">
        <v>192.34</v>
      </c>
      <c r="D55" s="157"/>
      <c r="E55" s="159">
        <v>6539.2199999999993</v>
      </c>
      <c r="F55" s="159">
        <v>6923.8799999999992</v>
      </c>
      <c r="G55" s="159"/>
      <c r="H55" s="158">
        <f t="shared" si="14"/>
        <v>13463.099999999999</v>
      </c>
      <c r="J55" s="153">
        <f t="shared" si="15"/>
        <v>5.8330300509514394</v>
      </c>
      <c r="K55" s="183">
        <f t="shared" si="16"/>
        <v>5.8330300509514394</v>
      </c>
      <c r="L55" s="153">
        <f t="shared" ref="L55:L61" si="18">+K55</f>
        <v>5.8330300509514394</v>
      </c>
      <c r="M55" s="160">
        <f t="shared" si="17"/>
        <v>69.996360611417273</v>
      </c>
      <c r="O55" s="158">
        <f t="shared" si="11"/>
        <v>11.124122056690782</v>
      </c>
      <c r="P55" s="158">
        <f t="shared" si="12"/>
        <v>778.64805896554878</v>
      </c>
      <c r="Q55" s="158">
        <f t="shared" si="13"/>
        <v>203.4641220566908</v>
      </c>
    </row>
    <row r="56" spans="1:20" s="134" customFormat="1" ht="12" customHeight="1">
      <c r="A56" s="137" t="s">
        <v>444</v>
      </c>
      <c r="B56" s="137" t="s">
        <v>445</v>
      </c>
      <c r="C56" s="157">
        <v>288.51</v>
      </c>
      <c r="D56" s="157"/>
      <c r="E56" s="159">
        <v>3462</v>
      </c>
      <c r="F56" s="159">
        <v>3462</v>
      </c>
      <c r="G56" s="159"/>
      <c r="H56" s="158">
        <f t="shared" si="14"/>
        <v>6924</v>
      </c>
      <c r="J56" s="153">
        <f t="shared" si="15"/>
        <v>1.9999306783127102</v>
      </c>
      <c r="K56" s="183">
        <f t="shared" si="16"/>
        <v>1.9999306783127102</v>
      </c>
      <c r="L56" s="159">
        <f t="shared" si="18"/>
        <v>1.9999306783127102</v>
      </c>
      <c r="M56" s="160">
        <f t="shared" si="17"/>
        <v>23.999168139752523</v>
      </c>
      <c r="O56" s="158">
        <f t="shared" si="11"/>
        <v>16.686183085036173</v>
      </c>
      <c r="P56" s="158">
        <f t="shared" si="12"/>
        <v>400.45451346847761</v>
      </c>
      <c r="Q56" s="158">
        <f t="shared" si="13"/>
        <v>305.19618308503618</v>
      </c>
    </row>
    <row r="57" spans="1:20" s="136" customFormat="1" ht="12" customHeight="1">
      <c r="A57" s="137" t="s">
        <v>446</v>
      </c>
      <c r="B57" s="137" t="s">
        <v>447</v>
      </c>
      <c r="C57" s="157">
        <v>29.62</v>
      </c>
      <c r="D57" s="157"/>
      <c r="E57" s="159">
        <v>681.26</v>
      </c>
      <c r="F57" s="159">
        <v>533.16</v>
      </c>
      <c r="G57" s="159"/>
      <c r="H57" s="158">
        <f t="shared" si="14"/>
        <v>1214.42</v>
      </c>
      <c r="J57" s="153">
        <f t="shared" si="15"/>
        <v>3.4166666666666665</v>
      </c>
      <c r="K57" s="183">
        <f t="shared" si="16"/>
        <v>3.4166666666666665</v>
      </c>
      <c r="L57" s="153">
        <f t="shared" si="18"/>
        <v>3.4166666666666665</v>
      </c>
      <c r="M57" s="160">
        <f t="shared" si="17"/>
        <v>41</v>
      </c>
      <c r="O57" s="158">
        <f t="shared" si="11"/>
        <v>1.7130939758717947</v>
      </c>
      <c r="P57" s="158">
        <f t="shared" si="12"/>
        <v>70.236853010743587</v>
      </c>
      <c r="Q57" s="158">
        <f t="shared" si="13"/>
        <v>31.333093975871797</v>
      </c>
    </row>
    <row r="58" spans="1:20" s="136" customFormat="1" ht="12" customHeight="1">
      <c r="A58" s="137" t="s">
        <v>312</v>
      </c>
      <c r="B58" s="137" t="s">
        <v>313</v>
      </c>
      <c r="C58" s="157">
        <v>128.25</v>
      </c>
      <c r="D58" s="157"/>
      <c r="E58" s="159">
        <v>41937.75</v>
      </c>
      <c r="F58" s="159">
        <v>40142.26</v>
      </c>
      <c r="G58" s="159"/>
      <c r="H58" s="158">
        <f t="shared" si="14"/>
        <v>82080.010000000009</v>
      </c>
      <c r="J58" s="153">
        <f t="shared" si="15"/>
        <v>53.333339831059135</v>
      </c>
      <c r="K58" s="183">
        <f t="shared" si="16"/>
        <v>53.333339831059135</v>
      </c>
      <c r="L58" s="153">
        <f t="shared" si="18"/>
        <v>53.333339831059135</v>
      </c>
      <c r="M58" s="160">
        <f t="shared" si="17"/>
        <v>640.00007797270962</v>
      </c>
      <c r="O58" s="158">
        <f t="shared" si="11"/>
        <v>7.4174308712207173</v>
      </c>
      <c r="P58" s="158">
        <f t="shared" si="12"/>
        <v>4747.1563359384427</v>
      </c>
      <c r="Q58" s="158">
        <f t="shared" si="13"/>
        <v>135.66743087122072</v>
      </c>
      <c r="R58" s="1027">
        <f>ROUND(O58/References!$B$11,2)</f>
        <v>1.71</v>
      </c>
    </row>
    <row r="59" spans="1:20" s="136" customFormat="1" ht="12" customHeight="1">
      <c r="A59" s="137" t="s">
        <v>448</v>
      </c>
      <c r="B59" s="137" t="s">
        <v>449</v>
      </c>
      <c r="C59" s="157">
        <v>256.51</v>
      </c>
      <c r="D59" s="157"/>
      <c r="E59" s="159">
        <v>3078</v>
      </c>
      <c r="F59" s="159">
        <v>3078</v>
      </c>
      <c r="G59" s="159"/>
      <c r="H59" s="158">
        <f t="shared" si="14"/>
        <v>6156</v>
      </c>
      <c r="J59" s="153">
        <f t="shared" si="15"/>
        <v>1.9999220303302014</v>
      </c>
      <c r="K59" s="183">
        <f t="shared" si="16"/>
        <v>1.9999220303302014</v>
      </c>
      <c r="L59" s="153">
        <f t="shared" si="18"/>
        <v>1.9999220303302014</v>
      </c>
      <c r="M59" s="160">
        <f t="shared" si="17"/>
        <v>23.999064363962418</v>
      </c>
      <c r="O59" s="158">
        <f t="shared" si="11"/>
        <v>14.835440099624375</v>
      </c>
      <c r="P59" s="158">
        <f t="shared" si="12"/>
        <v>356.03668181859439</v>
      </c>
      <c r="Q59" s="158">
        <f t="shared" si="13"/>
        <v>271.34544009962434</v>
      </c>
    </row>
    <row r="60" spans="1:20" s="136" customFormat="1" ht="12" customHeight="1">
      <c r="A60" s="137" t="s">
        <v>450</v>
      </c>
      <c r="B60" s="137" t="s">
        <v>451</v>
      </c>
      <c r="C60" s="157">
        <v>384.76</v>
      </c>
      <c r="D60" s="157"/>
      <c r="E60" s="159">
        <v>4617.12</v>
      </c>
      <c r="F60" s="159">
        <v>4617.12</v>
      </c>
      <c r="G60" s="159"/>
      <c r="H60" s="158">
        <f t="shared" si="14"/>
        <v>9234.24</v>
      </c>
      <c r="J60" s="153">
        <f t="shared" si="15"/>
        <v>2</v>
      </c>
      <c r="K60" s="183">
        <f t="shared" si="16"/>
        <v>2</v>
      </c>
      <c r="L60" s="153">
        <f t="shared" si="18"/>
        <v>2</v>
      </c>
      <c r="M60" s="160">
        <f t="shared" si="17"/>
        <v>24</v>
      </c>
      <c r="O60" s="158">
        <f t="shared" si="11"/>
        <v>22.252870970845091</v>
      </c>
      <c r="P60" s="158">
        <f t="shared" si="12"/>
        <v>534.06890330028216</v>
      </c>
      <c r="Q60" s="158">
        <f t="shared" si="13"/>
        <v>407.01287097084509</v>
      </c>
    </row>
    <row r="61" spans="1:20" s="136" customFormat="1" ht="12" customHeight="1">
      <c r="A61" s="137" t="s">
        <v>314</v>
      </c>
      <c r="B61" s="137" t="s">
        <v>315</v>
      </c>
      <c r="C61" s="157">
        <v>181.25</v>
      </c>
      <c r="D61" s="157"/>
      <c r="E61" s="159">
        <v>36884.379999999997</v>
      </c>
      <c r="F61" s="159">
        <v>32217.190000000002</v>
      </c>
      <c r="G61" s="159"/>
      <c r="H61" s="158">
        <f t="shared" si="14"/>
        <v>69101.570000000007</v>
      </c>
      <c r="J61" s="153">
        <f t="shared" si="15"/>
        <v>31.770836781609201</v>
      </c>
      <c r="K61" s="183">
        <f t="shared" si="16"/>
        <v>31.770836781609201</v>
      </c>
      <c r="L61" s="153">
        <f t="shared" si="18"/>
        <v>31.770836781609201</v>
      </c>
      <c r="M61" s="160">
        <f t="shared" si="17"/>
        <v>381.2500413793104</v>
      </c>
      <c r="O61" s="158">
        <f t="shared" si="11"/>
        <v>10.482723940809006</v>
      </c>
      <c r="P61" s="158">
        <f t="shared" si="12"/>
        <v>3996.5389362013211</v>
      </c>
      <c r="Q61" s="158">
        <f t="shared" si="13"/>
        <v>191.732723940809</v>
      </c>
      <c r="R61" s="1027">
        <f>ROUND(O61/References!$B$11,2)</f>
        <v>2.42</v>
      </c>
    </row>
    <row r="62" spans="1:20" s="136" customFormat="1" ht="12" customHeight="1">
      <c r="A62" s="137" t="s">
        <v>316</v>
      </c>
      <c r="B62" s="137" t="s">
        <v>317</v>
      </c>
      <c r="C62" s="157">
        <v>362.51</v>
      </c>
      <c r="D62" s="157"/>
      <c r="E62" s="159">
        <v>8246.880000000001</v>
      </c>
      <c r="F62" s="159">
        <v>8609.39</v>
      </c>
      <c r="G62" s="159"/>
      <c r="H62" s="158">
        <f t="shared" si="14"/>
        <v>16856.27</v>
      </c>
      <c r="J62" s="153">
        <f t="shared" si="15"/>
        <v>3.874897703971385</v>
      </c>
      <c r="K62" s="183">
        <f t="shared" si="16"/>
        <v>3.874897703971385</v>
      </c>
      <c r="L62" s="153">
        <f>+K62*2</f>
        <v>7.74979540794277</v>
      </c>
      <c r="M62" s="160">
        <f t="shared" si="17"/>
        <v>46.49877244765662</v>
      </c>
      <c r="O62" s="158">
        <f t="shared" si="11"/>
        <v>20.966026238800954</v>
      </c>
      <c r="P62" s="158">
        <f t="shared" si="12"/>
        <v>974.89448320960355</v>
      </c>
      <c r="Q62" s="158">
        <f t="shared" si="13"/>
        <v>383.47602623880096</v>
      </c>
    </row>
    <row r="63" spans="1:20" s="136" customFormat="1" ht="12" customHeight="1">
      <c r="A63" s="137" t="s">
        <v>452</v>
      </c>
      <c r="B63" s="137" t="s">
        <v>453</v>
      </c>
      <c r="C63" s="157">
        <v>362.51</v>
      </c>
      <c r="D63" s="157"/>
      <c r="E63" s="159">
        <v>8700</v>
      </c>
      <c r="F63" s="159">
        <v>9787.5</v>
      </c>
      <c r="G63" s="159"/>
      <c r="H63" s="158">
        <f t="shared" si="14"/>
        <v>18487.5</v>
      </c>
      <c r="J63" s="153">
        <f t="shared" si="15"/>
        <v>4.2498827618548454</v>
      </c>
      <c r="K63" s="183">
        <f t="shared" si="16"/>
        <v>4.2498827618548454</v>
      </c>
      <c r="L63" s="153">
        <f>+K63</f>
        <v>4.2498827618548454</v>
      </c>
      <c r="M63" s="160">
        <f t="shared" si="17"/>
        <v>50.998593142258144</v>
      </c>
      <c r="O63" s="158">
        <f t="shared" si="11"/>
        <v>20.966026238800954</v>
      </c>
      <c r="P63" s="158">
        <f t="shared" si="12"/>
        <v>1069.2378419625186</v>
      </c>
      <c r="Q63" s="158">
        <f t="shared" si="13"/>
        <v>383.47602623880096</v>
      </c>
      <c r="T63" s="998">
        <f>81.06*4.33*5</f>
        <v>1754.9490000000001</v>
      </c>
    </row>
    <row r="64" spans="1:20" s="136" customFormat="1" ht="12" customHeight="1">
      <c r="A64" s="137" t="s">
        <v>454</v>
      </c>
      <c r="B64" s="137" t="s">
        <v>455</v>
      </c>
      <c r="C64" s="157">
        <v>543.76</v>
      </c>
      <c r="D64" s="157"/>
      <c r="E64" s="159">
        <v>3262.5600000000004</v>
      </c>
      <c r="F64" s="159">
        <v>3262.5600000000004</v>
      </c>
      <c r="G64" s="159"/>
      <c r="H64" s="158">
        <f t="shared" si="14"/>
        <v>6525.1200000000008</v>
      </c>
      <c r="J64" s="153">
        <f t="shared" si="15"/>
        <v>1.0000000000000002</v>
      </c>
      <c r="K64" s="183">
        <f t="shared" si="16"/>
        <v>1.0000000000000002</v>
      </c>
      <c r="L64" s="153">
        <f>+K64</f>
        <v>1.0000000000000002</v>
      </c>
      <c r="M64" s="160">
        <f t="shared" si="17"/>
        <v>12.000000000000002</v>
      </c>
      <c r="O64" s="158">
        <f t="shared" si="11"/>
        <v>31.448750179609959</v>
      </c>
      <c r="P64" s="158">
        <f t="shared" si="12"/>
        <v>377.38500215531957</v>
      </c>
      <c r="Q64" s="158">
        <f t="shared" si="13"/>
        <v>575.20875017960998</v>
      </c>
    </row>
    <row r="65" spans="1:18" s="136" customFormat="1" ht="12" customHeight="1">
      <c r="A65" s="137" t="s">
        <v>318</v>
      </c>
      <c r="B65" s="137" t="s">
        <v>319</v>
      </c>
      <c r="C65" s="157">
        <v>240.83</v>
      </c>
      <c r="D65" s="157"/>
      <c r="E65" s="159">
        <v>20049.099999999999</v>
      </c>
      <c r="F65" s="159">
        <v>18182.68</v>
      </c>
      <c r="G65" s="159"/>
      <c r="H65" s="158">
        <f t="shared" si="14"/>
        <v>38231.78</v>
      </c>
      <c r="J65" s="153">
        <f t="shared" si="15"/>
        <v>13.2291727221138</v>
      </c>
      <c r="K65" s="183">
        <f t="shared" si="16"/>
        <v>13.2291727221138</v>
      </c>
      <c r="L65" s="153">
        <f>+K65</f>
        <v>13.2291727221138</v>
      </c>
      <c r="M65" s="160">
        <f t="shared" si="17"/>
        <v>158.75007266536559</v>
      </c>
      <c r="O65" s="158">
        <f t="shared" si="11"/>
        <v>13.928576036772597</v>
      </c>
      <c r="P65" s="158">
        <f t="shared" si="12"/>
        <v>2211.1624579627196</v>
      </c>
      <c r="Q65" s="158">
        <f t="shared" si="13"/>
        <v>254.75857603677261</v>
      </c>
      <c r="R65" s="1027">
        <f>ROUND(O65/References!$B$11,2)</f>
        <v>3.21</v>
      </c>
    </row>
    <row r="66" spans="1:18" s="136" customFormat="1" ht="12" customHeight="1">
      <c r="A66" s="137" t="s">
        <v>320</v>
      </c>
      <c r="B66" s="137" t="s">
        <v>321</v>
      </c>
      <c r="C66" s="157">
        <v>481.67</v>
      </c>
      <c r="D66" s="157"/>
      <c r="E66" s="159">
        <v>10114.86</v>
      </c>
      <c r="F66" s="159">
        <v>8067.81</v>
      </c>
      <c r="G66" s="159"/>
      <c r="H66" s="158">
        <f t="shared" si="14"/>
        <v>18182.670000000002</v>
      </c>
      <c r="J66" s="153">
        <f t="shared" si="15"/>
        <v>3.1457688874125438</v>
      </c>
      <c r="K66" s="183">
        <f t="shared" si="16"/>
        <v>3.1457688874125438</v>
      </c>
      <c r="L66" s="153">
        <f>+K66*2</f>
        <v>6.2915377748250876</v>
      </c>
      <c r="M66" s="160">
        <f t="shared" si="17"/>
        <v>37.749226648950525</v>
      </c>
      <c r="O66" s="158">
        <f t="shared" si="11"/>
        <v>27.857730430728132</v>
      </c>
      <c r="P66" s="158">
        <f t="shared" si="12"/>
        <v>1051.6077799549223</v>
      </c>
      <c r="Q66" s="158">
        <f t="shared" si="13"/>
        <v>509.52773043072813</v>
      </c>
    </row>
    <row r="67" spans="1:18" s="136" customFormat="1" ht="12" customHeight="1">
      <c r="A67" s="137" t="s">
        <v>456</v>
      </c>
      <c r="B67" s="137" t="s">
        <v>457</v>
      </c>
      <c r="C67" s="157">
        <v>722.5</v>
      </c>
      <c r="D67" s="157"/>
      <c r="E67" s="159">
        <v>4335</v>
      </c>
      <c r="F67" s="159">
        <v>4335</v>
      </c>
      <c r="G67" s="159"/>
      <c r="H67" s="158">
        <f t="shared" si="14"/>
        <v>8670</v>
      </c>
      <c r="J67" s="153">
        <f t="shared" si="15"/>
        <v>1</v>
      </c>
      <c r="K67" s="183">
        <f t="shared" si="16"/>
        <v>1</v>
      </c>
      <c r="L67" s="153">
        <f>+K67</f>
        <v>1</v>
      </c>
      <c r="M67" s="160">
        <f t="shared" si="17"/>
        <v>12</v>
      </c>
      <c r="O67" s="158">
        <f t="shared" si="11"/>
        <v>41.786306467500729</v>
      </c>
      <c r="P67" s="158">
        <f t="shared" si="12"/>
        <v>501.43567761000872</v>
      </c>
      <c r="Q67" s="158">
        <f t="shared" si="13"/>
        <v>764.28630646750071</v>
      </c>
    </row>
    <row r="68" spans="1:18" s="136" customFormat="1" ht="12" customHeight="1">
      <c r="A68" s="137" t="s">
        <v>458</v>
      </c>
      <c r="B68" s="137" t="s">
        <v>459</v>
      </c>
      <c r="C68" s="157">
        <v>963.34</v>
      </c>
      <c r="D68" s="157"/>
      <c r="E68" s="159">
        <v>5779.9800000000005</v>
      </c>
      <c r="F68" s="159">
        <v>5779.9800000000005</v>
      </c>
      <c r="G68" s="159"/>
      <c r="H68" s="158">
        <f t="shared" si="14"/>
        <v>11559.960000000001</v>
      </c>
      <c r="J68" s="153">
        <f t="shared" si="15"/>
        <v>0.99998961944900033</v>
      </c>
      <c r="K68" s="183">
        <f t="shared" si="16"/>
        <v>0.99998961944900033</v>
      </c>
      <c r="L68" s="153">
        <f>+K68</f>
        <v>0.99998961944900033</v>
      </c>
      <c r="M68" s="160">
        <f t="shared" si="17"/>
        <v>11.999875433388004</v>
      </c>
      <c r="O68" s="158">
        <f t="shared" si="11"/>
        <v>55.715460861456265</v>
      </c>
      <c r="P68" s="158">
        <f t="shared" si="12"/>
        <v>668.57859005127989</v>
      </c>
      <c r="Q68" s="158">
        <f t="shared" si="13"/>
        <v>1019.0554608614563</v>
      </c>
    </row>
    <row r="69" spans="1:18" s="136" customFormat="1" ht="12" customHeight="1">
      <c r="A69" s="137" t="s">
        <v>460</v>
      </c>
      <c r="B69" s="137" t="s">
        <v>461</v>
      </c>
      <c r="C69" s="157">
        <v>350.99</v>
      </c>
      <c r="D69" s="157"/>
      <c r="E69" s="159">
        <v>13512.730000000001</v>
      </c>
      <c r="F69" s="159">
        <v>16847.04</v>
      </c>
      <c r="G69" s="159"/>
      <c r="H69" s="158">
        <f t="shared" si="14"/>
        <v>30359.770000000004</v>
      </c>
      <c r="J69" s="153">
        <f t="shared" si="15"/>
        <v>7.2081279618602627</v>
      </c>
      <c r="K69" s="183">
        <f t="shared" si="16"/>
        <v>7.2081279618602627</v>
      </c>
      <c r="L69" s="153">
        <f>+K69</f>
        <v>7.2081279618602627</v>
      </c>
      <c r="M69" s="160">
        <f t="shared" si="17"/>
        <v>86.497535542323149</v>
      </c>
      <c r="O69" s="158">
        <f t="shared" si="11"/>
        <v>20.299758764052708</v>
      </c>
      <c r="P69" s="158">
        <f t="shared" si="12"/>
        <v>1755.8791051942349</v>
      </c>
      <c r="Q69" s="158">
        <f t="shared" si="13"/>
        <v>371.28975876405269</v>
      </c>
      <c r="R69" s="1027">
        <f>ROUND(O69/References!$B$11,2)</f>
        <v>4.68</v>
      </c>
    </row>
    <row r="70" spans="1:18" s="136" customFormat="1" ht="12" customHeight="1">
      <c r="A70" s="137" t="s">
        <v>322</v>
      </c>
      <c r="B70" s="137" t="s">
        <v>323</v>
      </c>
      <c r="C70" s="157">
        <v>701.98</v>
      </c>
      <c r="D70" s="157"/>
      <c r="E70" s="159">
        <v>4211.8200000000006</v>
      </c>
      <c r="F70" s="159">
        <v>4211.8200000000006</v>
      </c>
      <c r="G70" s="159"/>
      <c r="H70" s="158">
        <f t="shared" si="14"/>
        <v>8423.6400000000012</v>
      </c>
      <c r="J70" s="153">
        <f t="shared" si="15"/>
        <v>0.99998575457990269</v>
      </c>
      <c r="K70" s="183">
        <f t="shared" si="16"/>
        <v>0.99998575457990269</v>
      </c>
      <c r="L70" s="153">
        <f>+K70*2</f>
        <v>1.9999715091598054</v>
      </c>
      <c r="M70" s="160">
        <f t="shared" si="17"/>
        <v>11.999829054958832</v>
      </c>
      <c r="O70" s="158">
        <f t="shared" si="11"/>
        <v>40.599517528105416</v>
      </c>
      <c r="P70" s="158">
        <f t="shared" si="12"/>
        <v>487.18727005106973</v>
      </c>
      <c r="Q70" s="158">
        <f t="shared" si="13"/>
        <v>742.57951752810538</v>
      </c>
    </row>
    <row r="71" spans="1:18" s="136" customFormat="1" ht="12" customHeight="1">
      <c r="A71" s="137" t="s">
        <v>462</v>
      </c>
      <c r="B71" s="137" t="s">
        <v>463</v>
      </c>
      <c r="C71" s="157">
        <v>701.98</v>
      </c>
      <c r="D71" s="157"/>
      <c r="E71" s="159">
        <v>4211.8200000000006</v>
      </c>
      <c r="F71" s="159">
        <v>4211.8200000000006</v>
      </c>
      <c r="G71" s="159"/>
      <c r="H71" s="158">
        <f t="shared" si="14"/>
        <v>8423.6400000000012</v>
      </c>
      <c r="J71" s="153">
        <f t="shared" si="15"/>
        <v>0.99998575457990269</v>
      </c>
      <c r="K71" s="183">
        <f t="shared" si="16"/>
        <v>0.99998575457990269</v>
      </c>
      <c r="L71" s="153">
        <f>+K71</f>
        <v>0.99998575457990269</v>
      </c>
      <c r="M71" s="160">
        <f t="shared" si="17"/>
        <v>11.999829054958832</v>
      </c>
      <c r="O71" s="158">
        <f t="shared" si="11"/>
        <v>40.599517528105416</v>
      </c>
      <c r="P71" s="158">
        <f t="shared" si="12"/>
        <v>487.18727005106973</v>
      </c>
      <c r="Q71" s="158">
        <f t="shared" si="13"/>
        <v>742.57951752810538</v>
      </c>
    </row>
    <row r="72" spans="1:18" s="136" customFormat="1" ht="12" customHeight="1">
      <c r="A72" s="137" t="s">
        <v>464</v>
      </c>
      <c r="B72" s="137" t="s">
        <v>465</v>
      </c>
      <c r="C72" s="157">
        <v>1403.96</v>
      </c>
      <c r="D72" s="157"/>
      <c r="E72" s="159">
        <v>8423.7000000000007</v>
      </c>
      <c r="F72" s="159">
        <v>8423.7000000000007</v>
      </c>
      <c r="G72" s="159"/>
      <c r="H72" s="158">
        <f t="shared" si="14"/>
        <v>16847.400000000001</v>
      </c>
      <c r="J72" s="153">
        <f t="shared" si="15"/>
        <v>0.99999287728995123</v>
      </c>
      <c r="K72" s="183">
        <f t="shared" si="16"/>
        <v>0.99999287728995123</v>
      </c>
      <c r="L72" s="153">
        <f>+K72</f>
        <v>0.99999287728995123</v>
      </c>
      <c r="M72" s="160">
        <f t="shared" si="17"/>
        <v>11.999914527479415</v>
      </c>
      <c r="O72" s="158">
        <f t="shared" si="11"/>
        <v>81.199035056210832</v>
      </c>
      <c r="P72" s="158">
        <f t="shared" si="12"/>
        <v>974.38148038833469</v>
      </c>
      <c r="Q72" s="158">
        <f t="shared" si="13"/>
        <v>1485.1590350562108</v>
      </c>
    </row>
    <row r="73" spans="1:18" s="136" customFormat="1" ht="12" customHeight="1">
      <c r="A73" s="137" t="s">
        <v>466</v>
      </c>
      <c r="B73" s="137" t="s">
        <v>467</v>
      </c>
      <c r="C73" s="157">
        <v>1754.95</v>
      </c>
      <c r="D73" s="157"/>
      <c r="E73" s="159">
        <v>10382.879999999999</v>
      </c>
      <c r="F73" s="159">
        <v>10382.879999999999</v>
      </c>
      <c r="G73" s="159"/>
      <c r="H73" s="158">
        <f t="shared" si="14"/>
        <v>20765.759999999998</v>
      </c>
      <c r="J73" s="153">
        <f t="shared" si="15"/>
        <v>0.98605658280862685</v>
      </c>
      <c r="K73" s="183">
        <f t="shared" si="16"/>
        <v>0.98605658280862685</v>
      </c>
      <c r="L73" s="153"/>
      <c r="M73" s="160">
        <f t="shared" si="17"/>
        <v>11.832678993703523</v>
      </c>
      <c r="O73" s="158">
        <f t="shared" si="11"/>
        <v>101.49879382026353</v>
      </c>
      <c r="P73" s="158">
        <f t="shared" si="12"/>
        <v>1201.0026455232771</v>
      </c>
      <c r="Q73" s="158">
        <f t="shared" si="13"/>
        <v>1856.4487938202635</v>
      </c>
    </row>
    <row r="74" spans="1:18" s="136" customFormat="1" ht="12" customHeight="1">
      <c r="A74" s="137" t="s">
        <v>468</v>
      </c>
      <c r="B74" s="137" t="s">
        <v>469</v>
      </c>
      <c r="C74" s="157">
        <v>457.46</v>
      </c>
      <c r="D74" s="157"/>
      <c r="E74" s="159">
        <v>2744.7599999999998</v>
      </c>
      <c r="F74" s="159">
        <v>2744.7599999999998</v>
      </c>
      <c r="G74" s="159"/>
      <c r="H74" s="158">
        <f t="shared" si="14"/>
        <v>5489.5199999999995</v>
      </c>
      <c r="J74" s="153">
        <f t="shared" si="15"/>
        <v>1</v>
      </c>
      <c r="K74" s="183">
        <f t="shared" si="16"/>
        <v>1</v>
      </c>
      <c r="L74" s="153">
        <f>+K74</f>
        <v>1</v>
      </c>
      <c r="M74" s="160">
        <f t="shared" si="17"/>
        <v>12</v>
      </c>
      <c r="O74" s="158">
        <f t="shared" si="11"/>
        <v>26.457527690827519</v>
      </c>
      <c r="P74" s="158">
        <f t="shared" si="12"/>
        <v>317.49033228993022</v>
      </c>
      <c r="Q74" s="158">
        <f t="shared" si="13"/>
        <v>483.91752769082751</v>
      </c>
      <c r="R74" s="1027">
        <f>ROUND(O74/References!$B$11,2)</f>
        <v>6.11</v>
      </c>
    </row>
    <row r="75" spans="1:18" s="136" customFormat="1" ht="12" customHeight="1">
      <c r="A75" s="137" t="s">
        <v>470</v>
      </c>
      <c r="B75" s="137" t="s">
        <v>471</v>
      </c>
      <c r="C75" s="157">
        <v>914.93</v>
      </c>
      <c r="D75" s="157"/>
      <c r="E75" s="159">
        <v>5489.5199999999995</v>
      </c>
      <c r="F75" s="159">
        <v>5489.5199999999995</v>
      </c>
      <c r="G75" s="159"/>
      <c r="H75" s="158">
        <f t="shared" si="14"/>
        <v>10979.039999999999</v>
      </c>
      <c r="J75" s="153">
        <f t="shared" si="15"/>
        <v>0.99998907020209193</v>
      </c>
      <c r="K75" s="183">
        <f t="shared" si="16"/>
        <v>0.99998907020209193</v>
      </c>
      <c r="L75" s="153">
        <f>+K75</f>
        <v>0.99998907020209193</v>
      </c>
      <c r="M75" s="160">
        <f t="shared" si="17"/>
        <v>11.999868842425103</v>
      </c>
      <c r="O75" s="158">
        <f t="shared" si="11"/>
        <v>52.915633738837975</v>
      </c>
      <c r="P75" s="158">
        <f t="shared" si="12"/>
        <v>634.98066457986044</v>
      </c>
      <c r="Q75" s="158">
        <f t="shared" si="13"/>
        <v>967.84563373883793</v>
      </c>
    </row>
    <row r="76" spans="1:18" s="136" customFormat="1" ht="12" customHeight="1">
      <c r="A76" s="137" t="s">
        <v>324</v>
      </c>
      <c r="B76" s="137" t="s">
        <v>325</v>
      </c>
      <c r="C76" s="157">
        <v>17.399999999999999</v>
      </c>
      <c r="D76" s="157"/>
      <c r="E76" s="159">
        <v>4963.3499999999995</v>
      </c>
      <c r="F76" s="159">
        <v>5172.1499999999996</v>
      </c>
      <c r="G76" s="159"/>
      <c r="H76" s="158">
        <f t="shared" si="14"/>
        <v>10135.5</v>
      </c>
      <c r="J76" s="153">
        <f t="shared" si="15"/>
        <v>48.541666666666664</v>
      </c>
      <c r="K76" s="183">
        <f t="shared" si="16"/>
        <v>48.541666666666664</v>
      </c>
      <c r="L76" s="153">
        <v>0</v>
      </c>
      <c r="M76" s="160">
        <f t="shared" si="17"/>
        <v>582.5</v>
      </c>
      <c r="O76" s="158">
        <f t="shared" si="11"/>
        <v>1.0063414983176644</v>
      </c>
      <c r="P76" s="158">
        <f t="shared" si="12"/>
        <v>586.19392277003953</v>
      </c>
      <c r="Q76" s="158">
        <f t="shared" si="13"/>
        <v>18.406341498317662</v>
      </c>
    </row>
    <row r="77" spans="1:18" s="136" customFormat="1" ht="12" customHeight="1">
      <c r="A77" s="137" t="s">
        <v>326</v>
      </c>
      <c r="B77" s="137" t="s">
        <v>327</v>
      </c>
      <c r="C77" s="157">
        <v>34.64</v>
      </c>
      <c r="D77" s="157"/>
      <c r="E77" s="159">
        <v>1333.64</v>
      </c>
      <c r="F77" s="159">
        <v>831.3599999999999</v>
      </c>
      <c r="G77" s="159"/>
      <c r="H77" s="158">
        <f t="shared" si="14"/>
        <v>2165</v>
      </c>
      <c r="J77" s="153">
        <f t="shared" si="15"/>
        <v>5.208333333333333</v>
      </c>
      <c r="K77" s="183">
        <f t="shared" si="16"/>
        <v>5.208333333333333</v>
      </c>
      <c r="L77" s="153">
        <v>0</v>
      </c>
      <c r="M77" s="160">
        <f t="shared" si="17"/>
        <v>62.5</v>
      </c>
      <c r="O77" s="158">
        <f t="shared" si="11"/>
        <v>2.0034292817082702</v>
      </c>
      <c r="P77" s="158">
        <f t="shared" si="12"/>
        <v>125.21433010676688</v>
      </c>
      <c r="Q77" s="158">
        <f t="shared" si="13"/>
        <v>36.643429281708272</v>
      </c>
      <c r="R77" s="1027">
        <f>ROUND(O77/References!$B$11/2,2)</f>
        <v>0.23</v>
      </c>
    </row>
    <row r="78" spans="1:18" s="136" customFormat="1" ht="12" customHeight="1">
      <c r="A78" s="137" t="s">
        <v>472</v>
      </c>
      <c r="B78" s="137" t="s">
        <v>473</v>
      </c>
      <c r="C78" s="157">
        <v>51.96</v>
      </c>
      <c r="D78" s="157"/>
      <c r="E78" s="159">
        <v>0</v>
      </c>
      <c r="F78" s="159">
        <v>77.94</v>
      </c>
      <c r="G78" s="159"/>
      <c r="H78" s="158">
        <f t="shared" si="14"/>
        <v>77.94</v>
      </c>
      <c r="J78" s="153">
        <f t="shared" si="15"/>
        <v>0.125</v>
      </c>
      <c r="K78" s="183">
        <f t="shared" si="16"/>
        <v>0.125</v>
      </c>
      <c r="L78" s="153"/>
      <c r="M78" s="160">
        <f t="shared" si="17"/>
        <v>1.5</v>
      </c>
      <c r="O78" s="158">
        <f t="shared" si="11"/>
        <v>3.0051439225624055</v>
      </c>
      <c r="P78" s="158">
        <f t="shared" si="12"/>
        <v>4.5077158838436082</v>
      </c>
      <c r="Q78" s="158">
        <f t="shared" si="13"/>
        <v>54.965143922562405</v>
      </c>
    </row>
    <row r="79" spans="1:18" s="136" customFormat="1" ht="12" customHeight="1">
      <c r="A79" s="137" t="s">
        <v>328</v>
      </c>
      <c r="B79" s="137" t="s">
        <v>329</v>
      </c>
      <c r="C79" s="157">
        <v>32.39</v>
      </c>
      <c r="D79" s="157"/>
      <c r="E79" s="159">
        <v>5530.5899999999992</v>
      </c>
      <c r="F79" s="159">
        <v>5951.68</v>
      </c>
      <c r="G79" s="159"/>
      <c r="H79" s="158">
        <f t="shared" si="14"/>
        <v>11482.27</v>
      </c>
      <c r="J79" s="153">
        <f t="shared" si="15"/>
        <v>29.541705258824738</v>
      </c>
      <c r="K79" s="183">
        <f t="shared" si="16"/>
        <v>29.541705258824738</v>
      </c>
      <c r="L79" s="153">
        <f>+K79</f>
        <v>29.541705258824738</v>
      </c>
      <c r="M79" s="160">
        <f t="shared" si="17"/>
        <v>354.50046310589687</v>
      </c>
      <c r="O79" s="158">
        <f t="shared" si="11"/>
        <v>1.8732989155465032</v>
      </c>
      <c r="P79" s="158">
        <f t="shared" si="12"/>
        <v>664.08533309700977</v>
      </c>
      <c r="Q79" s="158">
        <f t="shared" si="13"/>
        <v>34.263298915546507</v>
      </c>
    </row>
    <row r="80" spans="1:18" s="136" customFormat="1" ht="12" customHeight="1">
      <c r="A80" s="137" t="s">
        <v>474</v>
      </c>
      <c r="B80" s="137" t="s">
        <v>475</v>
      </c>
      <c r="C80" s="157">
        <v>64.78</v>
      </c>
      <c r="D80" s="157"/>
      <c r="E80" s="159">
        <v>1554.4799999999998</v>
      </c>
      <c r="F80" s="159">
        <v>1554.4799999999998</v>
      </c>
      <c r="G80" s="159"/>
      <c r="H80" s="158">
        <f t="shared" si="14"/>
        <v>3108.9599999999996</v>
      </c>
      <c r="J80" s="153">
        <f t="shared" si="15"/>
        <v>3.9993825254708235</v>
      </c>
      <c r="K80" s="183">
        <f t="shared" si="16"/>
        <v>3.9993825254708235</v>
      </c>
      <c r="L80" s="153">
        <f>K80*2</f>
        <v>7.998765050941647</v>
      </c>
      <c r="M80" s="160">
        <f t="shared" si="17"/>
        <v>47.992590305649884</v>
      </c>
      <c r="O80" s="158">
        <f t="shared" si="11"/>
        <v>3.7465978310930064</v>
      </c>
      <c r="P80" s="158">
        <f t="shared" si="12"/>
        <v>179.80893474768311</v>
      </c>
      <c r="Q80" s="158">
        <f t="shared" si="13"/>
        <v>68.526597831093014</v>
      </c>
      <c r="R80" s="1027">
        <f>ROUND(O80/References!$B$11/2,2)</f>
        <v>0.43</v>
      </c>
    </row>
    <row r="81" spans="1:18" s="136" customFormat="1" ht="12" customHeight="1">
      <c r="A81" s="137" t="s">
        <v>476</v>
      </c>
      <c r="B81" s="137" t="s">
        <v>477</v>
      </c>
      <c r="C81" s="157">
        <v>161.94</v>
      </c>
      <c r="D81" s="157"/>
      <c r="E81" s="159">
        <v>971.6400000000001</v>
      </c>
      <c r="F81" s="159">
        <v>971.6400000000001</v>
      </c>
      <c r="G81" s="159"/>
      <c r="H81" s="158">
        <f t="shared" si="14"/>
        <v>1943.2800000000002</v>
      </c>
      <c r="J81" s="153">
        <f t="shared" si="15"/>
        <v>1.0000000000000002</v>
      </c>
      <c r="K81" s="183">
        <f t="shared" si="16"/>
        <v>1.0000000000000002</v>
      </c>
      <c r="L81" s="153">
        <f>+K81*5</f>
        <v>5.0000000000000009</v>
      </c>
      <c r="M81" s="160">
        <f t="shared" si="17"/>
        <v>12.000000000000002</v>
      </c>
      <c r="O81" s="158">
        <f t="shared" si="11"/>
        <v>9.3659162205495754</v>
      </c>
      <c r="P81" s="158">
        <f t="shared" si="12"/>
        <v>112.39099464659492</v>
      </c>
      <c r="Q81" s="158">
        <f t="shared" si="13"/>
        <v>171.30591622054956</v>
      </c>
    </row>
    <row r="82" spans="1:18" s="136" customFormat="1" ht="12" customHeight="1">
      <c r="A82" s="137" t="s">
        <v>330</v>
      </c>
      <c r="B82" s="137" t="s">
        <v>331</v>
      </c>
      <c r="C82" s="157">
        <v>38.68</v>
      </c>
      <c r="D82" s="157"/>
      <c r="E82" s="159">
        <v>32303.5</v>
      </c>
      <c r="F82" s="159">
        <v>30911.14</v>
      </c>
      <c r="G82" s="159"/>
      <c r="H82" s="158">
        <f t="shared" si="14"/>
        <v>63214.64</v>
      </c>
      <c r="J82" s="153">
        <f t="shared" si="15"/>
        <v>136.19148569458807</v>
      </c>
      <c r="K82" s="183">
        <f t="shared" si="16"/>
        <v>136.19148569458807</v>
      </c>
      <c r="L82" s="153">
        <f>+K82</f>
        <v>136.19148569458807</v>
      </c>
      <c r="M82" s="160">
        <f t="shared" si="17"/>
        <v>1634.2978283350569</v>
      </c>
      <c r="O82" s="158">
        <f t="shared" si="11"/>
        <v>2.2370855836165093</v>
      </c>
      <c r="P82" s="158">
        <f t="shared" si="12"/>
        <v>3656.0641111041245</v>
      </c>
      <c r="Q82" s="158">
        <f t="shared" si="13"/>
        <v>40.917085583616512</v>
      </c>
    </row>
    <row r="83" spans="1:18" s="136" customFormat="1" ht="12" customHeight="1">
      <c r="A83" s="137" t="s">
        <v>332</v>
      </c>
      <c r="B83" s="137" t="s">
        <v>333</v>
      </c>
      <c r="C83" s="157">
        <v>77.33</v>
      </c>
      <c r="D83" s="157"/>
      <c r="E83" s="159">
        <v>7037.0399999999991</v>
      </c>
      <c r="F83" s="159">
        <v>6418.3899999999994</v>
      </c>
      <c r="G83" s="159"/>
      <c r="H83" s="158">
        <f t="shared" si="14"/>
        <v>13455.429999999998</v>
      </c>
      <c r="J83" s="153">
        <f t="shared" si="15"/>
        <v>14.500010776326564</v>
      </c>
      <c r="K83" s="183">
        <f t="shared" si="16"/>
        <v>14.500010776326564</v>
      </c>
      <c r="L83" s="153">
        <f>+K83*2</f>
        <v>29.000021552653127</v>
      </c>
      <c r="M83" s="160">
        <f t="shared" si="17"/>
        <v>174.00012931591877</v>
      </c>
      <c r="O83" s="158">
        <f t="shared" si="11"/>
        <v>4.4724360956841958</v>
      </c>
      <c r="P83" s="158">
        <f t="shared" si="12"/>
        <v>778.20445900623292</v>
      </c>
      <c r="Q83" s="158">
        <f t="shared" si="13"/>
        <v>81.8024360956842</v>
      </c>
      <c r="R83" s="1027">
        <f>ROUND(O83/References!$B$11/2,2)</f>
        <v>0.52</v>
      </c>
    </row>
    <row r="84" spans="1:18" s="136" customFormat="1" ht="12" customHeight="1">
      <c r="A84" s="137" t="s">
        <v>478</v>
      </c>
      <c r="B84" s="137" t="s">
        <v>479</v>
      </c>
      <c r="C84" s="157">
        <v>77.33</v>
      </c>
      <c r="D84" s="157"/>
      <c r="E84" s="159">
        <v>889.3</v>
      </c>
      <c r="F84" s="159">
        <v>463.97999999999996</v>
      </c>
      <c r="G84" s="159"/>
      <c r="H84" s="158">
        <f t="shared" si="14"/>
        <v>1353.28</v>
      </c>
      <c r="J84" s="153">
        <f t="shared" si="15"/>
        <v>1.4583387214966164</v>
      </c>
      <c r="K84" s="183">
        <f t="shared" si="16"/>
        <v>1.4583387214966164</v>
      </c>
      <c r="L84" s="153">
        <f>+K84</f>
        <v>1.4583387214966164</v>
      </c>
      <c r="M84" s="160">
        <f t="shared" si="17"/>
        <v>17.500064657959395</v>
      </c>
      <c r="O84" s="158">
        <f t="shared" si="11"/>
        <v>4.4724360956841958</v>
      </c>
      <c r="P84" s="158">
        <f t="shared" si="12"/>
        <v>78.267920853064894</v>
      </c>
      <c r="Q84" s="158">
        <f t="shared" si="13"/>
        <v>81.8024360956842</v>
      </c>
    </row>
    <row r="85" spans="1:18" s="136" customFormat="1" ht="12" customHeight="1">
      <c r="A85" s="137" t="s">
        <v>480</v>
      </c>
      <c r="B85" s="137" t="s">
        <v>481</v>
      </c>
      <c r="C85" s="157">
        <v>309.33999999999997</v>
      </c>
      <c r="D85" s="157"/>
      <c r="E85" s="159">
        <v>1855.9799999999998</v>
      </c>
      <c r="F85" s="159">
        <v>1855.9799999999998</v>
      </c>
      <c r="G85" s="159"/>
      <c r="H85" s="158">
        <f t="shared" si="14"/>
        <v>3711.9599999999996</v>
      </c>
      <c r="J85" s="153">
        <f t="shared" si="15"/>
        <v>0.99996767311049328</v>
      </c>
      <c r="K85" s="183">
        <f t="shared" si="16"/>
        <v>0.99996767311049328</v>
      </c>
      <c r="L85" s="153">
        <f>+K85*4</f>
        <v>3.9998706924419731</v>
      </c>
      <c r="M85" s="160">
        <f t="shared" si="17"/>
        <v>11.999612077325919</v>
      </c>
      <c r="O85" s="158">
        <f t="shared" si="11"/>
        <v>17.890901097102663</v>
      </c>
      <c r="P85" s="158">
        <f t="shared" si="12"/>
        <v>214.68387287903664</v>
      </c>
      <c r="Q85" s="158">
        <f t="shared" si="13"/>
        <v>327.23090109710262</v>
      </c>
    </row>
    <row r="86" spans="1:18" s="136" customFormat="1" ht="12" customHeight="1">
      <c r="A86" s="137" t="s">
        <v>334</v>
      </c>
      <c r="B86" s="137" t="s">
        <v>335</v>
      </c>
      <c r="C86" s="157">
        <v>11</v>
      </c>
      <c r="D86" s="157"/>
      <c r="E86" s="159">
        <v>198</v>
      </c>
      <c r="F86" s="159">
        <v>121</v>
      </c>
      <c r="G86" s="159"/>
      <c r="H86" s="158">
        <f t="shared" si="14"/>
        <v>319</v>
      </c>
      <c r="J86" s="153">
        <f t="shared" si="15"/>
        <v>2.4166666666666665</v>
      </c>
      <c r="K86" s="183">
        <f t="shared" si="16"/>
        <v>2.4166666666666665</v>
      </c>
      <c r="L86" s="153"/>
      <c r="M86" s="160">
        <f t="shared" si="17"/>
        <v>29</v>
      </c>
      <c r="O86" s="158">
        <f t="shared" si="11"/>
        <v>0.63619290123530514</v>
      </c>
      <c r="P86" s="158">
        <f t="shared" si="12"/>
        <v>18.449594135823848</v>
      </c>
      <c r="Q86" s="158">
        <f t="shared" si="13"/>
        <v>11.636192901235304</v>
      </c>
    </row>
    <row r="87" spans="1:18" s="136" customFormat="1" ht="12" customHeight="1">
      <c r="A87" s="137" t="s">
        <v>350</v>
      </c>
      <c r="B87" s="137" t="s">
        <v>351</v>
      </c>
      <c r="C87" s="157">
        <v>4</v>
      </c>
      <c r="D87" s="157"/>
      <c r="E87" s="159">
        <v>5791.91</v>
      </c>
      <c r="F87" s="159">
        <v>6076</v>
      </c>
      <c r="G87" s="159"/>
      <c r="H87" s="158">
        <f t="shared" si="14"/>
        <v>11867.91</v>
      </c>
      <c r="J87" s="153">
        <f t="shared" si="15"/>
        <v>247.24812499999999</v>
      </c>
      <c r="K87" s="183">
        <f t="shared" si="16"/>
        <v>247.24812499999999</v>
      </c>
      <c r="L87" s="153"/>
      <c r="M87" s="160">
        <f t="shared" si="17"/>
        <v>2966.9775</v>
      </c>
      <c r="O87" s="158">
        <f t="shared" si="11"/>
        <v>0.23134287317647462</v>
      </c>
      <c r="P87" s="158">
        <f t="shared" si="12"/>
        <v>686.38909949995366</v>
      </c>
      <c r="Q87" s="158">
        <f t="shared" si="13"/>
        <v>4.2313428731764748</v>
      </c>
    </row>
    <row r="88" spans="1:18" s="136" customFormat="1" ht="12" customHeight="1">
      <c r="A88" s="137" t="s">
        <v>482</v>
      </c>
      <c r="B88" s="137" t="s">
        <v>483</v>
      </c>
      <c r="C88" s="157">
        <v>3.91</v>
      </c>
      <c r="D88" s="157"/>
      <c r="E88" s="159">
        <v>7.82</v>
      </c>
      <c r="F88" s="159">
        <v>0</v>
      </c>
      <c r="G88" s="159"/>
      <c r="H88" s="158">
        <f t="shared" si="14"/>
        <v>7.82</v>
      </c>
      <c r="J88" s="153">
        <f t="shared" si="15"/>
        <v>0.16666666666666666</v>
      </c>
      <c r="K88" s="183">
        <f t="shared" si="16"/>
        <v>0.16666666666666666</v>
      </c>
      <c r="L88" s="153"/>
      <c r="M88" s="160">
        <f t="shared" si="17"/>
        <v>2</v>
      </c>
      <c r="O88" s="158">
        <f t="shared" si="11"/>
        <v>0.22613765853000395</v>
      </c>
      <c r="P88" s="158">
        <f t="shared" si="12"/>
        <v>0.4522753170600079</v>
      </c>
      <c r="Q88" s="158">
        <f t="shared" si="13"/>
        <v>4.1361376585300045</v>
      </c>
    </row>
    <row r="89" spans="1:18" s="136" customFormat="1" ht="12" customHeight="1">
      <c r="A89" s="137" t="s">
        <v>484</v>
      </c>
      <c r="B89" s="137" t="s">
        <v>485</v>
      </c>
      <c r="C89" s="157">
        <v>3.91</v>
      </c>
      <c r="D89" s="157"/>
      <c r="E89" s="159">
        <v>3.91</v>
      </c>
      <c r="F89" s="159">
        <v>3.91</v>
      </c>
      <c r="G89" s="159"/>
      <c r="H89" s="158">
        <f t="shared" si="14"/>
        <v>7.82</v>
      </c>
      <c r="J89" s="153">
        <f t="shared" si="15"/>
        <v>0.16666666666666666</v>
      </c>
      <c r="K89" s="183">
        <f t="shared" si="16"/>
        <v>0.16666666666666666</v>
      </c>
      <c r="L89" s="153"/>
      <c r="M89" s="160">
        <f t="shared" si="17"/>
        <v>2</v>
      </c>
      <c r="O89" s="158">
        <f t="shared" si="11"/>
        <v>0.22613765853000395</v>
      </c>
      <c r="P89" s="158">
        <f t="shared" si="12"/>
        <v>0.4522753170600079</v>
      </c>
      <c r="Q89" s="158">
        <f t="shared" si="13"/>
        <v>4.1361376585300045</v>
      </c>
    </row>
    <row r="90" spans="1:18" s="136" customFormat="1" ht="12" customHeight="1">
      <c r="A90" s="137" t="s">
        <v>336</v>
      </c>
      <c r="B90" s="137" t="s">
        <v>337</v>
      </c>
      <c r="C90" s="157">
        <v>35.979999999999997</v>
      </c>
      <c r="D90" s="157"/>
      <c r="E90" s="159">
        <v>503.72</v>
      </c>
      <c r="F90" s="159">
        <v>143.91999999999999</v>
      </c>
      <c r="G90" s="159"/>
      <c r="H90" s="158">
        <f t="shared" si="14"/>
        <v>647.64</v>
      </c>
      <c r="J90" s="153">
        <f t="shared" si="15"/>
        <v>1.5</v>
      </c>
      <c r="K90" s="183">
        <f t="shared" si="16"/>
        <v>1.5</v>
      </c>
      <c r="L90" s="153">
        <f t="shared" ref="L90:L100" si="19">+K90</f>
        <v>1.5</v>
      </c>
      <c r="M90" s="160">
        <f t="shared" si="17"/>
        <v>18</v>
      </c>
      <c r="O90" s="158">
        <f t="shared" si="11"/>
        <v>2.0809291442223889</v>
      </c>
      <c r="P90" s="158">
        <f t="shared" si="12"/>
        <v>37.456724596002999</v>
      </c>
      <c r="Q90" s="158">
        <f t="shared" si="13"/>
        <v>38.060929144222385</v>
      </c>
    </row>
    <row r="91" spans="1:18" s="136" customFormat="1" ht="12" customHeight="1">
      <c r="A91" s="137" t="s">
        <v>338</v>
      </c>
      <c r="B91" s="137" t="s">
        <v>339</v>
      </c>
      <c r="C91" s="157">
        <v>51.73</v>
      </c>
      <c r="D91" s="157"/>
      <c r="E91" s="159">
        <v>827.68000000000006</v>
      </c>
      <c r="F91" s="159">
        <v>672.49</v>
      </c>
      <c r="G91" s="159"/>
      <c r="H91" s="158">
        <f t="shared" si="14"/>
        <v>1500.17</v>
      </c>
      <c r="J91" s="153">
        <f t="shared" si="15"/>
        <v>2.416666666666667</v>
      </c>
      <c r="K91" s="183">
        <f t="shared" si="16"/>
        <v>2.416666666666667</v>
      </c>
      <c r="L91" s="153">
        <f t="shared" si="19"/>
        <v>2.416666666666667</v>
      </c>
      <c r="M91" s="160">
        <f t="shared" si="17"/>
        <v>29.000000000000004</v>
      </c>
      <c r="O91" s="158">
        <f t="shared" si="11"/>
        <v>2.9918417073547579</v>
      </c>
      <c r="P91" s="158">
        <f t="shared" si="12"/>
        <v>86.763409513287982</v>
      </c>
      <c r="Q91" s="158">
        <f t="shared" si="13"/>
        <v>54.721841707354756</v>
      </c>
    </row>
    <row r="92" spans="1:18" s="136" customFormat="1" ht="12" customHeight="1">
      <c r="A92" s="137" t="s">
        <v>486</v>
      </c>
      <c r="B92" s="137" t="s">
        <v>487</v>
      </c>
      <c r="C92" s="157">
        <v>60.91</v>
      </c>
      <c r="D92" s="157"/>
      <c r="E92" s="159">
        <v>487.28</v>
      </c>
      <c r="F92" s="159">
        <v>609.09999999999991</v>
      </c>
      <c r="G92" s="159"/>
      <c r="H92" s="158">
        <f t="shared" si="14"/>
        <v>1096.3799999999999</v>
      </c>
      <c r="J92" s="153">
        <f t="shared" si="15"/>
        <v>1.5</v>
      </c>
      <c r="K92" s="183">
        <f t="shared" si="16"/>
        <v>1.5</v>
      </c>
      <c r="L92" s="153">
        <f t="shared" si="19"/>
        <v>1.5</v>
      </c>
      <c r="M92" s="160">
        <f t="shared" si="17"/>
        <v>18</v>
      </c>
      <c r="O92" s="158">
        <f t="shared" si="11"/>
        <v>3.5227736012947672</v>
      </c>
      <c r="P92" s="158">
        <f t="shared" si="12"/>
        <v>63.409924823305808</v>
      </c>
      <c r="Q92" s="158">
        <f t="shared" si="13"/>
        <v>64.43277360129477</v>
      </c>
    </row>
    <row r="93" spans="1:18" s="136" customFormat="1" ht="12" customHeight="1">
      <c r="A93" s="137" t="s">
        <v>488</v>
      </c>
      <c r="B93" s="137" t="s">
        <v>489</v>
      </c>
      <c r="C93" s="157">
        <v>78.459999999999994</v>
      </c>
      <c r="D93" s="157"/>
      <c r="E93" s="159">
        <v>-11</v>
      </c>
      <c r="F93" s="159">
        <v>392.29999999999995</v>
      </c>
      <c r="G93" s="159"/>
      <c r="H93" s="158">
        <f t="shared" si="14"/>
        <v>381.29999999999995</v>
      </c>
      <c r="J93" s="153">
        <f t="shared" si="15"/>
        <v>0.4049834310476676</v>
      </c>
      <c r="K93" s="183">
        <f t="shared" si="16"/>
        <v>0.4049834310476676</v>
      </c>
      <c r="L93" s="153">
        <f t="shared" si="19"/>
        <v>0.4049834310476676</v>
      </c>
      <c r="M93" s="160">
        <f t="shared" si="17"/>
        <v>4.8598011725720109</v>
      </c>
      <c r="O93" s="158">
        <f t="shared" si="11"/>
        <v>4.5377904573565493</v>
      </c>
      <c r="P93" s="158">
        <f t="shared" si="12"/>
        <v>22.052759385547439</v>
      </c>
      <c r="Q93" s="158">
        <f t="shared" si="13"/>
        <v>82.997790457356544</v>
      </c>
    </row>
    <row r="94" spans="1:18" s="136" customFormat="1" ht="12" customHeight="1">
      <c r="A94" s="137" t="s">
        <v>490</v>
      </c>
      <c r="B94" s="137" t="s">
        <v>491</v>
      </c>
      <c r="C94" s="157">
        <v>97.17</v>
      </c>
      <c r="D94" s="157"/>
      <c r="E94" s="159">
        <v>388.68</v>
      </c>
      <c r="F94" s="159">
        <v>971.69999999999993</v>
      </c>
      <c r="G94" s="159"/>
      <c r="H94" s="158">
        <f t="shared" si="14"/>
        <v>1360.3799999999999</v>
      </c>
      <c r="J94" s="153">
        <f t="shared" si="15"/>
        <v>1.1666666666666665</v>
      </c>
      <c r="K94" s="183">
        <f t="shared" si="16"/>
        <v>1.1666666666666665</v>
      </c>
      <c r="L94" s="153">
        <f t="shared" si="19"/>
        <v>1.1666666666666665</v>
      </c>
      <c r="M94" s="160">
        <f t="shared" si="17"/>
        <v>13.999999999999998</v>
      </c>
      <c r="O94" s="158">
        <f t="shared" si="11"/>
        <v>5.61989674663951</v>
      </c>
      <c r="P94" s="158">
        <f t="shared" si="12"/>
        <v>78.678554452953136</v>
      </c>
      <c r="Q94" s="158">
        <f t="shared" si="13"/>
        <v>102.78989674663951</v>
      </c>
    </row>
    <row r="95" spans="1:18" s="136" customFormat="1" ht="12" customHeight="1">
      <c r="A95" s="137" t="s">
        <v>492</v>
      </c>
      <c r="B95" s="137" t="s">
        <v>493</v>
      </c>
      <c r="C95" s="157">
        <v>130.96</v>
      </c>
      <c r="D95" s="157"/>
      <c r="E95" s="159">
        <v>81.06</v>
      </c>
      <c r="F95" s="159">
        <v>0</v>
      </c>
      <c r="G95" s="159"/>
      <c r="H95" s="158">
        <f t="shared" si="14"/>
        <v>81.06</v>
      </c>
      <c r="J95" s="153">
        <f t="shared" si="15"/>
        <v>5.1580635308491142E-2</v>
      </c>
      <c r="K95" s="183">
        <f t="shared" si="16"/>
        <v>5.1580635308491142E-2</v>
      </c>
      <c r="L95" s="153">
        <f t="shared" si="19"/>
        <v>5.1580635308491142E-2</v>
      </c>
      <c r="M95" s="160">
        <f t="shared" si="17"/>
        <v>0.61896762370189373</v>
      </c>
      <c r="O95" s="158">
        <f t="shared" si="11"/>
        <v>7.5741656677977796</v>
      </c>
      <c r="P95" s="158">
        <f t="shared" si="12"/>
        <v>4.6881633249212591</v>
      </c>
      <c r="Q95" s="158">
        <f t="shared" si="13"/>
        <v>138.53416566779779</v>
      </c>
    </row>
    <row r="96" spans="1:18" s="136" customFormat="1" ht="12" customHeight="1">
      <c r="A96" s="137" t="s">
        <v>342</v>
      </c>
      <c r="B96" s="137" t="s">
        <v>343</v>
      </c>
      <c r="C96" s="157">
        <v>25.93</v>
      </c>
      <c r="D96" s="157"/>
      <c r="E96" s="159">
        <v>155.57999999999998</v>
      </c>
      <c r="F96" s="159">
        <v>77.789999999999992</v>
      </c>
      <c r="G96" s="159"/>
      <c r="H96" s="158">
        <f t="shared" si="14"/>
        <v>233.36999999999998</v>
      </c>
      <c r="J96" s="153">
        <f t="shared" si="15"/>
        <v>0.75</v>
      </c>
      <c r="K96" s="183">
        <f t="shared" si="16"/>
        <v>0.75</v>
      </c>
      <c r="L96" s="153">
        <f t="shared" si="19"/>
        <v>0.75</v>
      </c>
      <c r="M96" s="160">
        <f t="shared" si="17"/>
        <v>9</v>
      </c>
      <c r="O96" s="158">
        <f t="shared" si="11"/>
        <v>1.4996801753664968</v>
      </c>
      <c r="P96" s="158">
        <f t="shared" si="12"/>
        <v>13.49712157829847</v>
      </c>
      <c r="Q96" s="158">
        <f t="shared" si="13"/>
        <v>27.429680175366496</v>
      </c>
    </row>
    <row r="97" spans="1:17" s="136" customFormat="1" ht="12" customHeight="1">
      <c r="A97" s="137" t="s">
        <v>340</v>
      </c>
      <c r="B97" s="137" t="s">
        <v>341</v>
      </c>
      <c r="C97" s="157">
        <v>17.2</v>
      </c>
      <c r="D97" s="157"/>
      <c r="E97" s="159">
        <v>86</v>
      </c>
      <c r="F97" s="159">
        <v>137.6</v>
      </c>
      <c r="G97" s="159"/>
      <c r="H97" s="158">
        <f t="shared" si="14"/>
        <v>223.6</v>
      </c>
      <c r="J97" s="153">
        <f t="shared" si="15"/>
        <v>1.0833333333333333</v>
      </c>
      <c r="K97" s="183">
        <f t="shared" si="16"/>
        <v>1.0833333333333333</v>
      </c>
      <c r="L97" s="153">
        <f t="shared" si="19"/>
        <v>1.0833333333333333</v>
      </c>
      <c r="M97" s="160">
        <f t="shared" si="17"/>
        <v>13</v>
      </c>
      <c r="O97" s="158">
        <f t="shared" si="11"/>
        <v>0.99477435465884079</v>
      </c>
      <c r="P97" s="158">
        <f t="shared" si="12"/>
        <v>12.932066610564931</v>
      </c>
      <c r="Q97" s="158">
        <f t="shared" si="13"/>
        <v>18.19477435465884</v>
      </c>
    </row>
    <row r="98" spans="1:17" s="136" customFormat="1" ht="12" customHeight="1">
      <c r="A98" s="137" t="s">
        <v>344</v>
      </c>
      <c r="B98" s="137" t="s">
        <v>345</v>
      </c>
      <c r="C98" s="157">
        <v>35.82</v>
      </c>
      <c r="D98" s="157"/>
      <c r="E98" s="159">
        <v>71.64</v>
      </c>
      <c r="F98" s="159">
        <v>573.12</v>
      </c>
      <c r="G98" s="159"/>
      <c r="H98" s="158">
        <f t="shared" si="14"/>
        <v>644.76</v>
      </c>
      <c r="J98" s="153">
        <f t="shared" si="15"/>
        <v>1.5</v>
      </c>
      <c r="K98" s="183">
        <f t="shared" si="16"/>
        <v>1.5</v>
      </c>
      <c r="L98" s="153">
        <f t="shared" si="19"/>
        <v>1.5</v>
      </c>
      <c r="M98" s="160">
        <f t="shared" si="17"/>
        <v>18</v>
      </c>
      <c r="O98" s="158">
        <f t="shared" si="11"/>
        <v>2.0716754292953303</v>
      </c>
      <c r="P98" s="158">
        <f t="shared" si="12"/>
        <v>37.290157727315943</v>
      </c>
      <c r="Q98" s="158">
        <f t="shared" si="13"/>
        <v>37.891675429295333</v>
      </c>
    </row>
    <row r="99" spans="1:17" s="136" customFormat="1" ht="12" customHeight="1">
      <c r="A99" s="137" t="s">
        <v>346</v>
      </c>
      <c r="B99" s="137" t="s">
        <v>347</v>
      </c>
      <c r="C99" s="157">
        <v>48.05</v>
      </c>
      <c r="D99" s="157"/>
      <c r="E99" s="159">
        <v>384.4</v>
      </c>
      <c r="F99" s="159">
        <v>192.2</v>
      </c>
      <c r="G99" s="159"/>
      <c r="H99" s="158">
        <f t="shared" si="14"/>
        <v>576.59999999999991</v>
      </c>
      <c r="J99" s="153">
        <f t="shared" si="15"/>
        <v>0.99999999999999989</v>
      </c>
      <c r="K99" s="183">
        <f t="shared" si="16"/>
        <v>0.99999999999999989</v>
      </c>
      <c r="L99" s="153">
        <f t="shared" si="19"/>
        <v>0.99999999999999989</v>
      </c>
      <c r="M99" s="160">
        <f t="shared" si="17"/>
        <v>11.999999999999998</v>
      </c>
      <c r="O99" s="158">
        <f t="shared" si="11"/>
        <v>2.7790062640324011</v>
      </c>
      <c r="P99" s="158">
        <f t="shared" si="12"/>
        <v>33.34807516838881</v>
      </c>
      <c r="Q99" s="158">
        <f t="shared" si="13"/>
        <v>50.829006264032401</v>
      </c>
    </row>
    <row r="100" spans="1:17" s="136" customFormat="1" ht="12" customHeight="1">
      <c r="A100" s="137" t="s">
        <v>348</v>
      </c>
      <c r="B100" s="137" t="s">
        <v>349</v>
      </c>
      <c r="C100" s="157">
        <v>63.05</v>
      </c>
      <c r="D100" s="157"/>
      <c r="E100" s="159">
        <v>2585.0499999999997</v>
      </c>
      <c r="F100" s="159">
        <v>2332.85</v>
      </c>
      <c r="G100" s="159"/>
      <c r="H100" s="158">
        <f t="shared" si="14"/>
        <v>4917.8999999999996</v>
      </c>
      <c r="J100" s="153">
        <f t="shared" si="15"/>
        <v>6.5</v>
      </c>
      <c r="K100" s="183">
        <f t="shared" si="16"/>
        <v>6.5</v>
      </c>
      <c r="L100" s="153">
        <f t="shared" si="19"/>
        <v>6.5</v>
      </c>
      <c r="M100" s="160">
        <f t="shared" si="17"/>
        <v>78</v>
      </c>
      <c r="O100" s="158">
        <f t="shared" si="11"/>
        <v>3.6465420384441809</v>
      </c>
      <c r="P100" s="158">
        <f t="shared" si="12"/>
        <v>284.43027899864609</v>
      </c>
      <c r="Q100" s="158">
        <f t="shared" si="13"/>
        <v>66.696542038444179</v>
      </c>
    </row>
    <row r="101" spans="1:17" s="136" customFormat="1" ht="12" customHeight="1">
      <c r="A101" s="137" t="s">
        <v>352</v>
      </c>
      <c r="B101" s="137" t="s">
        <v>353</v>
      </c>
      <c r="C101" s="157">
        <v>19.559999999999999</v>
      </c>
      <c r="D101" s="157"/>
      <c r="E101" s="159">
        <v>3228.3999999999996</v>
      </c>
      <c r="F101" s="159">
        <v>1995.12</v>
      </c>
      <c r="G101" s="159"/>
      <c r="H101" s="158">
        <f t="shared" si="14"/>
        <v>5223.5199999999995</v>
      </c>
      <c r="J101" s="153">
        <f t="shared" si="15"/>
        <v>22.254260395364692</v>
      </c>
      <c r="K101" s="183">
        <f t="shared" si="16"/>
        <v>22.254260395364692</v>
      </c>
      <c r="L101" s="153"/>
      <c r="M101" s="160">
        <f t="shared" si="17"/>
        <v>267.0511247443763</v>
      </c>
      <c r="O101" s="158">
        <f t="shared" si="11"/>
        <v>1.1312666498329609</v>
      </c>
      <c r="P101" s="158">
        <f t="shared" si="12"/>
        <v>302.10603122369469</v>
      </c>
      <c r="Q101" s="158">
        <f t="shared" si="13"/>
        <v>20.691266649832961</v>
      </c>
    </row>
    <row r="102" spans="1:17" s="136" customFormat="1" ht="12" customHeight="1">
      <c r="A102" s="137" t="s">
        <v>354</v>
      </c>
      <c r="B102" s="137" t="s">
        <v>355</v>
      </c>
      <c r="C102" s="157">
        <v>12.15</v>
      </c>
      <c r="D102" s="157"/>
      <c r="E102" s="159">
        <v>7414.54</v>
      </c>
      <c r="F102" s="159">
        <v>7156.36</v>
      </c>
      <c r="G102" s="159"/>
      <c r="H102" s="158">
        <f t="shared" si="14"/>
        <v>14570.9</v>
      </c>
      <c r="J102" s="153">
        <f t="shared" si="15"/>
        <v>99.937585733882031</v>
      </c>
      <c r="K102" s="183">
        <f t="shared" si="16"/>
        <v>99.937585733882031</v>
      </c>
      <c r="L102" s="153"/>
      <c r="M102" s="160">
        <f t="shared" si="17"/>
        <v>1199.2510288065844</v>
      </c>
      <c r="O102" s="158">
        <f t="shared" si="11"/>
        <v>0.70270397727354172</v>
      </c>
      <c r="P102" s="158">
        <f t="shared" si="12"/>
        <v>842.71846769177364</v>
      </c>
      <c r="Q102" s="158">
        <f t="shared" si="13"/>
        <v>12.852703977273542</v>
      </c>
    </row>
    <row r="103" spans="1:17" s="136" customFormat="1" ht="12" customHeight="1">
      <c r="A103" s="137" t="s">
        <v>356</v>
      </c>
      <c r="B103" s="137" t="s">
        <v>357</v>
      </c>
      <c r="C103" s="157">
        <v>24.53</v>
      </c>
      <c r="D103" s="157"/>
      <c r="E103" s="159">
        <v>71.36</v>
      </c>
      <c r="F103" s="159">
        <v>128.22499999999999</v>
      </c>
      <c r="G103" s="159"/>
      <c r="H103" s="158">
        <f t="shared" si="14"/>
        <v>199.58499999999998</v>
      </c>
      <c r="J103" s="153">
        <f t="shared" si="15"/>
        <v>0.67803030303030287</v>
      </c>
      <c r="K103" s="183">
        <f t="shared" si="16"/>
        <v>0.67803030303030287</v>
      </c>
      <c r="L103" s="153"/>
      <c r="M103" s="160">
        <f t="shared" si="17"/>
        <v>8.1363636363636349</v>
      </c>
      <c r="O103" s="158">
        <f t="shared" si="11"/>
        <v>1.4187101697547306</v>
      </c>
      <c r="P103" s="158">
        <f t="shared" si="12"/>
        <v>11.543141835731669</v>
      </c>
      <c r="Q103" s="158">
        <f t="shared" si="13"/>
        <v>25.948710169754733</v>
      </c>
    </row>
    <row r="104" spans="1:17" s="136" customFormat="1" ht="12" customHeight="1">
      <c r="A104" s="137" t="s">
        <v>358</v>
      </c>
      <c r="B104" s="137" t="s">
        <v>359</v>
      </c>
      <c r="C104" s="157">
        <v>10.11</v>
      </c>
      <c r="D104" s="157"/>
      <c r="E104" s="159">
        <v>15053.829999999998</v>
      </c>
      <c r="F104" s="159">
        <v>15061.41</v>
      </c>
      <c r="G104" s="159"/>
      <c r="H104" s="158">
        <f t="shared" si="14"/>
        <v>30115.239999999998</v>
      </c>
      <c r="J104" s="153">
        <f t="shared" si="15"/>
        <v>248.22980547312889</v>
      </c>
      <c r="K104" s="183">
        <f t="shared" si="16"/>
        <v>248.22980547312889</v>
      </c>
      <c r="L104" s="153"/>
      <c r="M104" s="160">
        <f t="shared" si="17"/>
        <v>2978.7576656775468</v>
      </c>
      <c r="O104" s="158">
        <f t="shared" si="11"/>
        <v>0.58471911195353954</v>
      </c>
      <c r="P104" s="158">
        <f t="shared" si="12"/>
        <v>1741.7365369997735</v>
      </c>
      <c r="Q104" s="158">
        <f t="shared" si="13"/>
        <v>10.694719111953539</v>
      </c>
    </row>
    <row r="105" spans="1:17" s="187" customFormat="1" ht="12" customHeight="1">
      <c r="A105" s="137" t="s">
        <v>360</v>
      </c>
      <c r="B105" s="137" t="s">
        <v>361</v>
      </c>
      <c r="C105" s="157">
        <v>22.3</v>
      </c>
      <c r="D105" s="186"/>
      <c r="E105" s="159">
        <v>78.050000000000011</v>
      </c>
      <c r="F105" s="159">
        <v>89.2</v>
      </c>
      <c r="G105" s="159"/>
      <c r="H105" s="158">
        <f t="shared" si="14"/>
        <v>167.25</v>
      </c>
      <c r="J105" s="153">
        <f t="shared" si="15"/>
        <v>0.625</v>
      </c>
      <c r="K105" s="183">
        <f t="shared" si="16"/>
        <v>0.625</v>
      </c>
      <c r="L105" s="153"/>
      <c r="M105" s="160">
        <f t="shared" si="17"/>
        <v>7.5</v>
      </c>
      <c r="O105" s="158">
        <f t="shared" si="11"/>
        <v>1.289736517958846</v>
      </c>
      <c r="P105" s="158">
        <f t="shared" si="12"/>
        <v>9.6730238846913448</v>
      </c>
      <c r="Q105" s="158">
        <f t="shared" si="13"/>
        <v>23.589736517958848</v>
      </c>
    </row>
    <row r="106" spans="1:17" s="187" customFormat="1" ht="12" customHeight="1">
      <c r="A106" s="137" t="s">
        <v>362</v>
      </c>
      <c r="B106" s="137" t="s">
        <v>363</v>
      </c>
      <c r="C106" s="157">
        <v>16.690000000000001</v>
      </c>
      <c r="D106" s="186"/>
      <c r="E106" s="159">
        <v>5758.0500000000011</v>
      </c>
      <c r="F106" s="159">
        <v>5524.4000000000005</v>
      </c>
      <c r="G106" s="159"/>
      <c r="H106" s="158">
        <f t="shared" si="14"/>
        <v>11282.45</v>
      </c>
      <c r="J106" s="153">
        <f t="shared" si="15"/>
        <v>56.333383263431195</v>
      </c>
      <c r="K106" s="183">
        <f t="shared" si="16"/>
        <v>56.333383263431195</v>
      </c>
      <c r="L106" s="153"/>
      <c r="M106" s="160">
        <f t="shared" si="17"/>
        <v>676.00059916117436</v>
      </c>
      <c r="O106" s="158">
        <f t="shared" si="11"/>
        <v>0.96527813832884046</v>
      </c>
      <c r="P106" s="158">
        <f t="shared" si="12"/>
        <v>652.5285998674791</v>
      </c>
      <c r="Q106" s="158">
        <f t="shared" si="13"/>
        <v>17.655278138328843</v>
      </c>
    </row>
    <row r="107" spans="1:17" s="136" customFormat="1" ht="12" customHeight="1">
      <c r="A107" s="137" t="s">
        <v>364</v>
      </c>
      <c r="B107" s="137" t="s">
        <v>365</v>
      </c>
      <c r="C107" s="157">
        <v>33.44</v>
      </c>
      <c r="D107" s="157"/>
      <c r="E107" s="159">
        <v>26.759999999999998</v>
      </c>
      <c r="F107" s="159">
        <v>384.56</v>
      </c>
      <c r="G107" s="159"/>
      <c r="H107" s="158">
        <f t="shared" si="14"/>
        <v>411.32</v>
      </c>
      <c r="J107" s="153">
        <f t="shared" si="15"/>
        <v>1.0250199362041468</v>
      </c>
      <c r="K107" s="183">
        <f t="shared" si="16"/>
        <v>1.0250199362041468</v>
      </c>
      <c r="L107" s="153"/>
      <c r="M107" s="160">
        <f t="shared" si="17"/>
        <v>12.300239234449762</v>
      </c>
      <c r="O107" s="158">
        <f t="shared" si="11"/>
        <v>1.9340264197553276</v>
      </c>
      <c r="P107" s="158">
        <f t="shared" si="12"/>
        <v>23.788987648736885</v>
      </c>
      <c r="Q107" s="158">
        <f t="shared" si="13"/>
        <v>35.374026419755324</v>
      </c>
    </row>
    <row r="108" spans="1:17" s="136" customFormat="1" ht="12" customHeight="1">
      <c r="A108" s="137" t="s">
        <v>366</v>
      </c>
      <c r="B108" s="137" t="s">
        <v>367</v>
      </c>
      <c r="C108" s="157">
        <v>20.59</v>
      </c>
      <c r="D108" s="157"/>
      <c r="E108" s="159">
        <v>5235.01</v>
      </c>
      <c r="F108" s="159">
        <v>4771.7299999999996</v>
      </c>
      <c r="G108" s="159"/>
      <c r="H108" s="158">
        <f t="shared" si="14"/>
        <v>10006.74</v>
      </c>
      <c r="J108" s="153">
        <f t="shared" si="15"/>
        <v>40.5</v>
      </c>
      <c r="K108" s="183">
        <f t="shared" si="16"/>
        <v>40.5</v>
      </c>
      <c r="L108" s="153"/>
      <c r="M108" s="160">
        <f t="shared" si="17"/>
        <v>486</v>
      </c>
      <c r="O108" s="158">
        <f t="shared" si="11"/>
        <v>1.1908374396759032</v>
      </c>
      <c r="P108" s="158">
        <f t="shared" si="12"/>
        <v>578.74699568248889</v>
      </c>
      <c r="Q108" s="158">
        <f t="shared" si="13"/>
        <v>21.780837439675903</v>
      </c>
    </row>
    <row r="109" spans="1:17" s="136" customFormat="1" ht="12" customHeight="1">
      <c r="A109" s="137" t="s">
        <v>368</v>
      </c>
      <c r="B109" s="137" t="s">
        <v>369</v>
      </c>
      <c r="C109" s="157">
        <v>40.130000000000003</v>
      </c>
      <c r="D109" s="157"/>
      <c r="E109" s="159">
        <v>400.16</v>
      </c>
      <c r="F109" s="159">
        <v>274.23</v>
      </c>
      <c r="G109" s="159"/>
      <c r="H109" s="158">
        <f t="shared" si="14"/>
        <v>674.3900000000001</v>
      </c>
      <c r="J109" s="153">
        <f t="shared" si="15"/>
        <v>1.4004277763933883</v>
      </c>
      <c r="K109" s="183">
        <f t="shared" si="16"/>
        <v>1.4004277763933883</v>
      </c>
      <c r="L109" s="153"/>
      <c r="M109" s="160">
        <f t="shared" si="17"/>
        <v>16.80513331672066</v>
      </c>
      <c r="O109" s="158">
        <f t="shared" si="11"/>
        <v>2.3209473751429819</v>
      </c>
      <c r="P109" s="158">
        <f t="shared" si="12"/>
        <v>39.003830060370689</v>
      </c>
      <c r="Q109" s="158">
        <f t="shared" si="13"/>
        <v>42.450947375142988</v>
      </c>
    </row>
    <row r="110" spans="1:17" s="136" customFormat="1" ht="12" customHeight="1">
      <c r="A110" s="137" t="s">
        <v>370</v>
      </c>
      <c r="B110" s="137" t="s">
        <v>371</v>
      </c>
      <c r="C110" s="157">
        <v>23.32</v>
      </c>
      <c r="D110" s="157"/>
      <c r="E110" s="159">
        <v>3218.1600000000003</v>
      </c>
      <c r="F110" s="159">
        <v>2751.76</v>
      </c>
      <c r="G110" s="159"/>
      <c r="H110" s="158">
        <f t="shared" si="14"/>
        <v>5969.92</v>
      </c>
      <c r="J110" s="153">
        <f t="shared" si="15"/>
        <v>21.333333333333332</v>
      </c>
      <c r="K110" s="183">
        <f t="shared" si="16"/>
        <v>21.333333333333332</v>
      </c>
      <c r="L110" s="153"/>
      <c r="M110" s="160">
        <f t="shared" si="17"/>
        <v>256</v>
      </c>
      <c r="O110" s="158">
        <f t="shared" si="11"/>
        <v>1.3487289506188471</v>
      </c>
      <c r="P110" s="158">
        <f t="shared" si="12"/>
        <v>345.27461135842486</v>
      </c>
      <c r="Q110" s="158">
        <f t="shared" si="13"/>
        <v>24.668728950618849</v>
      </c>
    </row>
    <row r="111" spans="1:17" s="136" customFormat="1" ht="12" customHeight="1">
      <c r="A111" s="137" t="s">
        <v>372</v>
      </c>
      <c r="B111" s="137" t="s">
        <v>373</v>
      </c>
      <c r="C111" s="157">
        <v>44.59</v>
      </c>
      <c r="D111" s="157"/>
      <c r="E111" s="159">
        <v>896.28</v>
      </c>
      <c r="F111" s="159">
        <v>626.49</v>
      </c>
      <c r="G111" s="159"/>
      <c r="H111" s="158">
        <f t="shared" si="14"/>
        <v>1522.77</v>
      </c>
      <c r="J111" s="153">
        <f t="shared" si="15"/>
        <v>2.8458735142408607</v>
      </c>
      <c r="K111" s="183">
        <f t="shared" si="16"/>
        <v>2.8458735142408607</v>
      </c>
      <c r="L111" s="153"/>
      <c r="M111" s="160">
        <f t="shared" si="17"/>
        <v>34.150482170890328</v>
      </c>
      <c r="O111" s="158">
        <f t="shared" si="11"/>
        <v>2.5788946787347511</v>
      </c>
      <c r="P111" s="158">
        <f t="shared" si="12"/>
        <v>88.07049674673506</v>
      </c>
      <c r="Q111" s="158">
        <f t="shared" si="13"/>
        <v>47.168894678734752</v>
      </c>
    </row>
    <row r="112" spans="1:17" s="136" customFormat="1" ht="12" customHeight="1">
      <c r="A112" s="137" t="s">
        <v>374</v>
      </c>
      <c r="B112" s="137" t="s">
        <v>375</v>
      </c>
      <c r="C112" s="157">
        <v>30.89</v>
      </c>
      <c r="D112" s="157"/>
      <c r="E112" s="159">
        <v>2115.9699999999998</v>
      </c>
      <c r="F112" s="159">
        <v>2409.42</v>
      </c>
      <c r="G112" s="159"/>
      <c r="H112" s="158">
        <f t="shared" si="14"/>
        <v>4525.3899999999994</v>
      </c>
      <c r="J112" s="153">
        <f t="shared" si="15"/>
        <v>12.208346822056759</v>
      </c>
      <c r="K112" s="183">
        <f t="shared" si="16"/>
        <v>12.208346822056759</v>
      </c>
      <c r="L112" s="153"/>
      <c r="M112" s="160">
        <f t="shared" si="17"/>
        <v>146.5001618646811</v>
      </c>
      <c r="O112" s="158">
        <f t="shared" ref="O112:O121" si="20">C112*$P$2</f>
        <v>1.7865453381053253</v>
      </c>
      <c r="P112" s="158">
        <f t="shared" ref="P112:P121" si="21">M112*O112</f>
        <v>261.72918121102157</v>
      </c>
      <c r="Q112" s="158">
        <f t="shared" ref="Q112:Q121" si="22">C112+O112</f>
        <v>32.676545338105328</v>
      </c>
    </row>
    <row r="113" spans="1:18" s="136" customFormat="1" ht="12" customHeight="1">
      <c r="A113" s="137" t="s">
        <v>494</v>
      </c>
      <c r="B113" s="137" t="s">
        <v>495</v>
      </c>
      <c r="C113" s="157">
        <v>37.340000000000003</v>
      </c>
      <c r="D113" s="157"/>
      <c r="E113" s="159">
        <v>448.08000000000004</v>
      </c>
      <c r="F113" s="159">
        <v>448.08000000000004</v>
      </c>
      <c r="G113" s="159"/>
      <c r="H113" s="158">
        <f t="shared" ref="H113:H121" si="23">SUM(E113:F113)</f>
        <v>896.16000000000008</v>
      </c>
      <c r="J113" s="153">
        <f t="shared" ref="J113:J121" si="24">IFERROR((H113/$C113)/12,0)</f>
        <v>2</v>
      </c>
      <c r="K113" s="183">
        <f t="shared" ref="K113:K121" si="25">J113</f>
        <v>2</v>
      </c>
      <c r="L113" s="153"/>
      <c r="M113" s="160">
        <f t="shared" ref="M113:M121" si="26">H113/C113</f>
        <v>24</v>
      </c>
      <c r="O113" s="158">
        <f t="shared" si="20"/>
        <v>2.1595857211023906</v>
      </c>
      <c r="P113" s="158">
        <f t="shared" si="21"/>
        <v>51.830057306457377</v>
      </c>
      <c r="Q113" s="158">
        <f t="shared" si="22"/>
        <v>39.499585721102392</v>
      </c>
    </row>
    <row r="114" spans="1:18" s="136" customFormat="1" ht="12" customHeight="1">
      <c r="A114" s="137" t="s">
        <v>496</v>
      </c>
      <c r="B114" s="137" t="s">
        <v>497</v>
      </c>
      <c r="C114" s="157"/>
      <c r="D114" s="157"/>
      <c r="E114" s="159">
        <v>0</v>
      </c>
      <c r="F114" s="159">
        <v>-165.26</v>
      </c>
      <c r="G114" s="159"/>
      <c r="H114" s="158">
        <f t="shared" si="23"/>
        <v>-165.26</v>
      </c>
      <c r="J114" s="153">
        <f t="shared" si="24"/>
        <v>0</v>
      </c>
      <c r="K114" s="183">
        <f t="shared" si="25"/>
        <v>0</v>
      </c>
      <c r="L114" s="153"/>
      <c r="M114" s="160"/>
      <c r="O114" s="158">
        <f t="shared" si="20"/>
        <v>0</v>
      </c>
      <c r="P114" s="158">
        <f t="shared" si="21"/>
        <v>0</v>
      </c>
      <c r="Q114" s="158">
        <f t="shared" si="22"/>
        <v>0</v>
      </c>
    </row>
    <row r="115" spans="1:18" s="136" customFormat="1" ht="12" customHeight="1">
      <c r="A115" s="137" t="s">
        <v>376</v>
      </c>
      <c r="B115" s="137" t="s">
        <v>377</v>
      </c>
      <c r="C115" s="157">
        <v>51.84</v>
      </c>
      <c r="D115" s="157"/>
      <c r="E115" s="159">
        <v>1192.32</v>
      </c>
      <c r="F115" s="159">
        <v>1399.68</v>
      </c>
      <c r="G115" s="159"/>
      <c r="H115" s="158">
        <f t="shared" si="23"/>
        <v>2592</v>
      </c>
      <c r="J115" s="153">
        <f t="shared" si="24"/>
        <v>4.166666666666667</v>
      </c>
      <c r="K115" s="183">
        <f t="shared" si="25"/>
        <v>4.166666666666667</v>
      </c>
      <c r="L115" s="153"/>
      <c r="M115" s="160">
        <f t="shared" si="26"/>
        <v>50</v>
      </c>
      <c r="O115" s="158">
        <f t="shared" si="20"/>
        <v>2.9982036363671112</v>
      </c>
      <c r="P115" s="158">
        <f t="shared" si="21"/>
        <v>149.91018181835557</v>
      </c>
      <c r="Q115" s="158">
        <f t="shared" si="22"/>
        <v>54.838203636367112</v>
      </c>
    </row>
    <row r="116" spans="1:18" s="136" customFormat="1" ht="12" customHeight="1">
      <c r="A116" s="137" t="s">
        <v>498</v>
      </c>
      <c r="B116" s="137" t="s">
        <v>499</v>
      </c>
      <c r="C116" s="157">
        <v>53.56</v>
      </c>
      <c r="D116" s="157"/>
      <c r="E116" s="159">
        <v>0</v>
      </c>
      <c r="F116" s="159">
        <v>53.56</v>
      </c>
      <c r="G116" s="159"/>
      <c r="H116" s="158">
        <f t="shared" si="23"/>
        <v>53.56</v>
      </c>
      <c r="J116" s="153">
        <f t="shared" si="24"/>
        <v>8.3333333333333329E-2</v>
      </c>
      <c r="K116" s="183">
        <f t="shared" si="25"/>
        <v>8.3333333333333329E-2</v>
      </c>
      <c r="L116" s="153"/>
      <c r="M116" s="160">
        <f t="shared" si="26"/>
        <v>1</v>
      </c>
      <c r="O116" s="158">
        <f t="shared" si="20"/>
        <v>3.0976810718329952</v>
      </c>
      <c r="P116" s="158">
        <f t="shared" si="21"/>
        <v>3.0976810718329952</v>
      </c>
      <c r="Q116" s="158">
        <f t="shared" si="22"/>
        <v>56.657681071832997</v>
      </c>
    </row>
    <row r="117" spans="1:18" s="136" customFormat="1" ht="12" customHeight="1">
      <c r="A117" s="137" t="s">
        <v>380</v>
      </c>
      <c r="B117" s="137" t="s">
        <v>381</v>
      </c>
      <c r="C117" s="157">
        <v>6.62</v>
      </c>
      <c r="D117" s="157"/>
      <c r="E117" s="159">
        <v>291.27999999999997</v>
      </c>
      <c r="F117" s="159">
        <v>263.14999999999998</v>
      </c>
      <c r="G117" s="159"/>
      <c r="H117" s="158">
        <f t="shared" si="23"/>
        <v>554.42999999999995</v>
      </c>
      <c r="J117" s="153">
        <f t="shared" si="24"/>
        <v>6.9792296072507547</v>
      </c>
      <c r="K117" s="183">
        <f t="shared" si="25"/>
        <v>6.9792296072507547</v>
      </c>
      <c r="L117" s="153"/>
      <c r="M117" s="160">
        <f t="shared" si="26"/>
        <v>83.750755287009056</v>
      </c>
      <c r="O117" s="158">
        <f t="shared" si="20"/>
        <v>0.38287245510706552</v>
      </c>
      <c r="P117" s="158">
        <f t="shared" si="21"/>
        <v>32.065857293808207</v>
      </c>
      <c r="Q117" s="158">
        <f t="shared" si="22"/>
        <v>7.0028724551070658</v>
      </c>
      <c r="R117" s="1027">
        <f>ROUND(O117/References!$B$11,2)</f>
        <v>0.09</v>
      </c>
    </row>
    <row r="118" spans="1:18" s="136" customFormat="1" ht="12" customHeight="1">
      <c r="A118" s="137" t="s">
        <v>382</v>
      </c>
      <c r="B118" s="137" t="s">
        <v>383</v>
      </c>
      <c r="C118" s="157">
        <v>13.12</v>
      </c>
      <c r="D118" s="157"/>
      <c r="E118" s="159">
        <v>0</v>
      </c>
      <c r="F118" s="159">
        <v>65.599999999999994</v>
      </c>
      <c r="G118" s="159"/>
      <c r="H118" s="158">
        <f t="shared" si="23"/>
        <v>65.599999999999994</v>
      </c>
      <c r="J118" s="153">
        <f t="shared" si="24"/>
        <v>0.41666666666666669</v>
      </c>
      <c r="K118" s="183">
        <f t="shared" si="25"/>
        <v>0.41666666666666669</v>
      </c>
      <c r="L118" s="153"/>
      <c r="M118" s="160">
        <f t="shared" si="26"/>
        <v>5</v>
      </c>
      <c r="O118" s="158">
        <f t="shared" si="20"/>
        <v>0.75880462401883675</v>
      </c>
      <c r="P118" s="158">
        <f t="shared" si="21"/>
        <v>3.7940231200941836</v>
      </c>
      <c r="Q118" s="158">
        <f t="shared" si="22"/>
        <v>13.878804624018835</v>
      </c>
    </row>
    <row r="119" spans="1:18" s="136" customFormat="1" ht="12" customHeight="1">
      <c r="A119" s="137" t="s">
        <v>500</v>
      </c>
      <c r="B119" s="137" t="s">
        <v>501</v>
      </c>
      <c r="C119" s="157">
        <v>5.59</v>
      </c>
      <c r="D119" s="157"/>
      <c r="E119" s="159">
        <v>100.61999999999999</v>
      </c>
      <c r="F119" s="159">
        <v>100.61999999999999</v>
      </c>
      <c r="G119" s="159"/>
      <c r="H119" s="158">
        <f t="shared" si="23"/>
        <v>201.23999999999998</v>
      </c>
      <c r="J119" s="153">
        <f t="shared" si="24"/>
        <v>3</v>
      </c>
      <c r="K119" s="183">
        <f t="shared" si="25"/>
        <v>3</v>
      </c>
      <c r="L119" s="153"/>
      <c r="M119" s="160">
        <f t="shared" si="26"/>
        <v>36</v>
      </c>
      <c r="O119" s="158">
        <f t="shared" si="20"/>
        <v>0.32330166526412329</v>
      </c>
      <c r="P119" s="158">
        <f t="shared" si="21"/>
        <v>11.638859949508438</v>
      </c>
      <c r="Q119" s="158">
        <f t="shared" si="22"/>
        <v>5.9133016652641235</v>
      </c>
      <c r="R119" s="1027">
        <f>ROUND(O119/References!$B$11,2)</f>
        <v>7.0000000000000007E-2</v>
      </c>
    </row>
    <row r="120" spans="1:18" s="136" customFormat="1" ht="12" customHeight="1">
      <c r="A120" s="137" t="s">
        <v>502</v>
      </c>
      <c r="B120" s="137" t="s">
        <v>503</v>
      </c>
      <c r="C120" s="157">
        <v>38.26</v>
      </c>
      <c r="D120" s="157"/>
      <c r="E120" s="159">
        <v>38.26</v>
      </c>
      <c r="F120" s="159">
        <v>0</v>
      </c>
      <c r="G120" s="159"/>
      <c r="H120" s="158">
        <f t="shared" si="23"/>
        <v>38.26</v>
      </c>
      <c r="J120" s="153">
        <f t="shared" si="24"/>
        <v>8.3333333333333329E-2</v>
      </c>
      <c r="K120" s="183">
        <f t="shared" si="25"/>
        <v>8.3333333333333329E-2</v>
      </c>
      <c r="L120" s="153"/>
      <c r="M120" s="160">
        <f t="shared" si="26"/>
        <v>1</v>
      </c>
      <c r="O120" s="158">
        <f t="shared" si="20"/>
        <v>2.2127945819329797</v>
      </c>
      <c r="P120" s="158">
        <f t="shared" si="21"/>
        <v>2.2127945819329797</v>
      </c>
      <c r="Q120" s="158">
        <f t="shared" si="22"/>
        <v>40.47279458193298</v>
      </c>
    </row>
    <row r="121" spans="1:18" s="136" customFormat="1" ht="12" customHeight="1">
      <c r="A121" s="137" t="s">
        <v>504</v>
      </c>
      <c r="B121" s="137" t="s">
        <v>505</v>
      </c>
      <c r="C121" s="157">
        <v>10.220000000000001</v>
      </c>
      <c r="D121" s="157"/>
      <c r="E121" s="159">
        <v>183.96</v>
      </c>
      <c r="F121" s="159">
        <v>183.96</v>
      </c>
      <c r="G121" s="159"/>
      <c r="H121" s="158">
        <f t="shared" si="23"/>
        <v>367.92</v>
      </c>
      <c r="J121" s="153">
        <f t="shared" si="24"/>
        <v>3</v>
      </c>
      <c r="K121" s="183">
        <f t="shared" si="25"/>
        <v>3</v>
      </c>
      <c r="L121" s="153"/>
      <c r="M121" s="160">
        <f t="shared" si="26"/>
        <v>36</v>
      </c>
      <c r="O121" s="158">
        <f t="shared" si="20"/>
        <v>0.59108104096589265</v>
      </c>
      <c r="P121" s="158">
        <f t="shared" si="21"/>
        <v>21.278917474772136</v>
      </c>
      <c r="Q121" s="158">
        <f t="shared" si="22"/>
        <v>10.811081040965894</v>
      </c>
    </row>
    <row r="122" spans="1:18" s="136" customFormat="1" ht="12" customHeight="1" thickBot="1">
      <c r="A122" s="167"/>
      <c r="B122" s="167"/>
      <c r="C122" s="157"/>
      <c r="D122" s="157"/>
      <c r="E122" s="153"/>
      <c r="F122" s="153"/>
      <c r="G122" s="153"/>
      <c r="H122" s="158"/>
      <c r="K122" s="137"/>
      <c r="L122" s="153"/>
    </row>
    <row r="123" spans="1:18" s="136" customFormat="1" ht="12" customHeight="1" thickBot="1">
      <c r="A123" s="167"/>
      <c r="B123" s="168" t="s">
        <v>384</v>
      </c>
      <c r="C123" s="157"/>
      <c r="D123" s="157"/>
      <c r="E123" s="164">
        <f>SUM(E48:E122)</f>
        <v>480047.66999999993</v>
      </c>
      <c r="F123" s="164">
        <f>SUM(F48:F122)</f>
        <v>468042.31499999983</v>
      </c>
      <c r="G123" s="164"/>
      <c r="H123" s="164">
        <f>SUM(H48:H122)</f>
        <v>948089.98500000034</v>
      </c>
      <c r="K123" s="169">
        <f>SUM(K48:K85,K96:K100)</f>
        <v>751.42592442447904</v>
      </c>
      <c r="L123" s="153"/>
      <c r="P123" s="164">
        <f>SUM(P48:P122)</f>
        <v>54843.023220740492</v>
      </c>
    </row>
    <row r="124" spans="1:18" s="136" customFormat="1" ht="12" customHeight="1">
      <c r="A124" s="167"/>
      <c r="B124" s="167"/>
      <c r="C124" s="157"/>
      <c r="D124" s="157"/>
      <c r="E124" s="153"/>
      <c r="F124" s="153"/>
      <c r="G124" s="153"/>
      <c r="H124" s="158"/>
      <c r="K124" s="137"/>
      <c r="L124" s="153"/>
    </row>
    <row r="125" spans="1:18" ht="12" customHeight="1">
      <c r="A125" s="188" t="s">
        <v>506</v>
      </c>
      <c r="B125" s="188" t="s">
        <v>506</v>
      </c>
    </row>
    <row r="126" spans="1:18" ht="12" customHeight="1">
      <c r="A126" s="152" t="s">
        <v>507</v>
      </c>
      <c r="B126" s="152" t="s">
        <v>508</v>
      </c>
      <c r="C126" s="157"/>
      <c r="E126" s="159">
        <v>100</v>
      </c>
      <c r="F126" s="159">
        <v>0</v>
      </c>
      <c r="G126" s="159"/>
      <c r="H126" s="158">
        <f>SUM(F126:G126)</f>
        <v>0</v>
      </c>
      <c r="J126" s="153">
        <f>IFERROR(F126/$C126,0)</f>
        <v>0</v>
      </c>
      <c r="K126" s="183">
        <f>SUM(J126:J126)/12</f>
        <v>0</v>
      </c>
      <c r="L126" s="138">
        <f>+K126</f>
        <v>0</v>
      </c>
    </row>
    <row r="127" spans="1:18" ht="12" customHeight="1" thickBot="1">
      <c r="A127" s="152" t="s">
        <v>509</v>
      </c>
      <c r="B127" s="152" t="s">
        <v>510</v>
      </c>
      <c r="C127" s="157">
        <v>20</v>
      </c>
      <c r="E127" s="159">
        <v>3415</v>
      </c>
      <c r="F127" s="159">
        <v>3720</v>
      </c>
      <c r="G127" s="159"/>
      <c r="H127" s="158">
        <f>SUM(E127:F127)</f>
        <v>7135</v>
      </c>
      <c r="J127" s="153">
        <f>IFERROR(H127/$C127/12,0)</f>
        <v>29.729166666666668</v>
      </c>
      <c r="K127" s="183">
        <f>J127</f>
        <v>29.729166666666668</v>
      </c>
      <c r="L127" s="138">
        <f>+K127</f>
        <v>29.729166666666668</v>
      </c>
      <c r="M127" s="138">
        <f>H127/C127</f>
        <v>356.75</v>
      </c>
      <c r="O127" s="182"/>
    </row>
    <row r="128" spans="1:18" ht="12" customHeight="1" thickBot="1">
      <c r="A128" s="162"/>
      <c r="B128" s="162"/>
      <c r="K128" s="169">
        <f>SUM(K126:K127)</f>
        <v>29.729166666666668</v>
      </c>
    </row>
    <row r="129" spans="1:17" ht="12" customHeight="1">
      <c r="A129" s="162"/>
      <c r="B129" s="173" t="s">
        <v>511</v>
      </c>
      <c r="E129" s="164">
        <f>SUM(E126:E128)</f>
        <v>3515</v>
      </c>
      <c r="F129" s="164">
        <f>SUM(F126:F128)</f>
        <v>3720</v>
      </c>
      <c r="G129" s="164"/>
      <c r="H129" s="164">
        <f t="shared" ref="H129" si="27">SUM(H126:H128)</f>
        <v>7135</v>
      </c>
    </row>
    <row r="130" spans="1:17" ht="12" customHeight="1">
      <c r="A130" s="162"/>
      <c r="B130" s="173"/>
      <c r="E130" s="174"/>
      <c r="F130" s="174"/>
      <c r="G130" s="174"/>
      <c r="H130" s="174"/>
    </row>
    <row r="131" spans="1:17" ht="12" customHeight="1">
      <c r="A131" s="188" t="s">
        <v>512</v>
      </c>
      <c r="B131" s="188" t="s">
        <v>512</v>
      </c>
      <c r="E131" s="174"/>
      <c r="F131" s="174"/>
      <c r="G131" s="174"/>
      <c r="H131" s="174"/>
    </row>
    <row r="132" spans="1:17" s="136" customFormat="1" ht="12" customHeight="1">
      <c r="A132" s="137" t="s">
        <v>513</v>
      </c>
      <c r="B132" s="137" t="s">
        <v>514</v>
      </c>
      <c r="C132" s="157"/>
      <c r="D132" s="157"/>
      <c r="E132" s="159">
        <v>13247.240000000002</v>
      </c>
      <c r="F132" s="159">
        <v>12198.43</v>
      </c>
      <c r="G132" s="159"/>
      <c r="H132" s="158">
        <f>SUM(E132:F132)</f>
        <v>25445.670000000002</v>
      </c>
      <c r="J132" s="153">
        <f>IFERROR(F134/$C132,0)</f>
        <v>0</v>
      </c>
      <c r="K132" s="183">
        <f>AVERAGE(J132:J132)</f>
        <v>0</v>
      </c>
      <c r="L132" s="153"/>
    </row>
    <row r="133" spans="1:17" ht="12" customHeight="1" thickBot="1">
      <c r="A133" s="162"/>
      <c r="B133" s="173"/>
    </row>
    <row r="134" spans="1:17" ht="12" customHeight="1" thickBot="1">
      <c r="A134" s="162"/>
      <c r="B134" s="173" t="s">
        <v>515</v>
      </c>
      <c r="E134" s="164">
        <f>SUM(E131:E133)</f>
        <v>13247.240000000002</v>
      </c>
      <c r="F134" s="164">
        <f>SUM(F131:F133)</f>
        <v>12198.43</v>
      </c>
      <c r="G134" s="164"/>
      <c r="H134" s="164">
        <f t="shared" ref="H134" si="28">SUM(H131:H133)</f>
        <v>25445.670000000002</v>
      </c>
      <c r="K134" s="169">
        <f>SUM(K132:K133)</f>
        <v>0</v>
      </c>
    </row>
    <row r="135" spans="1:17" ht="12" customHeight="1">
      <c r="A135" s="134"/>
      <c r="B135" s="134"/>
    </row>
    <row r="136" spans="1:17" ht="12" customHeight="1">
      <c r="A136" s="166" t="s">
        <v>385</v>
      </c>
      <c r="B136" s="166" t="s">
        <v>385</v>
      </c>
    </row>
    <row r="137" spans="1:17" ht="12" customHeight="1">
      <c r="A137" s="170"/>
      <c r="B137" s="170"/>
    </row>
    <row r="138" spans="1:17" ht="12" customHeight="1">
      <c r="A138" s="171" t="s">
        <v>386</v>
      </c>
      <c r="B138" s="171" t="s">
        <v>386</v>
      </c>
    </row>
    <row r="139" spans="1:17" ht="12" customHeight="1">
      <c r="A139" s="137" t="s">
        <v>387</v>
      </c>
      <c r="B139" s="137" t="s">
        <v>388</v>
      </c>
      <c r="C139" s="157">
        <v>229.5</v>
      </c>
      <c r="E139" s="159">
        <v>1377</v>
      </c>
      <c r="F139" s="159">
        <v>2088.1999999999998</v>
      </c>
      <c r="G139" s="159"/>
      <c r="H139" s="158">
        <f>SUM(E139:F139)</f>
        <v>3465.2</v>
      </c>
      <c r="J139" s="153">
        <f t="shared" ref="J139:J148" si="29">IFERROR((H139/$C139)/12,0)</f>
        <v>1.2582425562817718</v>
      </c>
      <c r="K139" s="183">
        <f t="shared" ref="K139:K148" si="30">J139</f>
        <v>1.2582425562817718</v>
      </c>
      <c r="L139" s="153"/>
      <c r="M139" s="160">
        <f t="shared" ref="M139:M148" si="31">H139/C139</f>
        <v>15.098910675381262</v>
      </c>
      <c r="O139" s="158">
        <f t="shared" ref="O139:O148" si="32">C139*$P$2</f>
        <v>13.273297348500231</v>
      </c>
      <c r="P139" s="158">
        <f t="shared" ref="P139:P148" si="33">M139*O139</f>
        <v>200.41233103277995</v>
      </c>
      <c r="Q139" s="158">
        <f t="shared" ref="Q139:Q148" si="34">C139+O139</f>
        <v>242.77329734850022</v>
      </c>
    </row>
    <row r="140" spans="1:17" ht="12" customHeight="1">
      <c r="A140" s="137" t="s">
        <v>389</v>
      </c>
      <c r="B140" s="137" t="s">
        <v>390</v>
      </c>
      <c r="C140" s="157">
        <v>212</v>
      </c>
      <c r="E140" s="159">
        <v>5512</v>
      </c>
      <c r="F140" s="159">
        <v>6360</v>
      </c>
      <c r="G140" s="159"/>
      <c r="H140" s="158">
        <f t="shared" ref="H140:H148" si="35">SUM(E140:F140)</f>
        <v>11872</v>
      </c>
      <c r="J140" s="153">
        <f t="shared" si="29"/>
        <v>4.666666666666667</v>
      </c>
      <c r="K140" s="183">
        <f t="shared" si="30"/>
        <v>4.666666666666667</v>
      </c>
      <c r="L140" s="153"/>
      <c r="M140" s="160">
        <f t="shared" si="31"/>
        <v>56</v>
      </c>
      <c r="O140" s="158">
        <f t="shared" si="32"/>
        <v>12.261172278353154</v>
      </c>
      <c r="P140" s="158">
        <f t="shared" si="33"/>
        <v>686.6256475877766</v>
      </c>
      <c r="Q140" s="158">
        <f t="shared" si="34"/>
        <v>224.26117227835314</v>
      </c>
    </row>
    <row r="141" spans="1:17" ht="12" customHeight="1">
      <c r="A141" s="137" t="s">
        <v>516</v>
      </c>
      <c r="B141" s="137" t="s">
        <v>517</v>
      </c>
      <c r="C141" s="157">
        <v>328.75</v>
      </c>
      <c r="E141" s="159">
        <v>3193.55</v>
      </c>
      <c r="F141" s="159">
        <v>0</v>
      </c>
      <c r="G141" s="159"/>
      <c r="H141" s="158">
        <f t="shared" si="35"/>
        <v>3193.55</v>
      </c>
      <c r="J141" s="153">
        <f t="shared" si="29"/>
        <v>0.80951837769328261</v>
      </c>
      <c r="K141" s="183">
        <f t="shared" si="30"/>
        <v>0.80951837769328261</v>
      </c>
      <c r="L141" s="153"/>
      <c r="M141" s="160">
        <f t="shared" si="31"/>
        <v>9.7142205323193913</v>
      </c>
      <c r="O141" s="158">
        <f t="shared" si="32"/>
        <v>19.013492389191509</v>
      </c>
      <c r="P141" s="158">
        <f t="shared" si="33"/>
        <v>184.70125815818264</v>
      </c>
      <c r="Q141" s="158">
        <f t="shared" si="34"/>
        <v>347.76349238919153</v>
      </c>
    </row>
    <row r="142" spans="1:17" ht="12" customHeight="1">
      <c r="A142" s="137" t="s">
        <v>391</v>
      </c>
      <c r="B142" s="137" t="s">
        <v>392</v>
      </c>
      <c r="C142" s="157">
        <v>313.7</v>
      </c>
      <c r="E142" s="159">
        <v>7215.1</v>
      </c>
      <c r="F142" s="159">
        <v>2195.8999999999996</v>
      </c>
      <c r="G142" s="159"/>
      <c r="H142" s="158">
        <f t="shared" si="35"/>
        <v>9411</v>
      </c>
      <c r="J142" s="153">
        <f t="shared" si="29"/>
        <v>2.5</v>
      </c>
      <c r="K142" s="183">
        <f t="shared" si="30"/>
        <v>2.5</v>
      </c>
      <c r="L142" s="153"/>
      <c r="M142" s="160">
        <f t="shared" si="31"/>
        <v>30</v>
      </c>
      <c r="O142" s="158">
        <f t="shared" si="32"/>
        <v>18.143064828865022</v>
      </c>
      <c r="P142" s="158">
        <f t="shared" si="33"/>
        <v>544.29194486595065</v>
      </c>
      <c r="Q142" s="158">
        <f t="shared" si="34"/>
        <v>331.84306482886501</v>
      </c>
    </row>
    <row r="143" spans="1:17" ht="12" customHeight="1">
      <c r="A143" s="137" t="s">
        <v>393</v>
      </c>
      <c r="B143" s="137" t="s">
        <v>394</v>
      </c>
      <c r="C143" s="157">
        <v>212.02</v>
      </c>
      <c r="E143" s="159">
        <v>0</v>
      </c>
      <c r="F143" s="159">
        <v>313.7</v>
      </c>
      <c r="G143" s="159"/>
      <c r="H143" s="158">
        <f t="shared" si="35"/>
        <v>313.7</v>
      </c>
      <c r="J143" s="153">
        <f t="shared" si="29"/>
        <v>0.12329811652988711</v>
      </c>
      <c r="K143" s="183">
        <f t="shared" si="30"/>
        <v>0.12329811652988711</v>
      </c>
      <c r="L143" s="153"/>
      <c r="M143" s="160">
        <f t="shared" si="31"/>
        <v>1.4795773983586453</v>
      </c>
      <c r="O143" s="158">
        <f t="shared" si="32"/>
        <v>12.262328992719038</v>
      </c>
      <c r="P143" s="158">
        <f t="shared" si="33"/>
        <v>18.143064828865022</v>
      </c>
      <c r="Q143" s="158">
        <f t="shared" si="34"/>
        <v>224.28232899271904</v>
      </c>
    </row>
    <row r="144" spans="1:17" ht="12" customHeight="1">
      <c r="A144" s="137" t="s">
        <v>395</v>
      </c>
      <c r="B144" s="137" t="s">
        <v>396</v>
      </c>
      <c r="C144" s="157">
        <v>96.3</v>
      </c>
      <c r="E144" s="159">
        <v>1367.46</v>
      </c>
      <c r="F144" s="159">
        <v>1775.1299999999999</v>
      </c>
      <c r="G144" s="159"/>
      <c r="H144" s="158">
        <f t="shared" si="35"/>
        <v>3142.59</v>
      </c>
      <c r="J144" s="153">
        <f t="shared" si="29"/>
        <v>2.7194444444444446</v>
      </c>
      <c r="K144" s="183">
        <f t="shared" si="30"/>
        <v>2.7194444444444446</v>
      </c>
      <c r="L144" s="153"/>
      <c r="M144" s="160">
        <f t="shared" si="31"/>
        <v>32.633333333333333</v>
      </c>
      <c r="O144" s="158">
        <f t="shared" si="32"/>
        <v>5.5695796717236261</v>
      </c>
      <c r="P144" s="158">
        <f t="shared" si="33"/>
        <v>181.75394995391434</v>
      </c>
      <c r="Q144" s="158">
        <f t="shared" si="34"/>
        <v>101.86957967172363</v>
      </c>
    </row>
    <row r="145" spans="1:17" ht="12" customHeight="1">
      <c r="A145" s="137" t="s">
        <v>397</v>
      </c>
      <c r="B145" s="137" t="s">
        <v>398</v>
      </c>
      <c r="C145" s="157">
        <v>120.3</v>
      </c>
      <c r="E145" s="159">
        <v>1263.1499999999999</v>
      </c>
      <c r="F145" s="159">
        <v>441.1</v>
      </c>
      <c r="G145" s="159"/>
      <c r="H145" s="158">
        <f t="shared" si="35"/>
        <v>1704.25</v>
      </c>
      <c r="J145" s="153">
        <f t="shared" si="29"/>
        <v>1.1805555555555556</v>
      </c>
      <c r="K145" s="183">
        <f t="shared" si="30"/>
        <v>1.1805555555555556</v>
      </c>
      <c r="L145" s="153"/>
      <c r="M145" s="160">
        <f t="shared" si="31"/>
        <v>14.166666666666668</v>
      </c>
      <c r="O145" s="158">
        <f t="shared" si="32"/>
        <v>6.9576369107824743</v>
      </c>
      <c r="P145" s="158">
        <f t="shared" si="33"/>
        <v>98.566522902751728</v>
      </c>
      <c r="Q145" s="158">
        <f t="shared" si="34"/>
        <v>127.25763691078247</v>
      </c>
    </row>
    <row r="146" spans="1:17" ht="12" customHeight="1">
      <c r="A146" s="137" t="s">
        <v>518</v>
      </c>
      <c r="B146" s="137" t="s">
        <v>519</v>
      </c>
      <c r="C146" s="157">
        <v>212.02</v>
      </c>
      <c r="E146" s="159">
        <v>1272.1200000000001</v>
      </c>
      <c r="F146" s="159">
        <v>1272.1200000000001</v>
      </c>
      <c r="G146" s="159"/>
      <c r="H146" s="158">
        <f t="shared" si="35"/>
        <v>2544.2400000000002</v>
      </c>
      <c r="J146" s="153">
        <f t="shared" si="29"/>
        <v>1</v>
      </c>
      <c r="K146" s="183">
        <f t="shared" si="30"/>
        <v>1</v>
      </c>
      <c r="L146" s="153"/>
      <c r="M146" s="160">
        <f t="shared" si="31"/>
        <v>12</v>
      </c>
      <c r="O146" s="158">
        <f t="shared" si="32"/>
        <v>12.262328992719038</v>
      </c>
      <c r="P146" s="158">
        <f t="shared" si="33"/>
        <v>147.14794791262847</v>
      </c>
      <c r="Q146" s="158">
        <f t="shared" si="34"/>
        <v>224.28232899271904</v>
      </c>
    </row>
    <row r="147" spans="1:17" ht="12" customHeight="1">
      <c r="A147" s="137" t="s">
        <v>399</v>
      </c>
      <c r="B147" s="137" t="s">
        <v>400</v>
      </c>
      <c r="C147" s="157">
        <v>70.55</v>
      </c>
      <c r="E147" s="159">
        <v>1622.6499999999999</v>
      </c>
      <c r="F147" s="159">
        <v>1904.85</v>
      </c>
      <c r="G147" s="159"/>
      <c r="H147" s="158">
        <f t="shared" si="35"/>
        <v>3527.5</v>
      </c>
      <c r="J147" s="153">
        <f t="shared" si="29"/>
        <v>4.166666666666667</v>
      </c>
      <c r="K147" s="183">
        <f t="shared" si="30"/>
        <v>4.166666666666667</v>
      </c>
      <c r="L147" s="153"/>
      <c r="M147" s="160">
        <f t="shared" si="31"/>
        <v>50</v>
      </c>
      <c r="O147" s="158">
        <f t="shared" si="32"/>
        <v>4.080309925650071</v>
      </c>
      <c r="P147" s="158">
        <f t="shared" si="33"/>
        <v>204.01549628250356</v>
      </c>
      <c r="Q147" s="158">
        <f t="shared" si="34"/>
        <v>74.630309925650067</v>
      </c>
    </row>
    <row r="148" spans="1:17" ht="12" customHeight="1">
      <c r="A148" s="137" t="s">
        <v>401</v>
      </c>
      <c r="B148" s="137" t="s">
        <v>402</v>
      </c>
      <c r="C148" s="157">
        <v>5.26</v>
      </c>
      <c r="E148" s="159">
        <v>10940.8</v>
      </c>
      <c r="F148" s="159">
        <v>5523</v>
      </c>
      <c r="G148" s="159"/>
      <c r="H148" s="158">
        <f t="shared" si="35"/>
        <v>16463.8</v>
      </c>
      <c r="J148" s="153">
        <f t="shared" si="29"/>
        <v>260.83333333333331</v>
      </c>
      <c r="K148" s="183">
        <f t="shared" si="30"/>
        <v>260.83333333333331</v>
      </c>
      <c r="L148" s="153"/>
      <c r="M148" s="160">
        <f t="shared" si="31"/>
        <v>3130</v>
      </c>
      <c r="O148" s="158">
        <f t="shared" si="32"/>
        <v>0.30421587822706408</v>
      </c>
      <c r="P148" s="158">
        <f t="shared" si="33"/>
        <v>952.19569885071064</v>
      </c>
      <c r="Q148" s="158">
        <f t="shared" si="34"/>
        <v>5.5642158782270634</v>
      </c>
    </row>
    <row r="149" spans="1:17" s="136" customFormat="1" ht="12" customHeight="1" thickBot="1">
      <c r="A149" s="137"/>
      <c r="B149" s="137"/>
      <c r="C149" s="157"/>
      <c r="D149" s="157"/>
      <c r="E149" s="159"/>
      <c r="F149" s="159"/>
      <c r="L149" s="153"/>
    </row>
    <row r="150" spans="1:17" s="136" customFormat="1" ht="12" customHeight="1" thickBot="1">
      <c r="A150" s="137"/>
      <c r="B150" s="163" t="s">
        <v>520</v>
      </c>
      <c r="C150" s="157"/>
      <c r="D150" s="157"/>
      <c r="E150" s="164">
        <f>SUM(E139:E149)</f>
        <v>33763.83</v>
      </c>
      <c r="F150" s="164">
        <f>SUM(F139:F149)</f>
        <v>21874</v>
      </c>
      <c r="G150" s="164"/>
      <c r="H150" s="164">
        <f>SUM(H139:H149)</f>
        <v>55637.83</v>
      </c>
      <c r="K150" s="189">
        <f>SUM(K139:K149)</f>
        <v>279.25772571717158</v>
      </c>
      <c r="L150" s="153"/>
      <c r="P150" s="164">
        <f>SUM(P139:P149)</f>
        <v>3217.8538623760633</v>
      </c>
    </row>
    <row r="151" spans="1:17" ht="12" customHeight="1">
      <c r="A151" s="162"/>
      <c r="B151" s="162"/>
    </row>
    <row r="152" spans="1:17" ht="12" customHeight="1">
      <c r="A152" s="171" t="s">
        <v>408</v>
      </c>
      <c r="B152" s="171" t="s">
        <v>408</v>
      </c>
    </row>
    <row r="153" spans="1:17" ht="12" customHeight="1">
      <c r="A153" s="152" t="s">
        <v>409</v>
      </c>
      <c r="B153" s="152" t="s">
        <v>410</v>
      </c>
      <c r="E153" s="159">
        <v>22892.880000000001</v>
      </c>
      <c r="F153" s="159">
        <v>18664.73</v>
      </c>
      <c r="G153" s="159"/>
      <c r="H153" s="158">
        <f>SUM(E153:F153)</f>
        <v>41557.61</v>
      </c>
    </row>
    <row r="154" spans="1:17" ht="12" customHeight="1">
      <c r="H154" s="179"/>
    </row>
    <row r="155" spans="1:17" ht="12" customHeight="1">
      <c r="A155" s="162"/>
      <c r="B155" s="173" t="s">
        <v>411</v>
      </c>
      <c r="E155" s="164">
        <f t="shared" ref="E155:H155" si="36">SUM(E153:E154)</f>
        <v>22892.880000000001</v>
      </c>
      <c r="F155" s="164">
        <f t="shared" si="36"/>
        <v>18664.73</v>
      </c>
      <c r="G155" s="164"/>
      <c r="H155" s="164">
        <f t="shared" si="36"/>
        <v>41557.61</v>
      </c>
    </row>
    <row r="156" spans="1:17" ht="12" customHeight="1">
      <c r="A156" s="162"/>
      <c r="B156" s="173"/>
      <c r="E156" s="174"/>
      <c r="F156" s="174"/>
      <c r="G156" s="174"/>
      <c r="H156" s="174"/>
    </row>
    <row r="157" spans="1:17" s="136" customFormat="1" ht="12" customHeight="1">
      <c r="A157" s="180" t="s">
        <v>237</v>
      </c>
      <c r="B157" s="180" t="s">
        <v>237</v>
      </c>
      <c r="C157" s="157"/>
      <c r="D157" s="157"/>
      <c r="H157" s="158"/>
      <c r="J157" s="153"/>
      <c r="K157" s="137"/>
      <c r="L157" s="153"/>
    </row>
    <row r="158" spans="1:17" s="136" customFormat="1" ht="12" customHeight="1">
      <c r="A158" s="137" t="s">
        <v>412</v>
      </c>
      <c r="B158" s="137" t="s">
        <v>413</v>
      </c>
      <c r="C158" s="157"/>
      <c r="D158" s="157"/>
      <c r="E158" s="159">
        <v>1819.54</v>
      </c>
      <c r="F158" s="159">
        <v>1442.5100000000002</v>
      </c>
      <c r="G158" s="159"/>
      <c r="H158" s="158">
        <f>SUM(E158:F158)</f>
        <v>3262.05</v>
      </c>
      <c r="J158" s="153"/>
      <c r="K158" s="137"/>
      <c r="L158" s="153"/>
    </row>
    <row r="159" spans="1:17" s="136" customFormat="1" ht="12" customHeight="1">
      <c r="A159" s="137" t="s">
        <v>414</v>
      </c>
      <c r="B159" s="137" t="s">
        <v>415</v>
      </c>
      <c r="C159" s="157"/>
      <c r="D159" s="157"/>
      <c r="E159" s="159">
        <v>160.74</v>
      </c>
      <c r="F159" s="159">
        <v>18.03</v>
      </c>
      <c r="G159" s="159"/>
      <c r="H159" s="158">
        <f>SUM(E159:F159)</f>
        <v>178.77</v>
      </c>
      <c r="J159" s="153"/>
      <c r="K159" s="137"/>
      <c r="L159" s="153"/>
    </row>
    <row r="160" spans="1:17" s="136" customFormat="1" ht="12" customHeight="1">
      <c r="A160" s="137" t="s">
        <v>521</v>
      </c>
      <c r="B160" s="137" t="s">
        <v>522</v>
      </c>
      <c r="C160" s="157"/>
      <c r="D160" s="157"/>
      <c r="E160" s="159">
        <v>0</v>
      </c>
      <c r="F160" s="159">
        <v>-21.22</v>
      </c>
      <c r="G160" s="159"/>
      <c r="H160" s="158">
        <f>SUM(E160:F160)</f>
        <v>-21.22</v>
      </c>
      <c r="J160" s="153"/>
      <c r="K160" s="137"/>
      <c r="L160" s="153"/>
    </row>
    <row r="161" spans="1:12" s="136" customFormat="1" ht="12" customHeight="1">
      <c r="A161" s="161"/>
      <c r="B161" s="161"/>
      <c r="C161" s="157"/>
      <c r="D161" s="157"/>
      <c r="H161" s="158"/>
      <c r="J161" s="153"/>
      <c r="K161" s="137"/>
      <c r="L161" s="153"/>
    </row>
    <row r="162" spans="1:12" s="136" customFormat="1" ht="12" customHeight="1">
      <c r="A162" s="181"/>
      <c r="B162" s="163" t="s">
        <v>416</v>
      </c>
      <c r="C162" s="157"/>
      <c r="D162" s="157"/>
      <c r="E162" s="164">
        <f>SUM(E158:E160)</f>
        <v>1980.28</v>
      </c>
      <c r="F162" s="164">
        <f>SUM(F158:F160)</f>
        <v>1439.3200000000002</v>
      </c>
      <c r="G162" s="164"/>
      <c r="H162" s="164">
        <f>SUM(H158:H160)</f>
        <v>3419.6000000000004</v>
      </c>
      <c r="J162" s="153"/>
      <c r="K162" s="137"/>
      <c r="L162" s="153"/>
    </row>
    <row r="163" spans="1:12" ht="12" customHeight="1">
      <c r="A163" s="162"/>
      <c r="B163" s="173"/>
    </row>
    <row r="164" spans="1:12" ht="12" customHeight="1">
      <c r="A164" s="140"/>
      <c r="B164" s="168" t="s">
        <v>417</v>
      </c>
      <c r="E164" s="164">
        <f>SUM(E37,E42,E123,E129,E150,E155,E162,E134)</f>
        <v>1047599.1149999999</v>
      </c>
      <c r="F164" s="164">
        <f>SUM(F37,F42,F123,F129,F150,F155,F162,F134)</f>
        <v>1021476.9699999997</v>
      </c>
      <c r="G164" s="164"/>
      <c r="H164" s="164">
        <f>SUM(H37,H42,H123,H129,H134,H150,H155,H162)</f>
        <v>2068976.0850000004</v>
      </c>
    </row>
    <row r="165" spans="1:12">
      <c r="A165" s="140"/>
      <c r="B165" s="140"/>
    </row>
    <row r="166" spans="1:12">
      <c r="E166" s="179"/>
      <c r="F166" s="179"/>
    </row>
    <row r="167" spans="1:12">
      <c r="E167" s="190"/>
      <c r="F167" s="190"/>
    </row>
  </sheetData>
  <pageMargins left="0.7" right="0.7" top="0.75" bottom="0.75" header="0.3" footer="0.3"/>
  <pageSetup scale="79" fitToHeight="5"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574"/>
  <sheetViews>
    <sheetView workbookViewId="0">
      <selection activeCell="L43" sqref="L43"/>
    </sheetView>
  </sheetViews>
  <sheetFormatPr defaultRowHeight="12.75"/>
  <cols>
    <col min="1" max="1" width="27.7109375" style="1054" customWidth="1"/>
    <col min="2" max="2" width="10.28515625" style="1072" customWidth="1"/>
    <col min="3" max="3" width="6.42578125" style="1072" bestFit="1" customWidth="1"/>
    <col min="4" max="4" width="8" style="1072" bestFit="1" customWidth="1"/>
    <col min="5" max="5" width="8.85546875" style="1072" customWidth="1"/>
    <col min="6" max="6" width="2" style="1072" customWidth="1"/>
    <col min="7" max="7" width="6.85546875" style="1053" bestFit="1" customWidth="1"/>
    <col min="8" max="8" width="6" style="1053" customWidth="1"/>
    <col min="9" max="9" width="3.5703125" style="1053" customWidth="1"/>
    <col min="10" max="10" width="12.140625" style="1053" customWidth="1"/>
    <col min="11" max="11" width="10.85546875" style="1053" customWidth="1"/>
    <col min="12" max="12" width="12" style="1053" bestFit="1" customWidth="1"/>
    <col min="13" max="13" width="9.85546875" style="1053" bestFit="1" customWidth="1"/>
    <col min="14" max="14" width="13" style="1053" customWidth="1"/>
    <col min="15" max="15" width="2.42578125" style="1053" customWidth="1"/>
    <col min="16" max="248" width="9.140625" style="1053"/>
    <col min="249" max="249" width="30.5703125" style="1053" bestFit="1" customWidth="1"/>
    <col min="250" max="250" width="10.42578125" style="1053" customWidth="1"/>
    <col min="251" max="251" width="10.140625" style="1053" bestFit="1" customWidth="1"/>
    <col min="252" max="252" width="8.7109375" style="1053" customWidth="1"/>
    <col min="253" max="253" width="8.140625" style="1053" bestFit="1" customWidth="1"/>
    <col min="254" max="254" width="9.7109375" style="1053" customWidth="1"/>
    <col min="255" max="255" width="10.140625" style="1053" customWidth="1"/>
    <col min="256" max="256" width="7.85546875" style="1053" bestFit="1" customWidth="1"/>
    <col min="257" max="257" width="5.7109375" style="1053" bestFit="1" customWidth="1"/>
    <col min="258" max="258" width="2.28515625" style="1053" customWidth="1"/>
    <col min="259" max="259" width="7.85546875" style="1053" bestFit="1" customWidth="1"/>
    <col min="260" max="260" width="6.28515625" style="1053" bestFit="1" customWidth="1"/>
    <col min="261" max="261" width="7" style="1053" bestFit="1" customWidth="1"/>
    <col min="262" max="262" width="6.5703125" style="1053" bestFit="1" customWidth="1"/>
    <col min="263" max="270" width="9.140625" style="1053"/>
    <col min="271" max="271" width="8.5703125" style="1053" customWidth="1"/>
    <col min="272" max="504" width="9.140625" style="1053"/>
    <col min="505" max="505" width="30.5703125" style="1053" bestFit="1" customWidth="1"/>
    <col min="506" max="506" width="10.42578125" style="1053" customWidth="1"/>
    <col min="507" max="507" width="10.140625" style="1053" bestFit="1" customWidth="1"/>
    <col min="508" max="508" width="8.7109375" style="1053" customWidth="1"/>
    <col min="509" max="509" width="8.140625" style="1053" bestFit="1" customWidth="1"/>
    <col min="510" max="510" width="9.7109375" style="1053" customWidth="1"/>
    <col min="511" max="511" width="10.140625" style="1053" customWidth="1"/>
    <col min="512" max="512" width="7.85546875" style="1053" bestFit="1" customWidth="1"/>
    <col min="513" max="513" width="5.7109375" style="1053" bestFit="1" customWidth="1"/>
    <col min="514" max="514" width="2.28515625" style="1053" customWidth="1"/>
    <col min="515" max="515" width="7.85546875" style="1053" bestFit="1" customWidth="1"/>
    <col min="516" max="516" width="6.28515625" style="1053" bestFit="1" customWidth="1"/>
    <col min="517" max="517" width="7" style="1053" bestFit="1" customWidth="1"/>
    <col min="518" max="518" width="6.5703125" style="1053" bestFit="1" customWidth="1"/>
    <col min="519" max="526" width="9.140625" style="1053"/>
    <col min="527" max="527" width="8.5703125" style="1053" customWidth="1"/>
    <col min="528" max="760" width="9.140625" style="1053"/>
    <col min="761" max="761" width="30.5703125" style="1053" bestFit="1" customWidth="1"/>
    <col min="762" max="762" width="10.42578125" style="1053" customWidth="1"/>
    <col min="763" max="763" width="10.140625" style="1053" bestFit="1" customWidth="1"/>
    <col min="764" max="764" width="8.7109375" style="1053" customWidth="1"/>
    <col min="765" max="765" width="8.140625" style="1053" bestFit="1" customWidth="1"/>
    <col min="766" max="766" width="9.7109375" style="1053" customWidth="1"/>
    <col min="767" max="767" width="10.140625" style="1053" customWidth="1"/>
    <col min="768" max="768" width="7.85546875" style="1053" bestFit="1" customWidth="1"/>
    <col min="769" max="769" width="5.7109375" style="1053" bestFit="1" customWidth="1"/>
    <col min="770" max="770" width="2.28515625" style="1053" customWidth="1"/>
    <col min="771" max="771" width="7.85546875" style="1053" bestFit="1" customWidth="1"/>
    <col min="772" max="772" width="6.28515625" style="1053" bestFit="1" customWidth="1"/>
    <col min="773" max="773" width="7" style="1053" bestFit="1" customWidth="1"/>
    <col min="774" max="774" width="6.5703125" style="1053" bestFit="1" customWidth="1"/>
    <col min="775" max="782" width="9.140625" style="1053"/>
    <col min="783" max="783" width="8.5703125" style="1053" customWidth="1"/>
    <col min="784" max="1016" width="9.140625" style="1053"/>
    <col min="1017" max="1017" width="30.5703125" style="1053" bestFit="1" customWidth="1"/>
    <col min="1018" max="1018" width="10.42578125" style="1053" customWidth="1"/>
    <col min="1019" max="1019" width="10.140625" style="1053" bestFit="1" customWidth="1"/>
    <col min="1020" max="1020" width="8.7109375" style="1053" customWidth="1"/>
    <col min="1021" max="1021" width="8.140625" style="1053" bestFit="1" customWidth="1"/>
    <col min="1022" max="1022" width="9.7109375" style="1053" customWidth="1"/>
    <col min="1023" max="1023" width="10.140625" style="1053" customWidth="1"/>
    <col min="1024" max="1024" width="7.85546875" style="1053" bestFit="1" customWidth="1"/>
    <col min="1025" max="1025" width="5.7109375" style="1053" bestFit="1" customWidth="1"/>
    <col min="1026" max="1026" width="2.28515625" style="1053" customWidth="1"/>
    <col min="1027" max="1027" width="7.85546875" style="1053" bestFit="1" customWidth="1"/>
    <col min="1028" max="1028" width="6.28515625" style="1053" bestFit="1" customWidth="1"/>
    <col min="1029" max="1029" width="7" style="1053" bestFit="1" customWidth="1"/>
    <col min="1030" max="1030" width="6.5703125" style="1053" bestFit="1" customWidth="1"/>
    <col min="1031" max="1038" width="9.140625" style="1053"/>
    <col min="1039" max="1039" width="8.5703125" style="1053" customWidth="1"/>
    <col min="1040" max="1272" width="9.140625" style="1053"/>
    <col min="1273" max="1273" width="30.5703125" style="1053" bestFit="1" customWidth="1"/>
    <col min="1274" max="1274" width="10.42578125" style="1053" customWidth="1"/>
    <col min="1275" max="1275" width="10.140625" style="1053" bestFit="1" customWidth="1"/>
    <col min="1276" max="1276" width="8.7109375" style="1053" customWidth="1"/>
    <col min="1277" max="1277" width="8.140625" style="1053" bestFit="1" customWidth="1"/>
    <col min="1278" max="1278" width="9.7109375" style="1053" customWidth="1"/>
    <col min="1279" max="1279" width="10.140625" style="1053" customWidth="1"/>
    <col min="1280" max="1280" width="7.85546875" style="1053" bestFit="1" customWidth="1"/>
    <col min="1281" max="1281" width="5.7109375" style="1053" bestFit="1" customWidth="1"/>
    <col min="1282" max="1282" width="2.28515625" style="1053" customWidth="1"/>
    <col min="1283" max="1283" width="7.85546875" style="1053" bestFit="1" customWidth="1"/>
    <col min="1284" max="1284" width="6.28515625" style="1053" bestFit="1" customWidth="1"/>
    <col min="1285" max="1285" width="7" style="1053" bestFit="1" customWidth="1"/>
    <col min="1286" max="1286" width="6.5703125" style="1053" bestFit="1" customWidth="1"/>
    <col min="1287" max="1294" width="9.140625" style="1053"/>
    <col min="1295" max="1295" width="8.5703125" style="1053" customWidth="1"/>
    <col min="1296" max="1528" width="9.140625" style="1053"/>
    <col min="1529" max="1529" width="30.5703125" style="1053" bestFit="1" customWidth="1"/>
    <col min="1530" max="1530" width="10.42578125" style="1053" customWidth="1"/>
    <col min="1531" max="1531" width="10.140625" style="1053" bestFit="1" customWidth="1"/>
    <col min="1532" max="1532" width="8.7109375" style="1053" customWidth="1"/>
    <col min="1533" max="1533" width="8.140625" style="1053" bestFit="1" customWidth="1"/>
    <col min="1534" max="1534" width="9.7109375" style="1053" customWidth="1"/>
    <col min="1535" max="1535" width="10.140625" style="1053" customWidth="1"/>
    <col min="1536" max="1536" width="7.85546875" style="1053" bestFit="1" customWidth="1"/>
    <col min="1537" max="1537" width="5.7109375" style="1053" bestFit="1" customWidth="1"/>
    <col min="1538" max="1538" width="2.28515625" style="1053" customWidth="1"/>
    <col min="1539" max="1539" width="7.85546875" style="1053" bestFit="1" customWidth="1"/>
    <col min="1540" max="1540" width="6.28515625" style="1053" bestFit="1" customWidth="1"/>
    <col min="1541" max="1541" width="7" style="1053" bestFit="1" customWidth="1"/>
    <col min="1542" max="1542" width="6.5703125" style="1053" bestFit="1" customWidth="1"/>
    <col min="1543" max="1550" width="9.140625" style="1053"/>
    <col min="1551" max="1551" width="8.5703125" style="1053" customWidth="1"/>
    <col min="1552" max="1784" width="9.140625" style="1053"/>
    <col min="1785" max="1785" width="30.5703125" style="1053" bestFit="1" customWidth="1"/>
    <col min="1786" max="1786" width="10.42578125" style="1053" customWidth="1"/>
    <col min="1787" max="1787" width="10.140625" style="1053" bestFit="1" customWidth="1"/>
    <col min="1788" max="1788" width="8.7109375" style="1053" customWidth="1"/>
    <col min="1789" max="1789" width="8.140625" style="1053" bestFit="1" customWidth="1"/>
    <col min="1790" max="1790" width="9.7109375" style="1053" customWidth="1"/>
    <col min="1791" max="1791" width="10.140625" style="1053" customWidth="1"/>
    <col min="1792" max="1792" width="7.85546875" style="1053" bestFit="1" customWidth="1"/>
    <col min="1793" max="1793" width="5.7109375" style="1053" bestFit="1" customWidth="1"/>
    <col min="1794" max="1794" width="2.28515625" style="1053" customWidth="1"/>
    <col min="1795" max="1795" width="7.85546875" style="1053" bestFit="1" customWidth="1"/>
    <col min="1796" max="1796" width="6.28515625" style="1053" bestFit="1" customWidth="1"/>
    <col min="1797" max="1797" width="7" style="1053" bestFit="1" customWidth="1"/>
    <col min="1798" max="1798" width="6.5703125" style="1053" bestFit="1" customWidth="1"/>
    <col min="1799" max="1806" width="9.140625" style="1053"/>
    <col min="1807" max="1807" width="8.5703125" style="1053" customWidth="1"/>
    <col min="1808" max="2040" width="9.140625" style="1053"/>
    <col min="2041" max="2041" width="30.5703125" style="1053" bestFit="1" customWidth="1"/>
    <col min="2042" max="2042" width="10.42578125" style="1053" customWidth="1"/>
    <col min="2043" max="2043" width="10.140625" style="1053" bestFit="1" customWidth="1"/>
    <col min="2044" max="2044" width="8.7109375" style="1053" customWidth="1"/>
    <col min="2045" max="2045" width="8.140625" style="1053" bestFit="1" customWidth="1"/>
    <col min="2046" max="2046" width="9.7109375" style="1053" customWidth="1"/>
    <col min="2047" max="2047" width="10.140625" style="1053" customWidth="1"/>
    <col min="2048" max="2048" width="7.85546875" style="1053" bestFit="1" customWidth="1"/>
    <col min="2049" max="2049" width="5.7109375" style="1053" bestFit="1" customWidth="1"/>
    <col min="2050" max="2050" width="2.28515625" style="1053" customWidth="1"/>
    <col min="2051" max="2051" width="7.85546875" style="1053" bestFit="1" customWidth="1"/>
    <col min="2052" max="2052" width="6.28515625" style="1053" bestFit="1" customWidth="1"/>
    <col min="2053" max="2053" width="7" style="1053" bestFit="1" customWidth="1"/>
    <col min="2054" max="2054" width="6.5703125" style="1053" bestFit="1" customWidth="1"/>
    <col min="2055" max="2062" width="9.140625" style="1053"/>
    <col min="2063" max="2063" width="8.5703125" style="1053" customWidth="1"/>
    <col min="2064" max="2296" width="9.140625" style="1053"/>
    <col min="2297" max="2297" width="30.5703125" style="1053" bestFit="1" customWidth="1"/>
    <col min="2298" max="2298" width="10.42578125" style="1053" customWidth="1"/>
    <col min="2299" max="2299" width="10.140625" style="1053" bestFit="1" customWidth="1"/>
    <col min="2300" max="2300" width="8.7109375" style="1053" customWidth="1"/>
    <col min="2301" max="2301" width="8.140625" style="1053" bestFit="1" customWidth="1"/>
    <col min="2302" max="2302" width="9.7109375" style="1053" customWidth="1"/>
    <col min="2303" max="2303" width="10.140625" style="1053" customWidth="1"/>
    <col min="2304" max="2304" width="7.85546875" style="1053" bestFit="1" customWidth="1"/>
    <col min="2305" max="2305" width="5.7109375" style="1053" bestFit="1" customWidth="1"/>
    <col min="2306" max="2306" width="2.28515625" style="1053" customWidth="1"/>
    <col min="2307" max="2307" width="7.85546875" style="1053" bestFit="1" customWidth="1"/>
    <col min="2308" max="2308" width="6.28515625" style="1053" bestFit="1" customWidth="1"/>
    <col min="2309" max="2309" width="7" style="1053" bestFit="1" customWidth="1"/>
    <col min="2310" max="2310" width="6.5703125" style="1053" bestFit="1" customWidth="1"/>
    <col min="2311" max="2318" width="9.140625" style="1053"/>
    <col min="2319" max="2319" width="8.5703125" style="1053" customWidth="1"/>
    <col min="2320" max="2552" width="9.140625" style="1053"/>
    <col min="2553" max="2553" width="30.5703125" style="1053" bestFit="1" customWidth="1"/>
    <col min="2554" max="2554" width="10.42578125" style="1053" customWidth="1"/>
    <col min="2555" max="2555" width="10.140625" style="1053" bestFit="1" customWidth="1"/>
    <col min="2556" max="2556" width="8.7109375" style="1053" customWidth="1"/>
    <col min="2557" max="2557" width="8.140625" style="1053" bestFit="1" customWidth="1"/>
    <col min="2558" max="2558" width="9.7109375" style="1053" customWidth="1"/>
    <col min="2559" max="2559" width="10.140625" style="1053" customWidth="1"/>
    <col min="2560" max="2560" width="7.85546875" style="1053" bestFit="1" customWidth="1"/>
    <col min="2561" max="2561" width="5.7109375" style="1053" bestFit="1" customWidth="1"/>
    <col min="2562" max="2562" width="2.28515625" style="1053" customWidth="1"/>
    <col min="2563" max="2563" width="7.85546875" style="1053" bestFit="1" customWidth="1"/>
    <col min="2564" max="2564" width="6.28515625" style="1053" bestFit="1" customWidth="1"/>
    <col min="2565" max="2565" width="7" style="1053" bestFit="1" customWidth="1"/>
    <col min="2566" max="2566" width="6.5703125" style="1053" bestFit="1" customWidth="1"/>
    <col min="2567" max="2574" width="9.140625" style="1053"/>
    <col min="2575" max="2575" width="8.5703125" style="1053" customWidth="1"/>
    <col min="2576" max="2808" width="9.140625" style="1053"/>
    <col min="2809" max="2809" width="30.5703125" style="1053" bestFit="1" customWidth="1"/>
    <col min="2810" max="2810" width="10.42578125" style="1053" customWidth="1"/>
    <col min="2811" max="2811" width="10.140625" style="1053" bestFit="1" customWidth="1"/>
    <col min="2812" max="2812" width="8.7109375" style="1053" customWidth="1"/>
    <col min="2813" max="2813" width="8.140625" style="1053" bestFit="1" customWidth="1"/>
    <col min="2814" max="2814" width="9.7109375" style="1053" customWidth="1"/>
    <col min="2815" max="2815" width="10.140625" style="1053" customWidth="1"/>
    <col min="2816" max="2816" width="7.85546875" style="1053" bestFit="1" customWidth="1"/>
    <col min="2817" max="2817" width="5.7109375" style="1053" bestFit="1" customWidth="1"/>
    <col min="2818" max="2818" width="2.28515625" style="1053" customWidth="1"/>
    <col min="2819" max="2819" width="7.85546875" style="1053" bestFit="1" customWidth="1"/>
    <col min="2820" max="2820" width="6.28515625" style="1053" bestFit="1" customWidth="1"/>
    <col min="2821" max="2821" width="7" style="1053" bestFit="1" customWidth="1"/>
    <col min="2822" max="2822" width="6.5703125" style="1053" bestFit="1" customWidth="1"/>
    <col min="2823" max="2830" width="9.140625" style="1053"/>
    <col min="2831" max="2831" width="8.5703125" style="1053" customWidth="1"/>
    <col min="2832" max="3064" width="9.140625" style="1053"/>
    <col min="3065" max="3065" width="30.5703125" style="1053" bestFit="1" customWidth="1"/>
    <col min="3066" max="3066" width="10.42578125" style="1053" customWidth="1"/>
    <col min="3067" max="3067" width="10.140625" style="1053" bestFit="1" customWidth="1"/>
    <col min="3068" max="3068" width="8.7109375" style="1053" customWidth="1"/>
    <col min="3069" max="3069" width="8.140625" style="1053" bestFit="1" customWidth="1"/>
    <col min="3070" max="3070" width="9.7109375" style="1053" customWidth="1"/>
    <col min="3071" max="3071" width="10.140625" style="1053" customWidth="1"/>
    <col min="3072" max="3072" width="7.85546875" style="1053" bestFit="1" customWidth="1"/>
    <col min="3073" max="3073" width="5.7109375" style="1053" bestFit="1" customWidth="1"/>
    <col min="3074" max="3074" width="2.28515625" style="1053" customWidth="1"/>
    <col min="3075" max="3075" width="7.85546875" style="1053" bestFit="1" customWidth="1"/>
    <col min="3076" max="3076" width="6.28515625" style="1053" bestFit="1" customWidth="1"/>
    <col min="3077" max="3077" width="7" style="1053" bestFit="1" customWidth="1"/>
    <col min="3078" max="3078" width="6.5703125" style="1053" bestFit="1" customWidth="1"/>
    <col min="3079" max="3086" width="9.140625" style="1053"/>
    <col min="3087" max="3087" width="8.5703125" style="1053" customWidth="1"/>
    <col min="3088" max="3320" width="9.140625" style="1053"/>
    <col min="3321" max="3321" width="30.5703125" style="1053" bestFit="1" customWidth="1"/>
    <col min="3322" max="3322" width="10.42578125" style="1053" customWidth="1"/>
    <col min="3323" max="3323" width="10.140625" style="1053" bestFit="1" customWidth="1"/>
    <col min="3324" max="3324" width="8.7109375" style="1053" customWidth="1"/>
    <col min="3325" max="3325" width="8.140625" style="1053" bestFit="1" customWidth="1"/>
    <col min="3326" max="3326" width="9.7109375" style="1053" customWidth="1"/>
    <col min="3327" max="3327" width="10.140625" style="1053" customWidth="1"/>
    <col min="3328" max="3328" width="7.85546875" style="1053" bestFit="1" customWidth="1"/>
    <col min="3329" max="3329" width="5.7109375" style="1053" bestFit="1" customWidth="1"/>
    <col min="3330" max="3330" width="2.28515625" style="1053" customWidth="1"/>
    <col min="3331" max="3331" width="7.85546875" style="1053" bestFit="1" customWidth="1"/>
    <col min="3332" max="3332" width="6.28515625" style="1053" bestFit="1" customWidth="1"/>
    <col min="3333" max="3333" width="7" style="1053" bestFit="1" customWidth="1"/>
    <col min="3334" max="3334" width="6.5703125" style="1053" bestFit="1" customWidth="1"/>
    <col min="3335" max="3342" width="9.140625" style="1053"/>
    <col min="3343" max="3343" width="8.5703125" style="1053" customWidth="1"/>
    <col min="3344" max="3576" width="9.140625" style="1053"/>
    <col min="3577" max="3577" width="30.5703125" style="1053" bestFit="1" customWidth="1"/>
    <col min="3578" max="3578" width="10.42578125" style="1053" customWidth="1"/>
    <col min="3579" max="3579" width="10.140625" style="1053" bestFit="1" customWidth="1"/>
    <col min="3580" max="3580" width="8.7109375" style="1053" customWidth="1"/>
    <col min="3581" max="3581" width="8.140625" style="1053" bestFit="1" customWidth="1"/>
    <col min="3582" max="3582" width="9.7109375" style="1053" customWidth="1"/>
    <col min="3583" max="3583" width="10.140625" style="1053" customWidth="1"/>
    <col min="3584" max="3584" width="7.85546875" style="1053" bestFit="1" customWidth="1"/>
    <col min="3585" max="3585" width="5.7109375" style="1053" bestFit="1" customWidth="1"/>
    <col min="3586" max="3586" width="2.28515625" style="1053" customWidth="1"/>
    <col min="3587" max="3587" width="7.85546875" style="1053" bestFit="1" customWidth="1"/>
    <col min="3588" max="3588" width="6.28515625" style="1053" bestFit="1" customWidth="1"/>
    <col min="3589" max="3589" width="7" style="1053" bestFit="1" customWidth="1"/>
    <col min="3590" max="3590" width="6.5703125" style="1053" bestFit="1" customWidth="1"/>
    <col min="3591" max="3598" width="9.140625" style="1053"/>
    <col min="3599" max="3599" width="8.5703125" style="1053" customWidth="1"/>
    <col min="3600" max="3832" width="9.140625" style="1053"/>
    <col min="3833" max="3833" width="30.5703125" style="1053" bestFit="1" customWidth="1"/>
    <col min="3834" max="3834" width="10.42578125" style="1053" customWidth="1"/>
    <col min="3835" max="3835" width="10.140625" style="1053" bestFit="1" customWidth="1"/>
    <col min="3836" max="3836" width="8.7109375" style="1053" customWidth="1"/>
    <col min="3837" max="3837" width="8.140625" style="1053" bestFit="1" customWidth="1"/>
    <col min="3838" max="3838" width="9.7109375" style="1053" customWidth="1"/>
    <col min="3839" max="3839" width="10.140625" style="1053" customWidth="1"/>
    <col min="3840" max="3840" width="7.85546875" style="1053" bestFit="1" customWidth="1"/>
    <col min="3841" max="3841" width="5.7109375" style="1053" bestFit="1" customWidth="1"/>
    <col min="3842" max="3842" width="2.28515625" style="1053" customWidth="1"/>
    <col min="3843" max="3843" width="7.85546875" style="1053" bestFit="1" customWidth="1"/>
    <col min="3844" max="3844" width="6.28515625" style="1053" bestFit="1" customWidth="1"/>
    <col min="3845" max="3845" width="7" style="1053" bestFit="1" customWidth="1"/>
    <col min="3846" max="3846" width="6.5703125" style="1053" bestFit="1" customWidth="1"/>
    <col min="3847" max="3854" width="9.140625" style="1053"/>
    <col min="3855" max="3855" width="8.5703125" style="1053" customWidth="1"/>
    <col min="3856" max="4088" width="9.140625" style="1053"/>
    <col min="4089" max="4089" width="30.5703125" style="1053" bestFit="1" customWidth="1"/>
    <col min="4090" max="4090" width="10.42578125" style="1053" customWidth="1"/>
    <col min="4091" max="4091" width="10.140625" style="1053" bestFit="1" customWidth="1"/>
    <col min="4092" max="4092" width="8.7109375" style="1053" customWidth="1"/>
    <col min="4093" max="4093" width="8.140625" style="1053" bestFit="1" customWidth="1"/>
    <col min="4094" max="4094" width="9.7109375" style="1053" customWidth="1"/>
    <col min="4095" max="4095" width="10.140625" style="1053" customWidth="1"/>
    <col min="4096" max="4096" width="7.85546875" style="1053" bestFit="1" customWidth="1"/>
    <col min="4097" max="4097" width="5.7109375" style="1053" bestFit="1" customWidth="1"/>
    <col min="4098" max="4098" width="2.28515625" style="1053" customWidth="1"/>
    <col min="4099" max="4099" width="7.85546875" style="1053" bestFit="1" customWidth="1"/>
    <col min="4100" max="4100" width="6.28515625" style="1053" bestFit="1" customWidth="1"/>
    <col min="4101" max="4101" width="7" style="1053" bestFit="1" customWidth="1"/>
    <col min="4102" max="4102" width="6.5703125" style="1053" bestFit="1" customWidth="1"/>
    <col min="4103" max="4110" width="9.140625" style="1053"/>
    <col min="4111" max="4111" width="8.5703125" style="1053" customWidth="1"/>
    <col min="4112" max="4344" width="9.140625" style="1053"/>
    <col min="4345" max="4345" width="30.5703125" style="1053" bestFit="1" customWidth="1"/>
    <col min="4346" max="4346" width="10.42578125" style="1053" customWidth="1"/>
    <col min="4347" max="4347" width="10.140625" style="1053" bestFit="1" customWidth="1"/>
    <col min="4348" max="4348" width="8.7109375" style="1053" customWidth="1"/>
    <col min="4349" max="4349" width="8.140625" style="1053" bestFit="1" customWidth="1"/>
    <col min="4350" max="4350" width="9.7109375" style="1053" customWidth="1"/>
    <col min="4351" max="4351" width="10.140625" style="1053" customWidth="1"/>
    <col min="4352" max="4352" width="7.85546875" style="1053" bestFit="1" customWidth="1"/>
    <col min="4353" max="4353" width="5.7109375" style="1053" bestFit="1" customWidth="1"/>
    <col min="4354" max="4354" width="2.28515625" style="1053" customWidth="1"/>
    <col min="4355" max="4355" width="7.85546875" style="1053" bestFit="1" customWidth="1"/>
    <col min="4356" max="4356" width="6.28515625" style="1053" bestFit="1" customWidth="1"/>
    <col min="4357" max="4357" width="7" style="1053" bestFit="1" customWidth="1"/>
    <col min="4358" max="4358" width="6.5703125" style="1053" bestFit="1" customWidth="1"/>
    <col min="4359" max="4366" width="9.140625" style="1053"/>
    <col min="4367" max="4367" width="8.5703125" style="1053" customWidth="1"/>
    <col min="4368" max="4600" width="9.140625" style="1053"/>
    <col min="4601" max="4601" width="30.5703125" style="1053" bestFit="1" customWidth="1"/>
    <col min="4602" max="4602" width="10.42578125" style="1053" customWidth="1"/>
    <col min="4603" max="4603" width="10.140625" style="1053" bestFit="1" customWidth="1"/>
    <col min="4604" max="4604" width="8.7109375" style="1053" customWidth="1"/>
    <col min="4605" max="4605" width="8.140625" style="1053" bestFit="1" customWidth="1"/>
    <col min="4606" max="4606" width="9.7109375" style="1053" customWidth="1"/>
    <col min="4607" max="4607" width="10.140625" style="1053" customWidth="1"/>
    <col min="4608" max="4608" width="7.85546875" style="1053" bestFit="1" customWidth="1"/>
    <col min="4609" max="4609" width="5.7109375" style="1053" bestFit="1" customWidth="1"/>
    <col min="4610" max="4610" width="2.28515625" style="1053" customWidth="1"/>
    <col min="4611" max="4611" width="7.85546875" style="1053" bestFit="1" customWidth="1"/>
    <col min="4612" max="4612" width="6.28515625" style="1053" bestFit="1" customWidth="1"/>
    <col min="4613" max="4613" width="7" style="1053" bestFit="1" customWidth="1"/>
    <col min="4614" max="4614" width="6.5703125" style="1053" bestFit="1" customWidth="1"/>
    <col min="4615" max="4622" width="9.140625" style="1053"/>
    <col min="4623" max="4623" width="8.5703125" style="1053" customWidth="1"/>
    <col min="4624" max="4856" width="9.140625" style="1053"/>
    <col min="4857" max="4857" width="30.5703125" style="1053" bestFit="1" customWidth="1"/>
    <col min="4858" max="4858" width="10.42578125" style="1053" customWidth="1"/>
    <col min="4859" max="4859" width="10.140625" style="1053" bestFit="1" customWidth="1"/>
    <col min="4860" max="4860" width="8.7109375" style="1053" customWidth="1"/>
    <col min="4861" max="4861" width="8.140625" style="1053" bestFit="1" customWidth="1"/>
    <col min="4862" max="4862" width="9.7109375" style="1053" customWidth="1"/>
    <col min="4863" max="4863" width="10.140625" style="1053" customWidth="1"/>
    <col min="4864" max="4864" width="7.85546875" style="1053" bestFit="1" customWidth="1"/>
    <col min="4865" max="4865" width="5.7109375" style="1053" bestFit="1" customWidth="1"/>
    <col min="4866" max="4866" width="2.28515625" style="1053" customWidth="1"/>
    <col min="4867" max="4867" width="7.85546875" style="1053" bestFit="1" customWidth="1"/>
    <col min="4868" max="4868" width="6.28515625" style="1053" bestFit="1" customWidth="1"/>
    <col min="4869" max="4869" width="7" style="1053" bestFit="1" customWidth="1"/>
    <col min="4870" max="4870" width="6.5703125" style="1053" bestFit="1" customWidth="1"/>
    <col min="4871" max="4878" width="9.140625" style="1053"/>
    <col min="4879" max="4879" width="8.5703125" style="1053" customWidth="1"/>
    <col min="4880" max="5112" width="9.140625" style="1053"/>
    <col min="5113" max="5113" width="30.5703125" style="1053" bestFit="1" customWidth="1"/>
    <col min="5114" max="5114" width="10.42578125" style="1053" customWidth="1"/>
    <col min="5115" max="5115" width="10.140625" style="1053" bestFit="1" customWidth="1"/>
    <col min="5116" max="5116" width="8.7109375" style="1053" customWidth="1"/>
    <col min="5117" max="5117" width="8.140625" style="1053" bestFit="1" customWidth="1"/>
    <col min="5118" max="5118" width="9.7109375" style="1053" customWidth="1"/>
    <col min="5119" max="5119" width="10.140625" style="1053" customWidth="1"/>
    <col min="5120" max="5120" width="7.85546875" style="1053" bestFit="1" customWidth="1"/>
    <col min="5121" max="5121" width="5.7109375" style="1053" bestFit="1" customWidth="1"/>
    <col min="5122" max="5122" width="2.28515625" style="1053" customWidth="1"/>
    <col min="5123" max="5123" width="7.85546875" style="1053" bestFit="1" customWidth="1"/>
    <col min="5124" max="5124" width="6.28515625" style="1053" bestFit="1" customWidth="1"/>
    <col min="5125" max="5125" width="7" style="1053" bestFit="1" customWidth="1"/>
    <col min="5126" max="5126" width="6.5703125" style="1053" bestFit="1" customWidth="1"/>
    <col min="5127" max="5134" width="9.140625" style="1053"/>
    <col min="5135" max="5135" width="8.5703125" style="1053" customWidth="1"/>
    <col min="5136" max="5368" width="9.140625" style="1053"/>
    <col min="5369" max="5369" width="30.5703125" style="1053" bestFit="1" customWidth="1"/>
    <col min="5370" max="5370" width="10.42578125" style="1053" customWidth="1"/>
    <col min="5371" max="5371" width="10.140625" style="1053" bestFit="1" customWidth="1"/>
    <col min="5372" max="5372" width="8.7109375" style="1053" customWidth="1"/>
    <col min="5373" max="5373" width="8.140625" style="1053" bestFit="1" customWidth="1"/>
    <col min="5374" max="5374" width="9.7109375" style="1053" customWidth="1"/>
    <col min="5375" max="5375" width="10.140625" style="1053" customWidth="1"/>
    <col min="5376" max="5376" width="7.85546875" style="1053" bestFit="1" customWidth="1"/>
    <col min="5377" max="5377" width="5.7109375" style="1053" bestFit="1" customWidth="1"/>
    <col min="5378" max="5378" width="2.28515625" style="1053" customWidth="1"/>
    <col min="5379" max="5379" width="7.85546875" style="1053" bestFit="1" customWidth="1"/>
    <col min="5380" max="5380" width="6.28515625" style="1053" bestFit="1" customWidth="1"/>
    <col min="5381" max="5381" width="7" style="1053" bestFit="1" customWidth="1"/>
    <col min="5382" max="5382" width="6.5703125" style="1053" bestFit="1" customWidth="1"/>
    <col min="5383" max="5390" width="9.140625" style="1053"/>
    <col min="5391" max="5391" width="8.5703125" style="1053" customWidth="1"/>
    <col min="5392" max="5624" width="9.140625" style="1053"/>
    <col min="5625" max="5625" width="30.5703125" style="1053" bestFit="1" customWidth="1"/>
    <col min="5626" max="5626" width="10.42578125" style="1053" customWidth="1"/>
    <col min="5627" max="5627" width="10.140625" style="1053" bestFit="1" customWidth="1"/>
    <col min="5628" max="5628" width="8.7109375" style="1053" customWidth="1"/>
    <col min="5629" max="5629" width="8.140625" style="1053" bestFit="1" customWidth="1"/>
    <col min="5630" max="5630" width="9.7109375" style="1053" customWidth="1"/>
    <col min="5631" max="5631" width="10.140625" style="1053" customWidth="1"/>
    <col min="5632" max="5632" width="7.85546875" style="1053" bestFit="1" customWidth="1"/>
    <col min="5633" max="5633" width="5.7109375" style="1053" bestFit="1" customWidth="1"/>
    <col min="5634" max="5634" width="2.28515625" style="1053" customWidth="1"/>
    <col min="5635" max="5635" width="7.85546875" style="1053" bestFit="1" customWidth="1"/>
    <col min="5636" max="5636" width="6.28515625" style="1053" bestFit="1" customWidth="1"/>
    <col min="5637" max="5637" width="7" style="1053" bestFit="1" customWidth="1"/>
    <col min="5638" max="5638" width="6.5703125" style="1053" bestFit="1" customWidth="1"/>
    <col min="5639" max="5646" width="9.140625" style="1053"/>
    <col min="5647" max="5647" width="8.5703125" style="1053" customWidth="1"/>
    <col min="5648" max="5880" width="9.140625" style="1053"/>
    <col min="5881" max="5881" width="30.5703125" style="1053" bestFit="1" customWidth="1"/>
    <col min="5882" max="5882" width="10.42578125" style="1053" customWidth="1"/>
    <col min="5883" max="5883" width="10.140625" style="1053" bestFit="1" customWidth="1"/>
    <col min="5884" max="5884" width="8.7109375" style="1053" customWidth="1"/>
    <col min="5885" max="5885" width="8.140625" style="1053" bestFit="1" customWidth="1"/>
    <col min="5886" max="5886" width="9.7109375" style="1053" customWidth="1"/>
    <col min="5887" max="5887" width="10.140625" style="1053" customWidth="1"/>
    <col min="5888" max="5888" width="7.85546875" style="1053" bestFit="1" customWidth="1"/>
    <col min="5889" max="5889" width="5.7109375" style="1053" bestFit="1" customWidth="1"/>
    <col min="5890" max="5890" width="2.28515625" style="1053" customWidth="1"/>
    <col min="5891" max="5891" width="7.85546875" style="1053" bestFit="1" customWidth="1"/>
    <col min="5892" max="5892" width="6.28515625" style="1053" bestFit="1" customWidth="1"/>
    <col min="5893" max="5893" width="7" style="1053" bestFit="1" customWidth="1"/>
    <col min="5894" max="5894" width="6.5703125" style="1053" bestFit="1" customWidth="1"/>
    <col min="5895" max="5902" width="9.140625" style="1053"/>
    <col min="5903" max="5903" width="8.5703125" style="1053" customWidth="1"/>
    <col min="5904" max="6136" width="9.140625" style="1053"/>
    <col min="6137" max="6137" width="30.5703125" style="1053" bestFit="1" customWidth="1"/>
    <col min="6138" max="6138" width="10.42578125" style="1053" customWidth="1"/>
    <col min="6139" max="6139" width="10.140625" style="1053" bestFit="1" customWidth="1"/>
    <col min="6140" max="6140" width="8.7109375" style="1053" customWidth="1"/>
    <col min="6141" max="6141" width="8.140625" style="1053" bestFit="1" customWidth="1"/>
    <col min="6142" max="6142" width="9.7109375" style="1053" customWidth="1"/>
    <col min="6143" max="6143" width="10.140625" style="1053" customWidth="1"/>
    <col min="6144" max="6144" width="7.85546875" style="1053" bestFit="1" customWidth="1"/>
    <col min="6145" max="6145" width="5.7109375" style="1053" bestFit="1" customWidth="1"/>
    <col min="6146" max="6146" width="2.28515625" style="1053" customWidth="1"/>
    <col min="6147" max="6147" width="7.85546875" style="1053" bestFit="1" customWidth="1"/>
    <col min="6148" max="6148" width="6.28515625" style="1053" bestFit="1" customWidth="1"/>
    <col min="6149" max="6149" width="7" style="1053" bestFit="1" customWidth="1"/>
    <col min="6150" max="6150" width="6.5703125" style="1053" bestFit="1" customWidth="1"/>
    <col min="6151" max="6158" width="9.140625" style="1053"/>
    <col min="6159" max="6159" width="8.5703125" style="1053" customWidth="1"/>
    <col min="6160" max="6392" width="9.140625" style="1053"/>
    <col min="6393" max="6393" width="30.5703125" style="1053" bestFit="1" customWidth="1"/>
    <col min="6394" max="6394" width="10.42578125" style="1053" customWidth="1"/>
    <col min="6395" max="6395" width="10.140625" style="1053" bestFit="1" customWidth="1"/>
    <col min="6396" max="6396" width="8.7109375" style="1053" customWidth="1"/>
    <col min="6397" max="6397" width="8.140625" style="1053" bestFit="1" customWidth="1"/>
    <col min="6398" max="6398" width="9.7109375" style="1053" customWidth="1"/>
    <col min="6399" max="6399" width="10.140625" style="1053" customWidth="1"/>
    <col min="6400" max="6400" width="7.85546875" style="1053" bestFit="1" customWidth="1"/>
    <col min="6401" max="6401" width="5.7109375" style="1053" bestFit="1" customWidth="1"/>
    <col min="6402" max="6402" width="2.28515625" style="1053" customWidth="1"/>
    <col min="6403" max="6403" width="7.85546875" style="1053" bestFit="1" customWidth="1"/>
    <col min="6404" max="6404" width="6.28515625" style="1053" bestFit="1" customWidth="1"/>
    <col min="6405" max="6405" width="7" style="1053" bestFit="1" customWidth="1"/>
    <col min="6406" max="6406" width="6.5703125" style="1053" bestFit="1" customWidth="1"/>
    <col min="6407" max="6414" width="9.140625" style="1053"/>
    <col min="6415" max="6415" width="8.5703125" style="1053" customWidth="1"/>
    <col min="6416" max="6648" width="9.140625" style="1053"/>
    <col min="6649" max="6649" width="30.5703125" style="1053" bestFit="1" customWidth="1"/>
    <col min="6650" max="6650" width="10.42578125" style="1053" customWidth="1"/>
    <col min="6651" max="6651" width="10.140625" style="1053" bestFit="1" customWidth="1"/>
    <col min="6652" max="6652" width="8.7109375" style="1053" customWidth="1"/>
    <col min="6653" max="6653" width="8.140625" style="1053" bestFit="1" customWidth="1"/>
    <col min="6654" max="6654" width="9.7109375" style="1053" customWidth="1"/>
    <col min="6655" max="6655" width="10.140625" style="1053" customWidth="1"/>
    <col min="6656" max="6656" width="7.85546875" style="1053" bestFit="1" customWidth="1"/>
    <col min="6657" max="6657" width="5.7109375" style="1053" bestFit="1" customWidth="1"/>
    <col min="6658" max="6658" width="2.28515625" style="1053" customWidth="1"/>
    <col min="6659" max="6659" width="7.85546875" style="1053" bestFit="1" customWidth="1"/>
    <col min="6660" max="6660" width="6.28515625" style="1053" bestFit="1" customWidth="1"/>
    <col min="6661" max="6661" width="7" style="1053" bestFit="1" customWidth="1"/>
    <col min="6662" max="6662" width="6.5703125" style="1053" bestFit="1" customWidth="1"/>
    <col min="6663" max="6670" width="9.140625" style="1053"/>
    <col min="6671" max="6671" width="8.5703125" style="1053" customWidth="1"/>
    <col min="6672" max="6904" width="9.140625" style="1053"/>
    <col min="6905" max="6905" width="30.5703125" style="1053" bestFit="1" customWidth="1"/>
    <col min="6906" max="6906" width="10.42578125" style="1053" customWidth="1"/>
    <col min="6907" max="6907" width="10.140625" style="1053" bestFit="1" customWidth="1"/>
    <col min="6908" max="6908" width="8.7109375" style="1053" customWidth="1"/>
    <col min="6909" max="6909" width="8.140625" style="1053" bestFit="1" customWidth="1"/>
    <col min="6910" max="6910" width="9.7109375" style="1053" customWidth="1"/>
    <col min="6911" max="6911" width="10.140625" style="1053" customWidth="1"/>
    <col min="6912" max="6912" width="7.85546875" style="1053" bestFit="1" customWidth="1"/>
    <col min="6913" max="6913" width="5.7109375" style="1053" bestFit="1" customWidth="1"/>
    <col min="6914" max="6914" width="2.28515625" style="1053" customWidth="1"/>
    <col min="6915" max="6915" width="7.85546875" style="1053" bestFit="1" customWidth="1"/>
    <col min="6916" max="6916" width="6.28515625" style="1053" bestFit="1" customWidth="1"/>
    <col min="6917" max="6917" width="7" style="1053" bestFit="1" customWidth="1"/>
    <col min="6918" max="6918" width="6.5703125" style="1053" bestFit="1" customWidth="1"/>
    <col min="6919" max="6926" width="9.140625" style="1053"/>
    <col min="6927" max="6927" width="8.5703125" style="1053" customWidth="1"/>
    <col min="6928" max="7160" width="9.140625" style="1053"/>
    <col min="7161" max="7161" width="30.5703125" style="1053" bestFit="1" customWidth="1"/>
    <col min="7162" max="7162" width="10.42578125" style="1053" customWidth="1"/>
    <col min="7163" max="7163" width="10.140625" style="1053" bestFit="1" customWidth="1"/>
    <col min="7164" max="7164" width="8.7109375" style="1053" customWidth="1"/>
    <col min="7165" max="7165" width="8.140625" style="1053" bestFit="1" customWidth="1"/>
    <col min="7166" max="7166" width="9.7109375" style="1053" customWidth="1"/>
    <col min="7167" max="7167" width="10.140625" style="1053" customWidth="1"/>
    <col min="7168" max="7168" width="7.85546875" style="1053" bestFit="1" customWidth="1"/>
    <col min="7169" max="7169" width="5.7109375" style="1053" bestFit="1" customWidth="1"/>
    <col min="7170" max="7170" width="2.28515625" style="1053" customWidth="1"/>
    <col min="7171" max="7171" width="7.85546875" style="1053" bestFit="1" customWidth="1"/>
    <col min="7172" max="7172" width="6.28515625" style="1053" bestFit="1" customWidth="1"/>
    <col min="7173" max="7173" width="7" style="1053" bestFit="1" customWidth="1"/>
    <col min="7174" max="7174" width="6.5703125" style="1053" bestFit="1" customWidth="1"/>
    <col min="7175" max="7182" width="9.140625" style="1053"/>
    <col min="7183" max="7183" width="8.5703125" style="1053" customWidth="1"/>
    <col min="7184" max="7416" width="9.140625" style="1053"/>
    <col min="7417" max="7417" width="30.5703125" style="1053" bestFit="1" customWidth="1"/>
    <col min="7418" max="7418" width="10.42578125" style="1053" customWidth="1"/>
    <col min="7419" max="7419" width="10.140625" style="1053" bestFit="1" customWidth="1"/>
    <col min="7420" max="7420" width="8.7109375" style="1053" customWidth="1"/>
    <col min="7421" max="7421" width="8.140625" style="1053" bestFit="1" customWidth="1"/>
    <col min="7422" max="7422" width="9.7109375" style="1053" customWidth="1"/>
    <col min="7423" max="7423" width="10.140625" style="1053" customWidth="1"/>
    <col min="7424" max="7424" width="7.85546875" style="1053" bestFit="1" customWidth="1"/>
    <col min="7425" max="7425" width="5.7109375" style="1053" bestFit="1" customWidth="1"/>
    <col min="7426" max="7426" width="2.28515625" style="1053" customWidth="1"/>
    <col min="7427" max="7427" width="7.85546875" style="1053" bestFit="1" customWidth="1"/>
    <col min="7428" max="7428" width="6.28515625" style="1053" bestFit="1" customWidth="1"/>
    <col min="7429" max="7429" width="7" style="1053" bestFit="1" customWidth="1"/>
    <col min="7430" max="7430" width="6.5703125" style="1053" bestFit="1" customWidth="1"/>
    <col min="7431" max="7438" width="9.140625" style="1053"/>
    <col min="7439" max="7439" width="8.5703125" style="1053" customWidth="1"/>
    <col min="7440" max="7672" width="9.140625" style="1053"/>
    <col min="7673" max="7673" width="30.5703125" style="1053" bestFit="1" customWidth="1"/>
    <col min="7674" max="7674" width="10.42578125" style="1053" customWidth="1"/>
    <col min="7675" max="7675" width="10.140625" style="1053" bestFit="1" customWidth="1"/>
    <col min="7676" max="7676" width="8.7109375" style="1053" customWidth="1"/>
    <col min="7677" max="7677" width="8.140625" style="1053" bestFit="1" customWidth="1"/>
    <col min="7678" max="7678" width="9.7109375" style="1053" customWidth="1"/>
    <col min="7679" max="7679" width="10.140625" style="1053" customWidth="1"/>
    <col min="7680" max="7680" width="7.85546875" style="1053" bestFit="1" customWidth="1"/>
    <col min="7681" max="7681" width="5.7109375" style="1053" bestFit="1" customWidth="1"/>
    <col min="7682" max="7682" width="2.28515625" style="1053" customWidth="1"/>
    <col min="7683" max="7683" width="7.85546875" style="1053" bestFit="1" customWidth="1"/>
    <col min="7684" max="7684" width="6.28515625" style="1053" bestFit="1" customWidth="1"/>
    <col min="7685" max="7685" width="7" style="1053" bestFit="1" customWidth="1"/>
    <col min="7686" max="7686" width="6.5703125" style="1053" bestFit="1" customWidth="1"/>
    <col min="7687" max="7694" width="9.140625" style="1053"/>
    <col min="7695" max="7695" width="8.5703125" style="1053" customWidth="1"/>
    <col min="7696" max="7928" width="9.140625" style="1053"/>
    <col min="7929" max="7929" width="30.5703125" style="1053" bestFit="1" customWidth="1"/>
    <col min="7930" max="7930" width="10.42578125" style="1053" customWidth="1"/>
    <col min="7931" max="7931" width="10.140625" style="1053" bestFit="1" customWidth="1"/>
    <col min="7932" max="7932" width="8.7109375" style="1053" customWidth="1"/>
    <col min="7933" max="7933" width="8.140625" style="1053" bestFit="1" customWidth="1"/>
    <col min="7934" max="7934" width="9.7109375" style="1053" customWidth="1"/>
    <col min="7935" max="7935" width="10.140625" style="1053" customWidth="1"/>
    <col min="7936" max="7936" width="7.85546875" style="1053" bestFit="1" customWidth="1"/>
    <col min="7937" max="7937" width="5.7109375" style="1053" bestFit="1" customWidth="1"/>
    <col min="7938" max="7938" width="2.28515625" style="1053" customWidth="1"/>
    <col min="7939" max="7939" width="7.85546875" style="1053" bestFit="1" customWidth="1"/>
    <col min="7940" max="7940" width="6.28515625" style="1053" bestFit="1" customWidth="1"/>
    <col min="7941" max="7941" width="7" style="1053" bestFit="1" customWidth="1"/>
    <col min="7942" max="7942" width="6.5703125" style="1053" bestFit="1" customWidth="1"/>
    <col min="7943" max="7950" width="9.140625" style="1053"/>
    <col min="7951" max="7951" width="8.5703125" style="1053" customWidth="1"/>
    <col min="7952" max="8184" width="9.140625" style="1053"/>
    <col min="8185" max="8185" width="30.5703125" style="1053" bestFit="1" customWidth="1"/>
    <col min="8186" max="8186" width="10.42578125" style="1053" customWidth="1"/>
    <col min="8187" max="8187" width="10.140625" style="1053" bestFit="1" customWidth="1"/>
    <col min="8188" max="8188" width="8.7109375" style="1053" customWidth="1"/>
    <col min="8189" max="8189" width="8.140625" style="1053" bestFit="1" customWidth="1"/>
    <col min="8190" max="8190" width="9.7109375" style="1053" customWidth="1"/>
    <col min="8191" max="8191" width="10.140625" style="1053" customWidth="1"/>
    <col min="8192" max="8192" width="7.85546875" style="1053" bestFit="1" customWidth="1"/>
    <col min="8193" max="8193" width="5.7109375" style="1053" bestFit="1" customWidth="1"/>
    <col min="8194" max="8194" width="2.28515625" style="1053" customWidth="1"/>
    <col min="8195" max="8195" width="7.85546875" style="1053" bestFit="1" customWidth="1"/>
    <col min="8196" max="8196" width="6.28515625" style="1053" bestFit="1" customWidth="1"/>
    <col min="8197" max="8197" width="7" style="1053" bestFit="1" customWidth="1"/>
    <col min="8198" max="8198" width="6.5703125" style="1053" bestFit="1" customWidth="1"/>
    <col min="8199" max="8206" width="9.140625" style="1053"/>
    <col min="8207" max="8207" width="8.5703125" style="1053" customWidth="1"/>
    <col min="8208" max="8440" width="9.140625" style="1053"/>
    <col min="8441" max="8441" width="30.5703125" style="1053" bestFit="1" customWidth="1"/>
    <col min="8442" max="8442" width="10.42578125" style="1053" customWidth="1"/>
    <col min="8443" max="8443" width="10.140625" style="1053" bestFit="1" customWidth="1"/>
    <col min="8444" max="8444" width="8.7109375" style="1053" customWidth="1"/>
    <col min="8445" max="8445" width="8.140625" style="1053" bestFit="1" customWidth="1"/>
    <col min="8446" max="8446" width="9.7109375" style="1053" customWidth="1"/>
    <col min="8447" max="8447" width="10.140625" style="1053" customWidth="1"/>
    <col min="8448" max="8448" width="7.85546875" style="1053" bestFit="1" customWidth="1"/>
    <col min="8449" max="8449" width="5.7109375" style="1053" bestFit="1" customWidth="1"/>
    <col min="8450" max="8450" width="2.28515625" style="1053" customWidth="1"/>
    <col min="8451" max="8451" width="7.85546875" style="1053" bestFit="1" customWidth="1"/>
    <col min="8452" max="8452" width="6.28515625" style="1053" bestFit="1" customWidth="1"/>
    <col min="8453" max="8453" width="7" style="1053" bestFit="1" customWidth="1"/>
    <col min="8454" max="8454" width="6.5703125" style="1053" bestFit="1" customWidth="1"/>
    <col min="8455" max="8462" width="9.140625" style="1053"/>
    <col min="8463" max="8463" width="8.5703125" style="1053" customWidth="1"/>
    <col min="8464" max="8696" width="9.140625" style="1053"/>
    <col min="8697" max="8697" width="30.5703125" style="1053" bestFit="1" customWidth="1"/>
    <col min="8698" max="8698" width="10.42578125" style="1053" customWidth="1"/>
    <col min="8699" max="8699" width="10.140625" style="1053" bestFit="1" customWidth="1"/>
    <col min="8700" max="8700" width="8.7109375" style="1053" customWidth="1"/>
    <col min="8701" max="8701" width="8.140625" style="1053" bestFit="1" customWidth="1"/>
    <col min="8702" max="8702" width="9.7109375" style="1053" customWidth="1"/>
    <col min="8703" max="8703" width="10.140625" style="1053" customWidth="1"/>
    <col min="8704" max="8704" width="7.85546875" style="1053" bestFit="1" customWidth="1"/>
    <col min="8705" max="8705" width="5.7109375" style="1053" bestFit="1" customWidth="1"/>
    <col min="8706" max="8706" width="2.28515625" style="1053" customWidth="1"/>
    <col min="8707" max="8707" width="7.85546875" style="1053" bestFit="1" customWidth="1"/>
    <col min="8708" max="8708" width="6.28515625" style="1053" bestFit="1" customWidth="1"/>
    <col min="8709" max="8709" width="7" style="1053" bestFit="1" customWidth="1"/>
    <col min="8710" max="8710" width="6.5703125" style="1053" bestFit="1" customWidth="1"/>
    <col min="8711" max="8718" width="9.140625" style="1053"/>
    <col min="8719" max="8719" width="8.5703125" style="1053" customWidth="1"/>
    <col min="8720" max="8952" width="9.140625" style="1053"/>
    <col min="8953" max="8953" width="30.5703125" style="1053" bestFit="1" customWidth="1"/>
    <col min="8954" max="8954" width="10.42578125" style="1053" customWidth="1"/>
    <col min="8955" max="8955" width="10.140625" style="1053" bestFit="1" customWidth="1"/>
    <col min="8956" max="8956" width="8.7109375" style="1053" customWidth="1"/>
    <col min="8957" max="8957" width="8.140625" style="1053" bestFit="1" customWidth="1"/>
    <col min="8958" max="8958" width="9.7109375" style="1053" customWidth="1"/>
    <col min="8959" max="8959" width="10.140625" style="1053" customWidth="1"/>
    <col min="8960" max="8960" width="7.85546875" style="1053" bestFit="1" customWidth="1"/>
    <col min="8961" max="8961" width="5.7109375" style="1053" bestFit="1" customWidth="1"/>
    <col min="8962" max="8962" width="2.28515625" style="1053" customWidth="1"/>
    <col min="8963" max="8963" width="7.85546875" style="1053" bestFit="1" customWidth="1"/>
    <col min="8964" max="8964" width="6.28515625" style="1053" bestFit="1" customWidth="1"/>
    <col min="8965" max="8965" width="7" style="1053" bestFit="1" customWidth="1"/>
    <col min="8966" max="8966" width="6.5703125" style="1053" bestFit="1" customWidth="1"/>
    <col min="8967" max="8974" width="9.140625" style="1053"/>
    <col min="8975" max="8975" width="8.5703125" style="1053" customWidth="1"/>
    <col min="8976" max="9208" width="9.140625" style="1053"/>
    <col min="9209" max="9209" width="30.5703125" style="1053" bestFit="1" customWidth="1"/>
    <col min="9210" max="9210" width="10.42578125" style="1053" customWidth="1"/>
    <col min="9211" max="9211" width="10.140625" style="1053" bestFit="1" customWidth="1"/>
    <col min="9212" max="9212" width="8.7109375" style="1053" customWidth="1"/>
    <col min="9213" max="9213" width="8.140625" style="1053" bestFit="1" customWidth="1"/>
    <col min="9214" max="9214" width="9.7109375" style="1053" customWidth="1"/>
    <col min="9215" max="9215" width="10.140625" style="1053" customWidth="1"/>
    <col min="9216" max="9216" width="7.85546875" style="1053" bestFit="1" customWidth="1"/>
    <col min="9217" max="9217" width="5.7109375" style="1053" bestFit="1" customWidth="1"/>
    <col min="9218" max="9218" width="2.28515625" style="1053" customWidth="1"/>
    <col min="9219" max="9219" width="7.85546875" style="1053" bestFit="1" customWidth="1"/>
    <col min="9220" max="9220" width="6.28515625" style="1053" bestFit="1" customWidth="1"/>
    <col min="9221" max="9221" width="7" style="1053" bestFit="1" customWidth="1"/>
    <col min="9222" max="9222" width="6.5703125" style="1053" bestFit="1" customWidth="1"/>
    <col min="9223" max="9230" width="9.140625" style="1053"/>
    <col min="9231" max="9231" width="8.5703125" style="1053" customWidth="1"/>
    <col min="9232" max="9464" width="9.140625" style="1053"/>
    <col min="9465" max="9465" width="30.5703125" style="1053" bestFit="1" customWidth="1"/>
    <col min="9466" max="9466" width="10.42578125" style="1053" customWidth="1"/>
    <col min="9467" max="9467" width="10.140625" style="1053" bestFit="1" customWidth="1"/>
    <col min="9468" max="9468" width="8.7109375" style="1053" customWidth="1"/>
    <col min="9469" max="9469" width="8.140625" style="1053" bestFit="1" customWidth="1"/>
    <col min="9470" max="9470" width="9.7109375" style="1053" customWidth="1"/>
    <col min="9471" max="9471" width="10.140625" style="1053" customWidth="1"/>
    <col min="9472" max="9472" width="7.85546875" style="1053" bestFit="1" customWidth="1"/>
    <col min="9473" max="9473" width="5.7109375" style="1053" bestFit="1" customWidth="1"/>
    <col min="9474" max="9474" width="2.28515625" style="1053" customWidth="1"/>
    <col min="9475" max="9475" width="7.85546875" style="1053" bestFit="1" customWidth="1"/>
    <col min="9476" max="9476" width="6.28515625" style="1053" bestFit="1" customWidth="1"/>
    <col min="9477" max="9477" width="7" style="1053" bestFit="1" customWidth="1"/>
    <col min="9478" max="9478" width="6.5703125" style="1053" bestFit="1" customWidth="1"/>
    <col min="9479" max="9486" width="9.140625" style="1053"/>
    <col min="9487" max="9487" width="8.5703125" style="1053" customWidth="1"/>
    <col min="9488" max="9720" width="9.140625" style="1053"/>
    <col min="9721" max="9721" width="30.5703125" style="1053" bestFit="1" customWidth="1"/>
    <col min="9722" max="9722" width="10.42578125" style="1053" customWidth="1"/>
    <col min="9723" max="9723" width="10.140625" style="1053" bestFit="1" customWidth="1"/>
    <col min="9724" max="9724" width="8.7109375" style="1053" customWidth="1"/>
    <col min="9725" max="9725" width="8.140625" style="1053" bestFit="1" customWidth="1"/>
    <col min="9726" max="9726" width="9.7109375" style="1053" customWidth="1"/>
    <col min="9727" max="9727" width="10.140625" style="1053" customWidth="1"/>
    <col min="9728" max="9728" width="7.85546875" style="1053" bestFit="1" customWidth="1"/>
    <col min="9729" max="9729" width="5.7109375" style="1053" bestFit="1" customWidth="1"/>
    <col min="9730" max="9730" width="2.28515625" style="1053" customWidth="1"/>
    <col min="9731" max="9731" width="7.85546875" style="1053" bestFit="1" customWidth="1"/>
    <col min="9732" max="9732" width="6.28515625" style="1053" bestFit="1" customWidth="1"/>
    <col min="9733" max="9733" width="7" style="1053" bestFit="1" customWidth="1"/>
    <col min="9734" max="9734" width="6.5703125" style="1053" bestFit="1" customWidth="1"/>
    <col min="9735" max="9742" width="9.140625" style="1053"/>
    <col min="9743" max="9743" width="8.5703125" style="1053" customWidth="1"/>
    <col min="9744" max="9976" width="9.140625" style="1053"/>
    <col min="9977" max="9977" width="30.5703125" style="1053" bestFit="1" customWidth="1"/>
    <col min="9978" max="9978" width="10.42578125" style="1053" customWidth="1"/>
    <col min="9979" max="9979" width="10.140625" style="1053" bestFit="1" customWidth="1"/>
    <col min="9980" max="9980" width="8.7109375" style="1053" customWidth="1"/>
    <col min="9981" max="9981" width="8.140625" style="1053" bestFit="1" customWidth="1"/>
    <col min="9982" max="9982" width="9.7109375" style="1053" customWidth="1"/>
    <col min="9983" max="9983" width="10.140625" style="1053" customWidth="1"/>
    <col min="9984" max="9984" width="7.85546875" style="1053" bestFit="1" customWidth="1"/>
    <col min="9985" max="9985" width="5.7109375" style="1053" bestFit="1" customWidth="1"/>
    <col min="9986" max="9986" width="2.28515625" style="1053" customWidth="1"/>
    <col min="9987" max="9987" width="7.85546875" style="1053" bestFit="1" customWidth="1"/>
    <col min="9988" max="9988" width="6.28515625" style="1053" bestFit="1" customWidth="1"/>
    <col min="9989" max="9989" width="7" style="1053" bestFit="1" customWidth="1"/>
    <col min="9990" max="9990" width="6.5703125" style="1053" bestFit="1" customWidth="1"/>
    <col min="9991" max="9998" width="9.140625" style="1053"/>
    <col min="9999" max="9999" width="8.5703125" style="1053" customWidth="1"/>
    <col min="10000" max="10232" width="9.140625" style="1053"/>
    <col min="10233" max="10233" width="30.5703125" style="1053" bestFit="1" customWidth="1"/>
    <col min="10234" max="10234" width="10.42578125" style="1053" customWidth="1"/>
    <col min="10235" max="10235" width="10.140625" style="1053" bestFit="1" customWidth="1"/>
    <col min="10236" max="10236" width="8.7109375" style="1053" customWidth="1"/>
    <col min="10237" max="10237" width="8.140625" style="1053" bestFit="1" customWidth="1"/>
    <col min="10238" max="10238" width="9.7109375" style="1053" customWidth="1"/>
    <col min="10239" max="10239" width="10.140625" style="1053" customWidth="1"/>
    <col min="10240" max="10240" width="7.85546875" style="1053" bestFit="1" customWidth="1"/>
    <col min="10241" max="10241" width="5.7109375" style="1053" bestFit="1" customWidth="1"/>
    <col min="10242" max="10242" width="2.28515625" style="1053" customWidth="1"/>
    <col min="10243" max="10243" width="7.85546875" style="1053" bestFit="1" customWidth="1"/>
    <col min="10244" max="10244" width="6.28515625" style="1053" bestFit="1" customWidth="1"/>
    <col min="10245" max="10245" width="7" style="1053" bestFit="1" customWidth="1"/>
    <col min="10246" max="10246" width="6.5703125" style="1053" bestFit="1" customWidth="1"/>
    <col min="10247" max="10254" width="9.140625" style="1053"/>
    <col min="10255" max="10255" width="8.5703125" style="1053" customWidth="1"/>
    <col min="10256" max="10488" width="9.140625" style="1053"/>
    <col min="10489" max="10489" width="30.5703125" style="1053" bestFit="1" customWidth="1"/>
    <col min="10490" max="10490" width="10.42578125" style="1053" customWidth="1"/>
    <col min="10491" max="10491" width="10.140625" style="1053" bestFit="1" customWidth="1"/>
    <col min="10492" max="10492" width="8.7109375" style="1053" customWidth="1"/>
    <col min="10493" max="10493" width="8.140625" style="1053" bestFit="1" customWidth="1"/>
    <col min="10494" max="10494" width="9.7109375" style="1053" customWidth="1"/>
    <col min="10495" max="10495" width="10.140625" style="1053" customWidth="1"/>
    <col min="10496" max="10496" width="7.85546875" style="1053" bestFit="1" customWidth="1"/>
    <col min="10497" max="10497" width="5.7109375" style="1053" bestFit="1" customWidth="1"/>
    <col min="10498" max="10498" width="2.28515625" style="1053" customWidth="1"/>
    <col min="10499" max="10499" width="7.85546875" style="1053" bestFit="1" customWidth="1"/>
    <col min="10500" max="10500" width="6.28515625" style="1053" bestFit="1" customWidth="1"/>
    <col min="10501" max="10501" width="7" style="1053" bestFit="1" customWidth="1"/>
    <col min="10502" max="10502" width="6.5703125" style="1053" bestFit="1" customWidth="1"/>
    <col min="10503" max="10510" width="9.140625" style="1053"/>
    <col min="10511" max="10511" width="8.5703125" style="1053" customWidth="1"/>
    <col min="10512" max="10744" width="9.140625" style="1053"/>
    <col min="10745" max="10745" width="30.5703125" style="1053" bestFit="1" customWidth="1"/>
    <col min="10746" max="10746" width="10.42578125" style="1053" customWidth="1"/>
    <col min="10747" max="10747" width="10.140625" style="1053" bestFit="1" customWidth="1"/>
    <col min="10748" max="10748" width="8.7109375" style="1053" customWidth="1"/>
    <col min="10749" max="10749" width="8.140625" style="1053" bestFit="1" customWidth="1"/>
    <col min="10750" max="10750" width="9.7109375" style="1053" customWidth="1"/>
    <col min="10751" max="10751" width="10.140625" style="1053" customWidth="1"/>
    <col min="10752" max="10752" width="7.85546875" style="1053" bestFit="1" customWidth="1"/>
    <col min="10753" max="10753" width="5.7109375" style="1053" bestFit="1" customWidth="1"/>
    <col min="10754" max="10754" width="2.28515625" style="1053" customWidth="1"/>
    <col min="10755" max="10755" width="7.85546875" style="1053" bestFit="1" customWidth="1"/>
    <col min="10756" max="10756" width="6.28515625" style="1053" bestFit="1" customWidth="1"/>
    <col min="10757" max="10757" width="7" style="1053" bestFit="1" customWidth="1"/>
    <col min="10758" max="10758" width="6.5703125" style="1053" bestFit="1" customWidth="1"/>
    <col min="10759" max="10766" width="9.140625" style="1053"/>
    <col min="10767" max="10767" width="8.5703125" style="1053" customWidth="1"/>
    <col min="10768" max="11000" width="9.140625" style="1053"/>
    <col min="11001" max="11001" width="30.5703125" style="1053" bestFit="1" customWidth="1"/>
    <col min="11002" max="11002" width="10.42578125" style="1053" customWidth="1"/>
    <col min="11003" max="11003" width="10.140625" style="1053" bestFit="1" customWidth="1"/>
    <col min="11004" max="11004" width="8.7109375" style="1053" customWidth="1"/>
    <col min="11005" max="11005" width="8.140625" style="1053" bestFit="1" customWidth="1"/>
    <col min="11006" max="11006" width="9.7109375" style="1053" customWidth="1"/>
    <col min="11007" max="11007" width="10.140625" style="1053" customWidth="1"/>
    <col min="11008" max="11008" width="7.85546875" style="1053" bestFit="1" customWidth="1"/>
    <col min="11009" max="11009" width="5.7109375" style="1053" bestFit="1" customWidth="1"/>
    <col min="11010" max="11010" width="2.28515625" style="1053" customWidth="1"/>
    <col min="11011" max="11011" width="7.85546875" style="1053" bestFit="1" customWidth="1"/>
    <col min="11012" max="11012" width="6.28515625" style="1053" bestFit="1" customWidth="1"/>
    <col min="11013" max="11013" width="7" style="1053" bestFit="1" customWidth="1"/>
    <col min="11014" max="11014" width="6.5703125" style="1053" bestFit="1" customWidth="1"/>
    <col min="11015" max="11022" width="9.140625" style="1053"/>
    <col min="11023" max="11023" width="8.5703125" style="1053" customWidth="1"/>
    <col min="11024" max="11256" width="9.140625" style="1053"/>
    <col min="11257" max="11257" width="30.5703125" style="1053" bestFit="1" customWidth="1"/>
    <col min="11258" max="11258" width="10.42578125" style="1053" customWidth="1"/>
    <col min="11259" max="11259" width="10.140625" style="1053" bestFit="1" customWidth="1"/>
    <col min="11260" max="11260" width="8.7109375" style="1053" customWidth="1"/>
    <col min="11261" max="11261" width="8.140625" style="1053" bestFit="1" customWidth="1"/>
    <col min="11262" max="11262" width="9.7109375" style="1053" customWidth="1"/>
    <col min="11263" max="11263" width="10.140625" style="1053" customWidth="1"/>
    <col min="11264" max="11264" width="7.85546875" style="1053" bestFit="1" customWidth="1"/>
    <col min="11265" max="11265" width="5.7109375" style="1053" bestFit="1" customWidth="1"/>
    <col min="11266" max="11266" width="2.28515625" style="1053" customWidth="1"/>
    <col min="11267" max="11267" width="7.85546875" style="1053" bestFit="1" customWidth="1"/>
    <col min="11268" max="11268" width="6.28515625" style="1053" bestFit="1" customWidth="1"/>
    <col min="11269" max="11269" width="7" style="1053" bestFit="1" customWidth="1"/>
    <col min="11270" max="11270" width="6.5703125" style="1053" bestFit="1" customWidth="1"/>
    <col min="11271" max="11278" width="9.140625" style="1053"/>
    <col min="11279" max="11279" width="8.5703125" style="1053" customWidth="1"/>
    <col min="11280" max="11512" width="9.140625" style="1053"/>
    <col min="11513" max="11513" width="30.5703125" style="1053" bestFit="1" customWidth="1"/>
    <col min="11514" max="11514" width="10.42578125" style="1053" customWidth="1"/>
    <col min="11515" max="11515" width="10.140625" style="1053" bestFit="1" customWidth="1"/>
    <col min="11516" max="11516" width="8.7109375" style="1053" customWidth="1"/>
    <col min="11517" max="11517" width="8.140625" style="1053" bestFit="1" customWidth="1"/>
    <col min="11518" max="11518" width="9.7109375" style="1053" customWidth="1"/>
    <col min="11519" max="11519" width="10.140625" style="1053" customWidth="1"/>
    <col min="11520" max="11520" width="7.85546875" style="1053" bestFit="1" customWidth="1"/>
    <col min="11521" max="11521" width="5.7109375" style="1053" bestFit="1" customWidth="1"/>
    <col min="11522" max="11522" width="2.28515625" style="1053" customWidth="1"/>
    <col min="11523" max="11523" width="7.85546875" style="1053" bestFit="1" customWidth="1"/>
    <col min="11524" max="11524" width="6.28515625" style="1053" bestFit="1" customWidth="1"/>
    <col min="11525" max="11525" width="7" style="1053" bestFit="1" customWidth="1"/>
    <col min="11526" max="11526" width="6.5703125" style="1053" bestFit="1" customWidth="1"/>
    <col min="11527" max="11534" width="9.140625" style="1053"/>
    <col min="11535" max="11535" width="8.5703125" style="1053" customWidth="1"/>
    <col min="11536" max="11768" width="9.140625" style="1053"/>
    <col min="11769" max="11769" width="30.5703125" style="1053" bestFit="1" customWidth="1"/>
    <col min="11770" max="11770" width="10.42578125" style="1053" customWidth="1"/>
    <col min="11771" max="11771" width="10.140625" style="1053" bestFit="1" customWidth="1"/>
    <col min="11772" max="11772" width="8.7109375" style="1053" customWidth="1"/>
    <col min="11773" max="11773" width="8.140625" style="1053" bestFit="1" customWidth="1"/>
    <col min="11774" max="11774" width="9.7109375" style="1053" customWidth="1"/>
    <col min="11775" max="11775" width="10.140625" style="1053" customWidth="1"/>
    <col min="11776" max="11776" width="7.85546875" style="1053" bestFit="1" customWidth="1"/>
    <col min="11777" max="11777" width="5.7109375" style="1053" bestFit="1" customWidth="1"/>
    <col min="11778" max="11778" width="2.28515625" style="1053" customWidth="1"/>
    <col min="11779" max="11779" width="7.85546875" style="1053" bestFit="1" customWidth="1"/>
    <col min="11780" max="11780" width="6.28515625" style="1053" bestFit="1" customWidth="1"/>
    <col min="11781" max="11781" width="7" style="1053" bestFit="1" customWidth="1"/>
    <col min="11782" max="11782" width="6.5703125" style="1053" bestFit="1" customWidth="1"/>
    <col min="11783" max="11790" width="9.140625" style="1053"/>
    <col min="11791" max="11791" width="8.5703125" style="1053" customWidth="1"/>
    <col min="11792" max="12024" width="9.140625" style="1053"/>
    <col min="12025" max="12025" width="30.5703125" style="1053" bestFit="1" customWidth="1"/>
    <col min="12026" max="12026" width="10.42578125" style="1053" customWidth="1"/>
    <col min="12027" max="12027" width="10.140625" style="1053" bestFit="1" customWidth="1"/>
    <col min="12028" max="12028" width="8.7109375" style="1053" customWidth="1"/>
    <col min="12029" max="12029" width="8.140625" style="1053" bestFit="1" customWidth="1"/>
    <col min="12030" max="12030" width="9.7109375" style="1053" customWidth="1"/>
    <col min="12031" max="12031" width="10.140625" style="1053" customWidth="1"/>
    <col min="12032" max="12032" width="7.85546875" style="1053" bestFit="1" customWidth="1"/>
    <col min="12033" max="12033" width="5.7109375" style="1053" bestFit="1" customWidth="1"/>
    <col min="12034" max="12034" width="2.28515625" style="1053" customWidth="1"/>
    <col min="12035" max="12035" width="7.85546875" style="1053" bestFit="1" customWidth="1"/>
    <col min="12036" max="12036" width="6.28515625" style="1053" bestFit="1" customWidth="1"/>
    <col min="12037" max="12037" width="7" style="1053" bestFit="1" customWidth="1"/>
    <col min="12038" max="12038" width="6.5703125" style="1053" bestFit="1" customWidth="1"/>
    <col min="12039" max="12046" width="9.140625" style="1053"/>
    <col min="12047" max="12047" width="8.5703125" style="1053" customWidth="1"/>
    <col min="12048" max="12280" width="9.140625" style="1053"/>
    <col min="12281" max="12281" width="30.5703125" style="1053" bestFit="1" customWidth="1"/>
    <col min="12282" max="12282" width="10.42578125" style="1053" customWidth="1"/>
    <col min="12283" max="12283" width="10.140625" style="1053" bestFit="1" customWidth="1"/>
    <col min="12284" max="12284" width="8.7109375" style="1053" customWidth="1"/>
    <col min="12285" max="12285" width="8.140625" style="1053" bestFit="1" customWidth="1"/>
    <col min="12286" max="12286" width="9.7109375" style="1053" customWidth="1"/>
    <col min="12287" max="12287" width="10.140625" style="1053" customWidth="1"/>
    <col min="12288" max="12288" width="7.85546875" style="1053" bestFit="1" customWidth="1"/>
    <col min="12289" max="12289" width="5.7109375" style="1053" bestFit="1" customWidth="1"/>
    <col min="12290" max="12290" width="2.28515625" style="1053" customWidth="1"/>
    <col min="12291" max="12291" width="7.85546875" style="1053" bestFit="1" customWidth="1"/>
    <col min="12292" max="12292" width="6.28515625" style="1053" bestFit="1" customWidth="1"/>
    <col min="12293" max="12293" width="7" style="1053" bestFit="1" customWidth="1"/>
    <col min="12294" max="12294" width="6.5703125" style="1053" bestFit="1" customWidth="1"/>
    <col min="12295" max="12302" width="9.140625" style="1053"/>
    <col min="12303" max="12303" width="8.5703125" style="1053" customWidth="1"/>
    <col min="12304" max="12536" width="9.140625" style="1053"/>
    <col min="12537" max="12537" width="30.5703125" style="1053" bestFit="1" customWidth="1"/>
    <col min="12538" max="12538" width="10.42578125" style="1053" customWidth="1"/>
    <col min="12539" max="12539" width="10.140625" style="1053" bestFit="1" customWidth="1"/>
    <col min="12540" max="12540" width="8.7109375" style="1053" customWidth="1"/>
    <col min="12541" max="12541" width="8.140625" style="1053" bestFit="1" customWidth="1"/>
    <col min="12542" max="12542" width="9.7109375" style="1053" customWidth="1"/>
    <col min="12543" max="12543" width="10.140625" style="1053" customWidth="1"/>
    <col min="12544" max="12544" width="7.85546875" style="1053" bestFit="1" customWidth="1"/>
    <col min="12545" max="12545" width="5.7109375" style="1053" bestFit="1" customWidth="1"/>
    <col min="12546" max="12546" width="2.28515625" style="1053" customWidth="1"/>
    <col min="12547" max="12547" width="7.85546875" style="1053" bestFit="1" customWidth="1"/>
    <col min="12548" max="12548" width="6.28515625" style="1053" bestFit="1" customWidth="1"/>
    <col min="12549" max="12549" width="7" style="1053" bestFit="1" customWidth="1"/>
    <col min="12550" max="12550" width="6.5703125" style="1053" bestFit="1" customWidth="1"/>
    <col min="12551" max="12558" width="9.140625" style="1053"/>
    <col min="12559" max="12559" width="8.5703125" style="1053" customWidth="1"/>
    <col min="12560" max="12792" width="9.140625" style="1053"/>
    <col min="12793" max="12793" width="30.5703125" style="1053" bestFit="1" customWidth="1"/>
    <col min="12794" max="12794" width="10.42578125" style="1053" customWidth="1"/>
    <col min="12795" max="12795" width="10.140625" style="1053" bestFit="1" customWidth="1"/>
    <col min="12796" max="12796" width="8.7109375" style="1053" customWidth="1"/>
    <col min="12797" max="12797" width="8.140625" style="1053" bestFit="1" customWidth="1"/>
    <col min="12798" max="12798" width="9.7109375" style="1053" customWidth="1"/>
    <col min="12799" max="12799" width="10.140625" style="1053" customWidth="1"/>
    <col min="12800" max="12800" width="7.85546875" style="1053" bestFit="1" customWidth="1"/>
    <col min="12801" max="12801" width="5.7109375" style="1053" bestFit="1" customWidth="1"/>
    <col min="12802" max="12802" width="2.28515625" style="1053" customWidth="1"/>
    <col min="12803" max="12803" width="7.85546875" style="1053" bestFit="1" customWidth="1"/>
    <col min="12804" max="12804" width="6.28515625" style="1053" bestFit="1" customWidth="1"/>
    <col min="12805" max="12805" width="7" style="1053" bestFit="1" customWidth="1"/>
    <col min="12806" max="12806" width="6.5703125" style="1053" bestFit="1" customWidth="1"/>
    <col min="12807" max="12814" width="9.140625" style="1053"/>
    <col min="12815" max="12815" width="8.5703125" style="1053" customWidth="1"/>
    <col min="12816" max="13048" width="9.140625" style="1053"/>
    <col min="13049" max="13049" width="30.5703125" style="1053" bestFit="1" customWidth="1"/>
    <col min="13050" max="13050" width="10.42578125" style="1053" customWidth="1"/>
    <col min="13051" max="13051" width="10.140625" style="1053" bestFit="1" customWidth="1"/>
    <col min="13052" max="13052" width="8.7109375" style="1053" customWidth="1"/>
    <col min="13053" max="13053" width="8.140625" style="1053" bestFit="1" customWidth="1"/>
    <col min="13054" max="13054" width="9.7109375" style="1053" customWidth="1"/>
    <col min="13055" max="13055" width="10.140625" style="1053" customWidth="1"/>
    <col min="13056" max="13056" width="7.85546875" style="1053" bestFit="1" customWidth="1"/>
    <col min="13057" max="13057" width="5.7109375" style="1053" bestFit="1" customWidth="1"/>
    <col min="13058" max="13058" width="2.28515625" style="1053" customWidth="1"/>
    <col min="13059" max="13059" width="7.85546875" style="1053" bestFit="1" customWidth="1"/>
    <col min="13060" max="13060" width="6.28515625" style="1053" bestFit="1" customWidth="1"/>
    <col min="13061" max="13061" width="7" style="1053" bestFit="1" customWidth="1"/>
    <col min="13062" max="13062" width="6.5703125" style="1053" bestFit="1" customWidth="1"/>
    <col min="13063" max="13070" width="9.140625" style="1053"/>
    <col min="13071" max="13071" width="8.5703125" style="1053" customWidth="1"/>
    <col min="13072" max="13304" width="9.140625" style="1053"/>
    <col min="13305" max="13305" width="30.5703125" style="1053" bestFit="1" customWidth="1"/>
    <col min="13306" max="13306" width="10.42578125" style="1053" customWidth="1"/>
    <col min="13307" max="13307" width="10.140625" style="1053" bestFit="1" customWidth="1"/>
    <col min="13308" max="13308" width="8.7109375" style="1053" customWidth="1"/>
    <col min="13309" max="13309" width="8.140625" style="1053" bestFit="1" customWidth="1"/>
    <col min="13310" max="13310" width="9.7109375" style="1053" customWidth="1"/>
    <col min="13311" max="13311" width="10.140625" style="1053" customWidth="1"/>
    <col min="13312" max="13312" width="7.85546875" style="1053" bestFit="1" customWidth="1"/>
    <col min="13313" max="13313" width="5.7109375" style="1053" bestFit="1" customWidth="1"/>
    <col min="13314" max="13314" width="2.28515625" style="1053" customWidth="1"/>
    <col min="13315" max="13315" width="7.85546875" style="1053" bestFit="1" customWidth="1"/>
    <col min="13316" max="13316" width="6.28515625" style="1053" bestFit="1" customWidth="1"/>
    <col min="13317" max="13317" width="7" style="1053" bestFit="1" customWidth="1"/>
    <col min="13318" max="13318" width="6.5703125" style="1053" bestFit="1" customWidth="1"/>
    <col min="13319" max="13326" width="9.140625" style="1053"/>
    <col min="13327" max="13327" width="8.5703125" style="1053" customWidth="1"/>
    <col min="13328" max="13560" width="9.140625" style="1053"/>
    <col min="13561" max="13561" width="30.5703125" style="1053" bestFit="1" customWidth="1"/>
    <col min="13562" max="13562" width="10.42578125" style="1053" customWidth="1"/>
    <col min="13563" max="13563" width="10.140625" style="1053" bestFit="1" customWidth="1"/>
    <col min="13564" max="13564" width="8.7109375" style="1053" customWidth="1"/>
    <col min="13565" max="13565" width="8.140625" style="1053" bestFit="1" customWidth="1"/>
    <col min="13566" max="13566" width="9.7109375" style="1053" customWidth="1"/>
    <col min="13567" max="13567" width="10.140625" style="1053" customWidth="1"/>
    <col min="13568" max="13568" width="7.85546875" style="1053" bestFit="1" customWidth="1"/>
    <col min="13569" max="13569" width="5.7109375" style="1053" bestFit="1" customWidth="1"/>
    <col min="13570" max="13570" width="2.28515625" style="1053" customWidth="1"/>
    <col min="13571" max="13571" width="7.85546875" style="1053" bestFit="1" customWidth="1"/>
    <col min="13572" max="13572" width="6.28515625" style="1053" bestFit="1" customWidth="1"/>
    <col min="13573" max="13573" width="7" style="1053" bestFit="1" customWidth="1"/>
    <col min="13574" max="13574" width="6.5703125" style="1053" bestFit="1" customWidth="1"/>
    <col min="13575" max="13582" width="9.140625" style="1053"/>
    <col min="13583" max="13583" width="8.5703125" style="1053" customWidth="1"/>
    <col min="13584" max="13816" width="9.140625" style="1053"/>
    <col min="13817" max="13817" width="30.5703125" style="1053" bestFit="1" customWidth="1"/>
    <col min="13818" max="13818" width="10.42578125" style="1053" customWidth="1"/>
    <col min="13819" max="13819" width="10.140625" style="1053" bestFit="1" customWidth="1"/>
    <col min="13820" max="13820" width="8.7109375" style="1053" customWidth="1"/>
    <col min="13821" max="13821" width="8.140625" style="1053" bestFit="1" customWidth="1"/>
    <col min="13822" max="13822" width="9.7109375" style="1053" customWidth="1"/>
    <col min="13823" max="13823" width="10.140625" style="1053" customWidth="1"/>
    <col min="13824" max="13824" width="7.85546875" style="1053" bestFit="1" customWidth="1"/>
    <col min="13825" max="13825" width="5.7109375" style="1053" bestFit="1" customWidth="1"/>
    <col min="13826" max="13826" width="2.28515625" style="1053" customWidth="1"/>
    <col min="13827" max="13827" width="7.85546875" style="1053" bestFit="1" customWidth="1"/>
    <col min="13828" max="13828" width="6.28515625" style="1053" bestFit="1" customWidth="1"/>
    <col min="13829" max="13829" width="7" style="1053" bestFit="1" customWidth="1"/>
    <col min="13830" max="13830" width="6.5703125" style="1053" bestFit="1" customWidth="1"/>
    <col min="13831" max="13838" width="9.140625" style="1053"/>
    <col min="13839" max="13839" width="8.5703125" style="1053" customWidth="1"/>
    <col min="13840" max="14072" width="9.140625" style="1053"/>
    <col min="14073" max="14073" width="30.5703125" style="1053" bestFit="1" customWidth="1"/>
    <col min="14074" max="14074" width="10.42578125" style="1053" customWidth="1"/>
    <col min="14075" max="14075" width="10.140625" style="1053" bestFit="1" customWidth="1"/>
    <col min="14076" max="14076" width="8.7109375" style="1053" customWidth="1"/>
    <col min="14077" max="14077" width="8.140625" style="1053" bestFit="1" customWidth="1"/>
    <col min="14078" max="14078" width="9.7109375" style="1053" customWidth="1"/>
    <col min="14079" max="14079" width="10.140625" style="1053" customWidth="1"/>
    <col min="14080" max="14080" width="7.85546875" style="1053" bestFit="1" customWidth="1"/>
    <col min="14081" max="14081" width="5.7109375" style="1053" bestFit="1" customWidth="1"/>
    <col min="14082" max="14082" width="2.28515625" style="1053" customWidth="1"/>
    <col min="14083" max="14083" width="7.85546875" style="1053" bestFit="1" customWidth="1"/>
    <col min="14084" max="14084" width="6.28515625" style="1053" bestFit="1" customWidth="1"/>
    <col min="14085" max="14085" width="7" style="1053" bestFit="1" customWidth="1"/>
    <col min="14086" max="14086" width="6.5703125" style="1053" bestFit="1" customWidth="1"/>
    <col min="14087" max="14094" width="9.140625" style="1053"/>
    <col min="14095" max="14095" width="8.5703125" style="1053" customWidth="1"/>
    <col min="14096" max="14328" width="9.140625" style="1053"/>
    <col min="14329" max="14329" width="30.5703125" style="1053" bestFit="1" customWidth="1"/>
    <col min="14330" max="14330" width="10.42578125" style="1053" customWidth="1"/>
    <col min="14331" max="14331" width="10.140625" style="1053" bestFit="1" customWidth="1"/>
    <col min="14332" max="14332" width="8.7109375" style="1053" customWidth="1"/>
    <col min="14333" max="14333" width="8.140625" style="1053" bestFit="1" customWidth="1"/>
    <col min="14334" max="14334" width="9.7109375" style="1053" customWidth="1"/>
    <col min="14335" max="14335" width="10.140625" style="1053" customWidth="1"/>
    <col min="14336" max="14336" width="7.85546875" style="1053" bestFit="1" customWidth="1"/>
    <col min="14337" max="14337" width="5.7109375" style="1053" bestFit="1" customWidth="1"/>
    <col min="14338" max="14338" width="2.28515625" style="1053" customWidth="1"/>
    <col min="14339" max="14339" width="7.85546875" style="1053" bestFit="1" customWidth="1"/>
    <col min="14340" max="14340" width="6.28515625" style="1053" bestFit="1" customWidth="1"/>
    <col min="14341" max="14341" width="7" style="1053" bestFit="1" customWidth="1"/>
    <col min="14342" max="14342" width="6.5703125" style="1053" bestFit="1" customWidth="1"/>
    <col min="14343" max="14350" width="9.140625" style="1053"/>
    <col min="14351" max="14351" width="8.5703125" style="1053" customWidth="1"/>
    <col min="14352" max="14584" width="9.140625" style="1053"/>
    <col min="14585" max="14585" width="30.5703125" style="1053" bestFit="1" customWidth="1"/>
    <col min="14586" max="14586" width="10.42578125" style="1053" customWidth="1"/>
    <col min="14587" max="14587" width="10.140625" style="1053" bestFit="1" customWidth="1"/>
    <col min="14588" max="14588" width="8.7109375" style="1053" customWidth="1"/>
    <col min="14589" max="14589" width="8.140625" style="1053" bestFit="1" customWidth="1"/>
    <col min="14590" max="14590" width="9.7109375" style="1053" customWidth="1"/>
    <col min="14591" max="14591" width="10.140625" style="1053" customWidth="1"/>
    <col min="14592" max="14592" width="7.85546875" style="1053" bestFit="1" customWidth="1"/>
    <col min="14593" max="14593" width="5.7109375" style="1053" bestFit="1" customWidth="1"/>
    <col min="14594" max="14594" width="2.28515625" style="1053" customWidth="1"/>
    <col min="14595" max="14595" width="7.85546875" style="1053" bestFit="1" customWidth="1"/>
    <col min="14596" max="14596" width="6.28515625" style="1053" bestFit="1" customWidth="1"/>
    <col min="14597" max="14597" width="7" style="1053" bestFit="1" customWidth="1"/>
    <col min="14598" max="14598" width="6.5703125" style="1053" bestFit="1" customWidth="1"/>
    <col min="14599" max="14606" width="9.140625" style="1053"/>
    <col min="14607" max="14607" width="8.5703125" style="1053" customWidth="1"/>
    <col min="14608" max="14840" width="9.140625" style="1053"/>
    <col min="14841" max="14841" width="30.5703125" style="1053" bestFit="1" customWidth="1"/>
    <col min="14842" max="14842" width="10.42578125" style="1053" customWidth="1"/>
    <col min="14843" max="14843" width="10.140625" style="1053" bestFit="1" customWidth="1"/>
    <col min="14844" max="14844" width="8.7109375" style="1053" customWidth="1"/>
    <col min="14845" max="14845" width="8.140625" style="1053" bestFit="1" customWidth="1"/>
    <col min="14846" max="14846" width="9.7109375" style="1053" customWidth="1"/>
    <col min="14847" max="14847" width="10.140625" style="1053" customWidth="1"/>
    <col min="14848" max="14848" width="7.85546875" style="1053" bestFit="1" customWidth="1"/>
    <col min="14849" max="14849" width="5.7109375" style="1053" bestFit="1" customWidth="1"/>
    <col min="14850" max="14850" width="2.28515625" style="1053" customWidth="1"/>
    <col min="14851" max="14851" width="7.85546875" style="1053" bestFit="1" customWidth="1"/>
    <col min="14852" max="14852" width="6.28515625" style="1053" bestFit="1" customWidth="1"/>
    <col min="14853" max="14853" width="7" style="1053" bestFit="1" customWidth="1"/>
    <col min="14854" max="14854" width="6.5703125" style="1053" bestFit="1" customWidth="1"/>
    <col min="14855" max="14862" width="9.140625" style="1053"/>
    <col min="14863" max="14863" width="8.5703125" style="1053" customWidth="1"/>
    <col min="14864" max="15096" width="9.140625" style="1053"/>
    <col min="15097" max="15097" width="30.5703125" style="1053" bestFit="1" customWidth="1"/>
    <col min="15098" max="15098" width="10.42578125" style="1053" customWidth="1"/>
    <col min="15099" max="15099" width="10.140625" style="1053" bestFit="1" customWidth="1"/>
    <col min="15100" max="15100" width="8.7109375" style="1053" customWidth="1"/>
    <col min="15101" max="15101" width="8.140625" style="1053" bestFit="1" customWidth="1"/>
    <col min="15102" max="15102" width="9.7109375" style="1053" customWidth="1"/>
    <col min="15103" max="15103" width="10.140625" style="1053" customWidth="1"/>
    <col min="15104" max="15104" width="7.85546875" style="1053" bestFit="1" customWidth="1"/>
    <col min="15105" max="15105" width="5.7109375" style="1053" bestFit="1" customWidth="1"/>
    <col min="15106" max="15106" width="2.28515625" style="1053" customWidth="1"/>
    <col min="15107" max="15107" width="7.85546875" style="1053" bestFit="1" customWidth="1"/>
    <col min="15108" max="15108" width="6.28515625" style="1053" bestFit="1" customWidth="1"/>
    <col min="15109" max="15109" width="7" style="1053" bestFit="1" customWidth="1"/>
    <col min="15110" max="15110" width="6.5703125" style="1053" bestFit="1" customWidth="1"/>
    <col min="15111" max="15118" width="9.140625" style="1053"/>
    <col min="15119" max="15119" width="8.5703125" style="1053" customWidth="1"/>
    <col min="15120" max="15352" width="9.140625" style="1053"/>
    <col min="15353" max="15353" width="30.5703125" style="1053" bestFit="1" customWidth="1"/>
    <col min="15354" max="15354" width="10.42578125" style="1053" customWidth="1"/>
    <col min="15355" max="15355" width="10.140625" style="1053" bestFit="1" customWidth="1"/>
    <col min="15356" max="15356" width="8.7109375" style="1053" customWidth="1"/>
    <col min="15357" max="15357" width="8.140625" style="1053" bestFit="1" customWidth="1"/>
    <col min="15358" max="15358" width="9.7109375" style="1053" customWidth="1"/>
    <col min="15359" max="15359" width="10.140625" style="1053" customWidth="1"/>
    <col min="15360" max="15360" width="7.85546875" style="1053" bestFit="1" customWidth="1"/>
    <col min="15361" max="15361" width="5.7109375" style="1053" bestFit="1" customWidth="1"/>
    <col min="15362" max="15362" width="2.28515625" style="1053" customWidth="1"/>
    <col min="15363" max="15363" width="7.85546875" style="1053" bestFit="1" customWidth="1"/>
    <col min="15364" max="15364" width="6.28515625" style="1053" bestFit="1" customWidth="1"/>
    <col min="15365" max="15365" width="7" style="1053" bestFit="1" customWidth="1"/>
    <col min="15366" max="15366" width="6.5703125" style="1053" bestFit="1" customWidth="1"/>
    <col min="15367" max="15374" width="9.140625" style="1053"/>
    <col min="15375" max="15375" width="8.5703125" style="1053" customWidth="1"/>
    <col min="15376" max="15608" width="9.140625" style="1053"/>
    <col min="15609" max="15609" width="30.5703125" style="1053" bestFit="1" customWidth="1"/>
    <col min="15610" max="15610" width="10.42578125" style="1053" customWidth="1"/>
    <col min="15611" max="15611" width="10.140625" style="1053" bestFit="1" customWidth="1"/>
    <col min="15612" max="15612" width="8.7109375" style="1053" customWidth="1"/>
    <col min="15613" max="15613" width="8.140625" style="1053" bestFit="1" customWidth="1"/>
    <col min="15614" max="15614" width="9.7109375" style="1053" customWidth="1"/>
    <col min="15615" max="15615" width="10.140625" style="1053" customWidth="1"/>
    <col min="15616" max="15616" width="7.85546875" style="1053" bestFit="1" customWidth="1"/>
    <col min="15617" max="15617" width="5.7109375" style="1053" bestFit="1" customWidth="1"/>
    <col min="15618" max="15618" width="2.28515625" style="1053" customWidth="1"/>
    <col min="15619" max="15619" width="7.85546875" style="1053" bestFit="1" customWidth="1"/>
    <col min="15620" max="15620" width="6.28515625" style="1053" bestFit="1" customWidth="1"/>
    <col min="15621" max="15621" width="7" style="1053" bestFit="1" customWidth="1"/>
    <col min="15622" max="15622" width="6.5703125" style="1053" bestFit="1" customWidth="1"/>
    <col min="15623" max="15630" width="9.140625" style="1053"/>
    <col min="15631" max="15631" width="8.5703125" style="1053" customWidth="1"/>
    <col min="15632" max="15864" width="9.140625" style="1053"/>
    <col min="15865" max="15865" width="30.5703125" style="1053" bestFit="1" customWidth="1"/>
    <col min="15866" max="15866" width="10.42578125" style="1053" customWidth="1"/>
    <col min="15867" max="15867" width="10.140625" style="1053" bestFit="1" customWidth="1"/>
    <col min="15868" max="15868" width="8.7109375" style="1053" customWidth="1"/>
    <col min="15869" max="15869" width="8.140625" style="1053" bestFit="1" customWidth="1"/>
    <col min="15870" max="15870" width="9.7109375" style="1053" customWidth="1"/>
    <col min="15871" max="15871" width="10.140625" style="1053" customWidth="1"/>
    <col min="15872" max="15872" width="7.85546875" style="1053" bestFit="1" customWidth="1"/>
    <col min="15873" max="15873" width="5.7109375" style="1053" bestFit="1" customWidth="1"/>
    <col min="15874" max="15874" width="2.28515625" style="1053" customWidth="1"/>
    <col min="15875" max="15875" width="7.85546875" style="1053" bestFit="1" customWidth="1"/>
    <col min="15876" max="15876" width="6.28515625" style="1053" bestFit="1" customWidth="1"/>
    <col min="15877" max="15877" width="7" style="1053" bestFit="1" customWidth="1"/>
    <col min="15878" max="15878" width="6.5703125" style="1053" bestFit="1" customWidth="1"/>
    <col min="15879" max="15886" width="9.140625" style="1053"/>
    <col min="15887" max="15887" width="8.5703125" style="1053" customWidth="1"/>
    <col min="15888" max="16120" width="9.140625" style="1053"/>
    <col min="16121" max="16121" width="30.5703125" style="1053" bestFit="1" customWidth="1"/>
    <col min="16122" max="16122" width="10.42578125" style="1053" customWidth="1"/>
    <col min="16123" max="16123" width="10.140625" style="1053" bestFit="1" customWidth="1"/>
    <col min="16124" max="16124" width="8.7109375" style="1053" customWidth="1"/>
    <col min="16125" max="16125" width="8.140625" style="1053" bestFit="1" customWidth="1"/>
    <col min="16126" max="16126" width="9.7109375" style="1053" customWidth="1"/>
    <col min="16127" max="16127" width="10.140625" style="1053" customWidth="1"/>
    <col min="16128" max="16128" width="7.85546875" style="1053" bestFit="1" customWidth="1"/>
    <col min="16129" max="16129" width="5.7109375" style="1053" bestFit="1" customWidth="1"/>
    <col min="16130" max="16130" width="2.28515625" style="1053" customWidth="1"/>
    <col min="16131" max="16131" width="7.85546875" style="1053" bestFit="1" customWidth="1"/>
    <col min="16132" max="16132" width="6.28515625" style="1053" bestFit="1" customWidth="1"/>
    <col min="16133" max="16133" width="7" style="1053" bestFit="1" customWidth="1"/>
    <col min="16134" max="16134" width="6.5703125" style="1053" bestFit="1" customWidth="1"/>
    <col min="16135" max="16142" width="9.140625" style="1053"/>
    <col min="16143" max="16143" width="8.5703125" style="1053" customWidth="1"/>
    <col min="16144" max="16384" width="9.140625" style="1053"/>
  </cols>
  <sheetData>
    <row r="1" spans="1:15">
      <c r="A1" s="1051" t="s">
        <v>1917</v>
      </c>
      <c r="B1" s="1052"/>
      <c r="C1" s="1052"/>
      <c r="D1" s="1052"/>
      <c r="E1" s="1052"/>
      <c r="F1" s="1052"/>
      <c r="H1" s="1054"/>
      <c r="I1" s="1055"/>
      <c r="O1" s="1056"/>
    </row>
    <row r="2" spans="1:15">
      <c r="A2" s="1057" t="s">
        <v>1918</v>
      </c>
      <c r="B2" s="1058"/>
      <c r="C2" s="1052"/>
      <c r="D2" s="1052"/>
      <c r="E2" s="1052"/>
      <c r="F2" s="1052"/>
      <c r="H2" s="1054"/>
      <c r="I2" s="1055"/>
      <c r="O2" s="1056"/>
    </row>
    <row r="3" spans="1:15">
      <c r="A3" s="1051" t="s">
        <v>2029</v>
      </c>
      <c r="B3" s="1058"/>
      <c r="C3" s="1052"/>
      <c r="D3" s="1052"/>
      <c r="E3" s="1052"/>
      <c r="F3" s="1052"/>
      <c r="H3" s="1054"/>
      <c r="I3" s="1055"/>
      <c r="K3" s="1059"/>
      <c r="L3" s="1060"/>
      <c r="M3" s="1060"/>
      <c r="O3" s="1056"/>
    </row>
    <row r="4" spans="1:15" ht="39" customHeight="1">
      <c r="A4" s="1136" t="s">
        <v>2137</v>
      </c>
      <c r="B4" s="1136"/>
      <c r="C4" s="1136"/>
      <c r="D4" s="1136"/>
      <c r="E4" s="1136"/>
      <c r="F4" s="1061"/>
      <c r="G4" s="1060"/>
      <c r="I4" s="1062"/>
      <c r="K4" s="1060"/>
      <c r="L4" s="1060"/>
      <c r="M4" s="1060"/>
      <c r="N4" s="1060"/>
    </row>
    <row r="5" spans="1:15" ht="11.25" customHeight="1" thickBot="1">
      <c r="A5" s="1057"/>
      <c r="B5" s="1063"/>
      <c r="C5" s="1053"/>
      <c r="D5" s="1053"/>
      <c r="E5" s="1064"/>
      <c r="F5" s="1064"/>
      <c r="G5" s="1060"/>
      <c r="I5" s="1054"/>
    </row>
    <row r="6" spans="1:15" ht="25.5">
      <c r="B6" s="1132" t="s">
        <v>2027</v>
      </c>
      <c r="C6" s="1065" t="s">
        <v>1919</v>
      </c>
      <c r="D6" s="1063" t="s">
        <v>558</v>
      </c>
      <c r="E6" s="1134" t="s">
        <v>2028</v>
      </c>
      <c r="F6" s="1064"/>
      <c r="G6" s="1060"/>
      <c r="H6" s="1060"/>
      <c r="I6" s="1002"/>
      <c r="J6" s="1137" t="s">
        <v>1914</v>
      </c>
      <c r="K6" s="1137"/>
      <c r="L6" s="1137"/>
      <c r="M6" s="1137"/>
      <c r="N6" s="1003"/>
    </row>
    <row r="7" spans="1:15">
      <c r="B7" s="1133"/>
      <c r="C7" s="1066">
        <f>'LG - Packer,RO'!E39</f>
        <v>5.7835718294118654E-2</v>
      </c>
      <c r="D7" s="1066">
        <f>'LG - Recycle'!J6</f>
        <v>0.44959840444297439</v>
      </c>
      <c r="E7" s="1135"/>
      <c r="F7" s="1064"/>
      <c r="G7" s="1067" t="s">
        <v>9</v>
      </c>
      <c r="H7" s="1068"/>
      <c r="I7" s="1004"/>
      <c r="K7" s="1100" t="s">
        <v>2136</v>
      </c>
      <c r="M7" s="181"/>
      <c r="N7" s="1007"/>
    </row>
    <row r="8" spans="1:15">
      <c r="A8" s="1069" t="s">
        <v>1920</v>
      </c>
      <c r="B8" s="1063"/>
      <c r="C8" s="1070"/>
      <c r="D8" s="1070"/>
      <c r="E8" s="1064"/>
      <c r="F8" s="1064"/>
      <c r="G8" s="1064"/>
      <c r="H8" s="1071"/>
      <c r="I8" s="1004"/>
      <c r="J8" s="181"/>
      <c r="K8" s="1005" t="s">
        <v>1911</v>
      </c>
      <c r="L8" s="1006">
        <f>'Spokane Reg - Price out'!R91+'Spokane Reg - Price out'!R77+'Spokane Reg - Price out'!R31</f>
        <v>29036.121564825462</v>
      </c>
      <c r="M8" s="181"/>
      <c r="N8" s="1007"/>
    </row>
    <row r="9" spans="1:15">
      <c r="A9" s="1057" t="s">
        <v>2030</v>
      </c>
      <c r="G9" s="1073"/>
      <c r="H9" s="1071"/>
      <c r="I9" s="1008"/>
      <c r="J9" s="181"/>
      <c r="K9" s="1005" t="s">
        <v>1912</v>
      </c>
      <c r="L9" s="999">
        <f>'Whitman Reg - Price Out'!P150+'Whitman Reg - Price Out'!P123+'Whitman Reg - Price Out'!P37</f>
        <v>114971.09606759188</v>
      </c>
      <c r="M9" s="1009"/>
      <c r="N9" s="1011"/>
    </row>
    <row r="10" spans="1:15">
      <c r="A10" s="1054" t="s">
        <v>1923</v>
      </c>
      <c r="B10" s="1072">
        <v>18.03</v>
      </c>
      <c r="C10" s="1072">
        <f>ROUND(B10*$C$7,2)</f>
        <v>1.04</v>
      </c>
      <c r="E10" s="1072">
        <f>B10+C10</f>
        <v>19.07</v>
      </c>
      <c r="G10" s="1074">
        <f>(B10*C7)-C10</f>
        <v>2.7780008429594272E-3</v>
      </c>
      <c r="H10" s="1071"/>
      <c r="I10" s="1008"/>
      <c r="J10" s="1009"/>
      <c r="K10" s="1009"/>
      <c r="L10" s="1010">
        <f>SUM(L8:L9)</f>
        <v>144007.21763241733</v>
      </c>
      <c r="M10" s="1009"/>
      <c r="N10" s="1011"/>
    </row>
    <row r="11" spans="1:15" ht="6.75" customHeight="1">
      <c r="G11" s="1073"/>
      <c r="H11" s="1071"/>
      <c r="I11" s="1008"/>
      <c r="J11" s="1009"/>
      <c r="K11" s="1009"/>
      <c r="L11" s="1009"/>
      <c r="M11" s="1009"/>
      <c r="N11" s="1011"/>
    </row>
    <row r="12" spans="1:15">
      <c r="A12" s="1069" t="s">
        <v>1920</v>
      </c>
      <c r="G12" s="1073"/>
      <c r="H12" s="1071"/>
      <c r="I12" s="1008"/>
      <c r="J12" s="1009"/>
      <c r="K12" s="1012" t="s">
        <v>1913</v>
      </c>
      <c r="L12" s="1006">
        <f>'LG - Packer,RO'!E6</f>
        <v>144353.91247484117</v>
      </c>
      <c r="M12" s="1009"/>
      <c r="N12" s="1011"/>
    </row>
    <row r="13" spans="1:15">
      <c r="A13" s="1057" t="s">
        <v>2031</v>
      </c>
      <c r="G13" s="1073"/>
      <c r="H13" s="1071"/>
      <c r="I13" s="1008"/>
      <c r="J13" s="1009"/>
      <c r="K13" s="1009"/>
      <c r="L13" s="1010">
        <f>L10-L12</f>
        <v>-346.69484242383623</v>
      </c>
      <c r="M13" s="1009" t="s">
        <v>2139</v>
      </c>
      <c r="N13" s="1011"/>
    </row>
    <row r="14" spans="1:15">
      <c r="A14" s="1054" t="s">
        <v>1928</v>
      </c>
      <c r="B14" s="1072">
        <v>13.12</v>
      </c>
      <c r="C14" s="1072">
        <f>'Whitman Reg - Price Out'!O34</f>
        <v>0.75880462401883675</v>
      </c>
      <c r="E14" s="1072">
        <f>B14+C14</f>
        <v>13.878804624018835</v>
      </c>
      <c r="G14" s="1074">
        <f>(B14*$C$7)-C14</f>
        <v>0</v>
      </c>
      <c r="H14" s="1071"/>
      <c r="I14" s="1101"/>
      <c r="L14" s="1109">
        <f>L13/L12</f>
        <v>-2.4017003521415478E-3</v>
      </c>
      <c r="N14" s="1102"/>
    </row>
    <row r="15" spans="1:15">
      <c r="G15" s="1073"/>
      <c r="H15" s="1071"/>
      <c r="I15" s="1103"/>
      <c r="K15" s="1100" t="s">
        <v>558</v>
      </c>
      <c r="N15" s="1102"/>
    </row>
    <row r="16" spans="1:15">
      <c r="A16" s="1069" t="s">
        <v>1920</v>
      </c>
      <c r="G16" s="1073"/>
      <c r="H16" s="1060"/>
      <c r="I16" s="1101"/>
      <c r="K16" s="1005" t="s">
        <v>1911</v>
      </c>
      <c r="L16" s="1006">
        <v>0</v>
      </c>
      <c r="N16" s="1102"/>
    </row>
    <row r="17" spans="1:248">
      <c r="A17" s="1057" t="s">
        <v>2032</v>
      </c>
      <c r="G17" s="1073"/>
      <c r="H17" s="1068"/>
      <c r="I17" s="1101"/>
      <c r="K17" s="1005" t="s">
        <v>1912</v>
      </c>
      <c r="L17" s="999">
        <f>'Whitman Reg - Price Out'!P42</f>
        <v>1660.1870682461274</v>
      </c>
      <c r="N17" s="1102"/>
    </row>
    <row r="18" spans="1:248">
      <c r="A18" s="1054" t="s">
        <v>1930</v>
      </c>
      <c r="B18" s="1072">
        <v>53.56</v>
      </c>
      <c r="C18" s="1072">
        <f>'Whitman Reg - Price Out'!O116</f>
        <v>3.0976810718329952</v>
      </c>
      <c r="E18" s="1072">
        <f>B18+C18</f>
        <v>56.657681071832997</v>
      </c>
      <c r="G18" s="1074">
        <f t="shared" ref="G18:G19" si="0">(B18*$C$7)-C18</f>
        <v>0</v>
      </c>
      <c r="H18" s="1071"/>
      <c r="I18" s="1104"/>
      <c r="K18" s="1009"/>
      <c r="L18" s="1010">
        <f>SUM(L16:L17)</f>
        <v>1660.1870682461274</v>
      </c>
      <c r="N18" s="1102"/>
    </row>
    <row r="19" spans="1:248">
      <c r="A19" s="1054" t="s">
        <v>1931</v>
      </c>
      <c r="B19" s="1072">
        <v>21.86</v>
      </c>
      <c r="C19" s="1072">
        <f>'Whitman Reg - Price Out'!O33</f>
        <v>1.2642888019094338</v>
      </c>
      <c r="E19" s="1072">
        <f>B19+C19</f>
        <v>23.124288801909433</v>
      </c>
      <c r="G19" s="1074">
        <f t="shared" si="0"/>
        <v>0</v>
      </c>
      <c r="H19" s="1071"/>
      <c r="I19" s="1004"/>
      <c r="J19" s="181"/>
      <c r="K19" s="1009"/>
      <c r="L19" s="1009"/>
      <c r="M19" s="181"/>
      <c r="N19" s="1007"/>
    </row>
    <row r="20" spans="1:248">
      <c r="G20" s="1073"/>
      <c r="H20" s="1071"/>
      <c r="I20" s="1104"/>
      <c r="K20" s="1012" t="s">
        <v>1913</v>
      </c>
      <c r="L20" s="1006">
        <f>'LG - Recycle'!E6</f>
        <v>2100.8818666436632</v>
      </c>
      <c r="N20" s="1102"/>
    </row>
    <row r="21" spans="1:248">
      <c r="A21" s="1077" t="s">
        <v>1932</v>
      </c>
      <c r="G21" s="1073"/>
      <c r="H21" s="1071"/>
      <c r="I21" s="1104"/>
      <c r="K21" s="1009"/>
      <c r="L21" s="1010">
        <f>L18-L20</f>
        <v>-440.69479839753581</v>
      </c>
      <c r="M21" s="1053" t="s">
        <v>2138</v>
      </c>
      <c r="N21" s="1102"/>
    </row>
    <row r="22" spans="1:248" ht="13.5" thickBot="1">
      <c r="A22" s="1057" t="s">
        <v>2033</v>
      </c>
      <c r="G22" s="1054"/>
      <c r="H22" s="1071"/>
      <c r="I22" s="1105"/>
      <c r="J22" s="1106"/>
      <c r="K22" s="1107"/>
      <c r="L22" s="1106"/>
      <c r="M22" s="1106"/>
      <c r="N22" s="1108"/>
    </row>
    <row r="23" spans="1:248">
      <c r="A23" s="1054" t="s">
        <v>1933</v>
      </c>
      <c r="B23" s="1072">
        <v>3.91</v>
      </c>
      <c r="C23" s="1072">
        <f>'Whitman Reg - Price Out'!O27</f>
        <v>0.22613765853000395</v>
      </c>
      <c r="E23" s="1072">
        <f>B23+C23</f>
        <v>4.1361376585300045</v>
      </c>
      <c r="G23" s="1074">
        <f>(B23*$C$7)-C23</f>
        <v>0</v>
      </c>
      <c r="H23" s="1071"/>
      <c r="I23" s="1076"/>
      <c r="K23" s="1075"/>
    </row>
    <row r="24" spans="1:248">
      <c r="G24" s="1054"/>
      <c r="H24" s="1071"/>
      <c r="I24" s="1076"/>
      <c r="K24" s="1075"/>
    </row>
    <row r="25" spans="1:248">
      <c r="A25" s="1057" t="s">
        <v>2034</v>
      </c>
      <c r="G25" s="1054"/>
      <c r="H25" s="1071"/>
      <c r="I25" s="1076"/>
      <c r="K25" s="1075"/>
    </row>
    <row r="26" spans="1:248">
      <c r="A26" s="1054" t="s">
        <v>1934</v>
      </c>
      <c r="B26" s="1072">
        <v>65.58</v>
      </c>
      <c r="C26" s="1072">
        <f>ROUND(B26*$C$7,2)</f>
        <v>3.79</v>
      </c>
      <c r="E26" s="1072">
        <f>B26+C26</f>
        <v>69.37</v>
      </c>
      <c r="G26" s="1074">
        <f t="shared" ref="G26:G27" si="1">(B26*$C$7)-C26</f>
        <v>2.8664057283012134E-3</v>
      </c>
    </row>
    <row r="27" spans="1:248">
      <c r="A27" s="1054" t="s">
        <v>1935</v>
      </c>
      <c r="B27" s="1072">
        <v>65.58</v>
      </c>
      <c r="C27" s="1072">
        <f>ROUND(B27*$C$7,2)</f>
        <v>3.79</v>
      </c>
      <c r="E27" s="1072">
        <f>B27+C27</f>
        <v>69.37</v>
      </c>
      <c r="G27" s="1074">
        <f t="shared" si="1"/>
        <v>2.8664057283012134E-3</v>
      </c>
    </row>
    <row r="28" spans="1:248">
      <c r="G28" s="1054"/>
      <c r="H28" s="1131"/>
      <c r="I28" s="1131"/>
      <c r="J28" s="1131"/>
      <c r="K28" s="1131"/>
      <c r="L28" s="1131"/>
    </row>
    <row r="29" spans="1:248">
      <c r="A29" s="1078" t="s">
        <v>1936</v>
      </c>
      <c r="G29" s="1057"/>
      <c r="H29" s="1071"/>
      <c r="I29" s="1060"/>
      <c r="J29" s="1079"/>
      <c r="K29" s="1072"/>
      <c r="L29" s="1072"/>
      <c r="M29" s="1072"/>
      <c r="N29" s="1072"/>
      <c r="O29" s="1080"/>
      <c r="P29" s="1071"/>
      <c r="Q29" s="1060"/>
      <c r="R29" s="1079"/>
      <c r="S29" s="1072"/>
      <c r="T29" s="1072"/>
      <c r="U29" s="1072"/>
      <c r="V29" s="1072"/>
      <c r="W29" s="1080"/>
      <c r="X29" s="1071"/>
      <c r="Y29" s="1060"/>
      <c r="Z29" s="1079"/>
      <c r="AA29" s="1072"/>
      <c r="AB29" s="1072"/>
      <c r="AC29" s="1072"/>
      <c r="AD29" s="1072"/>
      <c r="AE29" s="1080"/>
      <c r="AF29" s="1071"/>
      <c r="AG29" s="1060"/>
      <c r="AH29" s="1079"/>
      <c r="AI29" s="1072"/>
      <c r="AJ29" s="1072"/>
      <c r="AK29" s="1072"/>
      <c r="AL29" s="1072"/>
      <c r="AM29" s="1080"/>
      <c r="AN29" s="1071"/>
      <c r="AO29" s="1060"/>
      <c r="AP29" s="1079"/>
      <c r="AQ29" s="1072"/>
      <c r="AR29" s="1072"/>
      <c r="AS29" s="1072"/>
      <c r="AT29" s="1072"/>
      <c r="AU29" s="1080"/>
      <c r="AV29" s="1071"/>
      <c r="AW29" s="1060"/>
      <c r="AX29" s="1079"/>
      <c r="AY29" s="1072"/>
      <c r="AZ29" s="1072"/>
      <c r="BA29" s="1072"/>
      <c r="BB29" s="1072"/>
      <c r="BC29" s="1080"/>
      <c r="BD29" s="1071"/>
      <c r="BE29" s="1060"/>
      <c r="BF29" s="1079"/>
      <c r="BG29" s="1072"/>
      <c r="BH29" s="1072"/>
      <c r="BI29" s="1072"/>
      <c r="BJ29" s="1072"/>
      <c r="BK29" s="1080"/>
      <c r="BL29" s="1071"/>
      <c r="BM29" s="1060"/>
      <c r="BN29" s="1079"/>
      <c r="BO29" s="1072"/>
      <c r="BP29" s="1072"/>
      <c r="BQ29" s="1072"/>
      <c r="BR29" s="1072"/>
      <c r="BS29" s="1080"/>
      <c r="BT29" s="1071"/>
      <c r="BU29" s="1060"/>
      <c r="BV29" s="1079"/>
      <c r="BW29" s="1072"/>
      <c r="BX29" s="1072"/>
      <c r="BY29" s="1072"/>
      <c r="BZ29" s="1072"/>
      <c r="CA29" s="1080"/>
      <c r="CB29" s="1071"/>
      <c r="CC29" s="1060"/>
      <c r="CD29" s="1079"/>
      <c r="CE29" s="1072"/>
      <c r="CF29" s="1072"/>
      <c r="CG29" s="1072"/>
      <c r="CH29" s="1072"/>
      <c r="CI29" s="1080"/>
      <c r="CJ29" s="1071"/>
      <c r="CK29" s="1060"/>
      <c r="CL29" s="1079"/>
      <c r="CM29" s="1072"/>
      <c r="CN29" s="1072"/>
      <c r="CO29" s="1072"/>
      <c r="CP29" s="1072"/>
      <c r="CQ29" s="1080"/>
      <c r="CR29" s="1071"/>
      <c r="CS29" s="1060"/>
      <c r="CT29" s="1079"/>
      <c r="CU29" s="1072"/>
      <c r="CV29" s="1072"/>
      <c r="CW29" s="1072"/>
      <c r="CX29" s="1072"/>
      <c r="CY29" s="1080"/>
      <c r="CZ29" s="1071"/>
      <c r="DA29" s="1060"/>
      <c r="DB29" s="1079"/>
      <c r="DC29" s="1072"/>
      <c r="DD29" s="1072"/>
      <c r="DE29" s="1072"/>
      <c r="DF29" s="1072"/>
      <c r="DG29" s="1080"/>
      <c r="DH29" s="1071"/>
      <c r="DI29" s="1060"/>
      <c r="DJ29" s="1079"/>
      <c r="DK29" s="1072"/>
      <c r="DL29" s="1072"/>
      <c r="DM29" s="1072"/>
      <c r="DN29" s="1072"/>
      <c r="DO29" s="1080"/>
      <c r="DP29" s="1071"/>
      <c r="DQ29" s="1060"/>
      <c r="DR29" s="1079"/>
      <c r="DS29" s="1072"/>
      <c r="DT29" s="1072"/>
      <c r="DU29" s="1072"/>
      <c r="DV29" s="1072"/>
      <c r="DW29" s="1080"/>
      <c r="DX29" s="1071"/>
      <c r="DY29" s="1060"/>
      <c r="DZ29" s="1079"/>
      <c r="EA29" s="1072"/>
      <c r="EB29" s="1072"/>
      <c r="EC29" s="1072"/>
      <c r="ED29" s="1072"/>
      <c r="EE29" s="1080"/>
      <c r="EF29" s="1071"/>
      <c r="EG29" s="1060"/>
      <c r="EH29" s="1079"/>
      <c r="EI29" s="1072"/>
      <c r="EJ29" s="1072"/>
      <c r="EK29" s="1072"/>
      <c r="EL29" s="1072"/>
      <c r="EM29" s="1080"/>
      <c r="EN29" s="1071"/>
      <c r="EO29" s="1060"/>
      <c r="EP29" s="1079"/>
      <c r="EQ29" s="1072"/>
      <c r="ER29" s="1072"/>
      <c r="ES29" s="1072"/>
      <c r="ET29" s="1072"/>
      <c r="EU29" s="1080"/>
      <c r="EV29" s="1071"/>
      <c r="EW29" s="1060"/>
      <c r="EX29" s="1079"/>
      <c r="EY29" s="1072"/>
      <c r="EZ29" s="1072"/>
      <c r="FA29" s="1072"/>
      <c r="FB29" s="1072"/>
      <c r="FC29" s="1080"/>
      <c r="FD29" s="1071"/>
      <c r="FE29" s="1060"/>
      <c r="FF29" s="1079"/>
      <c r="FG29" s="1072"/>
      <c r="FH29" s="1072"/>
      <c r="FI29" s="1072"/>
      <c r="FJ29" s="1072"/>
      <c r="FK29" s="1080"/>
      <c r="FL29" s="1071"/>
      <c r="FM29" s="1060"/>
      <c r="FN29" s="1079"/>
      <c r="FO29" s="1072"/>
      <c r="FP29" s="1072"/>
      <c r="FQ29" s="1072"/>
      <c r="FR29" s="1072"/>
      <c r="FS29" s="1080"/>
      <c r="FT29" s="1071"/>
      <c r="FU29" s="1060"/>
      <c r="FV29" s="1079"/>
      <c r="FW29" s="1072"/>
      <c r="FX29" s="1072"/>
      <c r="FY29" s="1072"/>
      <c r="FZ29" s="1072"/>
      <c r="GA29" s="1080"/>
      <c r="GB29" s="1071"/>
      <c r="GC29" s="1060"/>
      <c r="GD29" s="1079"/>
      <c r="GE29" s="1072"/>
      <c r="GF29" s="1072"/>
      <c r="GG29" s="1072"/>
      <c r="GH29" s="1072"/>
      <c r="GI29" s="1080"/>
      <c r="GJ29" s="1071"/>
      <c r="GK29" s="1060"/>
      <c r="GL29" s="1079"/>
      <c r="GM29" s="1072"/>
      <c r="GN29" s="1072"/>
      <c r="GO29" s="1072"/>
      <c r="GP29" s="1072"/>
      <c r="GQ29" s="1080"/>
      <c r="GR29" s="1071"/>
      <c r="GS29" s="1060"/>
      <c r="GT29" s="1079"/>
      <c r="GU29" s="1072"/>
      <c r="GV29" s="1072"/>
      <c r="GW29" s="1072"/>
      <c r="GX29" s="1072"/>
      <c r="GY29" s="1080"/>
      <c r="GZ29" s="1071"/>
      <c r="HA29" s="1060"/>
      <c r="HB29" s="1079"/>
      <c r="HC29" s="1072"/>
      <c r="HD29" s="1072"/>
      <c r="HE29" s="1072"/>
      <c r="HF29" s="1072"/>
      <c r="HG29" s="1080"/>
      <c r="HH29" s="1071"/>
      <c r="HI29" s="1060"/>
      <c r="HJ29" s="1079"/>
      <c r="HK29" s="1072"/>
      <c r="HL29" s="1072"/>
      <c r="HM29" s="1072"/>
      <c r="HN29" s="1072"/>
      <c r="HO29" s="1080"/>
      <c r="HP29" s="1071"/>
      <c r="HQ29" s="1060"/>
      <c r="HR29" s="1079"/>
      <c r="HS29" s="1072"/>
      <c r="HT29" s="1072"/>
      <c r="HU29" s="1072"/>
      <c r="HV29" s="1072"/>
      <c r="HW29" s="1080"/>
      <c r="HX29" s="1071"/>
      <c r="HY29" s="1060"/>
      <c r="HZ29" s="1079"/>
      <c r="IA29" s="1072"/>
      <c r="IB29" s="1072"/>
      <c r="IC29" s="1072"/>
      <c r="ID29" s="1072"/>
      <c r="IE29" s="1080"/>
      <c r="IF29" s="1071"/>
      <c r="IG29" s="1060"/>
      <c r="IH29" s="1079"/>
      <c r="II29" s="1072"/>
      <c r="IJ29" s="1072"/>
      <c r="IK29" s="1072"/>
      <c r="IL29" s="1072"/>
      <c r="IM29" s="1080"/>
      <c r="IN29" s="1071"/>
    </row>
    <row r="30" spans="1:248">
      <c r="A30" s="1057" t="s">
        <v>2035</v>
      </c>
      <c r="G30" s="1057"/>
      <c r="H30" s="1071"/>
      <c r="I30" s="1081"/>
      <c r="J30" s="1064"/>
      <c r="K30" s="1063"/>
      <c r="L30" s="1063"/>
      <c r="M30" s="1082"/>
      <c r="N30" s="1072"/>
      <c r="O30" s="1075"/>
      <c r="P30" s="1071"/>
      <c r="Q30" s="1060"/>
      <c r="R30" s="1083"/>
      <c r="S30" s="1072"/>
      <c r="T30" s="1072"/>
      <c r="U30" s="1072"/>
      <c r="V30" s="1072"/>
      <c r="W30" s="1075"/>
      <c r="X30" s="1071"/>
      <c r="Y30" s="1060"/>
      <c r="Z30" s="1083"/>
      <c r="AA30" s="1072"/>
      <c r="AB30" s="1072"/>
      <c r="AC30" s="1072"/>
      <c r="AD30" s="1072"/>
      <c r="AE30" s="1075"/>
      <c r="AF30" s="1071"/>
      <c r="AG30" s="1060"/>
      <c r="AH30" s="1083"/>
      <c r="AI30" s="1072"/>
      <c r="AJ30" s="1072"/>
      <c r="AK30" s="1072"/>
      <c r="AL30" s="1072"/>
      <c r="AM30" s="1075"/>
      <c r="AN30" s="1071"/>
      <c r="AO30" s="1060"/>
      <c r="AP30" s="1083"/>
      <c r="AQ30" s="1072"/>
      <c r="AR30" s="1072"/>
      <c r="AS30" s="1072"/>
      <c r="AT30" s="1072"/>
      <c r="AU30" s="1075"/>
      <c r="AV30" s="1071"/>
      <c r="AW30" s="1060"/>
      <c r="AX30" s="1083"/>
      <c r="AY30" s="1072"/>
      <c r="AZ30" s="1072"/>
      <c r="BA30" s="1072"/>
      <c r="BB30" s="1072"/>
      <c r="BC30" s="1075"/>
      <c r="BD30" s="1071"/>
      <c r="BE30" s="1060"/>
      <c r="BF30" s="1083"/>
      <c r="BG30" s="1072"/>
      <c r="BH30" s="1072"/>
      <c r="BI30" s="1072"/>
      <c r="BJ30" s="1072"/>
      <c r="BK30" s="1075"/>
      <c r="BL30" s="1071"/>
      <c r="BM30" s="1060"/>
      <c r="BN30" s="1083"/>
      <c r="BO30" s="1072"/>
      <c r="BP30" s="1072"/>
      <c r="BQ30" s="1072"/>
      <c r="BR30" s="1072"/>
      <c r="BS30" s="1075"/>
      <c r="BT30" s="1071"/>
      <c r="BU30" s="1060"/>
      <c r="BV30" s="1083"/>
      <c r="BW30" s="1072"/>
      <c r="BX30" s="1072"/>
      <c r="BY30" s="1072"/>
      <c r="BZ30" s="1072"/>
      <c r="CA30" s="1075"/>
      <c r="CB30" s="1071"/>
      <c r="CC30" s="1060"/>
      <c r="CD30" s="1083"/>
      <c r="CE30" s="1072"/>
      <c r="CF30" s="1072"/>
      <c r="CG30" s="1072"/>
      <c r="CH30" s="1072"/>
      <c r="CI30" s="1075"/>
      <c r="CJ30" s="1071"/>
      <c r="CK30" s="1060"/>
      <c r="CL30" s="1083"/>
      <c r="CM30" s="1072"/>
      <c r="CN30" s="1072"/>
      <c r="CO30" s="1072"/>
      <c r="CP30" s="1072"/>
      <c r="CQ30" s="1075"/>
      <c r="CR30" s="1071"/>
      <c r="CS30" s="1060"/>
      <c r="CT30" s="1083"/>
      <c r="CU30" s="1072"/>
      <c r="CV30" s="1072"/>
      <c r="CW30" s="1072"/>
      <c r="CX30" s="1072"/>
      <c r="CY30" s="1075"/>
      <c r="CZ30" s="1071"/>
      <c r="DA30" s="1060"/>
      <c r="DB30" s="1083"/>
      <c r="DC30" s="1072"/>
      <c r="DD30" s="1072"/>
      <c r="DE30" s="1072"/>
      <c r="DF30" s="1072"/>
      <c r="DG30" s="1075"/>
      <c r="DH30" s="1071"/>
      <c r="DI30" s="1060"/>
      <c r="DJ30" s="1083"/>
      <c r="DK30" s="1072"/>
      <c r="DL30" s="1072"/>
      <c r="DM30" s="1072"/>
      <c r="DN30" s="1072"/>
      <c r="DO30" s="1075"/>
      <c r="DP30" s="1071"/>
      <c r="DQ30" s="1060"/>
      <c r="DR30" s="1083"/>
      <c r="DS30" s="1072"/>
      <c r="DT30" s="1072"/>
      <c r="DU30" s="1072"/>
      <c r="DV30" s="1072"/>
      <c r="DW30" s="1075"/>
      <c r="DX30" s="1071"/>
      <c r="DY30" s="1060"/>
      <c r="DZ30" s="1083"/>
      <c r="EA30" s="1072"/>
      <c r="EB30" s="1072"/>
      <c r="EC30" s="1072"/>
      <c r="ED30" s="1072"/>
      <c r="EE30" s="1075"/>
      <c r="EF30" s="1071"/>
      <c r="EG30" s="1060"/>
      <c r="EH30" s="1083"/>
      <c r="EI30" s="1072"/>
      <c r="EJ30" s="1072"/>
      <c r="EK30" s="1072"/>
      <c r="EL30" s="1072"/>
      <c r="EM30" s="1075"/>
      <c r="EN30" s="1071"/>
      <c r="EO30" s="1060"/>
      <c r="EP30" s="1083"/>
      <c r="EQ30" s="1072"/>
      <c r="ER30" s="1072"/>
      <c r="ES30" s="1072"/>
      <c r="ET30" s="1072"/>
      <c r="EU30" s="1075"/>
      <c r="EV30" s="1071"/>
      <c r="EW30" s="1060"/>
      <c r="EX30" s="1083"/>
      <c r="EY30" s="1072"/>
      <c r="EZ30" s="1072"/>
      <c r="FA30" s="1072"/>
      <c r="FB30" s="1072"/>
      <c r="FC30" s="1075"/>
      <c r="FD30" s="1071"/>
      <c r="FE30" s="1060"/>
      <c r="FF30" s="1083"/>
      <c r="FG30" s="1072"/>
      <c r="FH30" s="1072"/>
      <c r="FI30" s="1072"/>
      <c r="FJ30" s="1072"/>
      <c r="FK30" s="1075"/>
      <c r="FL30" s="1071"/>
      <c r="FM30" s="1060"/>
      <c r="FN30" s="1083"/>
      <c r="FO30" s="1072"/>
      <c r="FP30" s="1072"/>
      <c r="FQ30" s="1072"/>
      <c r="FR30" s="1072"/>
      <c r="FS30" s="1075"/>
      <c r="FT30" s="1071"/>
      <c r="FU30" s="1060"/>
      <c r="FV30" s="1083"/>
      <c r="FW30" s="1072"/>
      <c r="FX30" s="1072"/>
      <c r="FY30" s="1072"/>
      <c r="FZ30" s="1072"/>
      <c r="GA30" s="1075"/>
      <c r="GB30" s="1071"/>
      <c r="GC30" s="1060"/>
      <c r="GD30" s="1083"/>
      <c r="GE30" s="1072"/>
      <c r="GF30" s="1072"/>
      <c r="GG30" s="1072"/>
      <c r="GH30" s="1072"/>
      <c r="GI30" s="1075"/>
      <c r="GJ30" s="1071"/>
      <c r="GK30" s="1060"/>
      <c r="GL30" s="1083"/>
      <c r="GM30" s="1072"/>
      <c r="GN30" s="1072"/>
      <c r="GO30" s="1072"/>
      <c r="GP30" s="1072"/>
      <c r="GQ30" s="1075"/>
      <c r="GR30" s="1071"/>
      <c r="GS30" s="1060"/>
      <c r="GT30" s="1083"/>
      <c r="GU30" s="1072"/>
      <c r="GV30" s="1072"/>
      <c r="GW30" s="1072"/>
      <c r="GX30" s="1072"/>
      <c r="GY30" s="1075"/>
      <c r="GZ30" s="1071"/>
      <c r="HA30" s="1060"/>
      <c r="HB30" s="1083"/>
      <c r="HC30" s="1072"/>
      <c r="HD30" s="1072"/>
      <c r="HE30" s="1072"/>
      <c r="HF30" s="1072"/>
      <c r="HG30" s="1075"/>
      <c r="HH30" s="1071"/>
      <c r="HI30" s="1060"/>
      <c r="HJ30" s="1083"/>
      <c r="HK30" s="1072"/>
      <c r="HL30" s="1072"/>
      <c r="HM30" s="1072"/>
      <c r="HN30" s="1072"/>
      <c r="HO30" s="1075"/>
      <c r="HP30" s="1071"/>
      <c r="HQ30" s="1060"/>
      <c r="HR30" s="1083"/>
      <c r="HS30" s="1072"/>
      <c r="HT30" s="1072"/>
      <c r="HU30" s="1072"/>
      <c r="HV30" s="1072"/>
      <c r="HW30" s="1075"/>
      <c r="HX30" s="1071"/>
      <c r="HY30" s="1060"/>
      <c r="HZ30" s="1083"/>
      <c r="IA30" s="1072"/>
      <c r="IB30" s="1072"/>
      <c r="IC30" s="1072"/>
      <c r="ID30" s="1072"/>
      <c r="IE30" s="1075"/>
      <c r="IF30" s="1071"/>
      <c r="IG30" s="1060"/>
      <c r="IH30" s="1083"/>
      <c r="II30" s="1072"/>
      <c r="IJ30" s="1072"/>
      <c r="IK30" s="1072"/>
      <c r="IL30" s="1072"/>
      <c r="IM30" s="1075"/>
      <c r="IN30" s="1071"/>
    </row>
    <row r="31" spans="1:248">
      <c r="A31" s="1054" t="s">
        <v>1933</v>
      </c>
      <c r="B31" s="1072">
        <v>4.21</v>
      </c>
      <c r="C31" s="1072">
        <f>'Spokane Reg - Price out'!Q24</f>
        <v>0.24348837401823953</v>
      </c>
      <c r="E31" s="1072">
        <f>B31+C31</f>
        <v>4.4534883740182396</v>
      </c>
      <c r="G31" s="1074">
        <f>(B31*$C$7)-C31</f>
        <v>0</v>
      </c>
      <c r="H31" s="1084"/>
      <c r="I31" s="1085"/>
      <c r="J31" s="1085"/>
      <c r="K31" s="1086"/>
      <c r="L31" s="1085"/>
      <c r="M31" s="1072"/>
      <c r="N31" s="1072"/>
      <c r="O31" s="1075"/>
      <c r="P31" s="1087"/>
      <c r="R31" s="1079"/>
      <c r="S31" s="1072"/>
      <c r="T31" s="1088"/>
      <c r="U31" s="1072"/>
      <c r="V31" s="1072"/>
      <c r="W31" s="1075"/>
      <c r="X31" s="1087"/>
      <c r="Z31" s="1079"/>
      <c r="AA31" s="1072"/>
      <c r="AB31" s="1088"/>
      <c r="AC31" s="1072"/>
      <c r="AD31" s="1072"/>
      <c r="AE31" s="1075"/>
      <c r="AF31" s="1087"/>
      <c r="AH31" s="1079"/>
      <c r="AI31" s="1072"/>
      <c r="AJ31" s="1088"/>
      <c r="AK31" s="1072"/>
      <c r="AL31" s="1072"/>
      <c r="AM31" s="1075"/>
      <c r="AN31" s="1087"/>
      <c r="AP31" s="1079"/>
      <c r="AQ31" s="1072"/>
      <c r="AR31" s="1088"/>
      <c r="AS31" s="1072"/>
      <c r="AT31" s="1072"/>
      <c r="AU31" s="1075"/>
      <c r="AV31" s="1087"/>
      <c r="AX31" s="1079"/>
      <c r="AY31" s="1072"/>
      <c r="AZ31" s="1088"/>
      <c r="BA31" s="1072"/>
      <c r="BB31" s="1072"/>
      <c r="BC31" s="1075"/>
      <c r="BD31" s="1087"/>
      <c r="BF31" s="1079"/>
      <c r="BG31" s="1072"/>
      <c r="BH31" s="1088"/>
      <c r="BI31" s="1072"/>
      <c r="BJ31" s="1072"/>
      <c r="BK31" s="1075"/>
      <c r="BL31" s="1087"/>
      <c r="BN31" s="1079"/>
      <c r="BO31" s="1072"/>
      <c r="BP31" s="1088"/>
      <c r="BQ31" s="1072"/>
      <c r="BR31" s="1072"/>
      <c r="BS31" s="1075"/>
      <c r="BT31" s="1087"/>
      <c r="BV31" s="1079"/>
      <c r="BW31" s="1072"/>
      <c r="BX31" s="1088"/>
      <c r="BY31" s="1072"/>
      <c r="BZ31" s="1072"/>
      <c r="CA31" s="1075"/>
      <c r="CB31" s="1087"/>
      <c r="CD31" s="1079"/>
      <c r="CE31" s="1072"/>
      <c r="CF31" s="1088"/>
      <c r="CG31" s="1072"/>
      <c r="CH31" s="1072"/>
      <c r="CI31" s="1075"/>
      <c r="CJ31" s="1087"/>
      <c r="CL31" s="1079"/>
      <c r="CM31" s="1072"/>
      <c r="CN31" s="1088"/>
      <c r="CO31" s="1072"/>
      <c r="CP31" s="1072"/>
      <c r="CQ31" s="1075"/>
      <c r="CR31" s="1087"/>
      <c r="CT31" s="1079"/>
      <c r="CU31" s="1072"/>
      <c r="CV31" s="1088"/>
      <c r="CW31" s="1072"/>
      <c r="CX31" s="1072"/>
      <c r="CY31" s="1075"/>
      <c r="CZ31" s="1087"/>
      <c r="DB31" s="1079"/>
      <c r="DC31" s="1072"/>
      <c r="DD31" s="1088"/>
      <c r="DE31" s="1072"/>
      <c r="DF31" s="1072"/>
      <c r="DG31" s="1075"/>
      <c r="DH31" s="1087"/>
      <c r="DJ31" s="1079"/>
      <c r="DK31" s="1072"/>
      <c r="DL31" s="1088"/>
      <c r="DM31" s="1072"/>
      <c r="DN31" s="1072"/>
      <c r="DO31" s="1075"/>
      <c r="DP31" s="1087"/>
      <c r="DR31" s="1079"/>
      <c r="DS31" s="1072"/>
      <c r="DT31" s="1088"/>
      <c r="DU31" s="1072"/>
      <c r="DV31" s="1072"/>
      <c r="DW31" s="1075"/>
      <c r="DX31" s="1087"/>
      <c r="DZ31" s="1079"/>
      <c r="EA31" s="1072"/>
      <c r="EB31" s="1088"/>
      <c r="EC31" s="1072"/>
      <c r="ED31" s="1072"/>
      <c r="EE31" s="1075"/>
      <c r="EF31" s="1087"/>
      <c r="EH31" s="1079"/>
      <c r="EI31" s="1072"/>
      <c r="EJ31" s="1088"/>
      <c r="EK31" s="1072"/>
      <c r="EL31" s="1072"/>
      <c r="EM31" s="1075"/>
      <c r="EN31" s="1087"/>
      <c r="EP31" s="1079"/>
      <c r="EQ31" s="1072"/>
      <c r="ER31" s="1088"/>
      <c r="ES31" s="1072"/>
      <c r="ET31" s="1072"/>
      <c r="EU31" s="1075"/>
      <c r="EV31" s="1087"/>
      <c r="EX31" s="1079"/>
      <c r="EY31" s="1072"/>
      <c r="EZ31" s="1088"/>
      <c r="FA31" s="1072"/>
      <c r="FB31" s="1072"/>
      <c r="FC31" s="1075"/>
      <c r="FD31" s="1087"/>
      <c r="FF31" s="1079"/>
      <c r="FG31" s="1072"/>
      <c r="FH31" s="1088"/>
      <c r="FI31" s="1072"/>
      <c r="FJ31" s="1072"/>
      <c r="FK31" s="1075"/>
      <c r="FL31" s="1087"/>
      <c r="FN31" s="1079"/>
      <c r="FO31" s="1072"/>
      <c r="FP31" s="1088"/>
      <c r="FQ31" s="1072"/>
      <c r="FR31" s="1072"/>
      <c r="FS31" s="1075"/>
      <c r="FT31" s="1087"/>
      <c r="FV31" s="1079"/>
      <c r="FW31" s="1072"/>
      <c r="FX31" s="1088"/>
      <c r="FY31" s="1072"/>
      <c r="FZ31" s="1072"/>
      <c r="GA31" s="1075"/>
      <c r="GB31" s="1087"/>
      <c r="GD31" s="1079"/>
      <c r="GE31" s="1072"/>
      <c r="GF31" s="1088"/>
      <c r="GG31" s="1072"/>
      <c r="GH31" s="1072"/>
      <c r="GI31" s="1075"/>
      <c r="GJ31" s="1087"/>
      <c r="GL31" s="1079"/>
      <c r="GM31" s="1072"/>
      <c r="GN31" s="1088"/>
      <c r="GO31" s="1072"/>
      <c r="GP31" s="1072"/>
      <c r="GQ31" s="1075"/>
      <c r="GR31" s="1087"/>
      <c r="GT31" s="1079"/>
      <c r="GU31" s="1072"/>
      <c r="GV31" s="1088"/>
      <c r="GW31" s="1072"/>
      <c r="GX31" s="1072"/>
      <c r="GY31" s="1075"/>
      <c r="GZ31" s="1087"/>
      <c r="HB31" s="1079"/>
      <c r="HC31" s="1072"/>
      <c r="HD31" s="1088"/>
      <c r="HE31" s="1072"/>
      <c r="HF31" s="1072"/>
      <c r="HG31" s="1075"/>
      <c r="HH31" s="1087"/>
      <c r="HJ31" s="1079"/>
      <c r="HK31" s="1072"/>
      <c r="HL31" s="1088"/>
      <c r="HM31" s="1072"/>
      <c r="HN31" s="1072"/>
      <c r="HO31" s="1075"/>
      <c r="HP31" s="1087"/>
      <c r="HR31" s="1079"/>
      <c r="HS31" s="1072"/>
      <c r="HT31" s="1088"/>
      <c r="HU31" s="1072"/>
      <c r="HV31" s="1072"/>
      <c r="HW31" s="1075"/>
      <c r="HX31" s="1087"/>
      <c r="HZ31" s="1079"/>
      <c r="IA31" s="1072"/>
      <c r="IB31" s="1088"/>
      <c r="IC31" s="1072"/>
      <c r="ID31" s="1072"/>
      <c r="IE31" s="1075"/>
      <c r="IF31" s="1087"/>
      <c r="IH31" s="1079"/>
      <c r="II31" s="1072"/>
      <c r="IJ31" s="1088"/>
      <c r="IK31" s="1072"/>
      <c r="IL31" s="1072"/>
      <c r="IM31" s="1075"/>
      <c r="IN31" s="1087"/>
    </row>
    <row r="32" spans="1:248">
      <c r="G32" s="1054"/>
      <c r="H32" s="1084"/>
      <c r="I32" s="1085"/>
      <c r="J32" s="1089"/>
      <c r="K32" s="1086"/>
      <c r="L32" s="1086"/>
      <c r="M32" s="1072"/>
      <c r="N32" s="1072"/>
      <c r="O32" s="1075"/>
      <c r="P32" s="1071"/>
      <c r="R32" s="1079"/>
      <c r="S32" s="1072"/>
      <c r="T32" s="1072"/>
      <c r="U32" s="1072"/>
      <c r="V32" s="1072"/>
      <c r="W32" s="1075"/>
      <c r="X32" s="1071"/>
      <c r="Z32" s="1079"/>
      <c r="AA32" s="1072"/>
      <c r="AB32" s="1072"/>
      <c r="AC32" s="1072"/>
      <c r="AD32" s="1072"/>
      <c r="AE32" s="1075"/>
      <c r="AF32" s="1071"/>
      <c r="AH32" s="1079"/>
      <c r="AI32" s="1072"/>
      <c r="AJ32" s="1072"/>
      <c r="AK32" s="1072"/>
      <c r="AL32" s="1072"/>
      <c r="AM32" s="1075"/>
      <c r="AN32" s="1071"/>
      <c r="AP32" s="1079"/>
      <c r="AQ32" s="1072"/>
      <c r="AR32" s="1072"/>
      <c r="AS32" s="1072"/>
      <c r="AT32" s="1072"/>
      <c r="AU32" s="1075"/>
      <c r="AV32" s="1071"/>
      <c r="AX32" s="1079"/>
      <c r="AY32" s="1072"/>
      <c r="AZ32" s="1072"/>
      <c r="BA32" s="1072"/>
      <c r="BB32" s="1072"/>
      <c r="BC32" s="1075"/>
      <c r="BD32" s="1071"/>
      <c r="BF32" s="1079"/>
      <c r="BG32" s="1072"/>
      <c r="BH32" s="1072"/>
      <c r="BI32" s="1072"/>
      <c r="BJ32" s="1072"/>
      <c r="BK32" s="1075"/>
      <c r="BL32" s="1071"/>
      <c r="BN32" s="1079"/>
      <c r="BO32" s="1072"/>
      <c r="BP32" s="1072"/>
      <c r="BQ32" s="1072"/>
      <c r="BR32" s="1072"/>
      <c r="BS32" s="1075"/>
      <c r="BT32" s="1071"/>
      <c r="BV32" s="1079"/>
      <c r="BW32" s="1072"/>
      <c r="BX32" s="1072"/>
      <c r="BY32" s="1072"/>
      <c r="BZ32" s="1072"/>
      <c r="CA32" s="1075"/>
      <c r="CB32" s="1071"/>
      <c r="CD32" s="1079"/>
      <c r="CE32" s="1072"/>
      <c r="CF32" s="1072"/>
      <c r="CG32" s="1072"/>
      <c r="CH32" s="1072"/>
      <c r="CI32" s="1075"/>
      <c r="CJ32" s="1071"/>
      <c r="CL32" s="1079"/>
      <c r="CM32" s="1072"/>
      <c r="CN32" s="1072"/>
      <c r="CO32" s="1072"/>
      <c r="CP32" s="1072"/>
      <c r="CQ32" s="1075"/>
      <c r="CR32" s="1071"/>
      <c r="CT32" s="1079"/>
      <c r="CU32" s="1072"/>
      <c r="CV32" s="1072"/>
      <c r="CW32" s="1072"/>
      <c r="CX32" s="1072"/>
      <c r="CY32" s="1075"/>
      <c r="CZ32" s="1071"/>
      <c r="DB32" s="1079"/>
      <c r="DC32" s="1072"/>
      <c r="DD32" s="1072"/>
      <c r="DE32" s="1072"/>
      <c r="DF32" s="1072"/>
      <c r="DG32" s="1075"/>
      <c r="DH32" s="1071"/>
      <c r="DJ32" s="1079"/>
      <c r="DK32" s="1072"/>
      <c r="DL32" s="1072"/>
      <c r="DM32" s="1072"/>
      <c r="DN32" s="1072"/>
      <c r="DO32" s="1075"/>
      <c r="DP32" s="1071"/>
      <c r="DR32" s="1079"/>
      <c r="DS32" s="1072"/>
      <c r="DT32" s="1072"/>
      <c r="DU32" s="1072"/>
      <c r="DV32" s="1072"/>
      <c r="DW32" s="1075"/>
      <c r="DX32" s="1071"/>
      <c r="DZ32" s="1079"/>
      <c r="EA32" s="1072"/>
      <c r="EB32" s="1072"/>
      <c r="EC32" s="1072"/>
      <c r="ED32" s="1072"/>
      <c r="EE32" s="1075"/>
      <c r="EF32" s="1071"/>
      <c r="EH32" s="1079"/>
      <c r="EI32" s="1072"/>
      <c r="EJ32" s="1072"/>
      <c r="EK32" s="1072"/>
      <c r="EL32" s="1072"/>
      <c r="EM32" s="1075"/>
      <c r="EN32" s="1071"/>
      <c r="EP32" s="1079"/>
      <c r="EQ32" s="1072"/>
      <c r="ER32" s="1072"/>
      <c r="ES32" s="1072"/>
      <c r="ET32" s="1072"/>
      <c r="EU32" s="1075"/>
      <c r="EV32" s="1071"/>
      <c r="EX32" s="1079"/>
      <c r="EY32" s="1072"/>
      <c r="EZ32" s="1072"/>
      <c r="FA32" s="1072"/>
      <c r="FB32" s="1072"/>
      <c r="FC32" s="1075"/>
      <c r="FD32" s="1071"/>
      <c r="FF32" s="1079"/>
      <c r="FG32" s="1072"/>
      <c r="FH32" s="1072"/>
      <c r="FI32" s="1072"/>
      <c r="FJ32" s="1072"/>
      <c r="FK32" s="1075"/>
      <c r="FL32" s="1071"/>
      <c r="FN32" s="1079"/>
      <c r="FO32" s="1072"/>
      <c r="FP32" s="1072"/>
      <c r="FQ32" s="1072"/>
      <c r="FR32" s="1072"/>
      <c r="FS32" s="1075"/>
      <c r="FT32" s="1071"/>
      <c r="FV32" s="1079"/>
      <c r="FW32" s="1072"/>
      <c r="FX32" s="1072"/>
      <c r="FY32" s="1072"/>
      <c r="FZ32" s="1072"/>
      <c r="GA32" s="1075"/>
      <c r="GB32" s="1071"/>
      <c r="GD32" s="1079"/>
      <c r="GE32" s="1072"/>
      <c r="GF32" s="1072"/>
      <c r="GG32" s="1072"/>
      <c r="GH32" s="1072"/>
      <c r="GI32" s="1075"/>
      <c r="GJ32" s="1071"/>
      <c r="GL32" s="1079"/>
      <c r="GM32" s="1072"/>
      <c r="GN32" s="1072"/>
      <c r="GO32" s="1072"/>
      <c r="GP32" s="1072"/>
      <c r="GQ32" s="1075"/>
      <c r="GR32" s="1071"/>
      <c r="GT32" s="1079"/>
      <c r="GU32" s="1072"/>
      <c r="GV32" s="1072"/>
      <c r="GW32" s="1072"/>
      <c r="GX32" s="1072"/>
      <c r="GY32" s="1075"/>
      <c r="GZ32" s="1071"/>
      <c r="HB32" s="1079"/>
      <c r="HC32" s="1072"/>
      <c r="HD32" s="1072"/>
      <c r="HE32" s="1072"/>
      <c r="HF32" s="1072"/>
      <c r="HG32" s="1075"/>
      <c r="HH32" s="1071"/>
      <c r="HJ32" s="1079"/>
      <c r="HK32" s="1072"/>
      <c r="HL32" s="1072"/>
      <c r="HM32" s="1072"/>
      <c r="HN32" s="1072"/>
      <c r="HO32" s="1075"/>
      <c r="HP32" s="1071"/>
      <c r="HR32" s="1079"/>
      <c r="HS32" s="1072"/>
      <c r="HT32" s="1072"/>
      <c r="HU32" s="1072"/>
      <c r="HV32" s="1072"/>
      <c r="HW32" s="1075"/>
      <c r="HX32" s="1071"/>
      <c r="HZ32" s="1079"/>
      <c r="IA32" s="1072"/>
      <c r="IB32" s="1072"/>
      <c r="IC32" s="1072"/>
      <c r="ID32" s="1072"/>
      <c r="IE32" s="1075"/>
      <c r="IF32" s="1071"/>
      <c r="IH32" s="1079"/>
      <c r="II32" s="1072"/>
      <c r="IJ32" s="1072"/>
      <c r="IK32" s="1072"/>
      <c r="IL32" s="1072"/>
      <c r="IM32" s="1075"/>
      <c r="IN32" s="1071"/>
    </row>
    <row r="33" spans="1:248">
      <c r="A33" s="1057" t="s">
        <v>2036</v>
      </c>
      <c r="G33" s="1057"/>
      <c r="H33" s="1071"/>
      <c r="I33" s="1090"/>
      <c r="J33" s="1090"/>
      <c r="K33" s="1091"/>
      <c r="L33" s="1091"/>
      <c r="M33" s="1072"/>
      <c r="N33" s="1072"/>
      <c r="O33" s="1075"/>
      <c r="P33" s="1071"/>
      <c r="Q33" s="1060"/>
      <c r="R33" s="1079"/>
      <c r="S33" s="1072"/>
      <c r="T33" s="1072"/>
      <c r="U33" s="1072"/>
      <c r="V33" s="1072"/>
      <c r="W33" s="1075"/>
      <c r="X33" s="1071"/>
      <c r="Y33" s="1060"/>
      <c r="Z33" s="1079"/>
      <c r="AA33" s="1072"/>
      <c r="AB33" s="1072"/>
      <c r="AC33" s="1072"/>
      <c r="AD33" s="1072"/>
      <c r="AE33" s="1075"/>
      <c r="AF33" s="1071"/>
      <c r="AG33" s="1060"/>
      <c r="AH33" s="1079"/>
      <c r="AI33" s="1072"/>
      <c r="AJ33" s="1072"/>
      <c r="AK33" s="1072"/>
      <c r="AL33" s="1072"/>
      <c r="AM33" s="1075"/>
      <c r="AN33" s="1071"/>
      <c r="AO33" s="1060"/>
      <c r="AP33" s="1079"/>
      <c r="AQ33" s="1072"/>
      <c r="AR33" s="1072"/>
      <c r="AS33" s="1072"/>
      <c r="AT33" s="1072"/>
      <c r="AU33" s="1075"/>
      <c r="AV33" s="1071"/>
      <c r="AW33" s="1060"/>
      <c r="AX33" s="1079"/>
      <c r="AY33" s="1072"/>
      <c r="AZ33" s="1072"/>
      <c r="BA33" s="1072"/>
      <c r="BB33" s="1072"/>
      <c r="BC33" s="1075"/>
      <c r="BD33" s="1071"/>
      <c r="BE33" s="1060"/>
      <c r="BF33" s="1079"/>
      <c r="BG33" s="1072"/>
      <c r="BH33" s="1072"/>
      <c r="BI33" s="1072"/>
      <c r="BJ33" s="1072"/>
      <c r="BK33" s="1075"/>
      <c r="BL33" s="1071"/>
      <c r="BM33" s="1060"/>
      <c r="BN33" s="1079"/>
      <c r="BO33" s="1072"/>
      <c r="BP33" s="1072"/>
      <c r="BQ33" s="1072"/>
      <c r="BR33" s="1072"/>
      <c r="BS33" s="1075"/>
      <c r="BT33" s="1071"/>
      <c r="BU33" s="1060"/>
      <c r="BV33" s="1079"/>
      <c r="BW33" s="1072"/>
      <c r="BX33" s="1072"/>
      <c r="BY33" s="1072"/>
      <c r="BZ33" s="1072"/>
      <c r="CA33" s="1075"/>
      <c r="CB33" s="1071"/>
      <c r="CC33" s="1060"/>
      <c r="CD33" s="1079"/>
      <c r="CE33" s="1072"/>
      <c r="CF33" s="1072"/>
      <c r="CG33" s="1072"/>
      <c r="CH33" s="1072"/>
      <c r="CI33" s="1075"/>
      <c r="CJ33" s="1071"/>
      <c r="CK33" s="1060"/>
      <c r="CL33" s="1079"/>
      <c r="CM33" s="1072"/>
      <c r="CN33" s="1072"/>
      <c r="CO33" s="1072"/>
      <c r="CP33" s="1072"/>
      <c r="CQ33" s="1075"/>
      <c r="CR33" s="1071"/>
      <c r="CS33" s="1060"/>
      <c r="CT33" s="1079"/>
      <c r="CU33" s="1072"/>
      <c r="CV33" s="1072"/>
      <c r="CW33" s="1072"/>
      <c r="CX33" s="1072"/>
      <c r="CY33" s="1075"/>
      <c r="CZ33" s="1071"/>
      <c r="DA33" s="1060"/>
      <c r="DB33" s="1079"/>
      <c r="DC33" s="1072"/>
      <c r="DD33" s="1072"/>
      <c r="DE33" s="1072"/>
      <c r="DF33" s="1072"/>
      <c r="DG33" s="1075"/>
      <c r="DH33" s="1071"/>
      <c r="DI33" s="1060"/>
      <c r="DJ33" s="1079"/>
      <c r="DK33" s="1072"/>
      <c r="DL33" s="1072"/>
      <c r="DM33" s="1072"/>
      <c r="DN33" s="1072"/>
      <c r="DO33" s="1075"/>
      <c r="DP33" s="1071"/>
      <c r="DQ33" s="1060"/>
      <c r="DR33" s="1079"/>
      <c r="DS33" s="1072"/>
      <c r="DT33" s="1072"/>
      <c r="DU33" s="1072"/>
      <c r="DV33" s="1072"/>
      <c r="DW33" s="1075"/>
      <c r="DX33" s="1071"/>
      <c r="DY33" s="1060"/>
      <c r="DZ33" s="1079"/>
      <c r="EA33" s="1072"/>
      <c r="EB33" s="1072"/>
      <c r="EC33" s="1072"/>
      <c r="ED33" s="1072"/>
      <c r="EE33" s="1075"/>
      <c r="EF33" s="1071"/>
      <c r="EG33" s="1060"/>
      <c r="EH33" s="1079"/>
      <c r="EI33" s="1072"/>
      <c r="EJ33" s="1072"/>
      <c r="EK33" s="1072"/>
      <c r="EL33" s="1072"/>
      <c r="EM33" s="1075"/>
      <c r="EN33" s="1071"/>
      <c r="EO33" s="1060"/>
      <c r="EP33" s="1079"/>
      <c r="EQ33" s="1072"/>
      <c r="ER33" s="1072"/>
      <c r="ES33" s="1072"/>
      <c r="ET33" s="1072"/>
      <c r="EU33" s="1075"/>
      <c r="EV33" s="1071"/>
      <c r="EW33" s="1060"/>
      <c r="EX33" s="1079"/>
      <c r="EY33" s="1072"/>
      <c r="EZ33" s="1072"/>
      <c r="FA33" s="1072"/>
      <c r="FB33" s="1072"/>
      <c r="FC33" s="1075"/>
      <c r="FD33" s="1071"/>
      <c r="FE33" s="1060"/>
      <c r="FF33" s="1079"/>
      <c r="FG33" s="1072"/>
      <c r="FH33" s="1072"/>
      <c r="FI33" s="1072"/>
      <c r="FJ33" s="1072"/>
      <c r="FK33" s="1075"/>
      <c r="FL33" s="1071"/>
      <c r="FM33" s="1060"/>
      <c r="FN33" s="1079"/>
      <c r="FO33" s="1072"/>
      <c r="FP33" s="1072"/>
      <c r="FQ33" s="1072"/>
      <c r="FR33" s="1072"/>
      <c r="FS33" s="1075"/>
      <c r="FT33" s="1071"/>
      <c r="FU33" s="1060"/>
      <c r="FV33" s="1079"/>
      <c r="FW33" s="1072"/>
      <c r="FX33" s="1072"/>
      <c r="FY33" s="1072"/>
      <c r="FZ33" s="1072"/>
      <c r="GA33" s="1075"/>
      <c r="GB33" s="1071"/>
      <c r="GC33" s="1060"/>
      <c r="GD33" s="1079"/>
      <c r="GE33" s="1072"/>
      <c r="GF33" s="1072"/>
      <c r="GG33" s="1072"/>
      <c r="GH33" s="1072"/>
      <c r="GI33" s="1075"/>
      <c r="GJ33" s="1071"/>
      <c r="GK33" s="1060"/>
      <c r="GL33" s="1079"/>
      <c r="GM33" s="1072"/>
      <c r="GN33" s="1072"/>
      <c r="GO33" s="1072"/>
      <c r="GP33" s="1072"/>
      <c r="GQ33" s="1075"/>
      <c r="GR33" s="1071"/>
      <c r="GS33" s="1060"/>
      <c r="GT33" s="1079"/>
      <c r="GU33" s="1072"/>
      <c r="GV33" s="1072"/>
      <c r="GW33" s="1072"/>
      <c r="GX33" s="1072"/>
      <c r="GY33" s="1075"/>
      <c r="GZ33" s="1071"/>
      <c r="HA33" s="1060"/>
      <c r="HB33" s="1079"/>
      <c r="HC33" s="1072"/>
      <c r="HD33" s="1072"/>
      <c r="HE33" s="1072"/>
      <c r="HF33" s="1072"/>
      <c r="HG33" s="1075"/>
      <c r="HH33" s="1071"/>
      <c r="HI33" s="1060"/>
      <c r="HJ33" s="1079"/>
      <c r="HK33" s="1072"/>
      <c r="HL33" s="1072"/>
      <c r="HM33" s="1072"/>
      <c r="HN33" s="1072"/>
      <c r="HO33" s="1075"/>
      <c r="HP33" s="1071"/>
      <c r="HQ33" s="1060"/>
      <c r="HR33" s="1079"/>
      <c r="HS33" s="1072"/>
      <c r="HT33" s="1072"/>
      <c r="HU33" s="1072"/>
      <c r="HV33" s="1072"/>
      <c r="HW33" s="1075"/>
      <c r="HX33" s="1071"/>
      <c r="HY33" s="1060"/>
      <c r="HZ33" s="1079"/>
      <c r="IA33" s="1072"/>
      <c r="IB33" s="1072"/>
      <c r="IC33" s="1072"/>
      <c r="ID33" s="1072"/>
      <c r="IE33" s="1075"/>
      <c r="IF33" s="1071"/>
      <c r="IG33" s="1060"/>
      <c r="IH33" s="1079"/>
      <c r="II33" s="1072"/>
      <c r="IJ33" s="1072"/>
      <c r="IK33" s="1072"/>
      <c r="IL33" s="1072"/>
      <c r="IM33" s="1075"/>
      <c r="IN33" s="1071"/>
    </row>
    <row r="34" spans="1:248">
      <c r="A34" s="1054" t="s">
        <v>1934</v>
      </c>
      <c r="B34" s="1072">
        <f>B26</f>
        <v>65.58</v>
      </c>
      <c r="C34" s="1072">
        <f>ROUND(B34*$C$7,2)</f>
        <v>3.79</v>
      </c>
      <c r="E34" s="1072">
        <f>B34+C34</f>
        <v>69.37</v>
      </c>
      <c r="G34" s="1074">
        <f t="shared" ref="G34:G35" si="2">(B34*$C$7)-C34</f>
        <v>2.8664057283012134E-3</v>
      </c>
      <c r="H34" s="1087"/>
      <c r="J34" s="1092"/>
      <c r="K34" s="1072"/>
      <c r="L34" s="1072"/>
      <c r="M34" s="1072"/>
      <c r="N34" s="1072"/>
      <c r="O34" s="1075"/>
      <c r="P34" s="1087"/>
      <c r="R34" s="1092"/>
      <c r="S34" s="1072"/>
      <c r="T34" s="1072"/>
      <c r="U34" s="1072"/>
      <c r="V34" s="1072"/>
      <c r="W34" s="1075"/>
      <c r="X34" s="1087"/>
      <c r="Z34" s="1092"/>
      <c r="AA34" s="1072"/>
      <c r="AB34" s="1072"/>
      <c r="AC34" s="1072"/>
      <c r="AD34" s="1072"/>
      <c r="AE34" s="1075"/>
      <c r="AF34" s="1087"/>
      <c r="AH34" s="1092"/>
      <c r="AI34" s="1072"/>
      <c r="AJ34" s="1072"/>
      <c r="AK34" s="1072"/>
      <c r="AL34" s="1072"/>
      <c r="AM34" s="1075"/>
      <c r="AN34" s="1087"/>
      <c r="AP34" s="1092"/>
      <c r="AQ34" s="1072"/>
      <c r="AR34" s="1072"/>
      <c r="AS34" s="1072"/>
      <c r="AT34" s="1072"/>
      <c r="AU34" s="1075"/>
      <c r="AV34" s="1087"/>
      <c r="AX34" s="1092"/>
      <c r="AY34" s="1072"/>
      <c r="AZ34" s="1072"/>
      <c r="BA34" s="1072"/>
      <c r="BB34" s="1072"/>
      <c r="BC34" s="1075"/>
      <c r="BD34" s="1087"/>
      <c r="BF34" s="1092"/>
      <c r="BG34" s="1072"/>
      <c r="BH34" s="1072"/>
      <c r="BI34" s="1072"/>
      <c r="BJ34" s="1072"/>
      <c r="BK34" s="1075"/>
      <c r="BL34" s="1087"/>
      <c r="BN34" s="1092"/>
      <c r="BO34" s="1072"/>
      <c r="BP34" s="1072"/>
      <c r="BQ34" s="1072"/>
      <c r="BR34" s="1072"/>
      <c r="BS34" s="1075"/>
      <c r="BT34" s="1087"/>
      <c r="BV34" s="1092"/>
      <c r="BW34" s="1072"/>
      <c r="BX34" s="1072"/>
      <c r="BY34" s="1072"/>
      <c r="BZ34" s="1072"/>
      <c r="CA34" s="1075"/>
      <c r="CB34" s="1087"/>
      <c r="CD34" s="1092"/>
      <c r="CE34" s="1072"/>
      <c r="CF34" s="1072"/>
      <c r="CG34" s="1072"/>
      <c r="CH34" s="1072"/>
      <c r="CI34" s="1075"/>
      <c r="CJ34" s="1087"/>
      <c r="CL34" s="1092"/>
      <c r="CM34" s="1072"/>
      <c r="CN34" s="1072"/>
      <c r="CO34" s="1072"/>
      <c r="CP34" s="1072"/>
      <c r="CQ34" s="1075"/>
      <c r="CR34" s="1087"/>
      <c r="CT34" s="1092"/>
      <c r="CU34" s="1072"/>
      <c r="CV34" s="1072"/>
      <c r="CW34" s="1072"/>
      <c r="CX34" s="1072"/>
      <c r="CY34" s="1075"/>
      <c r="CZ34" s="1087"/>
      <c r="DB34" s="1092"/>
      <c r="DC34" s="1072"/>
      <c r="DD34" s="1072"/>
      <c r="DE34" s="1072"/>
      <c r="DF34" s="1072"/>
      <c r="DG34" s="1075"/>
      <c r="DH34" s="1087"/>
      <c r="DJ34" s="1092"/>
      <c r="DK34" s="1072"/>
      <c r="DL34" s="1072"/>
      <c r="DM34" s="1072"/>
      <c r="DN34" s="1072"/>
      <c r="DO34" s="1075"/>
      <c r="DP34" s="1087"/>
      <c r="DR34" s="1092"/>
      <c r="DS34" s="1072"/>
      <c r="DT34" s="1072"/>
      <c r="DU34" s="1072"/>
      <c r="DV34" s="1072"/>
      <c r="DW34" s="1075"/>
      <c r="DX34" s="1087"/>
      <c r="DZ34" s="1092"/>
      <c r="EA34" s="1072"/>
      <c r="EB34" s="1072"/>
      <c r="EC34" s="1072"/>
      <c r="ED34" s="1072"/>
      <c r="EE34" s="1075"/>
      <c r="EF34" s="1087"/>
      <c r="EH34" s="1092"/>
      <c r="EI34" s="1072"/>
      <c r="EJ34" s="1072"/>
      <c r="EK34" s="1072"/>
      <c r="EL34" s="1072"/>
      <c r="EM34" s="1075"/>
      <c r="EN34" s="1087"/>
      <c r="EP34" s="1092"/>
      <c r="EQ34" s="1072"/>
      <c r="ER34" s="1072"/>
      <c r="ES34" s="1072"/>
      <c r="ET34" s="1072"/>
      <c r="EU34" s="1075"/>
      <c r="EV34" s="1087"/>
      <c r="EX34" s="1092"/>
      <c r="EY34" s="1072"/>
      <c r="EZ34" s="1072"/>
      <c r="FA34" s="1072"/>
      <c r="FB34" s="1072"/>
      <c r="FC34" s="1075"/>
      <c r="FD34" s="1087"/>
      <c r="FF34" s="1092"/>
      <c r="FG34" s="1072"/>
      <c r="FH34" s="1072"/>
      <c r="FI34" s="1072"/>
      <c r="FJ34" s="1072"/>
      <c r="FK34" s="1075"/>
      <c r="FL34" s="1087"/>
      <c r="FN34" s="1092"/>
      <c r="FO34" s="1072"/>
      <c r="FP34" s="1072"/>
      <c r="FQ34" s="1072"/>
      <c r="FR34" s="1072"/>
      <c r="FS34" s="1075"/>
      <c r="FT34" s="1087"/>
      <c r="FV34" s="1092"/>
      <c r="FW34" s="1072"/>
      <c r="FX34" s="1072"/>
      <c r="FY34" s="1072"/>
      <c r="FZ34" s="1072"/>
      <c r="GA34" s="1075"/>
      <c r="GB34" s="1087"/>
      <c r="GD34" s="1092"/>
      <c r="GE34" s="1072"/>
      <c r="GF34" s="1072"/>
      <c r="GG34" s="1072"/>
      <c r="GH34" s="1072"/>
      <c r="GI34" s="1075"/>
      <c r="GJ34" s="1087"/>
      <c r="GL34" s="1092"/>
      <c r="GM34" s="1072"/>
      <c r="GN34" s="1072"/>
      <c r="GO34" s="1072"/>
      <c r="GP34" s="1072"/>
      <c r="GQ34" s="1075"/>
      <c r="GR34" s="1087"/>
      <c r="GT34" s="1092"/>
      <c r="GU34" s="1072"/>
      <c r="GV34" s="1072"/>
      <c r="GW34" s="1072"/>
      <c r="GX34" s="1072"/>
      <c r="GY34" s="1075"/>
      <c r="GZ34" s="1087"/>
      <c r="HB34" s="1092"/>
      <c r="HC34" s="1072"/>
      <c r="HD34" s="1072"/>
      <c r="HE34" s="1072"/>
      <c r="HF34" s="1072"/>
      <c r="HG34" s="1075"/>
      <c r="HH34" s="1087"/>
      <c r="HJ34" s="1092"/>
      <c r="HK34" s="1072"/>
      <c r="HL34" s="1072"/>
      <c r="HM34" s="1072"/>
      <c r="HN34" s="1072"/>
      <c r="HO34" s="1075"/>
      <c r="HP34" s="1087"/>
      <c r="HR34" s="1092"/>
      <c r="HS34" s="1072"/>
      <c r="HT34" s="1072"/>
      <c r="HU34" s="1072"/>
      <c r="HV34" s="1072"/>
      <c r="HW34" s="1075"/>
      <c r="HX34" s="1087"/>
      <c r="HZ34" s="1092"/>
      <c r="IA34" s="1072"/>
      <c r="IB34" s="1072"/>
      <c r="IC34" s="1072"/>
      <c r="ID34" s="1072"/>
      <c r="IE34" s="1075"/>
      <c r="IF34" s="1087"/>
      <c r="IH34" s="1092"/>
      <c r="II34" s="1072"/>
      <c r="IJ34" s="1072"/>
      <c r="IK34" s="1072"/>
      <c r="IL34" s="1072"/>
      <c r="IM34" s="1075"/>
      <c r="IN34" s="1087"/>
    </row>
    <row r="35" spans="1:248">
      <c r="A35" s="1054" t="s">
        <v>1935</v>
      </c>
      <c r="B35" s="1072">
        <f>B27</f>
        <v>65.58</v>
      </c>
      <c r="C35" s="1072">
        <f>ROUND(B35*$C$7,2)</f>
        <v>3.79</v>
      </c>
      <c r="E35" s="1072">
        <f>B35+C35</f>
        <v>69.37</v>
      </c>
      <c r="G35" s="1074">
        <f t="shared" si="2"/>
        <v>2.8664057283012134E-3</v>
      </c>
      <c r="H35" s="1087"/>
      <c r="J35" s="1092"/>
      <c r="K35" s="1072"/>
      <c r="L35" s="1072"/>
      <c r="M35" s="1072"/>
      <c r="N35" s="1072"/>
      <c r="O35" s="1075"/>
      <c r="P35" s="1087"/>
      <c r="R35" s="1092"/>
      <c r="S35" s="1072"/>
      <c r="T35" s="1072"/>
      <c r="U35" s="1072"/>
      <c r="V35" s="1072"/>
      <c r="W35" s="1075"/>
      <c r="X35" s="1087"/>
      <c r="Z35" s="1092"/>
      <c r="AA35" s="1072"/>
      <c r="AB35" s="1072"/>
      <c r="AC35" s="1072"/>
      <c r="AD35" s="1072"/>
      <c r="AE35" s="1075"/>
      <c r="AF35" s="1087"/>
      <c r="AH35" s="1092"/>
      <c r="AI35" s="1072"/>
      <c r="AJ35" s="1072"/>
      <c r="AK35" s="1072"/>
      <c r="AL35" s="1072"/>
      <c r="AM35" s="1075"/>
      <c r="AN35" s="1087"/>
      <c r="AP35" s="1092"/>
      <c r="AQ35" s="1072"/>
      <c r="AR35" s="1072"/>
      <c r="AS35" s="1072"/>
      <c r="AT35" s="1072"/>
      <c r="AU35" s="1075"/>
      <c r="AV35" s="1087"/>
      <c r="AX35" s="1092"/>
      <c r="AY35" s="1072"/>
      <c r="AZ35" s="1072"/>
      <c r="BA35" s="1072"/>
      <c r="BB35" s="1072"/>
      <c r="BC35" s="1075"/>
      <c r="BD35" s="1087"/>
      <c r="BF35" s="1092"/>
      <c r="BG35" s="1072"/>
      <c r="BH35" s="1072"/>
      <c r="BI35" s="1072"/>
      <c r="BJ35" s="1072"/>
      <c r="BK35" s="1075"/>
      <c r="BL35" s="1087"/>
      <c r="BN35" s="1092"/>
      <c r="BO35" s="1072"/>
      <c r="BP35" s="1072"/>
      <c r="BQ35" s="1072"/>
      <c r="BR35" s="1072"/>
      <c r="BS35" s="1075"/>
      <c r="BT35" s="1087"/>
      <c r="BV35" s="1092"/>
      <c r="BW35" s="1072"/>
      <c r="BX35" s="1072"/>
      <c r="BY35" s="1072"/>
      <c r="BZ35" s="1072"/>
      <c r="CA35" s="1075"/>
      <c r="CB35" s="1087"/>
      <c r="CD35" s="1092"/>
      <c r="CE35" s="1072"/>
      <c r="CF35" s="1072"/>
      <c r="CG35" s="1072"/>
      <c r="CH35" s="1072"/>
      <c r="CI35" s="1075"/>
      <c r="CJ35" s="1087"/>
      <c r="CL35" s="1092"/>
      <c r="CM35" s="1072"/>
      <c r="CN35" s="1072"/>
      <c r="CO35" s="1072"/>
      <c r="CP35" s="1072"/>
      <c r="CQ35" s="1075"/>
      <c r="CR35" s="1087"/>
      <c r="CT35" s="1092"/>
      <c r="CU35" s="1072"/>
      <c r="CV35" s="1072"/>
      <c r="CW35" s="1072"/>
      <c r="CX35" s="1072"/>
      <c r="CY35" s="1075"/>
      <c r="CZ35" s="1087"/>
      <c r="DB35" s="1092"/>
      <c r="DC35" s="1072"/>
      <c r="DD35" s="1072"/>
      <c r="DE35" s="1072"/>
      <c r="DF35" s="1072"/>
      <c r="DG35" s="1075"/>
      <c r="DH35" s="1087"/>
      <c r="DJ35" s="1092"/>
      <c r="DK35" s="1072"/>
      <c r="DL35" s="1072"/>
      <c r="DM35" s="1072"/>
      <c r="DN35" s="1072"/>
      <c r="DO35" s="1075"/>
      <c r="DP35" s="1087"/>
      <c r="DR35" s="1092"/>
      <c r="DS35" s="1072"/>
      <c r="DT35" s="1072"/>
      <c r="DU35" s="1072"/>
      <c r="DV35" s="1072"/>
      <c r="DW35" s="1075"/>
      <c r="DX35" s="1087"/>
      <c r="DZ35" s="1092"/>
      <c r="EA35" s="1072"/>
      <c r="EB35" s="1072"/>
      <c r="EC35" s="1072"/>
      <c r="ED35" s="1072"/>
      <c r="EE35" s="1075"/>
      <c r="EF35" s="1087"/>
      <c r="EH35" s="1092"/>
      <c r="EI35" s="1072"/>
      <c r="EJ35" s="1072"/>
      <c r="EK35" s="1072"/>
      <c r="EL35" s="1072"/>
      <c r="EM35" s="1075"/>
      <c r="EN35" s="1087"/>
      <c r="EP35" s="1092"/>
      <c r="EQ35" s="1072"/>
      <c r="ER35" s="1072"/>
      <c r="ES35" s="1072"/>
      <c r="ET35" s="1072"/>
      <c r="EU35" s="1075"/>
      <c r="EV35" s="1087"/>
      <c r="EX35" s="1092"/>
      <c r="EY35" s="1072"/>
      <c r="EZ35" s="1072"/>
      <c r="FA35" s="1072"/>
      <c r="FB35" s="1072"/>
      <c r="FC35" s="1075"/>
      <c r="FD35" s="1087"/>
      <c r="FF35" s="1092"/>
      <c r="FG35" s="1072"/>
      <c r="FH35" s="1072"/>
      <c r="FI35" s="1072"/>
      <c r="FJ35" s="1072"/>
      <c r="FK35" s="1075"/>
      <c r="FL35" s="1087"/>
      <c r="FN35" s="1092"/>
      <c r="FO35" s="1072"/>
      <c r="FP35" s="1072"/>
      <c r="FQ35" s="1072"/>
      <c r="FR35" s="1072"/>
      <c r="FS35" s="1075"/>
      <c r="FT35" s="1087"/>
      <c r="FV35" s="1092"/>
      <c r="FW35" s="1072"/>
      <c r="FX35" s="1072"/>
      <c r="FY35" s="1072"/>
      <c r="FZ35" s="1072"/>
      <c r="GA35" s="1075"/>
      <c r="GB35" s="1087"/>
      <c r="GD35" s="1092"/>
      <c r="GE35" s="1072"/>
      <c r="GF35" s="1072"/>
      <c r="GG35" s="1072"/>
      <c r="GH35" s="1072"/>
      <c r="GI35" s="1075"/>
      <c r="GJ35" s="1087"/>
      <c r="GL35" s="1092"/>
      <c r="GM35" s="1072"/>
      <c r="GN35" s="1072"/>
      <c r="GO35" s="1072"/>
      <c r="GP35" s="1072"/>
      <c r="GQ35" s="1075"/>
      <c r="GR35" s="1087"/>
      <c r="GT35" s="1092"/>
      <c r="GU35" s="1072"/>
      <c r="GV35" s="1072"/>
      <c r="GW35" s="1072"/>
      <c r="GX35" s="1072"/>
      <c r="GY35" s="1075"/>
      <c r="GZ35" s="1087"/>
      <c r="HB35" s="1092"/>
      <c r="HC35" s="1072"/>
      <c r="HD35" s="1072"/>
      <c r="HE35" s="1072"/>
      <c r="HF35" s="1072"/>
      <c r="HG35" s="1075"/>
      <c r="HH35" s="1087"/>
      <c r="HJ35" s="1092"/>
      <c r="HK35" s="1072"/>
      <c r="HL35" s="1072"/>
      <c r="HM35" s="1072"/>
      <c r="HN35" s="1072"/>
      <c r="HO35" s="1075"/>
      <c r="HP35" s="1087"/>
      <c r="HR35" s="1092"/>
      <c r="HS35" s="1072"/>
      <c r="HT35" s="1072"/>
      <c r="HU35" s="1072"/>
      <c r="HV35" s="1072"/>
      <c r="HW35" s="1075"/>
      <c r="HX35" s="1087"/>
      <c r="HZ35" s="1092"/>
      <c r="IA35" s="1072"/>
      <c r="IB35" s="1072"/>
      <c r="IC35" s="1072"/>
      <c r="ID35" s="1072"/>
      <c r="IE35" s="1075"/>
      <c r="IF35" s="1087"/>
      <c r="IH35" s="1092"/>
      <c r="II35" s="1072"/>
      <c r="IJ35" s="1072"/>
      <c r="IK35" s="1072"/>
      <c r="IL35" s="1072"/>
      <c r="IM35" s="1075"/>
      <c r="IN35" s="1087"/>
    </row>
    <row r="36" spans="1:248">
      <c r="G36" s="1054"/>
      <c r="H36" s="1071"/>
      <c r="J36" s="1079"/>
      <c r="K36" s="1072"/>
      <c r="L36" s="1072"/>
      <c r="M36" s="1072"/>
      <c r="N36" s="1072"/>
      <c r="O36" s="1075"/>
      <c r="P36" s="1071"/>
      <c r="R36" s="1079"/>
      <c r="S36" s="1072"/>
      <c r="T36" s="1072"/>
      <c r="U36" s="1072"/>
      <c r="V36" s="1072"/>
      <c r="W36" s="1075"/>
      <c r="X36" s="1071"/>
      <c r="Z36" s="1079"/>
      <c r="AA36" s="1072"/>
      <c r="AB36" s="1072"/>
      <c r="AC36" s="1072"/>
      <c r="AD36" s="1072"/>
      <c r="AE36" s="1075"/>
      <c r="AF36" s="1071"/>
      <c r="AH36" s="1079"/>
      <c r="AI36" s="1072"/>
      <c r="AJ36" s="1072"/>
      <c r="AK36" s="1072"/>
      <c r="AL36" s="1072"/>
      <c r="AM36" s="1075"/>
      <c r="AN36" s="1071"/>
      <c r="AP36" s="1079"/>
      <c r="AQ36" s="1072"/>
      <c r="AR36" s="1072"/>
      <c r="AS36" s="1072"/>
      <c r="AT36" s="1072"/>
      <c r="AU36" s="1075"/>
      <c r="AV36" s="1071"/>
      <c r="AX36" s="1079"/>
      <c r="AY36" s="1072"/>
      <c r="AZ36" s="1072"/>
      <c r="BA36" s="1072"/>
      <c r="BB36" s="1072"/>
      <c r="BC36" s="1075"/>
      <c r="BD36" s="1071"/>
      <c r="BF36" s="1079"/>
      <c r="BG36" s="1072"/>
      <c r="BH36" s="1072"/>
      <c r="BI36" s="1072"/>
      <c r="BJ36" s="1072"/>
      <c r="BK36" s="1075"/>
      <c r="BL36" s="1071"/>
      <c r="BN36" s="1079"/>
      <c r="BO36" s="1072"/>
      <c r="BP36" s="1072"/>
      <c r="BQ36" s="1072"/>
      <c r="BR36" s="1072"/>
      <c r="BS36" s="1075"/>
      <c r="BT36" s="1071"/>
      <c r="BV36" s="1079"/>
      <c r="BW36" s="1072"/>
      <c r="BX36" s="1072"/>
      <c r="BY36" s="1072"/>
      <c r="BZ36" s="1072"/>
      <c r="CA36" s="1075"/>
      <c r="CB36" s="1071"/>
      <c r="CD36" s="1079"/>
      <c r="CE36" s="1072"/>
      <c r="CF36" s="1072"/>
      <c r="CG36" s="1072"/>
      <c r="CH36" s="1072"/>
      <c r="CI36" s="1075"/>
      <c r="CJ36" s="1071"/>
      <c r="CL36" s="1079"/>
      <c r="CM36" s="1072"/>
      <c r="CN36" s="1072"/>
      <c r="CO36" s="1072"/>
      <c r="CP36" s="1072"/>
      <c r="CQ36" s="1075"/>
      <c r="CR36" s="1071"/>
      <c r="CT36" s="1079"/>
      <c r="CU36" s="1072"/>
      <c r="CV36" s="1072"/>
      <c r="CW36" s="1072"/>
      <c r="CX36" s="1072"/>
      <c r="CY36" s="1075"/>
      <c r="CZ36" s="1071"/>
      <c r="DB36" s="1079"/>
      <c r="DC36" s="1072"/>
      <c r="DD36" s="1072"/>
      <c r="DE36" s="1072"/>
      <c r="DF36" s="1072"/>
      <c r="DG36" s="1075"/>
      <c r="DH36" s="1071"/>
      <c r="DJ36" s="1079"/>
      <c r="DK36" s="1072"/>
      <c r="DL36" s="1072"/>
      <c r="DM36" s="1072"/>
      <c r="DN36" s="1072"/>
      <c r="DO36" s="1075"/>
      <c r="DP36" s="1071"/>
      <c r="DR36" s="1079"/>
      <c r="DS36" s="1072"/>
      <c r="DT36" s="1072"/>
      <c r="DU36" s="1072"/>
      <c r="DV36" s="1072"/>
      <c r="DW36" s="1075"/>
      <c r="DX36" s="1071"/>
      <c r="DZ36" s="1079"/>
      <c r="EA36" s="1072"/>
      <c r="EB36" s="1072"/>
      <c r="EC36" s="1072"/>
      <c r="ED36" s="1072"/>
      <c r="EE36" s="1075"/>
      <c r="EF36" s="1071"/>
      <c r="EH36" s="1079"/>
      <c r="EI36" s="1072"/>
      <c r="EJ36" s="1072"/>
      <c r="EK36" s="1072"/>
      <c r="EL36" s="1072"/>
      <c r="EM36" s="1075"/>
      <c r="EN36" s="1071"/>
      <c r="EP36" s="1079"/>
      <c r="EQ36" s="1072"/>
      <c r="ER36" s="1072"/>
      <c r="ES36" s="1072"/>
      <c r="ET36" s="1072"/>
      <c r="EU36" s="1075"/>
      <c r="EV36" s="1071"/>
      <c r="EX36" s="1079"/>
      <c r="EY36" s="1072"/>
      <c r="EZ36" s="1072"/>
      <c r="FA36" s="1072"/>
      <c r="FB36" s="1072"/>
      <c r="FC36" s="1075"/>
      <c r="FD36" s="1071"/>
      <c r="FF36" s="1079"/>
      <c r="FG36" s="1072"/>
      <c r="FH36" s="1072"/>
      <c r="FI36" s="1072"/>
      <c r="FJ36" s="1072"/>
      <c r="FK36" s="1075"/>
      <c r="FL36" s="1071"/>
      <c r="FN36" s="1079"/>
      <c r="FO36" s="1072"/>
      <c r="FP36" s="1072"/>
      <c r="FQ36" s="1072"/>
      <c r="FR36" s="1072"/>
      <c r="FS36" s="1075"/>
      <c r="FT36" s="1071"/>
      <c r="FV36" s="1079"/>
      <c r="FW36" s="1072"/>
      <c r="FX36" s="1072"/>
      <c r="FY36" s="1072"/>
      <c r="FZ36" s="1072"/>
      <c r="GA36" s="1075"/>
      <c r="GB36" s="1071"/>
      <c r="GD36" s="1079"/>
      <c r="GE36" s="1072"/>
      <c r="GF36" s="1072"/>
      <c r="GG36" s="1072"/>
      <c r="GH36" s="1072"/>
      <c r="GI36" s="1075"/>
      <c r="GJ36" s="1071"/>
      <c r="GL36" s="1079"/>
      <c r="GM36" s="1072"/>
      <c r="GN36" s="1072"/>
      <c r="GO36" s="1072"/>
      <c r="GP36" s="1072"/>
      <c r="GQ36" s="1075"/>
      <c r="GR36" s="1071"/>
      <c r="GT36" s="1079"/>
      <c r="GU36" s="1072"/>
      <c r="GV36" s="1072"/>
      <c r="GW36" s="1072"/>
      <c r="GX36" s="1072"/>
      <c r="GY36" s="1075"/>
      <c r="GZ36" s="1071"/>
      <c r="HB36" s="1079"/>
      <c r="HC36" s="1072"/>
      <c r="HD36" s="1072"/>
      <c r="HE36" s="1072"/>
      <c r="HF36" s="1072"/>
      <c r="HG36" s="1075"/>
      <c r="HH36" s="1071"/>
      <c r="HJ36" s="1079"/>
      <c r="HK36" s="1072"/>
      <c r="HL36" s="1072"/>
      <c r="HM36" s="1072"/>
      <c r="HN36" s="1072"/>
      <c r="HO36" s="1075"/>
      <c r="HP36" s="1071"/>
      <c r="HR36" s="1079"/>
      <c r="HS36" s="1072"/>
      <c r="HT36" s="1072"/>
      <c r="HU36" s="1072"/>
      <c r="HV36" s="1072"/>
      <c r="HW36" s="1075"/>
      <c r="HX36" s="1071"/>
      <c r="HZ36" s="1079"/>
      <c r="IA36" s="1072"/>
      <c r="IB36" s="1072"/>
      <c r="IC36" s="1072"/>
      <c r="ID36" s="1072"/>
      <c r="IE36" s="1075"/>
      <c r="IF36" s="1071"/>
      <c r="IH36" s="1079"/>
      <c r="II36" s="1072"/>
      <c r="IJ36" s="1072"/>
      <c r="IK36" s="1072"/>
      <c r="IL36" s="1072"/>
      <c r="IM36" s="1075"/>
      <c r="IN36" s="1071"/>
    </row>
    <row r="37" spans="1:248">
      <c r="A37" s="1069" t="s">
        <v>1920</v>
      </c>
      <c r="G37" s="1054"/>
      <c r="H37" s="1071"/>
      <c r="J37" s="1079"/>
      <c r="K37" s="1072"/>
      <c r="L37" s="1072"/>
      <c r="M37" s="1072"/>
      <c r="N37" s="1072"/>
      <c r="O37" s="1075"/>
      <c r="P37" s="1071"/>
      <c r="R37" s="1079"/>
      <c r="S37" s="1072"/>
      <c r="T37" s="1072"/>
      <c r="U37" s="1072"/>
      <c r="V37" s="1072"/>
      <c r="W37" s="1075"/>
      <c r="X37" s="1071"/>
      <c r="Z37" s="1079"/>
      <c r="AA37" s="1072"/>
      <c r="AB37" s="1072"/>
      <c r="AC37" s="1072"/>
      <c r="AD37" s="1072"/>
      <c r="AE37" s="1075"/>
      <c r="AF37" s="1071"/>
      <c r="AH37" s="1079"/>
      <c r="AI37" s="1072"/>
      <c r="AJ37" s="1072"/>
      <c r="AK37" s="1072"/>
      <c r="AL37" s="1072"/>
      <c r="AM37" s="1075"/>
      <c r="AN37" s="1071"/>
      <c r="AP37" s="1079"/>
      <c r="AQ37" s="1072"/>
      <c r="AR37" s="1072"/>
      <c r="AS37" s="1072"/>
      <c r="AT37" s="1072"/>
      <c r="AU37" s="1075"/>
      <c r="AV37" s="1071"/>
      <c r="AX37" s="1079"/>
      <c r="AY37" s="1072"/>
      <c r="AZ37" s="1072"/>
      <c r="BA37" s="1072"/>
      <c r="BB37" s="1072"/>
      <c r="BC37" s="1075"/>
      <c r="BD37" s="1071"/>
      <c r="BF37" s="1079"/>
      <c r="BG37" s="1072"/>
      <c r="BH37" s="1072"/>
      <c r="BI37" s="1072"/>
      <c r="BJ37" s="1072"/>
      <c r="BK37" s="1075"/>
      <c r="BL37" s="1071"/>
      <c r="BN37" s="1079"/>
      <c r="BO37" s="1072"/>
      <c r="BP37" s="1072"/>
      <c r="BQ37" s="1072"/>
      <c r="BR37" s="1072"/>
      <c r="BS37" s="1075"/>
      <c r="BT37" s="1071"/>
      <c r="BV37" s="1079"/>
      <c r="BW37" s="1072"/>
      <c r="BX37" s="1072"/>
      <c r="BY37" s="1072"/>
      <c r="BZ37" s="1072"/>
      <c r="CA37" s="1075"/>
      <c r="CB37" s="1071"/>
      <c r="CD37" s="1079"/>
      <c r="CE37" s="1072"/>
      <c r="CF37" s="1072"/>
      <c r="CG37" s="1072"/>
      <c r="CH37" s="1072"/>
      <c r="CI37" s="1075"/>
      <c r="CJ37" s="1071"/>
      <c r="CL37" s="1079"/>
      <c r="CM37" s="1072"/>
      <c r="CN37" s="1072"/>
      <c r="CO37" s="1072"/>
      <c r="CP37" s="1072"/>
      <c r="CQ37" s="1075"/>
      <c r="CR37" s="1071"/>
      <c r="CT37" s="1079"/>
      <c r="CU37" s="1072"/>
      <c r="CV37" s="1072"/>
      <c r="CW37" s="1072"/>
      <c r="CX37" s="1072"/>
      <c r="CY37" s="1075"/>
      <c r="CZ37" s="1071"/>
      <c r="DB37" s="1079"/>
      <c r="DC37" s="1072"/>
      <c r="DD37" s="1072"/>
      <c r="DE37" s="1072"/>
      <c r="DF37" s="1072"/>
      <c r="DG37" s="1075"/>
      <c r="DH37" s="1071"/>
      <c r="DJ37" s="1079"/>
      <c r="DK37" s="1072"/>
      <c r="DL37" s="1072"/>
      <c r="DM37" s="1072"/>
      <c r="DN37" s="1072"/>
      <c r="DO37" s="1075"/>
      <c r="DP37" s="1071"/>
      <c r="DR37" s="1079"/>
      <c r="DS37" s="1072"/>
      <c r="DT37" s="1072"/>
      <c r="DU37" s="1072"/>
      <c r="DV37" s="1072"/>
      <c r="DW37" s="1075"/>
      <c r="DX37" s="1071"/>
      <c r="DZ37" s="1079"/>
      <c r="EA37" s="1072"/>
      <c r="EB37" s="1072"/>
      <c r="EC37" s="1072"/>
      <c r="ED37" s="1072"/>
      <c r="EE37" s="1075"/>
      <c r="EF37" s="1071"/>
      <c r="EH37" s="1079"/>
      <c r="EI37" s="1072"/>
      <c r="EJ37" s="1072"/>
      <c r="EK37" s="1072"/>
      <c r="EL37" s="1072"/>
      <c r="EM37" s="1075"/>
      <c r="EN37" s="1071"/>
      <c r="EP37" s="1079"/>
      <c r="EQ37" s="1072"/>
      <c r="ER37" s="1072"/>
      <c r="ES37" s="1072"/>
      <c r="ET37" s="1072"/>
      <c r="EU37" s="1075"/>
      <c r="EV37" s="1071"/>
      <c r="EX37" s="1079"/>
      <c r="EY37" s="1072"/>
      <c r="EZ37" s="1072"/>
      <c r="FA37" s="1072"/>
      <c r="FB37" s="1072"/>
      <c r="FC37" s="1075"/>
      <c r="FD37" s="1071"/>
      <c r="FF37" s="1079"/>
      <c r="FG37" s="1072"/>
      <c r="FH37" s="1072"/>
      <c r="FI37" s="1072"/>
      <c r="FJ37" s="1072"/>
      <c r="FK37" s="1075"/>
      <c r="FL37" s="1071"/>
      <c r="FN37" s="1079"/>
      <c r="FO37" s="1072"/>
      <c r="FP37" s="1072"/>
      <c r="FQ37" s="1072"/>
      <c r="FR37" s="1072"/>
      <c r="FS37" s="1075"/>
      <c r="FT37" s="1071"/>
      <c r="FV37" s="1079"/>
      <c r="FW37" s="1072"/>
      <c r="FX37" s="1072"/>
      <c r="FY37" s="1072"/>
      <c r="FZ37" s="1072"/>
      <c r="GA37" s="1075"/>
      <c r="GB37" s="1071"/>
      <c r="GD37" s="1079"/>
      <c r="GE37" s="1072"/>
      <c r="GF37" s="1072"/>
      <c r="GG37" s="1072"/>
      <c r="GH37" s="1072"/>
      <c r="GI37" s="1075"/>
      <c r="GJ37" s="1071"/>
      <c r="GL37" s="1079"/>
      <c r="GM37" s="1072"/>
      <c r="GN37" s="1072"/>
      <c r="GO37" s="1072"/>
      <c r="GP37" s="1072"/>
      <c r="GQ37" s="1075"/>
      <c r="GR37" s="1071"/>
      <c r="GT37" s="1079"/>
      <c r="GU37" s="1072"/>
      <c r="GV37" s="1072"/>
      <c r="GW37" s="1072"/>
      <c r="GX37" s="1072"/>
      <c r="GY37" s="1075"/>
      <c r="GZ37" s="1071"/>
      <c r="HB37" s="1079"/>
      <c r="HC37" s="1072"/>
      <c r="HD37" s="1072"/>
      <c r="HE37" s="1072"/>
      <c r="HF37" s="1072"/>
      <c r="HG37" s="1075"/>
      <c r="HH37" s="1071"/>
      <c r="HJ37" s="1079"/>
      <c r="HK37" s="1072"/>
      <c r="HL37" s="1072"/>
      <c r="HM37" s="1072"/>
      <c r="HN37" s="1072"/>
      <c r="HO37" s="1075"/>
      <c r="HP37" s="1071"/>
      <c r="HR37" s="1079"/>
      <c r="HS37" s="1072"/>
      <c r="HT37" s="1072"/>
      <c r="HU37" s="1072"/>
      <c r="HV37" s="1072"/>
      <c r="HW37" s="1075"/>
      <c r="HX37" s="1071"/>
      <c r="HZ37" s="1079"/>
      <c r="IA37" s="1072"/>
      <c r="IB37" s="1072"/>
      <c r="IC37" s="1072"/>
      <c r="ID37" s="1072"/>
      <c r="IE37" s="1075"/>
      <c r="IF37" s="1071"/>
      <c r="IH37" s="1079"/>
      <c r="II37" s="1072"/>
      <c r="IJ37" s="1072"/>
      <c r="IK37" s="1072"/>
      <c r="IL37" s="1072"/>
      <c r="IM37" s="1075"/>
      <c r="IN37" s="1071"/>
    </row>
    <row r="38" spans="1:248">
      <c r="A38" s="1057" t="s">
        <v>2037</v>
      </c>
      <c r="G38" s="1054"/>
      <c r="I38" s="1093"/>
    </row>
    <row r="39" spans="1:248">
      <c r="A39" s="1057" t="s">
        <v>1937</v>
      </c>
      <c r="G39" s="1054"/>
    </row>
    <row r="40" spans="1:248">
      <c r="A40" s="1054" t="s">
        <v>1938</v>
      </c>
      <c r="B40" s="1072">
        <v>8.0299999999999994</v>
      </c>
      <c r="C40" s="1072">
        <f>'Spokane Reg - Price out'!Q27</f>
        <v>0.46442081790177275</v>
      </c>
      <c r="E40" s="1072">
        <f t="shared" ref="E40:E42" si="3">B40+C40</f>
        <v>8.4944208179017728</v>
      </c>
      <c r="G40" s="1074">
        <f t="shared" ref="G40:G42" si="4">(B40*$C$7)-C40</f>
        <v>0</v>
      </c>
    </row>
    <row r="41" spans="1:248">
      <c r="A41" s="1054" t="s">
        <v>15</v>
      </c>
      <c r="B41" s="1072">
        <v>45</v>
      </c>
      <c r="C41" s="1072">
        <f t="shared" ref="C41" si="5">ROUND(B41*$C$7,2)</f>
        <v>2.6</v>
      </c>
      <c r="E41" s="1072">
        <f t="shared" si="3"/>
        <v>47.6</v>
      </c>
      <c r="G41" s="1074">
        <f t="shared" si="4"/>
        <v>2.6073232353391873E-3</v>
      </c>
    </row>
    <row r="42" spans="1:248">
      <c r="A42" s="1054" t="s">
        <v>726</v>
      </c>
      <c r="B42" s="1072">
        <v>38.26</v>
      </c>
      <c r="C42" s="1072">
        <f>'Whitman Reg - Price Out'!O120</f>
        <v>2.2127945819329797</v>
      </c>
      <c r="E42" s="1072">
        <f t="shared" si="3"/>
        <v>40.47279458193298</v>
      </c>
      <c r="G42" s="1074">
        <f t="shared" si="4"/>
        <v>0</v>
      </c>
    </row>
    <row r="43" spans="1:248">
      <c r="G43" s="1054"/>
    </row>
    <row r="44" spans="1:248">
      <c r="A44" s="1069" t="s">
        <v>1920</v>
      </c>
      <c r="G44" s="1054"/>
    </row>
    <row r="45" spans="1:248">
      <c r="A45" s="1057" t="s">
        <v>2038</v>
      </c>
      <c r="G45" s="1054"/>
    </row>
    <row r="46" spans="1:248">
      <c r="A46" s="1057" t="s">
        <v>1939</v>
      </c>
      <c r="G46" s="1054"/>
    </row>
    <row r="47" spans="1:248">
      <c r="A47" s="1054" t="s">
        <v>1940</v>
      </c>
      <c r="B47" s="1072">
        <v>0.8</v>
      </c>
      <c r="C47" s="1072">
        <f>'Whitman Reg - Price Out'!R30</f>
        <v>0.05</v>
      </c>
      <c r="E47" s="1072">
        <f>B47+C47</f>
        <v>0.85000000000000009</v>
      </c>
      <c r="G47" s="1074">
        <f t="shared" ref="G47:G48" si="6">(B47*$C$7)-C47</f>
        <v>-3.7314253647050752E-3</v>
      </c>
    </row>
    <row r="48" spans="1:248">
      <c r="A48" s="1054" t="s">
        <v>1941</v>
      </c>
      <c r="B48" s="1072">
        <v>0.49</v>
      </c>
      <c r="C48" s="1072">
        <f>ROUND(B48*$C$7,2)</f>
        <v>0.03</v>
      </c>
      <c r="E48" s="1072">
        <f>B48+C48</f>
        <v>0.52</v>
      </c>
      <c r="G48" s="1074">
        <f t="shared" si="6"/>
        <v>-1.6604980358818598E-3</v>
      </c>
    </row>
    <row r="49" spans="1:7">
      <c r="G49" s="1054"/>
    </row>
    <row r="50" spans="1:7">
      <c r="A50" s="1054" t="s">
        <v>1940</v>
      </c>
      <c r="B50" s="1072">
        <f>B47</f>
        <v>0.8</v>
      </c>
      <c r="C50" s="1072">
        <f>C47</f>
        <v>0.05</v>
      </c>
      <c r="E50" s="1072">
        <f>B50+C50</f>
        <v>0.85000000000000009</v>
      </c>
      <c r="G50" s="1074">
        <f t="shared" ref="G50:G51" si="7">(B50*$C$7)-C50</f>
        <v>-3.7314253647050752E-3</v>
      </c>
    </row>
    <row r="51" spans="1:7">
      <c r="A51" s="1054" t="s">
        <v>1941</v>
      </c>
      <c r="B51" s="1072">
        <f>B48</f>
        <v>0.49</v>
      </c>
      <c r="C51" s="1072">
        <f>ROUND(B51*$C$7,2)</f>
        <v>0.03</v>
      </c>
      <c r="E51" s="1072">
        <f>B51+C51</f>
        <v>0.52</v>
      </c>
      <c r="G51" s="1074">
        <f t="shared" si="7"/>
        <v>-1.6604980358818598E-3</v>
      </c>
    </row>
    <row r="52" spans="1:7">
      <c r="G52" s="1054"/>
    </row>
    <row r="53" spans="1:7">
      <c r="A53" s="1057" t="s">
        <v>1942</v>
      </c>
      <c r="G53" s="1054"/>
    </row>
    <row r="54" spans="1:7">
      <c r="A54" s="1054" t="s">
        <v>1943</v>
      </c>
      <c r="B54" s="1072">
        <v>1.53</v>
      </c>
      <c r="C54" s="1072">
        <f>'Whitman Reg - Price Out'!R31</f>
        <v>0.09</v>
      </c>
      <c r="E54" s="1072">
        <f>B54+C54</f>
        <v>1.62</v>
      </c>
      <c r="G54" s="1074">
        <f t="shared" ref="G54:G55" si="8">(B54*$C$7)-C54</f>
        <v>-1.5113510099984545E-3</v>
      </c>
    </row>
    <row r="55" spans="1:7">
      <c r="A55" s="1054" t="s">
        <v>1944</v>
      </c>
      <c r="B55" s="1072">
        <v>0.98</v>
      </c>
      <c r="C55" s="1072">
        <f>ROUND(B55*$C$7,2)</f>
        <v>0.06</v>
      </c>
      <c r="E55" s="1072">
        <f>B55+C55</f>
        <v>1.04</v>
      </c>
      <c r="G55" s="1074">
        <f t="shared" si="8"/>
        <v>-3.3209960717637196E-3</v>
      </c>
    </row>
    <row r="56" spans="1:7">
      <c r="G56" s="1054"/>
    </row>
    <row r="57" spans="1:7">
      <c r="A57" s="1054" t="s">
        <v>1943</v>
      </c>
      <c r="B57" s="1072">
        <f>B54</f>
        <v>1.53</v>
      </c>
      <c r="C57" s="1072">
        <f>C54</f>
        <v>0.09</v>
      </c>
      <c r="E57" s="1072">
        <f>B57+C57</f>
        <v>1.62</v>
      </c>
      <c r="G57" s="1074">
        <f t="shared" ref="G57:G58" si="9">(B57*$C$7)-C57</f>
        <v>-1.5113510099984545E-3</v>
      </c>
    </row>
    <row r="58" spans="1:7">
      <c r="A58" s="1054" t="s">
        <v>1944</v>
      </c>
      <c r="B58" s="1072">
        <f>B55</f>
        <v>0.98</v>
      </c>
      <c r="C58" s="1072">
        <f>ROUND(B58*$C$7,2)</f>
        <v>0.06</v>
      </c>
      <c r="E58" s="1072">
        <f>B58+C58</f>
        <v>1.04</v>
      </c>
      <c r="G58" s="1074">
        <f t="shared" si="9"/>
        <v>-3.3209960717637196E-3</v>
      </c>
    </row>
    <row r="59" spans="1:7">
      <c r="G59" s="1054"/>
    </row>
    <row r="60" spans="1:7">
      <c r="A60" s="1069" t="s">
        <v>1920</v>
      </c>
      <c r="G60" s="1054"/>
    </row>
    <row r="61" spans="1:7">
      <c r="A61" s="1057" t="s">
        <v>2039</v>
      </c>
      <c r="G61" s="1054"/>
    </row>
    <row r="62" spans="1:7">
      <c r="A62" s="1054" t="s">
        <v>1945</v>
      </c>
      <c r="B62" s="1072">
        <v>0.33</v>
      </c>
      <c r="C62" s="1072">
        <f>ROUND(B62*$C$7,2)</f>
        <v>0.02</v>
      </c>
      <c r="E62" s="1072">
        <f>B62+C62</f>
        <v>0.35000000000000003</v>
      </c>
      <c r="G62" s="1074">
        <f t="shared" ref="G62:G64" si="10">(B62*$C$7)-C62</f>
        <v>-9.142129629408427E-4</v>
      </c>
    </row>
    <row r="63" spans="1:7">
      <c r="A63" s="1054" t="s">
        <v>1946</v>
      </c>
      <c r="B63" s="1072">
        <f>B62</f>
        <v>0.33</v>
      </c>
      <c r="C63" s="1072">
        <f>ROUND(B63*$C$7,2)</f>
        <v>0.02</v>
      </c>
      <c r="E63" s="1072">
        <f>B63+C63</f>
        <v>0.35000000000000003</v>
      </c>
      <c r="G63" s="1074">
        <f t="shared" si="10"/>
        <v>-9.142129629408427E-4</v>
      </c>
    </row>
    <row r="64" spans="1:7">
      <c r="A64" s="1054" t="s">
        <v>1947</v>
      </c>
      <c r="B64" s="1072">
        <f>B62</f>
        <v>0.33</v>
      </c>
      <c r="C64" s="1072">
        <f>ROUND(B64*$C$7,2)</f>
        <v>0.02</v>
      </c>
      <c r="E64" s="1072">
        <f>B64+C64</f>
        <v>0.35000000000000003</v>
      </c>
      <c r="G64" s="1074">
        <f t="shared" si="10"/>
        <v>-9.142129629408427E-4</v>
      </c>
    </row>
    <row r="65" spans="1:7">
      <c r="G65" s="1054"/>
    </row>
    <row r="66" spans="1:7">
      <c r="A66" s="1054" t="s">
        <v>1945</v>
      </c>
      <c r="B66" s="1072">
        <f>B62</f>
        <v>0.33</v>
      </c>
      <c r="C66" s="1072">
        <f>ROUND(B66*$C$7,2)</f>
        <v>0.02</v>
      </c>
      <c r="E66" s="1072">
        <f>B66+C66</f>
        <v>0.35000000000000003</v>
      </c>
      <c r="G66" s="1074">
        <f t="shared" ref="G66:G68" si="11">(B66*$C$7)-C66</f>
        <v>-9.142129629408427E-4</v>
      </c>
    </row>
    <row r="67" spans="1:7">
      <c r="A67" s="1054" t="s">
        <v>1946</v>
      </c>
      <c r="B67" s="1072">
        <f>B62</f>
        <v>0.33</v>
      </c>
      <c r="C67" s="1072">
        <f>ROUND(B67*$C$7,2)</f>
        <v>0.02</v>
      </c>
      <c r="E67" s="1072">
        <f>B67+C67</f>
        <v>0.35000000000000003</v>
      </c>
      <c r="G67" s="1074">
        <f t="shared" si="11"/>
        <v>-9.142129629408427E-4</v>
      </c>
    </row>
    <row r="68" spans="1:7">
      <c r="A68" s="1054" t="s">
        <v>1947</v>
      </c>
      <c r="B68" s="1072">
        <f>B62</f>
        <v>0.33</v>
      </c>
      <c r="C68" s="1072">
        <f>ROUND(B68*$C$7,2)</f>
        <v>0.02</v>
      </c>
      <c r="E68" s="1072">
        <f>B68+C68</f>
        <v>0.35000000000000003</v>
      </c>
      <c r="G68" s="1074">
        <f t="shared" si="11"/>
        <v>-9.142129629408427E-4</v>
      </c>
    </row>
    <row r="69" spans="1:7">
      <c r="G69" s="1054"/>
    </row>
    <row r="70" spans="1:7">
      <c r="A70" s="1077" t="s">
        <v>1932</v>
      </c>
      <c r="G70" s="1054"/>
    </row>
    <row r="71" spans="1:7">
      <c r="A71" s="1057" t="s">
        <v>2040</v>
      </c>
      <c r="G71" s="1054"/>
    </row>
    <row r="72" spans="1:7">
      <c r="A72" s="1054" t="s">
        <v>1948</v>
      </c>
      <c r="B72" s="1072">
        <v>13.43</v>
      </c>
      <c r="C72" s="1072">
        <f>'Whitman Reg - Price Out'!O12</f>
        <v>0.77673369669001346</v>
      </c>
      <c r="E72" s="1072">
        <f>B72+C72</f>
        <v>14.206733696690014</v>
      </c>
      <c r="G72" s="1074">
        <f t="shared" ref="G72:G81" si="12">(B72*$C$7)-C72</f>
        <v>0</v>
      </c>
    </row>
    <row r="73" spans="1:7">
      <c r="A73" s="1054" t="s">
        <v>1949</v>
      </c>
      <c r="B73" s="1072">
        <v>17.079999999999998</v>
      </c>
      <c r="C73" s="1072">
        <f>'Whitman Reg - Price Out'!O14</f>
        <v>0.98783406846354649</v>
      </c>
      <c r="E73" s="1072">
        <f t="shared" ref="E73:E81" si="13">B73+C73</f>
        <v>18.067834068463544</v>
      </c>
      <c r="G73" s="1074">
        <f t="shared" si="12"/>
        <v>0</v>
      </c>
    </row>
    <row r="74" spans="1:7">
      <c r="A74" s="1054" t="s">
        <v>1950</v>
      </c>
      <c r="B74" s="1072">
        <v>22.67</v>
      </c>
      <c r="C74" s="1072">
        <f>'Whitman Reg - Price Out'!O15</f>
        <v>1.3111357337276699</v>
      </c>
      <c r="E74" s="1072">
        <f t="shared" si="13"/>
        <v>23.981135733727672</v>
      </c>
      <c r="G74" s="1074">
        <f t="shared" si="12"/>
        <v>0</v>
      </c>
    </row>
    <row r="75" spans="1:7">
      <c r="A75" s="1054" t="s">
        <v>1951</v>
      </c>
      <c r="B75" s="1072">
        <v>30.04</v>
      </c>
      <c r="C75" s="1072">
        <f>'Whitman Reg - Price Out'!O16</f>
        <v>1.7373849775553243</v>
      </c>
      <c r="E75" s="1072">
        <f t="shared" si="13"/>
        <v>31.777384977555322</v>
      </c>
      <c r="G75" s="1074">
        <f t="shared" si="12"/>
        <v>0</v>
      </c>
    </row>
    <row r="76" spans="1:7">
      <c r="A76" s="1054" t="s">
        <v>1952</v>
      </c>
      <c r="B76" s="1072">
        <v>39.25</v>
      </c>
      <c r="C76" s="1072">
        <f>'Whitman Reg - Price Out'!O17</f>
        <v>2.270051943044157</v>
      </c>
      <c r="E76" s="1072">
        <f t="shared" si="13"/>
        <v>41.520051943044159</v>
      </c>
      <c r="G76" s="1074">
        <f t="shared" si="12"/>
        <v>0</v>
      </c>
    </row>
    <row r="77" spans="1:7">
      <c r="A77" s="1054" t="s">
        <v>1953</v>
      </c>
      <c r="B77" s="1072">
        <v>47.59</v>
      </c>
      <c r="C77" s="1072">
        <f t="shared" ref="C77:C78" si="14">ROUND(B77*$C$7,2)</f>
        <v>2.75</v>
      </c>
      <c r="E77" s="1072">
        <f t="shared" si="13"/>
        <v>50.34</v>
      </c>
      <c r="G77" s="1074">
        <f t="shared" si="12"/>
        <v>2.4018336171067745E-3</v>
      </c>
    </row>
    <row r="78" spans="1:7">
      <c r="A78" s="1054" t="s">
        <v>1954</v>
      </c>
      <c r="B78" s="1072">
        <v>55.99</v>
      </c>
      <c r="C78" s="1072">
        <f t="shared" si="14"/>
        <v>3.24</v>
      </c>
      <c r="E78" s="1072">
        <f t="shared" si="13"/>
        <v>59.230000000000004</v>
      </c>
      <c r="G78" s="1074">
        <f t="shared" si="12"/>
        <v>-1.7781327122965429E-3</v>
      </c>
    </row>
    <row r="79" spans="1:7">
      <c r="A79" s="1054" t="s">
        <v>1955</v>
      </c>
      <c r="B79" s="1072">
        <v>24.32</v>
      </c>
      <c r="C79" s="1072">
        <f>'Whitman Reg - Price Out'!O18</f>
        <v>1.4065646689129656</v>
      </c>
      <c r="E79" s="1072">
        <f t="shared" si="13"/>
        <v>25.726564668912967</v>
      </c>
      <c r="G79" s="1074">
        <f t="shared" si="12"/>
        <v>0</v>
      </c>
    </row>
    <row r="80" spans="1:7">
      <c r="A80" s="1054" t="s">
        <v>1956</v>
      </c>
      <c r="B80" s="1072">
        <v>30.04</v>
      </c>
      <c r="C80" s="1072">
        <f>'Whitman Reg - Price Out'!O21</f>
        <v>1.7373849775553243</v>
      </c>
      <c r="E80" s="1072">
        <f t="shared" si="13"/>
        <v>31.777384977555322</v>
      </c>
      <c r="G80" s="1074">
        <f t="shared" si="12"/>
        <v>0</v>
      </c>
    </row>
    <row r="81" spans="1:7">
      <c r="A81" s="1054" t="s">
        <v>2111</v>
      </c>
      <c r="B81" s="1072">
        <v>10.83</v>
      </c>
      <c r="C81" s="1072">
        <f>'Whitman Reg - Price Out'!O13</f>
        <v>0.626360829125305</v>
      </c>
      <c r="E81" s="1072">
        <f t="shared" si="13"/>
        <v>11.456360829125305</v>
      </c>
      <c r="G81" s="1074">
        <f t="shared" si="12"/>
        <v>0</v>
      </c>
    </row>
    <row r="82" spans="1:7">
      <c r="G82" s="1054"/>
    </row>
    <row r="83" spans="1:7">
      <c r="A83" s="1054" t="s">
        <v>558</v>
      </c>
      <c r="B83" s="1072">
        <v>9.98</v>
      </c>
      <c r="D83" s="1072">
        <f>B83*D7</f>
        <v>4.4869920763408846</v>
      </c>
      <c r="E83" s="1072">
        <f>B83+D83</f>
        <v>14.466992076340885</v>
      </c>
      <c r="G83" s="1074">
        <f>(B83*$D$7)-D83</f>
        <v>0</v>
      </c>
    </row>
    <row r="84" spans="1:7">
      <c r="G84" s="1054"/>
    </row>
    <row r="85" spans="1:7">
      <c r="A85" s="1078" t="s">
        <v>1936</v>
      </c>
      <c r="G85" s="1054"/>
    </row>
    <row r="86" spans="1:7">
      <c r="A86" s="1057" t="s">
        <v>2041</v>
      </c>
      <c r="G86" s="1054"/>
    </row>
    <row r="87" spans="1:7">
      <c r="A87" s="1054" t="s">
        <v>1948</v>
      </c>
      <c r="B87" s="1072">
        <v>14.43</v>
      </c>
      <c r="C87" s="1072">
        <f>'Spokane Reg - Price out'!Q10</f>
        <v>0.83456941498413217</v>
      </c>
      <c r="E87" s="1072">
        <f t="shared" ref="E87:E96" si="15">B87+C87</f>
        <v>15.264569414984132</v>
      </c>
      <c r="G87" s="1074">
        <f t="shared" ref="G87:G96" si="16">(B87*$C$7)-C87</f>
        <v>0</v>
      </c>
    </row>
    <row r="88" spans="1:7">
      <c r="A88" s="1054" t="s">
        <v>1949</v>
      </c>
      <c r="B88" s="1072">
        <v>17.71</v>
      </c>
      <c r="C88" s="1072">
        <f>'Spokane Reg - Price out'!Q12</f>
        <v>1.0242705709888413</v>
      </c>
      <c r="E88" s="1072">
        <f t="shared" si="15"/>
        <v>18.734270570988841</v>
      </c>
      <c r="G88" s="1074">
        <f t="shared" si="16"/>
        <v>0</v>
      </c>
    </row>
    <row r="89" spans="1:7">
      <c r="A89" s="1054" t="s">
        <v>1950</v>
      </c>
      <c r="B89" s="1072">
        <v>25.01</v>
      </c>
      <c r="C89" s="1072">
        <f>'Spokane Reg - Price out'!Q13</f>
        <v>1.4464713145359076</v>
      </c>
      <c r="E89" s="1072">
        <f t="shared" si="15"/>
        <v>26.456471314535911</v>
      </c>
      <c r="G89" s="1074">
        <f t="shared" si="16"/>
        <v>0</v>
      </c>
    </row>
    <row r="90" spans="1:7">
      <c r="A90" s="1054" t="s">
        <v>1951</v>
      </c>
      <c r="B90" s="1072">
        <v>35.68</v>
      </c>
      <c r="C90" s="1072">
        <f>'Spokane Reg - Price out'!Q14</f>
        <v>2.0635784287341536</v>
      </c>
      <c r="E90" s="1072">
        <f t="shared" si="15"/>
        <v>37.743578428734153</v>
      </c>
      <c r="G90" s="1074">
        <f t="shared" si="16"/>
        <v>0</v>
      </c>
    </row>
    <row r="91" spans="1:7">
      <c r="A91" s="1054" t="s">
        <v>1952</v>
      </c>
      <c r="B91" s="1072">
        <v>51.64</v>
      </c>
      <c r="C91" s="1072">
        <f t="shared" ref="C91:C93" si="17">ROUND(B91*$C$7,2)</f>
        <v>2.99</v>
      </c>
      <c r="E91" s="1072">
        <f t="shared" si="15"/>
        <v>54.63</v>
      </c>
      <c r="G91" s="1074">
        <f t="shared" si="16"/>
        <v>-3.3635072917128639E-3</v>
      </c>
    </row>
    <row r="92" spans="1:7">
      <c r="A92" s="1054" t="s">
        <v>1953</v>
      </c>
      <c r="B92" s="1072">
        <v>63.24</v>
      </c>
      <c r="C92" s="1072">
        <f t="shared" si="17"/>
        <v>3.66</v>
      </c>
      <c r="E92" s="1072">
        <f t="shared" si="15"/>
        <v>66.900000000000006</v>
      </c>
      <c r="G92" s="1074">
        <f t="shared" si="16"/>
        <v>-2.469175079936381E-3</v>
      </c>
    </row>
    <row r="93" spans="1:7">
      <c r="A93" s="1054" t="s">
        <v>1954</v>
      </c>
      <c r="B93" s="1072">
        <v>73.17</v>
      </c>
      <c r="C93" s="1072">
        <f t="shared" si="17"/>
        <v>4.2300000000000004</v>
      </c>
      <c r="E93" s="1072">
        <f t="shared" si="15"/>
        <v>77.400000000000006</v>
      </c>
      <c r="G93" s="1074">
        <f t="shared" si="16"/>
        <v>1.8395075806614258E-3</v>
      </c>
    </row>
    <row r="94" spans="1:7">
      <c r="A94" s="1054" t="s">
        <v>1955</v>
      </c>
      <c r="B94" s="1072">
        <v>26.68</v>
      </c>
      <c r="C94" s="1072">
        <f>'Spokane Reg - Price out'!Q15</f>
        <v>1.5430569640870857</v>
      </c>
      <c r="E94" s="1072">
        <f t="shared" si="15"/>
        <v>28.223056964087085</v>
      </c>
      <c r="G94" s="1074">
        <f t="shared" si="16"/>
        <v>0</v>
      </c>
    </row>
    <row r="95" spans="1:7">
      <c r="A95" s="1054" t="s">
        <v>1956</v>
      </c>
      <c r="B95" s="1072">
        <v>33.32</v>
      </c>
      <c r="C95" s="1072">
        <f>'Spokane Reg - Price out'!Q17</f>
        <v>1.9270861335600336</v>
      </c>
      <c r="E95" s="1072">
        <f t="shared" si="15"/>
        <v>35.247086133560032</v>
      </c>
      <c r="G95" s="1074">
        <f t="shared" si="16"/>
        <v>0</v>
      </c>
    </row>
    <row r="96" spans="1:7">
      <c r="A96" s="1054" t="s">
        <v>1949</v>
      </c>
      <c r="B96" s="1072">
        <v>11.25</v>
      </c>
      <c r="C96" s="1072">
        <f>'Spokane Reg - Price out'!Q11</f>
        <v>0.65065183080883482</v>
      </c>
      <c r="E96" s="1072">
        <f t="shared" si="15"/>
        <v>11.900651830808835</v>
      </c>
      <c r="G96" s="1074">
        <f t="shared" si="16"/>
        <v>0</v>
      </c>
    </row>
    <row r="97" spans="1:11">
      <c r="G97" s="1054"/>
    </row>
    <row r="98" spans="1:11">
      <c r="A98" s="1077" t="s">
        <v>1932</v>
      </c>
      <c r="G98" s="1054"/>
    </row>
    <row r="99" spans="1:11">
      <c r="A99" s="1057" t="s">
        <v>2042</v>
      </c>
      <c r="G99" s="1054"/>
      <c r="K99" s="1072"/>
    </row>
    <row r="100" spans="1:11">
      <c r="A100" s="1054" t="s">
        <v>1957</v>
      </c>
      <c r="B100" s="1072">
        <v>3.91</v>
      </c>
      <c r="C100" s="1072">
        <f>'Whitman Reg - Price Out'!O25</f>
        <v>0.22613765853000395</v>
      </c>
      <c r="E100" s="1072">
        <f>B100+C100</f>
        <v>4.1361376585300045</v>
      </c>
      <c r="G100" s="1074">
        <f t="shared" ref="G100:G102" si="18">(B100*$C$7)-C100</f>
        <v>0</v>
      </c>
      <c r="K100" s="1054"/>
    </row>
    <row r="101" spans="1:11">
      <c r="A101" s="1054" t="s">
        <v>1958</v>
      </c>
      <c r="B101" s="1072">
        <f>B100</f>
        <v>3.91</v>
      </c>
      <c r="C101" s="1072">
        <f>C100</f>
        <v>0.22613765853000395</v>
      </c>
      <c r="E101" s="1072">
        <f>B101+C101</f>
        <v>4.1361376585300045</v>
      </c>
      <c r="G101" s="1074">
        <f t="shared" si="18"/>
        <v>0</v>
      </c>
    </row>
    <row r="102" spans="1:11">
      <c r="A102" s="1054" t="s">
        <v>1959</v>
      </c>
      <c r="B102" s="1072">
        <v>11.92</v>
      </c>
      <c r="C102" s="1072">
        <f>'Whitman Reg - Price Out'!O23</f>
        <v>0.68940176206589432</v>
      </c>
      <c r="E102" s="1072">
        <f>B102+C102</f>
        <v>12.609401762065895</v>
      </c>
      <c r="G102" s="1074">
        <f t="shared" si="18"/>
        <v>0</v>
      </c>
    </row>
    <row r="103" spans="1:11">
      <c r="G103" s="1054"/>
    </row>
    <row r="104" spans="1:11">
      <c r="A104" s="1078" t="s">
        <v>1936</v>
      </c>
      <c r="G104" s="1054"/>
    </row>
    <row r="105" spans="1:11">
      <c r="A105" s="1057" t="s">
        <v>2043</v>
      </c>
      <c r="G105" s="1054"/>
    </row>
    <row r="106" spans="1:11">
      <c r="A106" s="1054" t="s">
        <v>1957</v>
      </c>
      <c r="B106" s="1072">
        <v>4.21</v>
      </c>
      <c r="C106" s="1072">
        <f>'Spokane Reg - Price out'!Q21</f>
        <v>0.24348837401823953</v>
      </c>
      <c r="E106" s="1072">
        <f>B106+C106</f>
        <v>4.4534883740182396</v>
      </c>
      <c r="G106" s="1074">
        <f t="shared" ref="G106:G108" si="19">(B106*$C$7)-C106</f>
        <v>0</v>
      </c>
    </row>
    <row r="107" spans="1:11">
      <c r="A107" s="1054" t="s">
        <v>1958</v>
      </c>
      <c r="B107" s="1072">
        <f>B106</f>
        <v>4.21</v>
      </c>
      <c r="C107" s="1072">
        <f>C106</f>
        <v>0.24348837401823953</v>
      </c>
      <c r="E107" s="1072">
        <f>B107+C107</f>
        <v>4.4534883740182396</v>
      </c>
      <c r="G107" s="1074">
        <f t="shared" si="19"/>
        <v>0</v>
      </c>
    </row>
    <row r="108" spans="1:11">
      <c r="A108" s="1054" t="s">
        <v>1959</v>
      </c>
      <c r="B108" s="1072">
        <v>12.34</v>
      </c>
      <c r="C108" s="1072">
        <f>'Spokane Reg - Price out'!Q20</f>
        <v>0.71369276374942414</v>
      </c>
      <c r="E108" s="1072">
        <f>B108+C108</f>
        <v>13.053692763749424</v>
      </c>
      <c r="G108" s="1074">
        <f t="shared" si="19"/>
        <v>0</v>
      </c>
    </row>
    <row r="109" spans="1:11">
      <c r="G109" s="1054"/>
    </row>
    <row r="110" spans="1:11">
      <c r="A110" s="1077" t="s">
        <v>1932</v>
      </c>
      <c r="G110" s="1054"/>
    </row>
    <row r="111" spans="1:11">
      <c r="G111" s="1054"/>
    </row>
    <row r="112" spans="1:11">
      <c r="A112" s="1057" t="s">
        <v>2044</v>
      </c>
      <c r="G112" s="1054"/>
    </row>
    <row r="113" spans="1:7">
      <c r="A113" s="1054" t="s">
        <v>1960</v>
      </c>
      <c r="B113" s="1072">
        <v>19.559999999999999</v>
      </c>
      <c r="C113" s="1072">
        <f>'Whitman Reg - Price Out'!$O$29</f>
        <v>1.1312666498329609</v>
      </c>
      <c r="E113" s="1072">
        <f t="shared" ref="E113:E120" si="20">B113+C113</f>
        <v>20.691266649832961</v>
      </c>
      <c r="G113" s="1074">
        <f t="shared" ref="G113:G120" si="21">(B113*$C$7)-C113</f>
        <v>0</v>
      </c>
    </row>
    <row r="114" spans="1:7">
      <c r="A114" s="1054" t="s">
        <v>1961</v>
      </c>
      <c r="B114" s="1072">
        <f>B113</f>
        <v>19.559999999999999</v>
      </c>
      <c r="C114" s="1072">
        <f>'Whitman Reg - Price Out'!$O$29</f>
        <v>1.1312666498329609</v>
      </c>
      <c r="E114" s="1072">
        <f t="shared" si="20"/>
        <v>20.691266649832961</v>
      </c>
      <c r="G114" s="1074">
        <f t="shared" si="21"/>
        <v>0</v>
      </c>
    </row>
    <row r="115" spans="1:7">
      <c r="A115" s="1054" t="s">
        <v>1962</v>
      </c>
      <c r="B115" s="1072">
        <f>B114</f>
        <v>19.559999999999999</v>
      </c>
      <c r="C115" s="1072">
        <f>'Whitman Reg - Price Out'!$O$29</f>
        <v>1.1312666498329609</v>
      </c>
      <c r="E115" s="1072">
        <f t="shared" si="20"/>
        <v>20.691266649832961</v>
      </c>
      <c r="G115" s="1074">
        <f t="shared" si="21"/>
        <v>0</v>
      </c>
    </row>
    <row r="116" spans="1:7">
      <c r="A116" s="1054" t="s">
        <v>1962</v>
      </c>
      <c r="B116" s="1072">
        <f>B115</f>
        <v>19.559999999999999</v>
      </c>
      <c r="C116" s="1072">
        <f>'Whitman Reg - Price Out'!$O$29</f>
        <v>1.1312666498329609</v>
      </c>
      <c r="E116" s="1072">
        <f t="shared" si="20"/>
        <v>20.691266649832961</v>
      </c>
      <c r="G116" s="1074">
        <f t="shared" si="21"/>
        <v>0</v>
      </c>
    </row>
    <row r="117" spans="1:7">
      <c r="A117" s="1054" t="s">
        <v>1963</v>
      </c>
      <c r="B117" s="1072">
        <f>B116</f>
        <v>19.559999999999999</v>
      </c>
      <c r="C117" s="1072">
        <f>'Whitman Reg - Price Out'!$O$29</f>
        <v>1.1312666498329609</v>
      </c>
      <c r="E117" s="1072">
        <f t="shared" si="20"/>
        <v>20.691266649832961</v>
      </c>
      <c r="G117" s="1074">
        <f t="shared" si="21"/>
        <v>0</v>
      </c>
    </row>
    <row r="118" spans="1:7">
      <c r="A118" s="1054" t="s">
        <v>1963</v>
      </c>
      <c r="B118" s="1072">
        <f>B117</f>
        <v>19.559999999999999</v>
      </c>
      <c r="C118" s="1072">
        <f>'Whitman Reg - Price Out'!$O$29</f>
        <v>1.1312666498329609</v>
      </c>
      <c r="E118" s="1072">
        <f t="shared" si="20"/>
        <v>20.691266649832961</v>
      </c>
      <c r="G118" s="1074">
        <f t="shared" si="21"/>
        <v>0</v>
      </c>
    </row>
    <row r="119" spans="1:7">
      <c r="A119" s="1054" t="s">
        <v>1964</v>
      </c>
      <c r="B119" s="1072">
        <v>2.62</v>
      </c>
      <c r="C119" s="1072">
        <f t="shared" ref="C119:C120" si="22">ROUND(B119*$C$7,2)</f>
        <v>0.15</v>
      </c>
      <c r="E119" s="1072">
        <f t="shared" si="20"/>
        <v>2.77</v>
      </c>
      <c r="G119" s="1074">
        <f t="shared" si="21"/>
        <v>1.5295819305908842E-3</v>
      </c>
    </row>
    <row r="120" spans="1:7">
      <c r="A120" s="1054" t="s">
        <v>1964</v>
      </c>
      <c r="B120" s="1072">
        <f>B119</f>
        <v>2.62</v>
      </c>
      <c r="C120" s="1072">
        <f t="shared" si="22"/>
        <v>0.15</v>
      </c>
      <c r="E120" s="1072">
        <f t="shared" si="20"/>
        <v>2.77</v>
      </c>
      <c r="G120" s="1074">
        <f t="shared" si="21"/>
        <v>1.5295819305908842E-3</v>
      </c>
    </row>
    <row r="121" spans="1:7">
      <c r="G121" s="1054"/>
    </row>
    <row r="122" spans="1:7">
      <c r="A122" s="1078" t="s">
        <v>1936</v>
      </c>
      <c r="G122" s="1054"/>
    </row>
    <row r="123" spans="1:7">
      <c r="G123" s="1054"/>
    </row>
    <row r="124" spans="1:7">
      <c r="A124" s="1057" t="s">
        <v>2045</v>
      </c>
      <c r="G124" s="1054"/>
    </row>
    <row r="125" spans="1:7">
      <c r="A125" s="1054" t="s">
        <v>1960</v>
      </c>
      <c r="B125" s="1072">
        <v>21.45</v>
      </c>
      <c r="C125" s="1072">
        <f>'Spokane Reg - Price out'!$Q$22</f>
        <v>1.2405761574088452</v>
      </c>
      <c r="E125" s="1072">
        <f t="shared" ref="E125:E132" si="23">B125+C125</f>
        <v>22.690576157408845</v>
      </c>
      <c r="G125" s="1074">
        <f t="shared" ref="G125:G132" si="24">(B125*$C$7)-C125</f>
        <v>0</v>
      </c>
    </row>
    <row r="126" spans="1:7">
      <c r="A126" s="1054" t="s">
        <v>1961</v>
      </c>
      <c r="B126" s="1072">
        <f>B125</f>
        <v>21.45</v>
      </c>
      <c r="C126" s="1072">
        <f>'Spokane Reg - Price out'!$Q$22</f>
        <v>1.2405761574088452</v>
      </c>
      <c r="E126" s="1072">
        <f t="shared" si="23"/>
        <v>22.690576157408845</v>
      </c>
      <c r="G126" s="1074">
        <f t="shared" si="24"/>
        <v>0</v>
      </c>
    </row>
    <row r="127" spans="1:7">
      <c r="A127" s="1054" t="s">
        <v>1962</v>
      </c>
      <c r="B127" s="1072">
        <f>B126</f>
        <v>21.45</v>
      </c>
      <c r="C127" s="1072">
        <f>'Spokane Reg - Price out'!$Q$22</f>
        <v>1.2405761574088452</v>
      </c>
      <c r="E127" s="1072">
        <f t="shared" si="23"/>
        <v>22.690576157408845</v>
      </c>
      <c r="G127" s="1074">
        <f t="shared" si="24"/>
        <v>0</v>
      </c>
    </row>
    <row r="128" spans="1:7">
      <c r="A128" s="1054" t="s">
        <v>1962</v>
      </c>
      <c r="B128" s="1072">
        <f>B127</f>
        <v>21.45</v>
      </c>
      <c r="C128" s="1072">
        <f>'Spokane Reg - Price out'!$Q$22</f>
        <v>1.2405761574088452</v>
      </c>
      <c r="E128" s="1072">
        <f t="shared" si="23"/>
        <v>22.690576157408845</v>
      </c>
      <c r="G128" s="1074">
        <f t="shared" si="24"/>
        <v>0</v>
      </c>
    </row>
    <row r="129" spans="1:7">
      <c r="A129" s="1054" t="s">
        <v>1963</v>
      </c>
      <c r="B129" s="1072">
        <f>B128</f>
        <v>21.45</v>
      </c>
      <c r="C129" s="1072">
        <f>'Spokane Reg - Price out'!$Q$22</f>
        <v>1.2405761574088452</v>
      </c>
      <c r="E129" s="1072">
        <f t="shared" si="23"/>
        <v>22.690576157408845</v>
      </c>
      <c r="G129" s="1074">
        <f t="shared" si="24"/>
        <v>0</v>
      </c>
    </row>
    <row r="130" spans="1:7">
      <c r="A130" s="1054" t="s">
        <v>1963</v>
      </c>
      <c r="B130" s="1072">
        <f>B129</f>
        <v>21.45</v>
      </c>
      <c r="C130" s="1072">
        <f>'Spokane Reg - Price out'!$Q$22</f>
        <v>1.2405761574088452</v>
      </c>
      <c r="E130" s="1072">
        <f t="shared" si="23"/>
        <v>22.690576157408845</v>
      </c>
      <c r="G130" s="1074">
        <f t="shared" si="24"/>
        <v>0</v>
      </c>
    </row>
    <row r="131" spans="1:7">
      <c r="A131" s="1054" t="s">
        <v>1964</v>
      </c>
      <c r="B131" s="1072">
        <v>2.62</v>
      </c>
      <c r="C131" s="1072">
        <f t="shared" ref="C131:C132" si="25">ROUND(B131*$C$7,2)</f>
        <v>0.15</v>
      </c>
      <c r="E131" s="1072">
        <f t="shared" si="23"/>
        <v>2.77</v>
      </c>
      <c r="G131" s="1074">
        <f t="shared" si="24"/>
        <v>1.5295819305908842E-3</v>
      </c>
    </row>
    <row r="132" spans="1:7">
      <c r="A132" s="1054" t="s">
        <v>1964</v>
      </c>
      <c r="B132" s="1072">
        <f>B131</f>
        <v>2.62</v>
      </c>
      <c r="C132" s="1072">
        <f t="shared" si="25"/>
        <v>0.15</v>
      </c>
      <c r="E132" s="1072">
        <f t="shared" si="23"/>
        <v>2.77</v>
      </c>
      <c r="G132" s="1074">
        <f t="shared" si="24"/>
        <v>1.5295819305908842E-3</v>
      </c>
    </row>
    <row r="133" spans="1:7">
      <c r="G133" s="1054"/>
    </row>
    <row r="134" spans="1:7">
      <c r="A134" s="1077" t="s">
        <v>1932</v>
      </c>
      <c r="G134" s="1054"/>
    </row>
    <row r="135" spans="1:7">
      <c r="A135" s="1057" t="s">
        <v>2046</v>
      </c>
      <c r="G135" s="1054"/>
    </row>
    <row r="136" spans="1:7">
      <c r="A136" s="1054" t="s">
        <v>1965</v>
      </c>
      <c r="G136" s="1054"/>
    </row>
    <row r="137" spans="1:7">
      <c r="A137" s="1054" t="s">
        <v>1966</v>
      </c>
      <c r="B137" s="1072">
        <v>102</v>
      </c>
      <c r="C137" s="1072">
        <f>'Whitman Reg - Price Out'!$O$35</f>
        <v>5.8992432660001031</v>
      </c>
      <c r="E137" s="1072">
        <f>B137+C137</f>
        <v>107.8992432660001</v>
      </c>
      <c r="G137" s="1074">
        <f t="shared" ref="G137:G141" si="26">(B137*$C$7)-C137</f>
        <v>0</v>
      </c>
    </row>
    <row r="138" spans="1:7">
      <c r="A138" s="1054" t="s">
        <v>1967</v>
      </c>
      <c r="B138" s="1072">
        <v>102</v>
      </c>
      <c r="C138" s="1072">
        <f>'Whitman Reg - Price Out'!$O$35</f>
        <v>5.8992432660001031</v>
      </c>
      <c r="E138" s="1072">
        <f>B138+C138</f>
        <v>107.8992432660001</v>
      </c>
      <c r="G138" s="1074">
        <f t="shared" si="26"/>
        <v>0</v>
      </c>
    </row>
    <row r="139" spans="1:7">
      <c r="A139" s="1054" t="s">
        <v>1968</v>
      </c>
      <c r="B139" s="1072">
        <v>102</v>
      </c>
      <c r="C139" s="1072">
        <f>'Whitman Reg - Price Out'!$O$35</f>
        <v>5.8992432660001031</v>
      </c>
      <c r="E139" s="1072">
        <f>B139+C139</f>
        <v>107.8992432660001</v>
      </c>
      <c r="G139" s="1074">
        <f t="shared" si="26"/>
        <v>0</v>
      </c>
    </row>
    <row r="140" spans="1:7">
      <c r="A140" s="1054" t="s">
        <v>1969</v>
      </c>
      <c r="B140" s="1072">
        <v>31.5</v>
      </c>
      <c r="C140" s="1072">
        <f>ROUND(B140*$C$7,2)</f>
        <v>1.82</v>
      </c>
      <c r="E140" s="1072">
        <f>B140+C140</f>
        <v>33.32</v>
      </c>
      <c r="G140" s="1074">
        <f t="shared" si="26"/>
        <v>1.8251262647375199E-3</v>
      </c>
    </row>
    <row r="141" spans="1:7">
      <c r="A141" s="1054" t="s">
        <v>1963</v>
      </c>
      <c r="B141" s="1072">
        <v>102</v>
      </c>
      <c r="C141" s="1072">
        <f>'Whitman Reg - Price Out'!$O$35</f>
        <v>5.8992432660001031</v>
      </c>
      <c r="E141" s="1072">
        <f>B141+C141</f>
        <v>107.8992432660001</v>
      </c>
      <c r="G141" s="1074">
        <f t="shared" si="26"/>
        <v>0</v>
      </c>
    </row>
    <row r="142" spans="1:7">
      <c r="G142" s="1054"/>
    </row>
    <row r="143" spans="1:7">
      <c r="A143" s="1054" t="s">
        <v>1970</v>
      </c>
      <c r="G143" s="1054"/>
    </row>
    <row r="144" spans="1:7">
      <c r="A144" s="1054" t="s">
        <v>1966</v>
      </c>
      <c r="B144" s="1072">
        <v>102</v>
      </c>
      <c r="C144" s="1072">
        <f>'Whitman Reg - Price Out'!$O$35</f>
        <v>5.8992432660001031</v>
      </c>
      <c r="E144" s="1072">
        <f>B144+C144</f>
        <v>107.8992432660001</v>
      </c>
      <c r="G144" s="1074">
        <f t="shared" ref="G144:G148" si="27">(B144*$C$7)-C144</f>
        <v>0</v>
      </c>
    </row>
    <row r="145" spans="1:7">
      <c r="A145" s="1054" t="s">
        <v>1967</v>
      </c>
      <c r="B145" s="1072">
        <v>102</v>
      </c>
      <c r="C145" s="1072">
        <f>'Whitman Reg - Price Out'!$O$35</f>
        <v>5.8992432660001031</v>
      </c>
      <c r="E145" s="1072">
        <f>B145+C145</f>
        <v>107.8992432660001</v>
      </c>
      <c r="G145" s="1074">
        <f t="shared" si="27"/>
        <v>0</v>
      </c>
    </row>
    <row r="146" spans="1:7">
      <c r="A146" s="1054" t="s">
        <v>1968</v>
      </c>
      <c r="B146" s="1072">
        <v>102</v>
      </c>
      <c r="C146" s="1072">
        <f>'Whitman Reg - Price Out'!$O$35</f>
        <v>5.8992432660001031</v>
      </c>
      <c r="E146" s="1072">
        <f>B146+C146</f>
        <v>107.8992432660001</v>
      </c>
      <c r="G146" s="1074">
        <f t="shared" si="27"/>
        <v>0</v>
      </c>
    </row>
    <row r="147" spans="1:7">
      <c r="A147" s="1054" t="s">
        <v>1969</v>
      </c>
      <c r="B147" s="1072">
        <v>31.5</v>
      </c>
      <c r="C147" s="1072">
        <f>ROUND(B147*$C$7,2)</f>
        <v>1.82</v>
      </c>
      <c r="E147" s="1072">
        <f>B147+C147</f>
        <v>33.32</v>
      </c>
      <c r="G147" s="1074">
        <f t="shared" si="27"/>
        <v>1.8251262647375199E-3</v>
      </c>
    </row>
    <row r="148" spans="1:7">
      <c r="A148" s="1054" t="s">
        <v>1963</v>
      </c>
      <c r="B148" s="1072">
        <v>102</v>
      </c>
      <c r="C148" s="1072">
        <f>'Whitman Reg - Price Out'!$O$35</f>
        <v>5.8992432660001031</v>
      </c>
      <c r="E148" s="1072">
        <f>B148+C148</f>
        <v>107.8992432660001</v>
      </c>
      <c r="G148" s="1074">
        <f t="shared" si="27"/>
        <v>0</v>
      </c>
    </row>
    <row r="149" spans="1:7">
      <c r="G149" s="1054"/>
    </row>
    <row r="150" spans="1:7">
      <c r="A150" s="1078" t="s">
        <v>1936</v>
      </c>
      <c r="G150" s="1054"/>
    </row>
    <row r="151" spans="1:7">
      <c r="A151" s="1057" t="s">
        <v>2047</v>
      </c>
      <c r="G151" s="1054"/>
    </row>
    <row r="152" spans="1:7">
      <c r="A152" s="1054" t="s">
        <v>1965</v>
      </c>
      <c r="G152" s="1054"/>
    </row>
    <row r="153" spans="1:7">
      <c r="A153" s="1054" t="s">
        <v>1966</v>
      </c>
      <c r="B153" s="1072">
        <v>90.5</v>
      </c>
      <c r="C153" s="1072">
        <f>ROUND(B153*$C$7,2)</f>
        <v>5.23</v>
      </c>
      <c r="E153" s="1072">
        <f>B153+C153</f>
        <v>95.73</v>
      </c>
      <c r="G153" s="1074">
        <f t="shared" ref="G153:G157" si="28">(B153*$C$7)-C153</f>
        <v>4.132505617738147E-3</v>
      </c>
    </row>
    <row r="154" spans="1:7">
      <c r="A154" s="1054" t="s">
        <v>1967</v>
      </c>
      <c r="B154" s="1072">
        <v>90.5</v>
      </c>
      <c r="C154" s="1072">
        <f>ROUND(B154*$C$7,2)</f>
        <v>5.23</v>
      </c>
      <c r="E154" s="1072">
        <f>B154+C154</f>
        <v>95.73</v>
      </c>
      <c r="G154" s="1074">
        <f t="shared" si="28"/>
        <v>4.132505617738147E-3</v>
      </c>
    </row>
    <row r="155" spans="1:7">
      <c r="A155" s="1054" t="s">
        <v>1968</v>
      </c>
      <c r="B155" s="1072">
        <v>90.5</v>
      </c>
      <c r="C155" s="1072">
        <f>ROUND(B155*$C$7,2)</f>
        <v>5.23</v>
      </c>
      <c r="E155" s="1072">
        <f>B155+C155</f>
        <v>95.73</v>
      </c>
      <c r="G155" s="1074">
        <f t="shared" si="28"/>
        <v>4.132505617738147E-3</v>
      </c>
    </row>
    <row r="156" spans="1:7">
      <c r="A156" s="1054" t="s">
        <v>1969</v>
      </c>
      <c r="B156" s="1072">
        <v>35.5</v>
      </c>
      <c r="C156" s="1072">
        <f>ROUND(B156*$C$7,2)</f>
        <v>2.0499999999999998</v>
      </c>
      <c r="E156" s="1072">
        <f>B156+C156</f>
        <v>37.549999999999997</v>
      </c>
      <c r="G156" s="1074">
        <f t="shared" si="28"/>
        <v>3.1679994412123769E-3</v>
      </c>
    </row>
    <row r="157" spans="1:7">
      <c r="A157" s="1054" t="s">
        <v>1963</v>
      </c>
      <c r="B157" s="1072">
        <v>90.5</v>
      </c>
      <c r="C157" s="1072">
        <f>ROUND(B157*$C$7,2)</f>
        <v>5.23</v>
      </c>
      <c r="E157" s="1072">
        <f>B157+C157</f>
        <v>95.73</v>
      </c>
      <c r="G157" s="1074">
        <f t="shared" si="28"/>
        <v>4.132505617738147E-3</v>
      </c>
    </row>
    <row r="158" spans="1:7">
      <c r="G158" s="1054"/>
    </row>
    <row r="159" spans="1:7">
      <c r="A159" s="1054" t="s">
        <v>1970</v>
      </c>
      <c r="G159" s="1054"/>
    </row>
    <row r="160" spans="1:7">
      <c r="A160" s="1054" t="s">
        <v>1966</v>
      </c>
      <c r="B160" s="1072">
        <v>90.5</v>
      </c>
      <c r="C160" s="1072">
        <f>ROUND(B160*$C$7,2)</f>
        <v>5.23</v>
      </c>
      <c r="E160" s="1072">
        <f>B160+C160</f>
        <v>95.73</v>
      </c>
      <c r="G160" s="1074">
        <f t="shared" ref="G160:G164" si="29">(B160*$C$7)-C160</f>
        <v>4.132505617738147E-3</v>
      </c>
    </row>
    <row r="161" spans="1:7">
      <c r="A161" s="1054" t="s">
        <v>1967</v>
      </c>
      <c r="B161" s="1072">
        <v>90.5</v>
      </c>
      <c r="C161" s="1072">
        <f>ROUND(B161*$C$7,2)</f>
        <v>5.23</v>
      </c>
      <c r="E161" s="1072">
        <f>B161+C161</f>
        <v>95.73</v>
      </c>
      <c r="G161" s="1074">
        <f t="shared" si="29"/>
        <v>4.132505617738147E-3</v>
      </c>
    </row>
    <row r="162" spans="1:7">
      <c r="A162" s="1054" t="s">
        <v>1968</v>
      </c>
      <c r="B162" s="1072">
        <v>90.5</v>
      </c>
      <c r="C162" s="1072">
        <f>ROUND(B162*$C$7,2)</f>
        <v>5.23</v>
      </c>
      <c r="E162" s="1072">
        <f>B162+C162</f>
        <v>95.73</v>
      </c>
      <c r="G162" s="1074">
        <f t="shared" si="29"/>
        <v>4.132505617738147E-3</v>
      </c>
    </row>
    <row r="163" spans="1:7">
      <c r="A163" s="1054" t="s">
        <v>1969</v>
      </c>
      <c r="B163" s="1072">
        <v>35.5</v>
      </c>
      <c r="C163" s="1072">
        <f>ROUND(B163*$C$7,2)</f>
        <v>2.0499999999999998</v>
      </c>
      <c r="E163" s="1072">
        <f>B163+C163</f>
        <v>37.549999999999997</v>
      </c>
      <c r="G163" s="1074">
        <f t="shared" si="29"/>
        <v>3.1679994412123769E-3</v>
      </c>
    </row>
    <row r="164" spans="1:7">
      <c r="A164" s="1054" t="s">
        <v>1963</v>
      </c>
      <c r="B164" s="1072">
        <v>90.5</v>
      </c>
      <c r="C164" s="1072">
        <f>ROUND(B164*$C$7,2)</f>
        <v>5.23</v>
      </c>
      <c r="E164" s="1072">
        <f>B164+C164</f>
        <v>95.73</v>
      </c>
      <c r="G164" s="1074">
        <f t="shared" si="29"/>
        <v>4.132505617738147E-3</v>
      </c>
    </row>
    <row r="165" spans="1:7">
      <c r="G165" s="1054"/>
    </row>
    <row r="166" spans="1:7">
      <c r="A166" s="1069" t="s">
        <v>1920</v>
      </c>
      <c r="G166" s="1054"/>
    </row>
    <row r="167" spans="1:7">
      <c r="A167" s="1057" t="s">
        <v>2048</v>
      </c>
      <c r="G167" s="1054"/>
    </row>
    <row r="168" spans="1:7">
      <c r="A168" s="1054" t="s">
        <v>1971</v>
      </c>
      <c r="B168" s="1072">
        <v>5.59</v>
      </c>
      <c r="C168" s="1072">
        <f>'Whitman Reg - Price Out'!O119</f>
        <v>0.32330166526412329</v>
      </c>
      <c r="E168" s="1072">
        <f>B168+C168</f>
        <v>5.9133016652641235</v>
      </c>
      <c r="G168" s="1074">
        <f t="shared" ref="G168:G169" si="30">(B168*$C$7)-C168</f>
        <v>0</v>
      </c>
    </row>
    <row r="169" spans="1:7">
      <c r="A169" s="1054" t="s">
        <v>1972</v>
      </c>
      <c r="B169" s="1072">
        <v>0.5</v>
      </c>
      <c r="C169" s="1072">
        <f>ROUND(B169*$C$7,2)</f>
        <v>0.03</v>
      </c>
      <c r="E169" s="1072">
        <f>B169+C169</f>
        <v>0.53</v>
      </c>
      <c r="G169" s="1074">
        <f t="shared" si="30"/>
        <v>-1.0821408529406717E-3</v>
      </c>
    </row>
    <row r="170" spans="1:7">
      <c r="G170" s="1054"/>
    </row>
    <row r="171" spans="1:7">
      <c r="A171" s="1054" t="s">
        <v>1973</v>
      </c>
      <c r="B171" s="1072">
        <v>3.72</v>
      </c>
      <c r="C171" s="1072">
        <f>ROUND(B171*$C$7,2)</f>
        <v>0.22</v>
      </c>
      <c r="E171" s="1072">
        <f>B171+C171</f>
        <v>3.9400000000000004</v>
      </c>
      <c r="G171" s="1074">
        <f t="shared" ref="G171:G172" si="31">(B171*$C$7)-C171</f>
        <v>-4.8511279458786083E-3</v>
      </c>
    </row>
    <row r="172" spans="1:7">
      <c r="A172" s="1054" t="s">
        <v>1974</v>
      </c>
      <c r="B172" s="1072">
        <v>0.25</v>
      </c>
      <c r="C172" s="1072">
        <f>ROUND(B172*$C$7,2)</f>
        <v>0.01</v>
      </c>
      <c r="E172" s="1072">
        <f>B172+C172</f>
        <v>0.26</v>
      </c>
      <c r="G172" s="1074">
        <f t="shared" si="31"/>
        <v>4.4589295735296634E-3</v>
      </c>
    </row>
    <row r="173" spans="1:7">
      <c r="G173" s="1054"/>
    </row>
    <row r="174" spans="1:7">
      <c r="A174" s="1057" t="s">
        <v>2049</v>
      </c>
      <c r="G174" s="1054"/>
    </row>
    <row r="175" spans="1:7">
      <c r="A175" s="1054" t="s">
        <v>1975</v>
      </c>
      <c r="B175" s="1072">
        <v>4.92</v>
      </c>
      <c r="C175" s="1072">
        <f t="shared" ref="C175:C180" si="32">ROUND(B175*$C$7,2)</f>
        <v>0.28000000000000003</v>
      </c>
      <c r="E175" s="1072">
        <f t="shared" ref="E175:E180" si="33">B175+C175</f>
        <v>5.2</v>
      </c>
      <c r="G175" s="1074">
        <f t="shared" ref="G175:G180" si="34">(B175*$C$7)-C175</f>
        <v>4.551734007063768E-3</v>
      </c>
    </row>
    <row r="176" spans="1:7">
      <c r="A176" s="1054" t="s">
        <v>1976</v>
      </c>
      <c r="B176" s="1072">
        <v>14.76</v>
      </c>
      <c r="C176" s="1072">
        <f t="shared" si="32"/>
        <v>0.85</v>
      </c>
      <c r="E176" s="1072">
        <f t="shared" si="33"/>
        <v>15.61</v>
      </c>
      <c r="G176" s="1074">
        <f t="shared" si="34"/>
        <v>3.655202021191295E-3</v>
      </c>
    </row>
    <row r="177" spans="1:7">
      <c r="A177" s="1054" t="s">
        <v>1977</v>
      </c>
      <c r="B177" s="1072">
        <v>6.01</v>
      </c>
      <c r="C177" s="1072">
        <f t="shared" si="32"/>
        <v>0.35</v>
      </c>
      <c r="E177" s="1072">
        <f t="shared" si="33"/>
        <v>6.3599999999999994</v>
      </c>
      <c r="G177" s="1074">
        <f t="shared" si="34"/>
        <v>-2.4073330523468606E-3</v>
      </c>
    </row>
    <row r="178" spans="1:7">
      <c r="A178" s="1054" t="s">
        <v>1976</v>
      </c>
      <c r="B178" s="1072">
        <v>18.03</v>
      </c>
      <c r="C178" s="1072">
        <f t="shared" si="32"/>
        <v>1.04</v>
      </c>
      <c r="E178" s="1072">
        <f t="shared" si="33"/>
        <v>19.07</v>
      </c>
      <c r="G178" s="1074">
        <f t="shared" si="34"/>
        <v>2.7780008429594272E-3</v>
      </c>
    </row>
    <row r="179" spans="1:7">
      <c r="A179" s="1054" t="s">
        <v>1978</v>
      </c>
      <c r="B179" s="1072">
        <v>11.48</v>
      </c>
      <c r="C179" s="1072">
        <f t="shared" si="32"/>
        <v>0.66</v>
      </c>
      <c r="E179" s="1072">
        <f t="shared" si="33"/>
        <v>12.14</v>
      </c>
      <c r="G179" s="1074">
        <f t="shared" si="34"/>
        <v>3.9540460164821933E-3</v>
      </c>
    </row>
    <row r="180" spans="1:7">
      <c r="A180" s="1054" t="s">
        <v>1976</v>
      </c>
      <c r="B180" s="1072">
        <v>34.44</v>
      </c>
      <c r="C180" s="1072">
        <f t="shared" si="32"/>
        <v>1.99</v>
      </c>
      <c r="E180" s="1072">
        <f t="shared" si="33"/>
        <v>36.43</v>
      </c>
      <c r="G180" s="1074">
        <f t="shared" si="34"/>
        <v>1.8621380494463491E-3</v>
      </c>
    </row>
    <row r="181" spans="1:7">
      <c r="G181" s="1054"/>
    </row>
    <row r="182" spans="1:7">
      <c r="A182" s="1054" t="s">
        <v>1979</v>
      </c>
      <c r="G182" s="1054"/>
    </row>
    <row r="183" spans="1:7">
      <c r="A183" s="1054" t="s">
        <v>1980</v>
      </c>
      <c r="B183" s="1072">
        <v>24.05</v>
      </c>
      <c r="C183" s="1072">
        <f>ROUND(B183*$C$7,2)</f>
        <v>1.39</v>
      </c>
      <c r="E183" s="1072">
        <f>B183+C183</f>
        <v>25.44</v>
      </c>
      <c r="G183" s="1074">
        <f t="shared" ref="G183:G184" si="35">(B183*$C$7)-C183</f>
        <v>9.4902497355375814E-4</v>
      </c>
    </row>
    <row r="184" spans="1:7">
      <c r="A184" s="1054" t="s">
        <v>1981</v>
      </c>
      <c r="B184" s="1072">
        <v>36.07</v>
      </c>
      <c r="C184" s="1072">
        <f>ROUND(B184*$C$7,2)</f>
        <v>2.09</v>
      </c>
      <c r="E184" s="1072">
        <f>B184+C184</f>
        <v>38.159999999999997</v>
      </c>
      <c r="G184" s="1074">
        <f t="shared" si="35"/>
        <v>-3.865641131139963E-3</v>
      </c>
    </row>
    <row r="185" spans="1:7">
      <c r="G185" s="1054"/>
    </row>
    <row r="186" spans="1:7">
      <c r="A186" s="1057" t="s">
        <v>2050</v>
      </c>
      <c r="G186" s="1094"/>
    </row>
    <row r="187" spans="1:7">
      <c r="A187" s="1054" t="s">
        <v>1982</v>
      </c>
      <c r="B187" s="1072">
        <v>102</v>
      </c>
      <c r="G187" s="1054"/>
    </row>
    <row r="188" spans="1:7">
      <c r="A188" s="1054" t="s">
        <v>1983</v>
      </c>
      <c r="B188" s="1072">
        <v>105.36</v>
      </c>
      <c r="G188" s="1054"/>
    </row>
    <row r="189" spans="1:7">
      <c r="A189" s="1054" t="s">
        <v>1984</v>
      </c>
      <c r="B189" s="1072">
        <v>101</v>
      </c>
      <c r="G189" s="1054"/>
    </row>
    <row r="190" spans="1:7">
      <c r="G190" s="1054"/>
    </row>
    <row r="191" spans="1:7">
      <c r="A191" s="1095"/>
      <c r="G191" s="1054"/>
    </row>
    <row r="192" spans="1:7">
      <c r="A192" s="1077" t="s">
        <v>1932</v>
      </c>
      <c r="G192" s="1054"/>
    </row>
    <row r="193" spans="1:7">
      <c r="A193" s="1057" t="s">
        <v>2051</v>
      </c>
      <c r="G193" s="1054"/>
    </row>
    <row r="194" spans="1:7">
      <c r="A194" s="1057" t="s">
        <v>1985</v>
      </c>
      <c r="G194" s="1054"/>
    </row>
    <row r="195" spans="1:7">
      <c r="A195" s="1054" t="s">
        <v>1921</v>
      </c>
      <c r="B195" s="1072">
        <v>10.11</v>
      </c>
      <c r="C195" s="1072">
        <f>'Whitman Reg - Price Out'!O104</f>
        <v>0.58471911195353954</v>
      </c>
      <c r="E195" s="1072">
        <f t="shared" ref="E195:E201" si="36">B195+C195</f>
        <v>10.694719111953539</v>
      </c>
      <c r="G195" s="1074">
        <f t="shared" ref="G195:G201" si="37">(B195*$C$7)-C195</f>
        <v>0</v>
      </c>
    </row>
    <row r="196" spans="1:7">
      <c r="A196" s="1054" t="s">
        <v>1922</v>
      </c>
      <c r="B196" s="1072">
        <v>12.15</v>
      </c>
      <c r="C196" s="1072">
        <f>'Whitman Reg - Price Out'!O102</f>
        <v>0.70270397727354172</v>
      </c>
      <c r="E196" s="1072">
        <f t="shared" si="36"/>
        <v>12.852703977273542</v>
      </c>
      <c r="G196" s="1074">
        <f t="shared" si="37"/>
        <v>0</v>
      </c>
    </row>
    <row r="197" spans="1:7">
      <c r="A197" s="1054" t="s">
        <v>1924</v>
      </c>
      <c r="B197" s="1072">
        <v>16.690000000000001</v>
      </c>
      <c r="C197" s="1072">
        <f>'Whitman Reg - Price Out'!O106</f>
        <v>0.96527813832884046</v>
      </c>
      <c r="E197" s="1072">
        <f t="shared" si="36"/>
        <v>17.655278138328843</v>
      </c>
      <c r="G197" s="1074">
        <f t="shared" si="37"/>
        <v>0</v>
      </c>
    </row>
    <row r="198" spans="1:7">
      <c r="A198" s="1054" t="s">
        <v>1925</v>
      </c>
      <c r="B198" s="1072">
        <v>20.59</v>
      </c>
      <c r="C198" s="1072">
        <f>'Whitman Reg - Price Out'!O108</f>
        <v>1.1908374396759032</v>
      </c>
      <c r="E198" s="1072">
        <f t="shared" si="36"/>
        <v>21.780837439675903</v>
      </c>
      <c r="G198" s="1074">
        <f t="shared" si="37"/>
        <v>0</v>
      </c>
    </row>
    <row r="199" spans="1:7">
      <c r="A199" s="1054" t="s">
        <v>1926</v>
      </c>
      <c r="B199" s="1072">
        <v>23.32</v>
      </c>
      <c r="C199" s="1072">
        <f>'Whitman Reg - Price Out'!O110</f>
        <v>1.3487289506188471</v>
      </c>
      <c r="E199" s="1072">
        <f t="shared" si="36"/>
        <v>24.668728950618849</v>
      </c>
      <c r="G199" s="1074">
        <f t="shared" si="37"/>
        <v>0</v>
      </c>
    </row>
    <row r="200" spans="1:7">
      <c r="A200" s="1054" t="s">
        <v>1927</v>
      </c>
      <c r="B200" s="1072">
        <v>30.89</v>
      </c>
      <c r="C200" s="1072">
        <f>'Whitman Reg - Price Out'!O112</f>
        <v>1.7865453381053253</v>
      </c>
      <c r="E200" s="1072">
        <f t="shared" si="36"/>
        <v>32.676545338105328</v>
      </c>
      <c r="G200" s="1074">
        <f t="shared" si="37"/>
        <v>0</v>
      </c>
    </row>
    <row r="201" spans="1:7">
      <c r="A201" s="1054" t="s">
        <v>1929</v>
      </c>
      <c r="B201" s="1072">
        <v>37.340000000000003</v>
      </c>
      <c r="C201" s="1072">
        <f>'Whitman Reg - Price Out'!O113</f>
        <v>2.1595857211023906</v>
      </c>
      <c r="E201" s="1072">
        <f t="shared" si="36"/>
        <v>39.499585721102392</v>
      </c>
      <c r="G201" s="1074">
        <f t="shared" si="37"/>
        <v>0</v>
      </c>
    </row>
    <row r="202" spans="1:7">
      <c r="A202" s="1057"/>
      <c r="G202" s="1054"/>
    </row>
    <row r="203" spans="1:7">
      <c r="A203" s="1057" t="s">
        <v>1986</v>
      </c>
      <c r="G203" s="1094"/>
    </row>
    <row r="204" spans="1:7">
      <c r="A204" s="1054" t="s">
        <v>1921</v>
      </c>
      <c r="B204" s="1072">
        <v>14.72</v>
      </c>
      <c r="C204" s="1072">
        <f>'Whitman Reg - Price Out'!R48</f>
        <v>0.85</v>
      </c>
      <c r="E204" s="1072">
        <f t="shared" ref="E204:E210" si="38">B204+C204</f>
        <v>15.57</v>
      </c>
      <c r="G204" s="1074">
        <f t="shared" ref="G204:G210" si="39">(B204*$C$7)-C204</f>
        <v>1.3417732894266399E-3</v>
      </c>
    </row>
    <row r="205" spans="1:7">
      <c r="A205" s="1054" t="s">
        <v>1922</v>
      </c>
      <c r="B205" s="1072">
        <v>22.21</v>
      </c>
      <c r="C205" s="1072">
        <f>'Whitman Reg - Price Out'!R52</f>
        <v>1.28</v>
      </c>
      <c r="E205" s="1072">
        <f t="shared" si="38"/>
        <v>23.490000000000002</v>
      </c>
      <c r="G205" s="1074">
        <f t="shared" si="39"/>
        <v>4.5313033123752788E-3</v>
      </c>
    </row>
    <row r="206" spans="1:7">
      <c r="A206" s="1054" t="s">
        <v>1924</v>
      </c>
      <c r="B206" s="1072">
        <v>29.62</v>
      </c>
      <c r="C206" s="1072">
        <f>'Whitman Reg - Price Out'!R58</f>
        <v>1.71</v>
      </c>
      <c r="E206" s="1072">
        <f t="shared" si="38"/>
        <v>31.330000000000002</v>
      </c>
      <c r="G206" s="1074">
        <f t="shared" si="39"/>
        <v>3.0939758717947186E-3</v>
      </c>
    </row>
    <row r="207" spans="1:7">
      <c r="A207" s="1054" t="s">
        <v>1925</v>
      </c>
      <c r="B207" s="1072">
        <v>41.86</v>
      </c>
      <c r="C207" s="1072">
        <f>'Whitman Reg - Price Out'!R61</f>
        <v>2.42</v>
      </c>
      <c r="E207" s="1072">
        <f t="shared" si="38"/>
        <v>44.28</v>
      </c>
      <c r="G207" s="1074">
        <f t="shared" si="39"/>
        <v>1.0031677918069803E-3</v>
      </c>
    </row>
    <row r="208" spans="1:7">
      <c r="A208" s="1054" t="s">
        <v>1926</v>
      </c>
      <c r="B208" s="1072">
        <v>55.62</v>
      </c>
      <c r="C208" s="1072">
        <f>'Whitman Reg - Price Out'!R65</f>
        <v>3.21</v>
      </c>
      <c r="E208" s="1072">
        <f t="shared" si="38"/>
        <v>58.83</v>
      </c>
      <c r="G208" s="1074">
        <f t="shared" si="39"/>
        <v>6.8226515188793968E-3</v>
      </c>
    </row>
    <row r="209" spans="1:7">
      <c r="A209" s="1054" t="s">
        <v>1927</v>
      </c>
      <c r="B209" s="1072">
        <v>81.06</v>
      </c>
      <c r="C209" s="1072">
        <f>'Whitman Reg - Price Out'!R69</f>
        <v>4.68</v>
      </c>
      <c r="E209" s="1072">
        <f t="shared" si="38"/>
        <v>85.740000000000009</v>
      </c>
      <c r="G209" s="1074">
        <f t="shared" si="39"/>
        <v>8.1633249212584857E-3</v>
      </c>
    </row>
    <row r="210" spans="1:7">
      <c r="A210" s="1054" t="s">
        <v>1929</v>
      </c>
      <c r="B210" s="1072">
        <v>105.65</v>
      </c>
      <c r="C210" s="1072">
        <f>'Whitman Reg - Price Out'!R74</f>
        <v>6.11</v>
      </c>
      <c r="E210" s="1072">
        <f t="shared" si="38"/>
        <v>111.76</v>
      </c>
      <c r="G210" s="1074">
        <f t="shared" si="39"/>
        <v>3.4363777363566328E-4</v>
      </c>
    </row>
    <row r="211" spans="1:7">
      <c r="G211" s="1054"/>
    </row>
    <row r="212" spans="1:7">
      <c r="A212" s="1057" t="s">
        <v>1987</v>
      </c>
      <c r="G212" s="1054"/>
    </row>
    <row r="213" spans="1:7">
      <c r="A213" s="1054" t="s">
        <v>1921</v>
      </c>
      <c r="B213" s="1072">
        <v>35.979999999999997</v>
      </c>
      <c r="C213" s="1072">
        <f>'Whitman Reg - Price Out'!O90</f>
        <v>2.0809291442223889</v>
      </c>
      <c r="E213" s="1072">
        <f t="shared" ref="E213:E219" si="40">B213+C213</f>
        <v>38.060929144222385</v>
      </c>
      <c r="G213" s="1074">
        <f t="shared" ref="G213:G219" si="41">(B213*$C$7)-C213</f>
        <v>0</v>
      </c>
    </row>
    <row r="214" spans="1:7">
      <c r="A214" s="1054" t="s">
        <v>1922</v>
      </c>
      <c r="B214" s="1072">
        <v>51.73</v>
      </c>
      <c r="C214" s="1072">
        <f>'Whitman Reg - Price Out'!O91</f>
        <v>2.9918417073547579</v>
      </c>
      <c r="E214" s="1072">
        <f t="shared" si="40"/>
        <v>54.721841707354756</v>
      </c>
      <c r="G214" s="1074">
        <f t="shared" si="41"/>
        <v>0</v>
      </c>
    </row>
    <row r="215" spans="1:7">
      <c r="A215" s="1054" t="s">
        <v>1924</v>
      </c>
      <c r="B215" s="1072">
        <v>60.91</v>
      </c>
      <c r="C215" s="1072">
        <f>'Whitman Reg - Price Out'!O92</f>
        <v>3.5227736012947672</v>
      </c>
      <c r="E215" s="1072">
        <f t="shared" si="40"/>
        <v>64.43277360129477</v>
      </c>
      <c r="G215" s="1074">
        <f t="shared" si="41"/>
        <v>0</v>
      </c>
    </row>
    <row r="216" spans="1:7">
      <c r="A216" s="1054" t="s">
        <v>1925</v>
      </c>
      <c r="B216" s="1072">
        <v>78.459999999999994</v>
      </c>
      <c r="C216" s="1072">
        <f>'Whitman Reg - Price Out'!O93</f>
        <v>4.5377904573565493</v>
      </c>
      <c r="E216" s="1072">
        <f t="shared" si="40"/>
        <v>82.997790457356544</v>
      </c>
      <c r="G216" s="1074">
        <f t="shared" si="41"/>
        <v>0</v>
      </c>
    </row>
    <row r="217" spans="1:7">
      <c r="A217" s="1054" t="s">
        <v>1926</v>
      </c>
      <c r="B217" s="1072">
        <v>97.17</v>
      </c>
      <c r="C217" s="1072">
        <f>'Whitman Reg - Price Out'!O94</f>
        <v>5.61989674663951</v>
      </c>
      <c r="E217" s="1072">
        <f t="shared" si="40"/>
        <v>102.78989674663951</v>
      </c>
      <c r="G217" s="1074">
        <f t="shared" si="41"/>
        <v>0</v>
      </c>
    </row>
    <row r="218" spans="1:7">
      <c r="A218" s="1054" t="s">
        <v>1927</v>
      </c>
      <c r="B218" s="1072">
        <v>130.96</v>
      </c>
      <c r="C218" s="1072">
        <f>'Whitman Reg - Price Out'!O95</f>
        <v>7.5741656677977796</v>
      </c>
      <c r="E218" s="1072">
        <f t="shared" si="40"/>
        <v>138.53416566779779</v>
      </c>
      <c r="G218" s="1074">
        <f t="shared" si="41"/>
        <v>0</v>
      </c>
    </row>
    <row r="219" spans="1:7">
      <c r="A219" s="1054" t="s">
        <v>1929</v>
      </c>
      <c r="B219" s="1072">
        <v>165.88</v>
      </c>
      <c r="C219" s="1072">
        <f t="shared" ref="C219" si="42">ROUND(B219*$C$7,2)</f>
        <v>9.59</v>
      </c>
      <c r="E219" s="1072">
        <f t="shared" si="40"/>
        <v>175.47</v>
      </c>
      <c r="G219" s="1074">
        <f t="shared" si="41"/>
        <v>3.7889506284027874E-3</v>
      </c>
    </row>
    <row r="220" spans="1:7">
      <c r="G220" s="1054"/>
    </row>
    <row r="221" spans="1:7">
      <c r="A221" s="1057" t="s">
        <v>1988</v>
      </c>
      <c r="G221" s="1054"/>
    </row>
    <row r="222" spans="1:7">
      <c r="A222" s="1054" t="s">
        <v>1989</v>
      </c>
      <c r="B222" s="1072">
        <v>51.84</v>
      </c>
      <c r="C222" s="1072">
        <f>'Whitman Reg - Price Out'!O115</f>
        <v>2.9982036363671112</v>
      </c>
      <c r="E222" s="1072">
        <f>B222+C222</f>
        <v>54.838203636367112</v>
      </c>
      <c r="G222" s="1074">
        <f t="shared" ref="G222:G223" si="43">(B222*$C$7)-C222</f>
        <v>0</v>
      </c>
    </row>
    <row r="223" spans="1:7">
      <c r="A223" s="1054" t="s">
        <v>1990</v>
      </c>
      <c r="B223" s="1072">
        <v>58.86</v>
      </c>
      <c r="C223" s="1072">
        <f>ROUND(B223*$C$7,2)</f>
        <v>3.4</v>
      </c>
      <c r="E223" s="1072">
        <f>B223+C223</f>
        <v>62.26</v>
      </c>
      <c r="G223" s="1074">
        <f t="shared" si="43"/>
        <v>4.2103787918241764E-3</v>
      </c>
    </row>
    <row r="224" spans="1:7">
      <c r="G224" s="1054"/>
    </row>
    <row r="225" spans="1:7">
      <c r="A225" s="1057" t="s">
        <v>1991</v>
      </c>
      <c r="G225" s="1054"/>
    </row>
    <row r="226" spans="1:7">
      <c r="A226" s="1054" t="s">
        <v>1921</v>
      </c>
      <c r="B226" s="1072">
        <v>17.2</v>
      </c>
      <c r="C226" s="1072">
        <f>'Whitman Reg - Price Out'!O97</f>
        <v>0.99477435465884079</v>
      </c>
      <c r="E226" s="1072">
        <f t="shared" ref="E226:E232" si="44">B226+C226</f>
        <v>18.19477435465884</v>
      </c>
      <c r="G226" s="1074">
        <f t="shared" ref="G226:G232" si="45">(B226*$C$7)-C226</f>
        <v>0</v>
      </c>
    </row>
    <row r="227" spans="1:7">
      <c r="A227" s="1054" t="s">
        <v>1922</v>
      </c>
      <c r="B227" s="1072">
        <v>25.93</v>
      </c>
      <c r="C227" s="1072">
        <f>'Whitman Reg - Price Out'!O96</f>
        <v>1.4996801753664968</v>
      </c>
      <c r="E227" s="1072">
        <f t="shared" si="44"/>
        <v>27.429680175366496</v>
      </c>
      <c r="G227" s="1074">
        <f t="shared" si="45"/>
        <v>0</v>
      </c>
    </row>
    <row r="228" spans="1:7">
      <c r="A228" s="1054" t="s">
        <v>1924</v>
      </c>
      <c r="B228" s="1072">
        <v>35.82</v>
      </c>
      <c r="C228" s="1072">
        <f>'Whitman Reg - Price Out'!O98</f>
        <v>2.0716754292953303</v>
      </c>
      <c r="E228" s="1072">
        <f t="shared" si="44"/>
        <v>37.891675429295333</v>
      </c>
      <c r="G228" s="1074">
        <f t="shared" si="45"/>
        <v>0</v>
      </c>
    </row>
    <row r="229" spans="1:7">
      <c r="A229" s="1054" t="s">
        <v>1925</v>
      </c>
      <c r="B229" s="1072">
        <v>48.05</v>
      </c>
      <c r="C229" s="1072">
        <f>'Whitman Reg - Price Out'!O99</f>
        <v>2.7790062640324011</v>
      </c>
      <c r="E229" s="1072">
        <f t="shared" si="44"/>
        <v>50.829006264032401</v>
      </c>
      <c r="G229" s="1074">
        <f t="shared" si="45"/>
        <v>0</v>
      </c>
    </row>
    <row r="230" spans="1:7">
      <c r="A230" s="1054" t="s">
        <v>1926</v>
      </c>
      <c r="B230" s="1072">
        <v>63.05</v>
      </c>
      <c r="C230" s="1072">
        <f>'Whitman Reg - Price Out'!O100</f>
        <v>3.6465420384441809</v>
      </c>
      <c r="E230" s="1072">
        <f t="shared" si="44"/>
        <v>66.696542038444179</v>
      </c>
      <c r="G230" s="1074">
        <f t="shared" si="45"/>
        <v>0</v>
      </c>
    </row>
    <row r="231" spans="1:7">
      <c r="A231" s="1054" t="s">
        <v>1927</v>
      </c>
      <c r="B231" s="1072">
        <v>93.46</v>
      </c>
      <c r="C231" s="1072">
        <f t="shared" ref="C231:C232" si="46">ROUND(B231*$C$7,2)</f>
        <v>5.41</v>
      </c>
      <c r="E231" s="1072">
        <f t="shared" si="44"/>
        <v>98.86999999999999</v>
      </c>
      <c r="G231" s="1074">
        <f t="shared" si="45"/>
        <v>-4.6737682316706497E-3</v>
      </c>
    </row>
    <row r="232" spans="1:7">
      <c r="A232" s="1054" t="s">
        <v>1929</v>
      </c>
      <c r="B232" s="1072">
        <v>120.58</v>
      </c>
      <c r="C232" s="1072">
        <f t="shared" si="46"/>
        <v>6.97</v>
      </c>
      <c r="E232" s="1072">
        <f t="shared" si="44"/>
        <v>127.55</v>
      </c>
      <c r="G232" s="1074">
        <f t="shared" si="45"/>
        <v>3.8309119048278717E-3</v>
      </c>
    </row>
    <row r="233" spans="1:7">
      <c r="G233" s="1054"/>
    </row>
    <row r="234" spans="1:7">
      <c r="A234" s="1057" t="s">
        <v>1992</v>
      </c>
      <c r="G234" s="1054"/>
    </row>
    <row r="235" spans="1:7">
      <c r="A235" s="1054" t="s">
        <v>1989</v>
      </c>
      <c r="B235" s="1072">
        <v>2.23</v>
      </c>
      <c r="C235" s="1072">
        <f>ROUND(B235*$C$7,2)</f>
        <v>0.13</v>
      </c>
      <c r="E235" s="1072">
        <f>B235+C235</f>
        <v>2.36</v>
      </c>
      <c r="G235" s="1074">
        <f t="shared" ref="G235:G237" si="47">(B235*$C$7)-C235</f>
        <v>-1.0263482041154015E-3</v>
      </c>
    </row>
    <row r="236" spans="1:7">
      <c r="A236" s="1054" t="s">
        <v>1927</v>
      </c>
      <c r="B236" s="1072">
        <v>4.92</v>
      </c>
      <c r="C236" s="1072">
        <f>ROUND(B236*$C$7,2)</f>
        <v>0.28000000000000003</v>
      </c>
      <c r="E236" s="1072">
        <f>B236+C236</f>
        <v>5.2</v>
      </c>
      <c r="G236" s="1074">
        <f t="shared" si="47"/>
        <v>4.551734007063768E-3</v>
      </c>
    </row>
    <row r="237" spans="1:7">
      <c r="A237" s="1054" t="s">
        <v>1929</v>
      </c>
      <c r="B237" s="1072">
        <v>7.1</v>
      </c>
      <c r="C237" s="1072">
        <f>ROUND(B237*$C$7,2)</f>
        <v>0.41</v>
      </c>
      <c r="E237" s="1072">
        <f>B237+C237</f>
        <v>7.51</v>
      </c>
      <c r="G237" s="1074">
        <f t="shared" si="47"/>
        <v>6.3359988824246427E-4</v>
      </c>
    </row>
    <row r="238" spans="1:7">
      <c r="G238" s="1054"/>
    </row>
    <row r="239" spans="1:7">
      <c r="A239" s="1057" t="s">
        <v>1993</v>
      </c>
      <c r="G239" s="1054"/>
    </row>
    <row r="240" spans="1:7">
      <c r="A240" s="1054" t="s">
        <v>1921</v>
      </c>
      <c r="B240" s="1072">
        <v>22.3</v>
      </c>
      <c r="C240" s="1072">
        <f>'Whitman Reg - Price Out'!O105</f>
        <v>1.289736517958846</v>
      </c>
      <c r="E240" s="1072">
        <f t="shared" ref="E240:E246" si="48">B240+C240</f>
        <v>23.589736517958848</v>
      </c>
      <c r="G240" s="1074">
        <f t="shared" ref="G240:G246" si="49">(B240*$C$7)-C240</f>
        <v>0</v>
      </c>
    </row>
    <row r="241" spans="1:7">
      <c r="A241" s="1054" t="s">
        <v>1922</v>
      </c>
      <c r="B241" s="1072">
        <v>24.53</v>
      </c>
      <c r="C241" s="1072">
        <f>'Whitman Reg - Price Out'!O103</f>
        <v>1.4187101697547306</v>
      </c>
      <c r="E241" s="1072">
        <f t="shared" si="48"/>
        <v>25.948710169754733</v>
      </c>
      <c r="G241" s="1074">
        <f t="shared" si="49"/>
        <v>0</v>
      </c>
    </row>
    <row r="242" spans="1:7">
      <c r="A242" s="1054" t="s">
        <v>1924</v>
      </c>
      <c r="B242" s="1072">
        <v>33.450000000000003</v>
      </c>
      <c r="C242" s="1072">
        <f>'Whitman Reg - Price Out'!O107</f>
        <v>1.9340264197553276</v>
      </c>
      <c r="E242" s="1072">
        <f t="shared" si="48"/>
        <v>35.38402641975533</v>
      </c>
      <c r="G242" s="1074">
        <f t="shared" si="49"/>
        <v>5.7835718294141358E-4</v>
      </c>
    </row>
    <row r="243" spans="1:7">
      <c r="A243" s="1054" t="s">
        <v>1925</v>
      </c>
      <c r="B243" s="1072">
        <v>40.130000000000003</v>
      </c>
      <c r="C243" s="1072">
        <f>'Whitman Reg - Price Out'!O109</f>
        <v>2.3209473751429819</v>
      </c>
      <c r="E243" s="1072">
        <f t="shared" si="48"/>
        <v>42.450947375142988</v>
      </c>
      <c r="G243" s="1074">
        <f t="shared" si="49"/>
        <v>0</v>
      </c>
    </row>
    <row r="244" spans="1:7">
      <c r="A244" s="1054" t="s">
        <v>1926</v>
      </c>
      <c r="B244" s="1072">
        <v>44.59</v>
      </c>
      <c r="C244" s="1072">
        <f>'Whitman Reg - Price Out'!O111</f>
        <v>2.5788946787347511</v>
      </c>
      <c r="E244" s="1072">
        <f t="shared" si="48"/>
        <v>47.168894678734752</v>
      </c>
      <c r="G244" s="1074">
        <f t="shared" si="49"/>
        <v>0</v>
      </c>
    </row>
    <row r="245" spans="1:7">
      <c r="A245" s="1054" t="s">
        <v>1927</v>
      </c>
      <c r="B245" s="1072">
        <v>59.02</v>
      </c>
      <c r="C245" s="1072">
        <f t="shared" ref="C245:C246" si="50">ROUND(B245*$C$7,2)</f>
        <v>3.41</v>
      </c>
      <c r="E245" s="1072">
        <f t="shared" si="48"/>
        <v>62.430000000000007</v>
      </c>
      <c r="G245" s="1074">
        <f t="shared" si="49"/>
        <v>3.4640937188830101E-3</v>
      </c>
    </row>
    <row r="246" spans="1:7">
      <c r="A246" s="1054" t="s">
        <v>1929</v>
      </c>
      <c r="B246" s="1072">
        <v>85.25</v>
      </c>
      <c r="C246" s="1072">
        <f t="shared" si="50"/>
        <v>4.93</v>
      </c>
      <c r="E246" s="1072">
        <f t="shared" si="48"/>
        <v>90.18</v>
      </c>
      <c r="G246" s="1074">
        <f t="shared" si="49"/>
        <v>4.9498457361529802E-4</v>
      </c>
    </row>
    <row r="247" spans="1:7">
      <c r="G247" s="1054"/>
    </row>
    <row r="248" spans="1:7">
      <c r="A248" s="1054" t="s">
        <v>1994</v>
      </c>
      <c r="B248" s="1072">
        <v>6.5</v>
      </c>
      <c r="C248" s="1072">
        <f>ROUND(B248*$C$7,2)</f>
        <v>0.38</v>
      </c>
      <c r="E248" s="1072">
        <f>B248+C248</f>
        <v>6.88</v>
      </c>
      <c r="G248" s="1074">
        <f t="shared" ref="G248:G249" si="51">(B248*$C$7)-C248</f>
        <v>-4.0678310882287239E-3</v>
      </c>
    </row>
    <row r="249" spans="1:7">
      <c r="A249" s="1054" t="s">
        <v>1995</v>
      </c>
      <c r="B249" s="1072">
        <v>2.36</v>
      </c>
      <c r="C249" s="1072">
        <f>ROUND(B249*$C$7,2)</f>
        <v>0.14000000000000001</v>
      </c>
      <c r="E249" s="1072">
        <f>B249+C249</f>
        <v>2.5</v>
      </c>
      <c r="G249" s="1074">
        <f t="shared" si="51"/>
        <v>-3.5077048258800037E-3</v>
      </c>
    </row>
    <row r="250" spans="1:7">
      <c r="G250" s="1054"/>
    </row>
    <row r="251" spans="1:7">
      <c r="A251" s="1078" t="s">
        <v>1936</v>
      </c>
      <c r="G251" s="1054"/>
    </row>
    <row r="252" spans="1:7">
      <c r="A252" s="1057" t="s">
        <v>2052</v>
      </c>
      <c r="G252" s="1054"/>
    </row>
    <row r="253" spans="1:7">
      <c r="A253" s="1057" t="s">
        <v>1985</v>
      </c>
      <c r="G253" s="1054"/>
    </row>
    <row r="254" spans="1:7">
      <c r="A254" s="1054" t="s">
        <v>1921</v>
      </c>
      <c r="B254" s="1072">
        <f>B195</f>
        <v>10.11</v>
      </c>
      <c r="C254" s="1072">
        <f>'Spokane Reg - Price out'!Q63</f>
        <v>0.58471911195353954</v>
      </c>
      <c r="E254" s="1072">
        <f t="shared" ref="E254:E260" si="52">B254+C254</f>
        <v>10.694719111953539</v>
      </c>
      <c r="G254" s="1074">
        <f t="shared" ref="G254:G260" si="53">(B254*$C$7)-C254</f>
        <v>0</v>
      </c>
    </row>
    <row r="255" spans="1:7">
      <c r="A255" s="1054" t="s">
        <v>1922</v>
      </c>
      <c r="B255" s="1072">
        <f t="shared" ref="B255:B260" si="54">B196</f>
        <v>12.15</v>
      </c>
      <c r="C255" s="1072">
        <f>'Spokane Reg - Price out'!Q61</f>
        <v>0.70270397727354172</v>
      </c>
      <c r="E255" s="1072">
        <f t="shared" si="52"/>
        <v>12.852703977273542</v>
      </c>
      <c r="G255" s="1074">
        <f t="shared" si="53"/>
        <v>0</v>
      </c>
    </row>
    <row r="256" spans="1:7">
      <c r="A256" s="1054" t="s">
        <v>1924</v>
      </c>
      <c r="B256" s="1072">
        <f t="shared" si="54"/>
        <v>16.690000000000001</v>
      </c>
      <c r="C256" s="1072">
        <f>'Spokane Reg - Price out'!Q65</f>
        <v>0.96527813832884046</v>
      </c>
      <c r="E256" s="1072">
        <f t="shared" si="52"/>
        <v>17.655278138328843</v>
      </c>
      <c r="G256" s="1074">
        <f t="shared" si="53"/>
        <v>0</v>
      </c>
    </row>
    <row r="257" spans="1:7">
      <c r="A257" s="1054" t="s">
        <v>1925</v>
      </c>
      <c r="B257" s="1072">
        <f t="shared" si="54"/>
        <v>20.59</v>
      </c>
      <c r="C257" s="1072">
        <f>'Spokane Reg - Price out'!Q67</f>
        <v>1.1908374396759032</v>
      </c>
      <c r="E257" s="1072">
        <f t="shared" si="52"/>
        <v>21.780837439675903</v>
      </c>
      <c r="G257" s="1074">
        <f t="shared" si="53"/>
        <v>0</v>
      </c>
    </row>
    <row r="258" spans="1:7">
      <c r="A258" s="1054" t="s">
        <v>1926</v>
      </c>
      <c r="B258" s="1072">
        <f t="shared" si="54"/>
        <v>23.32</v>
      </c>
      <c r="C258" s="1072">
        <f>'Spokane Reg - Price out'!Q69</f>
        <v>1.3487289506188471</v>
      </c>
      <c r="E258" s="1072">
        <f t="shared" si="52"/>
        <v>24.668728950618849</v>
      </c>
      <c r="G258" s="1074">
        <f t="shared" si="53"/>
        <v>0</v>
      </c>
    </row>
    <row r="259" spans="1:7">
      <c r="A259" s="1054" t="s">
        <v>1927</v>
      </c>
      <c r="B259" s="1072">
        <f t="shared" si="54"/>
        <v>30.89</v>
      </c>
      <c r="C259" s="1072">
        <f>'Spokane Reg - Price out'!Q71</f>
        <v>1.7865453381053253</v>
      </c>
      <c r="E259" s="1072">
        <f t="shared" si="52"/>
        <v>32.676545338105328</v>
      </c>
      <c r="G259" s="1074">
        <f t="shared" si="53"/>
        <v>0</v>
      </c>
    </row>
    <row r="260" spans="1:7">
      <c r="A260" s="1054" t="s">
        <v>1929</v>
      </c>
      <c r="B260" s="1072">
        <f t="shared" si="54"/>
        <v>37.340000000000003</v>
      </c>
      <c r="C260" s="1072">
        <f t="shared" ref="C260" si="55">ROUND(B260*$C$7,2)</f>
        <v>2.16</v>
      </c>
      <c r="E260" s="1072">
        <f t="shared" si="52"/>
        <v>39.5</v>
      </c>
      <c r="G260" s="1074">
        <f t="shared" si="53"/>
        <v>-4.1427889760958791E-4</v>
      </c>
    </row>
    <row r="261" spans="1:7">
      <c r="A261" s="1057"/>
      <c r="G261" s="1054"/>
    </row>
    <row r="262" spans="1:7">
      <c r="A262" s="1057" t="s">
        <v>1986</v>
      </c>
      <c r="G262" s="1054"/>
    </row>
    <row r="263" spans="1:7">
      <c r="A263" s="1054" t="s">
        <v>1921</v>
      </c>
      <c r="B263" s="1072">
        <v>16.670000000000002</v>
      </c>
      <c r="C263" s="1072">
        <f>'Spokane Reg - Price out'!T36</f>
        <v>0.96</v>
      </c>
      <c r="E263" s="1072">
        <f t="shared" ref="E263:E269" si="56">B263+C263</f>
        <v>17.630000000000003</v>
      </c>
      <c r="G263" s="1074">
        <f t="shared" ref="G263:G269" si="57">(B263*$C$7)-C263</f>
        <v>4.1214239629581151E-3</v>
      </c>
    </row>
    <row r="264" spans="1:7">
      <c r="A264" s="1054" t="s">
        <v>1922</v>
      </c>
      <c r="B264" s="1072">
        <v>24.98</v>
      </c>
      <c r="C264" s="1072">
        <f>'Spokane Reg - Price out'!T37</f>
        <v>1.44</v>
      </c>
      <c r="E264" s="1072">
        <f t="shared" si="56"/>
        <v>26.42</v>
      </c>
      <c r="G264" s="1074">
        <f t="shared" si="57"/>
        <v>4.7362429870840828E-3</v>
      </c>
    </row>
    <row r="265" spans="1:7">
      <c r="A265" s="1054" t="s">
        <v>1924</v>
      </c>
      <c r="B265" s="1072">
        <v>33.21</v>
      </c>
      <c r="C265" s="1072">
        <f>'Spokane Reg - Price out'!T40</f>
        <v>1.92</v>
      </c>
      <c r="E265" s="1072">
        <f t="shared" si="56"/>
        <v>35.130000000000003</v>
      </c>
      <c r="G265" s="1074">
        <f t="shared" si="57"/>
        <v>7.2420454768051812E-4</v>
      </c>
    </row>
    <row r="266" spans="1:7">
      <c r="A266" s="1054" t="s">
        <v>1925</v>
      </c>
      <c r="B266" s="1072">
        <v>46.64</v>
      </c>
      <c r="C266" s="1072">
        <f>'Spokane Reg - Price out'!T41</f>
        <v>2.7</v>
      </c>
      <c r="E266" s="1072">
        <f t="shared" si="56"/>
        <v>49.34</v>
      </c>
      <c r="G266" s="1074">
        <f t="shared" si="57"/>
        <v>-2.5420987623059332E-3</v>
      </c>
    </row>
    <row r="267" spans="1:7">
      <c r="A267" s="1054" t="s">
        <v>1926</v>
      </c>
      <c r="B267" s="1072">
        <v>61.77</v>
      </c>
      <c r="C267" s="1072">
        <f>'Spokane Reg - Price out'!T43</f>
        <v>3.57</v>
      </c>
      <c r="E267" s="1072">
        <f t="shared" si="56"/>
        <v>65.34</v>
      </c>
      <c r="G267" s="1074">
        <f t="shared" si="57"/>
        <v>2.5123190277094309E-3</v>
      </c>
    </row>
    <row r="268" spans="1:7">
      <c r="A268" s="1054" t="s">
        <v>1927</v>
      </c>
      <c r="B268" s="1072">
        <v>89.62</v>
      </c>
      <c r="C268" s="1072">
        <f t="shared" ref="C268:C269" si="58">ROUND(B268*$C$7,2)</f>
        <v>5.18</v>
      </c>
      <c r="E268" s="1072">
        <f t="shared" si="56"/>
        <v>94.800000000000011</v>
      </c>
      <c r="G268" s="1074">
        <f t="shared" si="57"/>
        <v>3.2370735189140021E-3</v>
      </c>
    </row>
    <row r="269" spans="1:7">
      <c r="A269" s="1054" t="s">
        <v>1929</v>
      </c>
      <c r="B269" s="1072">
        <v>117.6</v>
      </c>
      <c r="C269" s="1072">
        <f t="shared" si="58"/>
        <v>6.8</v>
      </c>
      <c r="E269" s="1072">
        <f t="shared" si="56"/>
        <v>124.39999999999999</v>
      </c>
      <c r="G269" s="1074">
        <f t="shared" si="57"/>
        <v>1.4804713883531662E-3</v>
      </c>
    </row>
    <row r="270" spans="1:7">
      <c r="G270" s="1054"/>
    </row>
    <row r="271" spans="1:7">
      <c r="A271" s="1057" t="s">
        <v>1987</v>
      </c>
      <c r="G271" s="1054"/>
    </row>
    <row r="272" spans="1:7">
      <c r="A272" s="1054" t="s">
        <v>1921</v>
      </c>
      <c r="B272" s="1072">
        <v>44.81</v>
      </c>
      <c r="C272" s="1072">
        <f>'Spokane Reg - Price out'!Q52</f>
        <v>2.5916185367594569</v>
      </c>
      <c r="E272" s="1072">
        <f t="shared" ref="E272:E278" si="59">B272+C272</f>
        <v>47.401618536759457</v>
      </c>
      <c r="G272" s="1074">
        <f t="shared" ref="G272:G278" si="60">(B272*$C$7)-C272</f>
        <v>0</v>
      </c>
    </row>
    <row r="273" spans="1:7">
      <c r="A273" s="1054" t="s">
        <v>1922</v>
      </c>
      <c r="B273" s="1072">
        <v>63.68</v>
      </c>
      <c r="C273" s="1072">
        <f>'Spokane Reg - Price out'!Q53</f>
        <v>3.6829785409694757</v>
      </c>
      <c r="E273" s="1072">
        <f t="shared" si="59"/>
        <v>67.362978540969479</v>
      </c>
      <c r="G273" s="1074">
        <f t="shared" si="60"/>
        <v>0</v>
      </c>
    </row>
    <row r="274" spans="1:7">
      <c r="A274" s="1054" t="s">
        <v>1924</v>
      </c>
      <c r="B274" s="1072">
        <v>74.28</v>
      </c>
      <c r="C274" s="1072">
        <f t="shared" ref="C274:C278" si="61">ROUND(B274*$C$7,2)</f>
        <v>4.3</v>
      </c>
      <c r="E274" s="1072">
        <f t="shared" si="59"/>
        <v>78.58</v>
      </c>
      <c r="G274" s="1074">
        <f t="shared" si="60"/>
        <v>-3.9628451128663755E-3</v>
      </c>
    </row>
    <row r="275" spans="1:7">
      <c r="A275" s="1054" t="s">
        <v>1925</v>
      </c>
      <c r="B275" s="1072">
        <v>97.83</v>
      </c>
      <c r="C275" s="1072">
        <f t="shared" si="61"/>
        <v>5.66</v>
      </c>
      <c r="E275" s="1072">
        <f t="shared" si="59"/>
        <v>103.49</v>
      </c>
      <c r="G275" s="1074">
        <f t="shared" si="60"/>
        <v>-1.9316792863719456E-3</v>
      </c>
    </row>
    <row r="276" spans="1:7">
      <c r="A276" s="1054" t="s">
        <v>1926</v>
      </c>
      <c r="B276" s="1072">
        <v>114.92</v>
      </c>
      <c r="C276" s="1072">
        <f t="shared" si="61"/>
        <v>6.65</v>
      </c>
      <c r="E276" s="1072">
        <f t="shared" si="59"/>
        <v>121.57000000000001</v>
      </c>
      <c r="G276" s="1074">
        <f t="shared" si="60"/>
        <v>-3.5192536398849228E-3</v>
      </c>
    </row>
    <row r="277" spans="1:7">
      <c r="A277" s="1054" t="s">
        <v>1927</v>
      </c>
      <c r="B277" s="1072">
        <v>154.4</v>
      </c>
      <c r="C277" s="1072">
        <f t="shared" si="61"/>
        <v>8.93</v>
      </c>
      <c r="E277" s="1072">
        <f t="shared" si="59"/>
        <v>163.33000000000001</v>
      </c>
      <c r="G277" s="1074">
        <f t="shared" si="60"/>
        <v>-1.650953880787398E-4</v>
      </c>
    </row>
    <row r="278" spans="1:7">
      <c r="A278" s="1054" t="s">
        <v>1929</v>
      </c>
      <c r="B278" s="1072">
        <v>191.71</v>
      </c>
      <c r="C278" s="1072">
        <f t="shared" si="61"/>
        <v>11.09</v>
      </c>
      <c r="E278" s="1072">
        <f t="shared" si="59"/>
        <v>202.8</v>
      </c>
      <c r="G278" s="1074">
        <f t="shared" si="60"/>
        <v>-2.3144458345125685E-3</v>
      </c>
    </row>
    <row r="279" spans="1:7">
      <c r="G279" s="1054"/>
    </row>
    <row r="280" spans="1:7">
      <c r="A280" s="1057" t="s">
        <v>1988</v>
      </c>
      <c r="G280" s="1054"/>
    </row>
    <row r="281" spans="1:7">
      <c r="A281" s="1054" t="s">
        <v>1989</v>
      </c>
      <c r="B281" s="1072">
        <v>51.84</v>
      </c>
      <c r="C281" s="1072">
        <f>'Spokane Reg - Price out'!Q72</f>
        <v>2.9982036363671112</v>
      </c>
      <c r="E281" s="1072">
        <f>B281+C281</f>
        <v>54.838203636367112</v>
      </c>
      <c r="G281" s="1074">
        <f t="shared" ref="G281:G282" si="62">(B281*$C$7)-C281</f>
        <v>0</v>
      </c>
    </row>
    <row r="282" spans="1:7">
      <c r="A282" s="1054" t="s">
        <v>1990</v>
      </c>
      <c r="B282" s="1072">
        <v>58.86</v>
      </c>
      <c r="C282" s="1072">
        <f>ROUND(B282*$C$7,2)</f>
        <v>3.4</v>
      </c>
      <c r="E282" s="1072">
        <f>B282+C282</f>
        <v>62.26</v>
      </c>
      <c r="G282" s="1074">
        <f t="shared" si="62"/>
        <v>4.2103787918241764E-3</v>
      </c>
    </row>
    <row r="283" spans="1:7">
      <c r="G283" s="1054"/>
    </row>
    <row r="284" spans="1:7">
      <c r="A284" s="1057" t="s">
        <v>1991</v>
      </c>
      <c r="G284" s="1054"/>
    </row>
    <row r="285" spans="1:7">
      <c r="A285" s="1054" t="s">
        <v>1921</v>
      </c>
      <c r="B285" s="1072">
        <v>20.420000000000002</v>
      </c>
      <c r="C285" s="1072">
        <f>'Spokane Reg - Price out'!Q54</f>
        <v>1.1810053675659029</v>
      </c>
      <c r="E285" s="1072">
        <f t="shared" ref="E285:E291" si="63">B285+C285</f>
        <v>21.601005367565904</v>
      </c>
      <c r="G285" s="1074">
        <f t="shared" ref="G285:G291" si="64">(B285*$C$7)-C285</f>
        <v>0</v>
      </c>
    </row>
    <row r="286" spans="1:7">
      <c r="A286" s="1054" t="s">
        <v>1922</v>
      </c>
      <c r="B286" s="1072">
        <v>30.74</v>
      </c>
      <c r="C286" s="1072">
        <f>'Spokane Reg - Price out'!Q55</f>
        <v>1.7778699803612072</v>
      </c>
      <c r="E286" s="1072">
        <f t="shared" si="63"/>
        <v>32.517869980361205</v>
      </c>
      <c r="G286" s="1074">
        <f t="shared" si="64"/>
        <v>0</v>
      </c>
    </row>
    <row r="287" spans="1:7">
      <c r="A287" s="1054" t="s">
        <v>1924</v>
      </c>
      <c r="B287" s="1072">
        <v>39.4</v>
      </c>
      <c r="C287" s="1072">
        <f>'Spokane Reg - Price out'!Q56</f>
        <v>2.2787273007882747</v>
      </c>
      <c r="E287" s="1072">
        <f t="shared" si="63"/>
        <v>41.678727300788275</v>
      </c>
      <c r="G287" s="1074">
        <f t="shared" si="64"/>
        <v>0</v>
      </c>
    </row>
    <row r="288" spans="1:7">
      <c r="A288" s="1054" t="s">
        <v>1925</v>
      </c>
      <c r="B288" s="1072">
        <v>55.44</v>
      </c>
      <c r="C288" s="1072">
        <f>'Spokane Reg - Price out'!Q57</f>
        <v>3.2064122222259379</v>
      </c>
      <c r="E288" s="1072">
        <f t="shared" si="63"/>
        <v>58.646412222225933</v>
      </c>
      <c r="G288" s="1074">
        <f t="shared" si="64"/>
        <v>0</v>
      </c>
    </row>
    <row r="289" spans="1:8">
      <c r="A289" s="1054" t="s">
        <v>1926</v>
      </c>
      <c r="B289" s="1072">
        <v>73.989999999999995</v>
      </c>
      <c r="C289" s="1072">
        <f t="shared" ref="C289:C291" si="65">ROUND(B289*$C$7,2)</f>
        <v>4.28</v>
      </c>
      <c r="E289" s="1072">
        <f t="shared" si="63"/>
        <v>78.27</v>
      </c>
      <c r="G289" s="1074">
        <f t="shared" si="64"/>
        <v>-7.3520341816113444E-4</v>
      </c>
      <c r="H289" s="1071"/>
    </row>
    <row r="290" spans="1:8">
      <c r="A290" s="1054" t="s">
        <v>1927</v>
      </c>
      <c r="B290" s="1072">
        <v>104.98</v>
      </c>
      <c r="C290" s="1072">
        <f t="shared" si="65"/>
        <v>6.07</v>
      </c>
      <c r="E290" s="1072">
        <f t="shared" si="63"/>
        <v>111.05000000000001</v>
      </c>
      <c r="G290" s="1074">
        <f t="shared" si="64"/>
        <v>1.5937065165765318E-3</v>
      </c>
      <c r="H290" s="1071"/>
    </row>
    <row r="291" spans="1:8">
      <c r="A291" s="1054" t="s">
        <v>1929</v>
      </c>
      <c r="B291" s="1072">
        <v>141.55000000000001</v>
      </c>
      <c r="C291" s="1072">
        <f t="shared" si="65"/>
        <v>8.19</v>
      </c>
      <c r="E291" s="1072">
        <f t="shared" si="63"/>
        <v>149.74</v>
      </c>
      <c r="G291" s="1074">
        <f t="shared" si="64"/>
        <v>-3.3540754675041029E-3</v>
      </c>
      <c r="H291" s="1071"/>
    </row>
    <row r="292" spans="1:8">
      <c r="G292" s="1054"/>
      <c r="H292" s="1071"/>
    </row>
    <row r="293" spans="1:8">
      <c r="A293" s="1057" t="s">
        <v>1992</v>
      </c>
      <c r="G293" s="1054"/>
      <c r="H293" s="1071"/>
    </row>
    <row r="294" spans="1:8">
      <c r="A294" s="1054" t="s">
        <v>1989</v>
      </c>
      <c r="B294" s="1072">
        <f>B235</f>
        <v>2.23</v>
      </c>
      <c r="C294" s="1072">
        <f>ROUND(B294*$C$7,2)</f>
        <v>0.13</v>
      </c>
      <c r="E294" s="1072">
        <f>B294+C294</f>
        <v>2.36</v>
      </c>
      <c r="G294" s="1074">
        <f t="shared" ref="G294:G296" si="66">(B294*$C$7)-C294</f>
        <v>-1.0263482041154015E-3</v>
      </c>
      <c r="H294" s="1071"/>
    </row>
    <row r="295" spans="1:8">
      <c r="A295" s="1054" t="s">
        <v>1927</v>
      </c>
      <c r="B295" s="1072">
        <f t="shared" ref="B295:B296" si="67">B236</f>
        <v>4.92</v>
      </c>
      <c r="C295" s="1072">
        <f>ROUND(B295*$C$7,2)</f>
        <v>0.28000000000000003</v>
      </c>
      <c r="E295" s="1072">
        <f>B295+C295</f>
        <v>5.2</v>
      </c>
      <c r="G295" s="1074">
        <f t="shared" si="66"/>
        <v>4.551734007063768E-3</v>
      </c>
      <c r="H295" s="1071"/>
    </row>
    <row r="296" spans="1:8">
      <c r="A296" s="1054" t="s">
        <v>1929</v>
      </c>
      <c r="B296" s="1072">
        <f t="shared" si="67"/>
        <v>7.1</v>
      </c>
      <c r="C296" s="1072">
        <f>ROUND(B296*$C$7,2)</f>
        <v>0.41</v>
      </c>
      <c r="E296" s="1072">
        <f>B296+C296</f>
        <v>7.51</v>
      </c>
      <c r="G296" s="1074">
        <f t="shared" si="66"/>
        <v>6.3359988824246427E-4</v>
      </c>
      <c r="H296" s="1071"/>
    </row>
    <row r="297" spans="1:8">
      <c r="G297" s="1054"/>
    </row>
    <row r="298" spans="1:8">
      <c r="A298" s="1057" t="s">
        <v>1993</v>
      </c>
      <c r="G298" s="1054"/>
    </row>
    <row r="299" spans="1:8">
      <c r="A299" s="1054" t="s">
        <v>1921</v>
      </c>
      <c r="B299" s="1072">
        <f>B240</f>
        <v>22.3</v>
      </c>
      <c r="C299" s="1072">
        <f>'Spokane Reg - Price out'!Q64</f>
        <v>1.289736517958846</v>
      </c>
      <c r="E299" s="1072">
        <f t="shared" ref="E299:E305" si="68">B299+C299</f>
        <v>23.589736517958848</v>
      </c>
      <c r="G299" s="1074">
        <f t="shared" ref="G299:G305" si="69">(B299*$C$7)-C299</f>
        <v>0</v>
      </c>
    </row>
    <row r="300" spans="1:8">
      <c r="A300" s="1054" t="s">
        <v>1922</v>
      </c>
      <c r="B300" s="1072">
        <f t="shared" ref="B300:B305" si="70">B241</f>
        <v>24.53</v>
      </c>
      <c r="C300" s="1072">
        <f>'Spokane Reg - Price out'!Q62</f>
        <v>1.4187101697547306</v>
      </c>
      <c r="E300" s="1072">
        <f t="shared" si="68"/>
        <v>25.948710169754733</v>
      </c>
      <c r="G300" s="1074">
        <f t="shared" si="69"/>
        <v>0</v>
      </c>
    </row>
    <row r="301" spans="1:8">
      <c r="A301" s="1054" t="s">
        <v>1924</v>
      </c>
      <c r="B301" s="1072">
        <f t="shared" si="70"/>
        <v>33.450000000000003</v>
      </c>
      <c r="C301" s="1072">
        <f>'Spokane Reg - Price out'!Q66</f>
        <v>1.9340264197553276</v>
      </c>
      <c r="E301" s="1072">
        <f t="shared" si="68"/>
        <v>35.38402641975533</v>
      </c>
      <c r="G301" s="1074">
        <f t="shared" si="69"/>
        <v>5.7835718294141358E-4</v>
      </c>
    </row>
    <row r="302" spans="1:8">
      <c r="A302" s="1054" t="s">
        <v>1925</v>
      </c>
      <c r="B302" s="1072">
        <f t="shared" si="70"/>
        <v>40.130000000000003</v>
      </c>
      <c r="C302" s="1072">
        <f>'Spokane Reg - Price out'!Q68</f>
        <v>2.3209473751429819</v>
      </c>
      <c r="E302" s="1072">
        <f t="shared" si="68"/>
        <v>42.450947375142988</v>
      </c>
      <c r="G302" s="1074">
        <f t="shared" si="69"/>
        <v>0</v>
      </c>
    </row>
    <row r="303" spans="1:8">
      <c r="A303" s="1054" t="s">
        <v>1926</v>
      </c>
      <c r="B303" s="1072">
        <f t="shared" si="70"/>
        <v>44.59</v>
      </c>
      <c r="C303" s="1072">
        <f>'Spokane Reg - Price out'!Q70</f>
        <v>2.5788946787347511</v>
      </c>
      <c r="E303" s="1072">
        <f t="shared" si="68"/>
        <v>47.168894678734752</v>
      </c>
      <c r="G303" s="1074">
        <f t="shared" si="69"/>
        <v>0</v>
      </c>
    </row>
    <row r="304" spans="1:8">
      <c r="A304" s="1054" t="s">
        <v>1927</v>
      </c>
      <c r="B304" s="1072">
        <f t="shared" si="70"/>
        <v>59.02</v>
      </c>
      <c r="C304" s="1072">
        <f t="shared" ref="C304:C305" si="71">ROUND(B304*$C$7,2)</f>
        <v>3.41</v>
      </c>
      <c r="E304" s="1072">
        <f t="shared" si="68"/>
        <v>62.430000000000007</v>
      </c>
      <c r="G304" s="1074">
        <f t="shared" si="69"/>
        <v>3.4640937188830101E-3</v>
      </c>
    </row>
    <row r="305" spans="1:7">
      <c r="A305" s="1054" t="s">
        <v>1929</v>
      </c>
      <c r="B305" s="1072">
        <f t="shared" si="70"/>
        <v>85.25</v>
      </c>
      <c r="C305" s="1072">
        <f t="shared" si="71"/>
        <v>4.93</v>
      </c>
      <c r="E305" s="1072">
        <f t="shared" si="68"/>
        <v>90.18</v>
      </c>
      <c r="G305" s="1074">
        <f t="shared" si="69"/>
        <v>4.9498457361529802E-4</v>
      </c>
    </row>
    <row r="306" spans="1:7">
      <c r="G306" s="1054"/>
    </row>
    <row r="307" spans="1:7">
      <c r="A307" s="1054" t="s">
        <v>1994</v>
      </c>
      <c r="B307" s="1072">
        <f>B248</f>
        <v>6.5</v>
      </c>
      <c r="C307" s="1072">
        <f>ROUND(B307*$C$7,2)</f>
        <v>0.38</v>
      </c>
      <c r="E307" s="1072">
        <f>B307+C307</f>
        <v>6.88</v>
      </c>
      <c r="G307" s="1074">
        <f t="shared" ref="G307:G308" si="72">(B307*$C$7)-C307</f>
        <v>-4.0678310882287239E-3</v>
      </c>
    </row>
    <row r="308" spans="1:7">
      <c r="A308" s="1054" t="s">
        <v>1995</v>
      </c>
      <c r="B308" s="1072">
        <f>B249</f>
        <v>2.36</v>
      </c>
      <c r="C308" s="1072">
        <f>ROUND(B308*$C$7,2)</f>
        <v>0.14000000000000001</v>
      </c>
      <c r="E308" s="1072">
        <f>B308+C308</f>
        <v>2.5</v>
      </c>
      <c r="G308" s="1074">
        <f t="shared" si="72"/>
        <v>-3.5077048258800037E-3</v>
      </c>
    </row>
    <row r="309" spans="1:7">
      <c r="G309" s="1054"/>
    </row>
    <row r="310" spans="1:7">
      <c r="A310" s="1077" t="s">
        <v>1932</v>
      </c>
      <c r="G310" s="1054"/>
    </row>
    <row r="311" spans="1:7">
      <c r="A311" s="1057" t="s">
        <v>2053</v>
      </c>
      <c r="G311" s="1096"/>
    </row>
    <row r="312" spans="1:7">
      <c r="A312" s="1054" t="s">
        <v>1996</v>
      </c>
      <c r="B312" s="1072">
        <v>4</v>
      </c>
      <c r="C312" s="1072">
        <f>'Whitman Reg - Price Out'!R77</f>
        <v>0.23</v>
      </c>
      <c r="E312" s="1072">
        <f>B312+C312</f>
        <v>4.2300000000000004</v>
      </c>
      <c r="G312" s="1074">
        <f t="shared" ref="G312:G315" si="73">(B312*$C$7)-C312</f>
        <v>1.3428731764746071E-3</v>
      </c>
    </row>
    <row r="313" spans="1:7">
      <c r="A313" s="1054" t="s">
        <v>1997</v>
      </c>
      <c r="B313" s="1072">
        <v>4</v>
      </c>
      <c r="C313" s="1072">
        <f>'Whitman Reg - Price Out'!O87</f>
        <v>0.23134287317647462</v>
      </c>
      <c r="E313" s="1072">
        <f>B313+C313</f>
        <v>4.2313428731764748</v>
      </c>
      <c r="G313" s="1074">
        <f t="shared" si="73"/>
        <v>0</v>
      </c>
    </row>
    <row r="314" spans="1:7">
      <c r="A314" s="1054" t="s">
        <v>1998</v>
      </c>
      <c r="B314" s="1072">
        <v>11</v>
      </c>
      <c r="C314" s="1072">
        <f>'Whitman Reg - Price Out'!O86</f>
        <v>0.63619290123530514</v>
      </c>
      <c r="E314" s="1072">
        <f>B314+C314</f>
        <v>11.636192901235304</v>
      </c>
      <c r="G314" s="1074">
        <f t="shared" si="73"/>
        <v>0</v>
      </c>
    </row>
    <row r="315" spans="1:7">
      <c r="A315" s="1054" t="s">
        <v>1999</v>
      </c>
      <c r="B315" s="1072">
        <v>17.399999999999999</v>
      </c>
      <c r="C315" s="1072">
        <f>'Whitman Reg - Price Out'!O76</f>
        <v>1.0063414983176644</v>
      </c>
      <c r="E315" s="1072">
        <f>B315+C315</f>
        <v>18.406341498317662</v>
      </c>
      <c r="G315" s="1074">
        <f t="shared" si="73"/>
        <v>0</v>
      </c>
    </row>
    <row r="316" spans="1:7">
      <c r="G316" s="1094"/>
    </row>
    <row r="317" spans="1:7">
      <c r="A317" s="1054" t="s">
        <v>1955</v>
      </c>
      <c r="B317" s="1072">
        <v>7.48</v>
      </c>
      <c r="C317" s="1072">
        <f>'Whitman Reg - Price Out'!R80</f>
        <v>0.43</v>
      </c>
      <c r="E317" s="1072">
        <f>B317+C317</f>
        <v>7.91</v>
      </c>
      <c r="G317" s="1074">
        <f t="shared" ref="G317:G319" si="74">(B317*$C$7)-C317</f>
        <v>2.6111728400075584E-3</v>
      </c>
    </row>
    <row r="318" spans="1:7">
      <c r="A318" s="1054" t="s">
        <v>1998</v>
      </c>
      <c r="B318" s="1072">
        <v>14.99</v>
      </c>
      <c r="C318" s="1072">
        <f>ROUND(B318*$C$7,2)</f>
        <v>0.87</v>
      </c>
      <c r="E318" s="1072">
        <f>B318+C318</f>
        <v>15.86</v>
      </c>
      <c r="G318" s="1074">
        <f t="shared" si="74"/>
        <v>-3.0425827711613174E-3</v>
      </c>
    </row>
    <row r="319" spans="1:7">
      <c r="A319" s="1054" t="s">
        <v>2000</v>
      </c>
      <c r="B319" s="1072">
        <v>32.39</v>
      </c>
      <c r="C319" s="1072">
        <f>'Whitman Reg - Price Out'!O79</f>
        <v>1.8732989155465032</v>
      </c>
      <c r="E319" s="1072">
        <f>B319+C319</f>
        <v>34.263298915546507</v>
      </c>
      <c r="G319" s="1074">
        <f t="shared" si="74"/>
        <v>0</v>
      </c>
    </row>
    <row r="320" spans="1:7">
      <c r="G320" s="1094"/>
    </row>
    <row r="321" spans="1:33">
      <c r="A321" s="1054" t="s">
        <v>1956</v>
      </c>
      <c r="B321" s="1072">
        <v>8.93</v>
      </c>
      <c r="C321" s="1072">
        <f>'Whitman Reg - Price Out'!R83</f>
        <v>0.52</v>
      </c>
      <c r="E321" s="1072">
        <f>B321+C321</f>
        <v>9.4499999999999993</v>
      </c>
      <c r="G321" s="1074">
        <f t="shared" ref="G321:G323" si="75">(B321*$C$7)-C321</f>
        <v>-3.5270356335204145E-3</v>
      </c>
    </row>
    <row r="322" spans="1:33">
      <c r="A322" s="1054" t="s">
        <v>1998</v>
      </c>
      <c r="B322" s="1072">
        <v>17.89</v>
      </c>
      <c r="C322" s="1072">
        <f>ROUND(B322*$C$7,2)</f>
        <v>1.03</v>
      </c>
      <c r="E322" s="1072">
        <f>B322+C322</f>
        <v>18.920000000000002</v>
      </c>
      <c r="G322" s="1074">
        <f t="shared" si="75"/>
        <v>4.6810002817827545E-3</v>
      </c>
    </row>
    <row r="323" spans="1:33">
      <c r="A323" s="1054" t="s">
        <v>2000</v>
      </c>
      <c r="B323" s="1072">
        <v>38.68</v>
      </c>
      <c r="C323" s="1072">
        <f>'Whitman Reg - Price Out'!O82</f>
        <v>2.2370855836165093</v>
      </c>
      <c r="E323" s="1072">
        <f>B323+C323</f>
        <v>40.917085583616512</v>
      </c>
      <c r="G323" s="1074">
        <f t="shared" si="75"/>
        <v>0</v>
      </c>
    </row>
    <row r="324" spans="1:33">
      <c r="G324" s="1054"/>
    </row>
    <row r="325" spans="1:33">
      <c r="A325" s="1078" t="s">
        <v>1936</v>
      </c>
      <c r="G325" s="1054"/>
    </row>
    <row r="326" spans="1:33">
      <c r="A326" s="1057" t="s">
        <v>2054</v>
      </c>
      <c r="G326" s="1054"/>
      <c r="H326" s="178"/>
      <c r="I326" s="1009"/>
      <c r="J326" s="1009"/>
      <c r="K326" s="1009"/>
      <c r="L326" s="1009"/>
      <c r="M326" s="1009"/>
      <c r="N326" s="1009"/>
      <c r="O326" s="1009"/>
      <c r="P326" s="1009"/>
      <c r="Q326" s="1009"/>
      <c r="R326" s="1009"/>
      <c r="S326" s="1009"/>
      <c r="T326" s="1009"/>
      <c r="U326" s="1009"/>
      <c r="V326" s="1009"/>
      <c r="W326" s="1009"/>
      <c r="X326" s="1009"/>
      <c r="Y326" s="1009"/>
      <c r="Z326" s="1009"/>
      <c r="AA326" s="1009"/>
      <c r="AB326" s="1009"/>
      <c r="AC326" s="1009"/>
      <c r="AD326" s="1009"/>
      <c r="AE326" s="1009"/>
      <c r="AF326" s="1009"/>
      <c r="AG326" s="1097" t="s">
        <v>2001</v>
      </c>
    </row>
    <row r="327" spans="1:33">
      <c r="A327" s="1054" t="s">
        <v>1996</v>
      </c>
      <c r="B327" s="1072">
        <v>4.0199999999999996</v>
      </c>
      <c r="C327" s="1072">
        <f>'Spokane Reg - Price out'!T47</f>
        <v>0.23</v>
      </c>
      <c r="E327" s="1072">
        <f>B327+C327</f>
        <v>4.25</v>
      </c>
      <c r="G327" s="1074">
        <f t="shared" ref="G327:G330" si="76">(B327*$C$7)-C327</f>
        <v>2.4995875423569625E-3</v>
      </c>
      <c r="H327" s="1098"/>
      <c r="I327" s="1009"/>
      <c r="J327" s="1009"/>
      <c r="K327" s="1009"/>
      <c r="L327" s="1009"/>
      <c r="M327" s="1009"/>
      <c r="N327" s="1009"/>
      <c r="O327" s="1009"/>
      <c r="P327" s="1009"/>
      <c r="Q327" s="1009"/>
      <c r="R327" s="1009"/>
      <c r="S327" s="1009"/>
      <c r="T327" s="1009"/>
      <c r="U327" s="1009"/>
      <c r="V327" s="1009"/>
      <c r="W327" s="1009"/>
      <c r="X327" s="1009"/>
      <c r="Y327" s="1009"/>
      <c r="Z327" s="1009"/>
      <c r="AA327" s="1009"/>
      <c r="AB327" s="1009"/>
      <c r="AC327" s="1009"/>
      <c r="AD327" s="1009"/>
      <c r="AE327" s="1009"/>
      <c r="AF327" s="1009"/>
      <c r="AG327" s="1099">
        <v>0.12569444444444444</v>
      </c>
    </row>
    <row r="328" spans="1:33">
      <c r="A328" s="1054" t="s">
        <v>1997</v>
      </c>
      <c r="B328" s="1072">
        <f>B327</f>
        <v>4.0199999999999996</v>
      </c>
      <c r="C328" s="1072">
        <f>'Spokane Reg - Price out'!Q59</f>
        <v>0.23249958754235697</v>
      </c>
      <c r="E328" s="1072">
        <f>B328+C328</f>
        <v>4.2524995875423564</v>
      </c>
      <c r="G328" s="1074">
        <f t="shared" si="76"/>
        <v>0</v>
      </c>
      <c r="H328" s="1071"/>
      <c r="I328" s="1009"/>
      <c r="J328" s="1009"/>
      <c r="K328" s="1009"/>
      <c r="L328" s="1009"/>
      <c r="M328" s="1009"/>
      <c r="N328" s="1009"/>
      <c r="O328" s="1009"/>
      <c r="P328" s="1009"/>
      <c r="Q328" s="1009"/>
      <c r="R328" s="1009"/>
      <c r="S328" s="1009"/>
      <c r="T328" s="1009"/>
      <c r="U328" s="1009"/>
      <c r="V328" s="1009"/>
      <c r="W328" s="1009"/>
      <c r="X328" s="1009"/>
      <c r="Y328" s="1009"/>
      <c r="Z328" s="1009"/>
      <c r="AA328" s="1009"/>
      <c r="AB328" s="1009"/>
      <c r="AC328" s="1009"/>
      <c r="AD328" s="1009"/>
      <c r="AE328" s="1009"/>
      <c r="AF328" s="1009"/>
      <c r="AG328" s="1009">
        <v>1</v>
      </c>
    </row>
    <row r="329" spans="1:33">
      <c r="A329" s="1054" t="s">
        <v>1998</v>
      </c>
      <c r="B329" s="1072">
        <v>11.54</v>
      </c>
      <c r="C329" s="1072">
        <f>'Spokane Reg - Price out'!Q51</f>
        <v>0.66742418911412926</v>
      </c>
      <c r="E329" s="1072">
        <f>B329+C329</f>
        <v>12.207424189114128</v>
      </c>
      <c r="G329" s="1074">
        <f t="shared" si="76"/>
        <v>0</v>
      </c>
      <c r="H329" s="1071"/>
      <c r="I329" s="1009"/>
      <c r="J329" s="1009"/>
      <c r="K329" s="1009"/>
      <c r="L329" s="1009"/>
      <c r="M329" s="1009"/>
      <c r="N329" s="1009"/>
      <c r="O329" s="1009"/>
      <c r="P329" s="1009"/>
      <c r="Q329" s="1009"/>
      <c r="R329" s="1009"/>
      <c r="S329" s="1009"/>
      <c r="T329" s="1009"/>
      <c r="U329" s="1009"/>
      <c r="V329" s="1009"/>
      <c r="W329" s="1009"/>
      <c r="X329" s="1009"/>
      <c r="Y329" s="1009"/>
      <c r="Z329" s="1009"/>
      <c r="AA329" s="1009"/>
      <c r="AB329" s="1009"/>
      <c r="AC329" s="1009"/>
      <c r="AD329" s="1009"/>
      <c r="AE329" s="1009"/>
      <c r="AF329" s="1009"/>
      <c r="AG329" s="1009">
        <v>1.5</v>
      </c>
    </row>
    <row r="330" spans="1:33">
      <c r="A330" s="1054" t="s">
        <v>1999</v>
      </c>
      <c r="B330" s="1072">
        <v>18.14</v>
      </c>
      <c r="C330" s="1072">
        <f>'Spokane Reg - Price out'!Q46</f>
        <v>1.0491399298553123</v>
      </c>
      <c r="E330" s="1072">
        <f>B330+C330</f>
        <v>19.189139929855312</v>
      </c>
      <c r="G330" s="1074">
        <f t="shared" si="76"/>
        <v>0</v>
      </c>
      <c r="H330" s="1071"/>
      <c r="I330" s="1009"/>
      <c r="J330" s="1009"/>
      <c r="K330" s="1009"/>
      <c r="L330" s="1009"/>
      <c r="M330" s="1009"/>
      <c r="N330" s="1009"/>
      <c r="O330" s="1009"/>
      <c r="P330" s="1009"/>
      <c r="Q330" s="1009"/>
      <c r="R330" s="1009"/>
      <c r="S330" s="1009"/>
      <c r="T330" s="1009"/>
      <c r="U330" s="1009"/>
      <c r="V330" s="1009"/>
      <c r="W330" s="1009"/>
      <c r="X330" s="1009"/>
      <c r="Y330" s="1009"/>
      <c r="Z330" s="1009"/>
      <c r="AA330" s="1009"/>
      <c r="AB330" s="1009"/>
      <c r="AC330" s="1009"/>
      <c r="AD330" s="1009"/>
      <c r="AE330" s="1009"/>
      <c r="AF330" s="1009"/>
      <c r="AG330" s="1009">
        <v>2</v>
      </c>
    </row>
    <row r="331" spans="1:33">
      <c r="G331" s="1054"/>
      <c r="H331" s="1071"/>
      <c r="I331" s="1009"/>
      <c r="J331" s="1009"/>
      <c r="K331" s="1009"/>
      <c r="L331" s="1009"/>
      <c r="M331" s="1009"/>
      <c r="N331" s="1009"/>
      <c r="O331" s="1009"/>
      <c r="P331" s="1009"/>
      <c r="Q331" s="1009"/>
      <c r="R331" s="1009"/>
      <c r="S331" s="1009"/>
      <c r="T331" s="1009"/>
      <c r="U331" s="1009"/>
      <c r="V331" s="1009"/>
      <c r="W331" s="1009"/>
      <c r="X331" s="1009"/>
      <c r="Y331" s="1009"/>
      <c r="Z331" s="1009"/>
      <c r="AA331" s="1009"/>
      <c r="AB331" s="1009"/>
      <c r="AC331" s="1009"/>
      <c r="AD331" s="1009"/>
      <c r="AE331" s="1009"/>
      <c r="AF331" s="1009"/>
      <c r="AG331" s="1009">
        <v>3</v>
      </c>
    </row>
    <row r="332" spans="1:33">
      <c r="A332" s="1054" t="s">
        <v>1955</v>
      </c>
      <c r="B332" s="1072">
        <v>7.86</v>
      </c>
      <c r="C332" s="1072">
        <f>ROUND(B332*$C$7,2)</f>
        <v>0.45</v>
      </c>
      <c r="E332" s="1072">
        <f>B332+C332</f>
        <v>8.31</v>
      </c>
      <c r="G332" s="1074">
        <f t="shared" ref="G332:G334" si="77">(B332*$C$7)-C332</f>
        <v>4.5887457917726526E-3</v>
      </c>
      <c r="H332" s="1071"/>
      <c r="I332" s="1009"/>
      <c r="J332" s="1009"/>
      <c r="K332" s="1009"/>
      <c r="L332" s="1009"/>
      <c r="M332" s="1009"/>
      <c r="N332" s="1009"/>
      <c r="O332" s="1009"/>
      <c r="P332" s="1009"/>
      <c r="Q332" s="1009"/>
      <c r="R332" s="1009"/>
      <c r="S332" s="1009"/>
      <c r="T332" s="1009"/>
      <c r="U332" s="1009"/>
      <c r="V332" s="1009"/>
      <c r="W332" s="1009"/>
      <c r="X332" s="1009"/>
      <c r="Y332" s="1009"/>
      <c r="Z332" s="1009"/>
      <c r="AA332" s="1009"/>
      <c r="AB332" s="1009"/>
      <c r="AC332" s="1009"/>
      <c r="AD332" s="1009"/>
      <c r="AE332" s="1009"/>
      <c r="AF332" s="1009"/>
      <c r="AG332" s="1009">
        <v>4</v>
      </c>
    </row>
    <row r="333" spans="1:33">
      <c r="A333" s="1054" t="s">
        <v>1998</v>
      </c>
      <c r="B333" s="1072">
        <v>15.71</v>
      </c>
      <c r="C333" s="1072">
        <f>ROUND(B333*$C$7,2)</f>
        <v>0.91</v>
      </c>
      <c r="E333" s="1072">
        <f>B333+C333</f>
        <v>16.62</v>
      </c>
      <c r="G333" s="1074">
        <f t="shared" si="77"/>
        <v>-1.4008655993958952E-3</v>
      </c>
      <c r="H333" s="1071"/>
      <c r="I333" s="1009"/>
      <c r="J333" s="1009"/>
      <c r="K333" s="1009"/>
      <c r="L333" s="1009"/>
      <c r="M333" s="1009"/>
      <c r="N333" s="1009"/>
      <c r="O333" s="1009"/>
      <c r="P333" s="1009"/>
      <c r="Q333" s="1009"/>
      <c r="R333" s="1009"/>
      <c r="S333" s="1009"/>
      <c r="T333" s="1009"/>
      <c r="U333" s="1009"/>
      <c r="V333" s="1009"/>
      <c r="W333" s="1009"/>
      <c r="X333" s="1009"/>
      <c r="Y333" s="1009"/>
      <c r="Z333" s="1009"/>
      <c r="AA333" s="1009"/>
      <c r="AB333" s="1009"/>
      <c r="AC333" s="1009"/>
      <c r="AD333" s="1009"/>
      <c r="AE333" s="1009"/>
      <c r="AF333" s="1009"/>
      <c r="AG333" s="1009">
        <v>5</v>
      </c>
    </row>
    <row r="334" spans="1:33">
      <c r="A334" s="1054" t="s">
        <v>2000</v>
      </c>
      <c r="B334" s="1072">
        <v>34.03</v>
      </c>
      <c r="C334" s="1072">
        <f>'Spokane Reg - Price out'!Q48</f>
        <v>1.9681494935488579</v>
      </c>
      <c r="E334" s="1072">
        <f>B334+C334</f>
        <v>35.998149493548858</v>
      </c>
      <c r="G334" s="1074">
        <f t="shared" si="77"/>
        <v>0</v>
      </c>
      <c r="H334" s="1071"/>
      <c r="I334" s="1009"/>
      <c r="J334" s="1009"/>
      <c r="K334" s="1009"/>
      <c r="L334" s="1009"/>
      <c r="M334" s="1009"/>
      <c r="N334" s="1009"/>
      <c r="O334" s="1009"/>
      <c r="P334" s="1009"/>
      <c r="Q334" s="1009"/>
      <c r="R334" s="1009"/>
      <c r="S334" s="1009"/>
      <c r="T334" s="1009"/>
      <c r="U334" s="1009"/>
      <c r="V334" s="1009"/>
      <c r="W334" s="1009"/>
      <c r="X334" s="1009"/>
      <c r="Y334" s="1009"/>
      <c r="Z334" s="1009"/>
      <c r="AA334" s="1009"/>
      <c r="AB334" s="1009"/>
      <c r="AC334" s="1009"/>
      <c r="AD334" s="1009"/>
      <c r="AE334" s="1009"/>
      <c r="AF334" s="1009"/>
      <c r="AG334" s="1009">
        <v>6</v>
      </c>
    </row>
    <row r="335" spans="1:33">
      <c r="G335" s="1054"/>
    </row>
    <row r="336" spans="1:33">
      <c r="A336" s="1054" t="s">
        <v>1956</v>
      </c>
      <c r="B336" s="1072">
        <v>9.65</v>
      </c>
      <c r="C336" s="1072">
        <f>'Spokane Reg - Price out'!T50</f>
        <v>0.56000000000000005</v>
      </c>
      <c r="E336" s="1072">
        <f>B336+C336</f>
        <v>10.210000000000001</v>
      </c>
      <c r="G336" s="1074">
        <f t="shared" ref="G336:G338" si="78">(B336*$C$7)-C336</f>
        <v>-1.8853184617549923E-3</v>
      </c>
    </row>
    <row r="337" spans="1:7">
      <c r="A337" s="1054" t="s">
        <v>1998</v>
      </c>
      <c r="B337" s="1072">
        <v>19.28</v>
      </c>
      <c r="C337" s="1072">
        <f>ROUND(B337*$C$7,2)</f>
        <v>1.1200000000000001</v>
      </c>
      <c r="E337" s="1072">
        <f>B337+C337</f>
        <v>20.400000000000002</v>
      </c>
      <c r="G337" s="1074">
        <f t="shared" si="78"/>
        <v>-4.9273512893923677E-3</v>
      </c>
    </row>
    <row r="338" spans="1:7">
      <c r="A338" s="1054" t="s">
        <v>2000</v>
      </c>
      <c r="B338" s="1072">
        <v>41.8</v>
      </c>
      <c r="C338" s="1072">
        <f>'Spokane Reg - Price out'!Q49</f>
        <v>2.4175330246941598</v>
      </c>
      <c r="E338" s="1072">
        <f>B338+C338</f>
        <v>44.217533024694156</v>
      </c>
      <c r="G338" s="1074">
        <f t="shared" si="78"/>
        <v>0</v>
      </c>
    </row>
    <row r="339" spans="1:7">
      <c r="G339" s="1054"/>
    </row>
    <row r="340" spans="1:7">
      <c r="A340" s="1077" t="s">
        <v>1932</v>
      </c>
      <c r="G340" s="1054"/>
    </row>
    <row r="341" spans="1:7">
      <c r="A341" s="1057" t="s">
        <v>2055</v>
      </c>
      <c r="G341" s="1054"/>
    </row>
    <row r="342" spans="1:7">
      <c r="A342" s="1057" t="s">
        <v>2002</v>
      </c>
      <c r="G342" s="1054"/>
    </row>
    <row r="343" spans="1:7">
      <c r="A343" s="1054" t="s">
        <v>1921</v>
      </c>
      <c r="B343" s="1072">
        <v>50.65</v>
      </c>
      <c r="C343" s="1072">
        <f t="shared" ref="C343:C349" si="79">ROUND(B343*$C$7,2)</f>
        <v>2.93</v>
      </c>
      <c r="E343" s="1072">
        <f t="shared" ref="E343:E349" si="80">B343+C343</f>
        <v>53.58</v>
      </c>
      <c r="G343" s="1074">
        <f t="shared" ref="G343:G349" si="81">(B343*$C$7)-C343</f>
        <v>-6.208684028905509E-4</v>
      </c>
    </row>
    <row r="344" spans="1:7">
      <c r="A344" s="1054" t="s">
        <v>1922</v>
      </c>
      <c r="B344" s="1072">
        <v>77.2</v>
      </c>
      <c r="C344" s="1072">
        <f t="shared" si="79"/>
        <v>4.46</v>
      </c>
      <c r="E344" s="1072">
        <f t="shared" si="80"/>
        <v>81.66</v>
      </c>
      <c r="G344" s="1074">
        <f t="shared" si="81"/>
        <v>4.9174523059605235E-3</v>
      </c>
    </row>
    <row r="345" spans="1:7">
      <c r="A345" s="1054" t="s">
        <v>1924</v>
      </c>
      <c r="B345" s="1072">
        <v>102.66</v>
      </c>
      <c r="C345" s="1072">
        <f t="shared" si="79"/>
        <v>5.94</v>
      </c>
      <c r="E345" s="1072">
        <f t="shared" si="80"/>
        <v>108.6</v>
      </c>
      <c r="G345" s="1074">
        <f t="shared" si="81"/>
        <v>-2.5851599257791236E-3</v>
      </c>
    </row>
    <row r="346" spans="1:7">
      <c r="A346" s="1054" t="s">
        <v>1925</v>
      </c>
      <c r="B346" s="1072">
        <v>144.69999999999999</v>
      </c>
      <c r="C346" s="1072">
        <f t="shared" si="79"/>
        <v>8.3699999999999992</v>
      </c>
      <c r="E346" s="1072">
        <f t="shared" si="80"/>
        <v>153.07</v>
      </c>
      <c r="G346" s="1074">
        <f t="shared" si="81"/>
        <v>-1.1715628410300383E-3</v>
      </c>
    </row>
    <row r="347" spans="1:7">
      <c r="A347" s="1054" t="s">
        <v>1926</v>
      </c>
      <c r="B347" s="1072">
        <v>192.31</v>
      </c>
      <c r="C347" s="1072">
        <f t="shared" si="79"/>
        <v>11.12</v>
      </c>
      <c r="E347" s="1072">
        <f t="shared" si="80"/>
        <v>203.43</v>
      </c>
      <c r="G347" s="1074">
        <f t="shared" si="81"/>
        <v>2.3869851419586752E-3</v>
      </c>
    </row>
    <row r="348" spans="1:7">
      <c r="A348" s="1054" t="s">
        <v>1927</v>
      </c>
      <c r="B348" s="1072">
        <v>264.39999999999998</v>
      </c>
      <c r="C348" s="1072">
        <f t="shared" si="79"/>
        <v>15.29</v>
      </c>
      <c r="E348" s="1072">
        <f t="shared" si="80"/>
        <v>279.69</v>
      </c>
      <c r="G348" s="1074">
        <f t="shared" si="81"/>
        <v>1.7639169649719122E-3</v>
      </c>
    </row>
    <row r="349" spans="1:7">
      <c r="A349" s="1054" t="s">
        <v>1929</v>
      </c>
      <c r="B349" s="1072">
        <v>313.67</v>
      </c>
      <c r="C349" s="1072">
        <f t="shared" si="79"/>
        <v>18.14</v>
      </c>
      <c r="E349" s="1072">
        <f t="shared" si="80"/>
        <v>331.81</v>
      </c>
      <c r="G349" s="1074">
        <f t="shared" si="81"/>
        <v>1.3297573161992204E-3</v>
      </c>
    </row>
    <row r="350" spans="1:7">
      <c r="A350" s="1057" t="s">
        <v>2003</v>
      </c>
      <c r="G350" s="1094"/>
    </row>
    <row r="351" spans="1:7">
      <c r="A351" s="1054" t="s">
        <v>1921</v>
      </c>
      <c r="B351" s="1072">
        <v>87.06</v>
      </c>
      <c r="C351" s="1072">
        <f t="shared" ref="C351:C357" si="82">ROUND(B351*$C$7,2)</f>
        <v>5.04</v>
      </c>
      <c r="E351" s="1072">
        <f t="shared" ref="E351:E357" si="83">B351+C351</f>
        <v>92.100000000000009</v>
      </c>
      <c r="G351" s="1074">
        <f t="shared" ref="G351:G357" si="84">(B351*$C$7)-C351</f>
        <v>-4.8223653140295752E-3</v>
      </c>
    </row>
    <row r="352" spans="1:7">
      <c r="A352" s="1054" t="s">
        <v>1922</v>
      </c>
      <c r="B352" s="1072">
        <v>135.31</v>
      </c>
      <c r="C352" s="1072">
        <f t="shared" si="82"/>
        <v>7.83</v>
      </c>
      <c r="E352" s="1072">
        <f t="shared" si="83"/>
        <v>143.14000000000001</v>
      </c>
      <c r="G352" s="1074">
        <f t="shared" si="84"/>
        <v>-4.2489576228046388E-3</v>
      </c>
    </row>
    <row r="353" spans="1:7">
      <c r="A353" s="1054" t="s">
        <v>1924</v>
      </c>
      <c r="B353" s="1072">
        <v>176.99</v>
      </c>
      <c r="C353" s="1072">
        <f t="shared" si="82"/>
        <v>10.24</v>
      </c>
      <c r="E353" s="1072">
        <f t="shared" si="83"/>
        <v>187.23000000000002</v>
      </c>
      <c r="G353" s="1074">
        <f t="shared" si="84"/>
        <v>-3.6562191239397634E-3</v>
      </c>
    </row>
    <row r="354" spans="1:7">
      <c r="A354" s="1054" t="s">
        <v>1925</v>
      </c>
      <c r="B354" s="1072">
        <v>259.22000000000003</v>
      </c>
      <c r="C354" s="1072">
        <f t="shared" si="82"/>
        <v>14.99</v>
      </c>
      <c r="E354" s="1072">
        <f t="shared" si="83"/>
        <v>274.21000000000004</v>
      </c>
      <c r="G354" s="1074">
        <f t="shared" si="84"/>
        <v>2.1748962014385143E-3</v>
      </c>
    </row>
    <row r="355" spans="1:7">
      <c r="A355" s="1054" t="s">
        <v>1926</v>
      </c>
      <c r="B355" s="1072">
        <v>344.7</v>
      </c>
      <c r="C355" s="1072">
        <f t="shared" si="82"/>
        <v>19.940000000000001</v>
      </c>
      <c r="E355" s="1072">
        <f t="shared" si="83"/>
        <v>364.64</v>
      </c>
      <c r="G355" s="1074">
        <f t="shared" si="84"/>
        <v>-4.0279040173025749E-3</v>
      </c>
    </row>
    <row r="356" spans="1:7">
      <c r="A356" s="1054" t="s">
        <v>1927</v>
      </c>
      <c r="B356" s="1072">
        <v>443.55</v>
      </c>
      <c r="C356" s="1072">
        <f t="shared" si="82"/>
        <v>25.65</v>
      </c>
      <c r="E356" s="1072">
        <f t="shared" si="83"/>
        <v>469.2</v>
      </c>
      <c r="G356" s="1074">
        <f t="shared" si="84"/>
        <v>3.0328493563303027E-3</v>
      </c>
    </row>
    <row r="357" spans="1:7">
      <c r="A357" s="1054" t="s">
        <v>1929</v>
      </c>
      <c r="B357" s="1072">
        <v>530.80999999999995</v>
      </c>
      <c r="C357" s="1072">
        <f t="shared" si="82"/>
        <v>30.7</v>
      </c>
      <c r="E357" s="1072">
        <f t="shared" si="83"/>
        <v>561.51</v>
      </c>
      <c r="G357" s="1074">
        <f t="shared" si="84"/>
        <v>-2.2237229887878129E-4</v>
      </c>
    </row>
    <row r="358" spans="1:7">
      <c r="G358" s="1054"/>
    </row>
    <row r="359" spans="1:7">
      <c r="A359" s="1054" t="s">
        <v>2004</v>
      </c>
      <c r="B359" s="1072">
        <v>5.75</v>
      </c>
      <c r="C359" s="1072">
        <f>ROUND(B359*$C$7,2)</f>
        <v>0.33</v>
      </c>
      <c r="E359" s="1072">
        <f>B359+C359</f>
        <v>6.08</v>
      </c>
      <c r="G359" s="1074">
        <f>(B359*$C$7)-C359</f>
        <v>2.5553801911822327E-3</v>
      </c>
    </row>
    <row r="360" spans="1:7">
      <c r="G360" s="1054"/>
    </row>
    <row r="361" spans="1:7">
      <c r="A361" s="1078" t="s">
        <v>1936</v>
      </c>
      <c r="G361" s="1054"/>
    </row>
    <row r="362" spans="1:7">
      <c r="A362" s="1057" t="s">
        <v>2056</v>
      </c>
      <c r="G362" s="1054"/>
    </row>
    <row r="363" spans="1:7">
      <c r="A363" s="1057" t="s">
        <v>2005</v>
      </c>
      <c r="G363" s="1054"/>
    </row>
    <row r="364" spans="1:7">
      <c r="A364" s="1054" t="s">
        <v>1921</v>
      </c>
      <c r="B364" s="1072">
        <v>58.24</v>
      </c>
      <c r="C364" s="1072">
        <f t="shared" ref="C364:C370" si="85">ROUND(B364*$C$7,2)</f>
        <v>3.37</v>
      </c>
      <c r="E364" s="1072">
        <f t="shared" ref="E364:E370" si="86">B364+C364</f>
        <v>61.61</v>
      </c>
      <c r="G364" s="1074">
        <f t="shared" ref="G364:G370" si="87">(B364*$C$7)-C364</f>
        <v>-1.6477665505294503E-3</v>
      </c>
    </row>
    <row r="365" spans="1:7">
      <c r="A365" s="1054" t="s">
        <v>1922</v>
      </c>
      <c r="B365" s="1072">
        <v>74.64</v>
      </c>
      <c r="C365" s="1072">
        <f t="shared" si="85"/>
        <v>4.32</v>
      </c>
      <c r="E365" s="1072">
        <f t="shared" si="86"/>
        <v>78.960000000000008</v>
      </c>
      <c r="G365" s="1074">
        <f t="shared" si="87"/>
        <v>-3.141986526983942E-3</v>
      </c>
    </row>
    <row r="366" spans="1:7">
      <c r="A366" s="1054" t="s">
        <v>1924</v>
      </c>
      <c r="B366" s="1072">
        <v>99.28</v>
      </c>
      <c r="C366" s="1072">
        <f t="shared" si="85"/>
        <v>5.74</v>
      </c>
      <c r="E366" s="1072">
        <f t="shared" si="86"/>
        <v>105.02</v>
      </c>
      <c r="G366" s="1074">
        <f t="shared" si="87"/>
        <v>1.9301122400996462E-3</v>
      </c>
    </row>
    <row r="367" spans="1:7">
      <c r="A367" s="1054" t="s">
        <v>1925</v>
      </c>
      <c r="B367" s="1072">
        <v>139.41999999999999</v>
      </c>
      <c r="C367" s="1072">
        <f t="shared" si="85"/>
        <v>8.06</v>
      </c>
      <c r="E367" s="1072">
        <f t="shared" si="86"/>
        <v>147.47999999999999</v>
      </c>
      <c r="G367" s="1074">
        <f t="shared" si="87"/>
        <v>3.4558445660213266E-3</v>
      </c>
    </row>
    <row r="368" spans="1:7">
      <c r="A368" s="1054" t="s">
        <v>1926</v>
      </c>
      <c r="B368" s="1072">
        <v>184.7</v>
      </c>
      <c r="C368" s="1072">
        <f t="shared" si="85"/>
        <v>10.68</v>
      </c>
      <c r="E368" s="1072">
        <f t="shared" si="86"/>
        <v>195.38</v>
      </c>
      <c r="G368" s="1074">
        <f t="shared" si="87"/>
        <v>2.2571689237143033E-3</v>
      </c>
    </row>
    <row r="369" spans="1:7">
      <c r="A369" s="1054" t="s">
        <v>1927</v>
      </c>
      <c r="B369" s="1072">
        <v>268.01</v>
      </c>
      <c r="C369" s="1072">
        <f t="shared" si="85"/>
        <v>15.5</v>
      </c>
      <c r="E369" s="1072">
        <f t="shared" si="86"/>
        <v>283.51</v>
      </c>
      <c r="G369" s="1074">
        <f t="shared" si="87"/>
        <v>5.5086000674009483E-4</v>
      </c>
    </row>
    <row r="370" spans="1:7">
      <c r="A370" s="1054" t="s">
        <v>1929</v>
      </c>
      <c r="B370" s="1072">
        <v>293.17</v>
      </c>
      <c r="C370" s="1072">
        <f t="shared" si="85"/>
        <v>16.96</v>
      </c>
      <c r="E370" s="1072">
        <f t="shared" si="86"/>
        <v>310.13</v>
      </c>
      <c r="G370" s="1074">
        <f t="shared" si="87"/>
        <v>-4.3024677132343925E-3</v>
      </c>
    </row>
    <row r="371" spans="1:7">
      <c r="A371" s="1057" t="s">
        <v>2003</v>
      </c>
      <c r="G371" s="1054"/>
    </row>
    <row r="372" spans="1:7">
      <c r="A372" s="1054" t="s">
        <v>1921</v>
      </c>
      <c r="B372" s="1072">
        <v>104.14</v>
      </c>
      <c r="C372" s="1072">
        <f t="shared" ref="C372:C378" si="88">ROUND(B372*$C$7,2)</f>
        <v>6.02</v>
      </c>
      <c r="E372" s="1072">
        <f t="shared" ref="E372:E378" si="89">B372+C372</f>
        <v>110.16</v>
      </c>
      <c r="G372" s="1074">
        <f t="shared" ref="G372:G378" si="90">(B372*$C$7)-C372</f>
        <v>3.0117031495171531E-3</v>
      </c>
    </row>
    <row r="373" spans="1:7">
      <c r="A373" s="1054" t="s">
        <v>1922</v>
      </c>
      <c r="B373" s="1072">
        <v>143.32</v>
      </c>
      <c r="C373" s="1072">
        <f t="shared" si="88"/>
        <v>8.2899999999999991</v>
      </c>
      <c r="E373" s="1072">
        <f t="shared" si="89"/>
        <v>151.60999999999999</v>
      </c>
      <c r="G373" s="1074">
        <f t="shared" si="90"/>
        <v>-9.8485408691395548E-4</v>
      </c>
    </row>
    <row r="374" spans="1:7">
      <c r="A374" s="1054" t="s">
        <v>1924</v>
      </c>
      <c r="B374" s="1072">
        <v>190.02</v>
      </c>
      <c r="C374" s="1072">
        <f t="shared" si="88"/>
        <v>10.99</v>
      </c>
      <c r="E374" s="1072">
        <f t="shared" si="89"/>
        <v>201.01000000000002</v>
      </c>
      <c r="G374" s="1074">
        <f t="shared" si="90"/>
        <v>-5.6809751573183576E-5</v>
      </c>
    </row>
    <row r="375" spans="1:7">
      <c r="A375" s="1054" t="s">
        <v>1925</v>
      </c>
      <c r="B375" s="1072">
        <v>284.17</v>
      </c>
      <c r="C375" s="1072">
        <f t="shared" si="88"/>
        <v>16.440000000000001</v>
      </c>
      <c r="E375" s="1072">
        <f t="shared" si="89"/>
        <v>300.61</v>
      </c>
      <c r="G375" s="1074">
        <f t="shared" si="90"/>
        <v>-4.8239323603027628E-3</v>
      </c>
    </row>
    <row r="376" spans="1:7">
      <c r="A376" s="1054" t="s">
        <v>1926</v>
      </c>
      <c r="B376" s="1072">
        <v>376.01</v>
      </c>
      <c r="C376" s="1072">
        <f t="shared" si="88"/>
        <v>21.75</v>
      </c>
      <c r="E376" s="1072">
        <f t="shared" si="89"/>
        <v>397.76</v>
      </c>
      <c r="G376" s="1074">
        <f t="shared" si="90"/>
        <v>-3.1915642284445767E-3</v>
      </c>
    </row>
    <row r="377" spans="1:7">
      <c r="A377" s="1054" t="s">
        <v>1927</v>
      </c>
      <c r="B377" s="1072">
        <v>478.28</v>
      </c>
      <c r="C377" s="1072">
        <f t="shared" si="88"/>
        <v>27.66</v>
      </c>
      <c r="E377" s="1072">
        <f t="shared" si="89"/>
        <v>505.94</v>
      </c>
      <c r="G377" s="1074">
        <f t="shared" si="90"/>
        <v>1.6673457110698564E-3</v>
      </c>
    </row>
    <row r="378" spans="1:7">
      <c r="A378" s="1054" t="s">
        <v>1929</v>
      </c>
      <c r="B378" s="1072">
        <v>558.07000000000005</v>
      </c>
      <c r="C378" s="1072">
        <f t="shared" si="88"/>
        <v>32.28</v>
      </c>
      <c r="E378" s="1072">
        <f t="shared" si="89"/>
        <v>590.35</v>
      </c>
      <c r="G378" s="1074">
        <f t="shared" si="90"/>
        <v>-3.6206916011991552E-3</v>
      </c>
    </row>
    <row r="379" spans="1:7">
      <c r="G379" s="1054"/>
    </row>
    <row r="380" spans="1:7">
      <c r="A380" s="1054" t="s">
        <v>2004</v>
      </c>
      <c r="B380" s="1072">
        <v>5.75</v>
      </c>
      <c r="C380" s="1072">
        <f>ROUND(B380*$C$7,2)</f>
        <v>0.33</v>
      </c>
      <c r="E380" s="1072">
        <f>B380+C380</f>
        <v>6.08</v>
      </c>
      <c r="G380" s="1074">
        <f>(B380*$C$7)-C380</f>
        <v>2.5553801911822327E-3</v>
      </c>
    </row>
    <row r="381" spans="1:7">
      <c r="G381" s="1054"/>
    </row>
    <row r="382" spans="1:7">
      <c r="A382" s="1077" t="s">
        <v>1932</v>
      </c>
      <c r="G382" s="1054"/>
    </row>
    <row r="383" spans="1:7">
      <c r="A383" s="1057" t="s">
        <v>2057</v>
      </c>
      <c r="G383" s="1054"/>
    </row>
    <row r="384" spans="1:7">
      <c r="A384" s="1057" t="s">
        <v>2006</v>
      </c>
      <c r="G384" s="1054"/>
    </row>
    <row r="385" spans="1:7">
      <c r="A385" s="1057" t="s">
        <v>2007</v>
      </c>
      <c r="G385" s="1054"/>
    </row>
    <row r="386" spans="1:7" s="1054" customFormat="1">
      <c r="A386" s="1054" t="s">
        <v>2008</v>
      </c>
      <c r="B386" s="1072">
        <v>40.799999999999997</v>
      </c>
      <c r="C386" s="1072">
        <f>B386*$C$7</f>
        <v>2.3596973064000411</v>
      </c>
      <c r="D386" s="1072"/>
      <c r="E386" s="1072">
        <f>B386+C386+D386</f>
        <v>43.159697306400041</v>
      </c>
      <c r="F386" s="1072"/>
      <c r="G386" s="1074">
        <f t="shared" ref="G386:G392" si="91">(B386*$C$7)-C386</f>
        <v>0</v>
      </c>
    </row>
    <row r="387" spans="1:7">
      <c r="A387" s="1054" t="s">
        <v>2009</v>
      </c>
      <c r="B387" s="1072">
        <v>40.770000000000003</v>
      </c>
      <c r="C387" s="1072">
        <f t="shared" ref="C387:C392" si="92">B387*$C$7</f>
        <v>2.3579622348512177</v>
      </c>
      <c r="E387" s="1072">
        <f t="shared" ref="E387:E392" si="93">B387+C387+D387</f>
        <v>43.127962234851218</v>
      </c>
      <c r="G387" s="1074">
        <f t="shared" si="91"/>
        <v>0</v>
      </c>
    </row>
    <row r="388" spans="1:7">
      <c r="A388" s="1054" t="s">
        <v>2010</v>
      </c>
      <c r="B388" s="1072">
        <v>40.770000000000003</v>
      </c>
      <c r="C388" s="1072">
        <f t="shared" si="92"/>
        <v>2.3579622348512177</v>
      </c>
      <c r="E388" s="1072">
        <f t="shared" si="93"/>
        <v>43.127962234851218</v>
      </c>
      <c r="G388" s="1074">
        <f t="shared" si="91"/>
        <v>0</v>
      </c>
    </row>
    <row r="389" spans="1:7">
      <c r="A389" s="1054" t="s">
        <v>2011</v>
      </c>
      <c r="B389" s="1072">
        <v>51.7</v>
      </c>
      <c r="C389" s="1072">
        <f t="shared" si="92"/>
        <v>2.9901066358059345</v>
      </c>
      <c r="E389" s="1072">
        <f t="shared" si="93"/>
        <v>54.69010663580594</v>
      </c>
      <c r="G389" s="1074">
        <f t="shared" si="91"/>
        <v>0</v>
      </c>
    </row>
    <row r="390" spans="1:7">
      <c r="A390" s="1054" t="s">
        <v>2012</v>
      </c>
      <c r="B390" s="1072">
        <v>52.42</v>
      </c>
      <c r="C390" s="1072">
        <f t="shared" si="92"/>
        <v>3.0317483529776998</v>
      </c>
      <c r="E390" s="1072">
        <f t="shared" si="93"/>
        <v>55.451748352977702</v>
      </c>
      <c r="G390" s="1074">
        <f t="shared" si="91"/>
        <v>0</v>
      </c>
    </row>
    <row r="391" spans="1:7">
      <c r="A391" s="1054" t="s">
        <v>2013</v>
      </c>
      <c r="B391" s="1072">
        <v>52.42</v>
      </c>
      <c r="C391" s="1072">
        <f t="shared" si="92"/>
        <v>3.0317483529776998</v>
      </c>
      <c r="E391" s="1072">
        <f t="shared" si="93"/>
        <v>55.451748352977702</v>
      </c>
      <c r="G391" s="1074">
        <f t="shared" si="91"/>
        <v>0</v>
      </c>
    </row>
    <row r="392" spans="1:7">
      <c r="A392" s="1054" t="s">
        <v>2014</v>
      </c>
      <c r="B392" s="1072">
        <v>70.45</v>
      </c>
      <c r="C392" s="1072">
        <f t="shared" si="92"/>
        <v>4.0745263538206595</v>
      </c>
      <c r="E392" s="1072">
        <f t="shared" si="93"/>
        <v>74.524526353820661</v>
      </c>
      <c r="G392" s="1074">
        <f t="shared" si="91"/>
        <v>0</v>
      </c>
    </row>
    <row r="393" spans="1:7">
      <c r="G393" s="1054"/>
    </row>
    <row r="394" spans="1:7">
      <c r="A394" s="1057" t="s">
        <v>2015</v>
      </c>
      <c r="G394" s="1054"/>
    </row>
    <row r="395" spans="1:7">
      <c r="A395" s="1054" t="s">
        <v>2008</v>
      </c>
      <c r="B395" s="1072">
        <v>155.09</v>
      </c>
      <c r="C395" s="1072">
        <f t="shared" ref="C395:C400" si="94">B395*$C$7</f>
        <v>8.969741550234863</v>
      </c>
      <c r="E395" s="1072">
        <f t="shared" ref="E395:E401" si="95">B395+C395+D395</f>
        <v>164.05974155023486</v>
      </c>
      <c r="G395" s="1074">
        <f t="shared" ref="G395:G401" si="96">(B395*$C$7)-C395</f>
        <v>0</v>
      </c>
    </row>
    <row r="396" spans="1:7">
      <c r="A396" s="1054" t="s">
        <v>2009</v>
      </c>
      <c r="B396" s="1072">
        <v>170.9</v>
      </c>
      <c r="C396" s="1072">
        <f t="shared" si="94"/>
        <v>9.8841242564648777</v>
      </c>
      <c r="E396" s="1072">
        <f t="shared" si="95"/>
        <v>180.78412425646488</v>
      </c>
      <c r="G396" s="1074">
        <f t="shared" si="96"/>
        <v>0</v>
      </c>
    </row>
    <row r="397" spans="1:7">
      <c r="A397" s="1054" t="s">
        <v>2010</v>
      </c>
      <c r="B397" s="1072">
        <v>187.44</v>
      </c>
      <c r="C397" s="1072">
        <f t="shared" si="94"/>
        <v>10.8407270370496</v>
      </c>
      <c r="E397" s="1072">
        <f t="shared" si="95"/>
        <v>198.28072703704959</v>
      </c>
      <c r="G397" s="1074">
        <f t="shared" si="96"/>
        <v>0</v>
      </c>
    </row>
    <row r="398" spans="1:7">
      <c r="A398" s="1054" t="s">
        <v>2011</v>
      </c>
      <c r="B398" s="1072">
        <v>229.5</v>
      </c>
      <c r="C398" s="1072">
        <f>'Whitman Reg - Price Out'!O139</f>
        <v>13.273297348500231</v>
      </c>
      <c r="E398" s="1072">
        <f t="shared" si="95"/>
        <v>242.77329734850022</v>
      </c>
      <c r="G398" s="1074">
        <f t="shared" si="96"/>
        <v>0</v>
      </c>
    </row>
    <row r="399" spans="1:7">
      <c r="A399" s="1054" t="s">
        <v>2012</v>
      </c>
      <c r="B399" s="1072">
        <v>256.58</v>
      </c>
      <c r="C399" s="1072">
        <f t="shared" si="94"/>
        <v>14.839488599904964</v>
      </c>
      <c r="E399" s="1072">
        <f t="shared" si="95"/>
        <v>271.41948859990492</v>
      </c>
      <c r="G399" s="1074">
        <f t="shared" si="96"/>
        <v>0</v>
      </c>
    </row>
    <row r="400" spans="1:7">
      <c r="A400" s="1054" t="s">
        <v>2013</v>
      </c>
      <c r="B400" s="1072">
        <v>297.52999999999997</v>
      </c>
      <c r="C400" s="1072">
        <f t="shared" si="94"/>
        <v>17.207861264049122</v>
      </c>
      <c r="E400" s="1072">
        <f t="shared" si="95"/>
        <v>314.73786126404912</v>
      </c>
      <c r="G400" s="1074">
        <f t="shared" si="96"/>
        <v>0</v>
      </c>
    </row>
    <row r="401" spans="1:7">
      <c r="A401" s="1054" t="s">
        <v>2014</v>
      </c>
      <c r="B401" s="1072">
        <v>328.75</v>
      </c>
      <c r="C401" s="1072">
        <f>'Whitman Reg - Price Out'!O141</f>
        <v>19.013492389191509</v>
      </c>
      <c r="E401" s="1072">
        <f t="shared" si="95"/>
        <v>347.76349238919153</v>
      </c>
      <c r="G401" s="1074">
        <f t="shared" si="96"/>
        <v>0</v>
      </c>
    </row>
    <row r="402" spans="1:7">
      <c r="G402" s="1054"/>
    </row>
    <row r="403" spans="1:7">
      <c r="A403" s="1057" t="s">
        <v>2016</v>
      </c>
      <c r="G403" s="1054"/>
    </row>
    <row r="404" spans="1:7">
      <c r="A404" s="1054" t="s">
        <v>2008</v>
      </c>
      <c r="B404" s="1072">
        <v>114.29</v>
      </c>
      <c r="C404" s="1072">
        <f t="shared" ref="C404:C410" si="97">B404*$C$7</f>
        <v>6.610044243834821</v>
      </c>
      <c r="E404" s="1072">
        <f t="shared" ref="E404:E410" si="98">B404+C404+D404</f>
        <v>120.90004424383483</v>
      </c>
      <c r="G404" s="1074">
        <f t="shared" ref="G404:G410" si="99">(B404*$C$7)-C404</f>
        <v>0</v>
      </c>
    </row>
    <row r="405" spans="1:7">
      <c r="A405" s="1054" t="s">
        <v>2009</v>
      </c>
      <c r="B405" s="1072">
        <v>130.13</v>
      </c>
      <c r="C405" s="1072">
        <f t="shared" si="97"/>
        <v>7.5261620216136604</v>
      </c>
      <c r="E405" s="1072">
        <f t="shared" si="98"/>
        <v>137.65616202161365</v>
      </c>
      <c r="G405" s="1074">
        <f t="shared" si="99"/>
        <v>0</v>
      </c>
    </row>
    <row r="406" spans="1:7">
      <c r="A406" s="1054" t="s">
        <v>2010</v>
      </c>
      <c r="B406" s="1072">
        <v>146.66999999999999</v>
      </c>
      <c r="C406" s="1072">
        <f t="shared" si="97"/>
        <v>8.4827648021983819</v>
      </c>
      <c r="E406" s="1072">
        <f t="shared" si="98"/>
        <v>155.15276480219836</v>
      </c>
      <c r="G406" s="1074">
        <f t="shared" si="99"/>
        <v>0</v>
      </c>
    </row>
    <row r="407" spans="1:7">
      <c r="A407" s="1054" t="s">
        <v>2011</v>
      </c>
      <c r="B407" s="1072">
        <v>177.8</v>
      </c>
      <c r="C407" s="1072">
        <f t="shared" si="97"/>
        <v>10.283190712694298</v>
      </c>
      <c r="E407" s="1072">
        <f t="shared" si="98"/>
        <v>188.08319071269432</v>
      </c>
      <c r="G407" s="1074">
        <f t="shared" si="99"/>
        <v>0</v>
      </c>
    </row>
    <row r="408" spans="1:7">
      <c r="A408" s="1054" t="s">
        <v>2012</v>
      </c>
      <c r="B408" s="1072">
        <v>204.16</v>
      </c>
      <c r="C408" s="1072">
        <f t="shared" si="97"/>
        <v>11.807740246927263</v>
      </c>
      <c r="E408" s="1072">
        <f t="shared" si="98"/>
        <v>215.96774024692726</v>
      </c>
      <c r="G408" s="1074">
        <f t="shared" si="99"/>
        <v>0</v>
      </c>
    </row>
    <row r="409" spans="1:7">
      <c r="A409" s="1054" t="s">
        <v>2013</v>
      </c>
      <c r="B409" s="1072">
        <v>245.11</v>
      </c>
      <c r="C409" s="1072">
        <f t="shared" si="97"/>
        <v>14.176112911071424</v>
      </c>
      <c r="E409" s="1072">
        <f t="shared" si="98"/>
        <v>259.28611291107143</v>
      </c>
      <c r="G409" s="1074">
        <f t="shared" si="99"/>
        <v>0</v>
      </c>
    </row>
    <row r="410" spans="1:7">
      <c r="A410" s="1054" t="s">
        <v>2014</v>
      </c>
      <c r="B410" s="1072">
        <v>258.3</v>
      </c>
      <c r="C410" s="1072">
        <f t="shared" si="97"/>
        <v>14.938966035370848</v>
      </c>
      <c r="E410" s="1072">
        <f t="shared" si="98"/>
        <v>273.23896603537088</v>
      </c>
      <c r="G410" s="1074">
        <f t="shared" si="99"/>
        <v>0</v>
      </c>
    </row>
    <row r="411" spans="1:7">
      <c r="G411" s="1054"/>
    </row>
    <row r="412" spans="1:7">
      <c r="A412" s="1057" t="s">
        <v>2017</v>
      </c>
      <c r="G412" s="1054"/>
    </row>
    <row r="413" spans="1:7">
      <c r="A413" s="1054" t="s">
        <v>2018</v>
      </c>
      <c r="B413" s="1072">
        <v>70.55</v>
      </c>
      <c r="C413" s="1072">
        <f>'Whitman Reg - Price Out'!O147</f>
        <v>4.080309925650071</v>
      </c>
      <c r="E413" s="1072">
        <f t="shared" ref="E413" si="100">B413+C413+D413</f>
        <v>74.630309925650067</v>
      </c>
      <c r="G413" s="1074">
        <f>(B413*$C$7)-C413</f>
        <v>0</v>
      </c>
    </row>
    <row r="414" spans="1:7">
      <c r="G414" s="1054"/>
    </row>
    <row r="415" spans="1:7">
      <c r="A415" s="1057" t="s">
        <v>2019</v>
      </c>
      <c r="G415" s="1054"/>
    </row>
    <row r="416" spans="1:7">
      <c r="A416" s="1054" t="s">
        <v>2008</v>
      </c>
      <c r="B416" s="1072">
        <v>135.54</v>
      </c>
      <c r="C416" s="1072">
        <f t="shared" ref="C416:C418" si="101">B416*$C$7</f>
        <v>7.8390532575848422</v>
      </c>
      <c r="E416" s="1072">
        <f t="shared" ref="E416:E422" si="102">B416+C416+D416</f>
        <v>143.37905325758484</v>
      </c>
      <c r="G416" s="1074">
        <f t="shared" ref="G416:G422" si="103">(B416*$C$7)-C416</f>
        <v>0</v>
      </c>
    </row>
    <row r="417" spans="1:7">
      <c r="A417" s="1054" t="s">
        <v>2009</v>
      </c>
      <c r="B417" s="1072">
        <v>153.9</v>
      </c>
      <c r="C417" s="1072">
        <f t="shared" si="101"/>
        <v>8.9009170454648618</v>
      </c>
      <c r="E417" s="1072">
        <f t="shared" si="102"/>
        <v>162.80091704546487</v>
      </c>
      <c r="G417" s="1074">
        <f t="shared" si="103"/>
        <v>0</v>
      </c>
    </row>
    <row r="418" spans="1:7">
      <c r="A418" s="1054" t="s">
        <v>2010</v>
      </c>
      <c r="B418" s="1072">
        <v>171.95</v>
      </c>
      <c r="C418" s="1072">
        <f t="shared" si="101"/>
        <v>9.9448517606737017</v>
      </c>
      <c r="E418" s="1072">
        <f t="shared" si="102"/>
        <v>181.8948517606737</v>
      </c>
      <c r="G418" s="1074">
        <f t="shared" si="103"/>
        <v>0</v>
      </c>
    </row>
    <row r="419" spans="1:7">
      <c r="A419" s="1054" t="s">
        <v>2011</v>
      </c>
      <c r="B419" s="1072">
        <v>212</v>
      </c>
      <c r="C419" s="1072">
        <f>'Whitman Reg - Price Out'!O140</f>
        <v>12.261172278353154</v>
      </c>
      <c r="E419" s="1072">
        <f t="shared" si="102"/>
        <v>224.26117227835314</v>
      </c>
      <c r="G419" s="1074">
        <f t="shared" si="103"/>
        <v>0</v>
      </c>
    </row>
    <row r="420" spans="1:7">
      <c r="A420" s="1054" t="s">
        <v>2012</v>
      </c>
      <c r="B420" s="1072">
        <v>245.11</v>
      </c>
      <c r="C420" s="1072">
        <f t="shared" ref="C420:C421" si="104">B420*$C$7</f>
        <v>14.176112911071424</v>
      </c>
      <c r="E420" s="1072">
        <f t="shared" si="102"/>
        <v>259.28611291107143</v>
      </c>
      <c r="G420" s="1074">
        <f t="shared" si="103"/>
        <v>0</v>
      </c>
    </row>
    <row r="421" spans="1:7">
      <c r="A421" s="1054" t="s">
        <v>2013</v>
      </c>
      <c r="B421" s="1072">
        <v>287.74</v>
      </c>
      <c r="C421" s="1072">
        <f t="shared" si="104"/>
        <v>16.641649581949704</v>
      </c>
      <c r="E421" s="1072">
        <f t="shared" si="102"/>
        <v>304.38164958194972</v>
      </c>
      <c r="G421" s="1074">
        <f t="shared" si="103"/>
        <v>0</v>
      </c>
    </row>
    <row r="422" spans="1:7">
      <c r="A422" s="1054" t="s">
        <v>2014</v>
      </c>
      <c r="B422" s="1072">
        <v>313.7</v>
      </c>
      <c r="C422" s="1072">
        <f>'Whitman Reg - Price Out'!O142</f>
        <v>18.143064828865022</v>
      </c>
      <c r="E422" s="1072">
        <f t="shared" si="102"/>
        <v>331.84306482886501</v>
      </c>
      <c r="G422" s="1074">
        <f t="shared" si="103"/>
        <v>0</v>
      </c>
    </row>
    <row r="423" spans="1:7">
      <c r="G423" s="1054"/>
    </row>
    <row r="424" spans="1:7">
      <c r="A424" s="1057" t="s">
        <v>2020</v>
      </c>
      <c r="G424" s="1054"/>
    </row>
    <row r="425" spans="1:7">
      <c r="A425" s="1054" t="s">
        <v>2008</v>
      </c>
      <c r="B425" s="1072">
        <v>2.2200000000000002</v>
      </c>
      <c r="C425" s="1072">
        <f t="shared" ref="C425:C431" si="105">B425*$C$7</f>
        <v>0.12839529461294341</v>
      </c>
      <c r="E425" s="1072">
        <f t="shared" ref="E425:E431" si="106">B425+C425+D425</f>
        <v>2.3483952946129438</v>
      </c>
      <c r="G425" s="1074">
        <f t="shared" ref="G425:G431" si="107">(B425*$C$7)-C425</f>
        <v>0</v>
      </c>
    </row>
    <row r="426" spans="1:7">
      <c r="A426" s="1054" t="s">
        <v>2009</v>
      </c>
      <c r="B426" s="1072">
        <v>2.4500000000000002</v>
      </c>
      <c r="C426" s="1072">
        <f t="shared" si="105"/>
        <v>0.14169750982059071</v>
      </c>
      <c r="E426" s="1072">
        <f t="shared" si="106"/>
        <v>2.591697509820591</v>
      </c>
      <c r="G426" s="1074">
        <f t="shared" si="107"/>
        <v>0</v>
      </c>
    </row>
    <row r="427" spans="1:7">
      <c r="A427" s="1054" t="s">
        <v>2010</v>
      </c>
      <c r="B427" s="1072">
        <v>2.68</v>
      </c>
      <c r="C427" s="1072">
        <f t="shared" si="105"/>
        <v>0.154999725028238</v>
      </c>
      <c r="E427" s="1072">
        <f t="shared" si="106"/>
        <v>2.8349997250282382</v>
      </c>
      <c r="G427" s="1074">
        <f t="shared" si="107"/>
        <v>0</v>
      </c>
    </row>
    <row r="428" spans="1:7">
      <c r="A428" s="1054" t="s">
        <v>2011</v>
      </c>
      <c r="B428" s="1072">
        <v>3.21</v>
      </c>
      <c r="C428" s="1072">
        <f t="shared" si="105"/>
        <v>0.18565265572412087</v>
      </c>
      <c r="E428" s="1072">
        <f t="shared" si="106"/>
        <v>3.3956526557241209</v>
      </c>
      <c r="G428" s="1074">
        <f t="shared" si="107"/>
        <v>0</v>
      </c>
    </row>
    <row r="429" spans="1:7">
      <c r="A429" s="1054" t="s">
        <v>2012</v>
      </c>
      <c r="B429" s="1072">
        <v>3.49</v>
      </c>
      <c r="C429" s="1072">
        <f t="shared" si="105"/>
        <v>0.20184665684647413</v>
      </c>
      <c r="E429" s="1072">
        <f t="shared" si="106"/>
        <v>3.6918466568464745</v>
      </c>
      <c r="G429" s="1074">
        <f t="shared" si="107"/>
        <v>0</v>
      </c>
    </row>
    <row r="430" spans="1:7">
      <c r="A430" s="1054" t="s">
        <v>2013</v>
      </c>
      <c r="B430" s="1072">
        <v>3.73</v>
      </c>
      <c r="C430" s="1072">
        <f t="shared" si="105"/>
        <v>0.21572722923706258</v>
      </c>
      <c r="E430" s="1072">
        <f t="shared" si="106"/>
        <v>3.9457272292370624</v>
      </c>
      <c r="G430" s="1074">
        <f t="shared" si="107"/>
        <v>0</v>
      </c>
    </row>
    <row r="431" spans="1:7">
      <c r="A431" s="1054" t="s">
        <v>2014</v>
      </c>
      <c r="B431" s="1072">
        <v>4.01</v>
      </c>
      <c r="C431" s="1072">
        <f t="shared" si="105"/>
        <v>0.23192123035941578</v>
      </c>
      <c r="E431" s="1072">
        <f t="shared" si="106"/>
        <v>4.2419212303594156</v>
      </c>
      <c r="G431" s="1074">
        <f t="shared" si="107"/>
        <v>0</v>
      </c>
    </row>
    <row r="432" spans="1:7">
      <c r="G432" s="1054"/>
    </row>
    <row r="433" spans="1:7">
      <c r="A433" s="1057" t="s">
        <v>2021</v>
      </c>
      <c r="G433" s="1054"/>
    </row>
    <row r="434" spans="1:7">
      <c r="A434" s="1054" t="s">
        <v>2008</v>
      </c>
      <c r="B434" s="1072">
        <v>66.599999999999994</v>
      </c>
      <c r="C434" s="1072">
        <f t="shared" ref="C434:C436" si="108">B434*$C$7</f>
        <v>3.8518588383883019</v>
      </c>
      <c r="E434" s="1072">
        <f t="shared" ref="E434:E440" si="109">B434+C434+D434</f>
        <v>70.45185883838829</v>
      </c>
      <c r="G434" s="1074">
        <f t="shared" ref="G434:G440" si="110">(B434*$C$7)-C434</f>
        <v>0</v>
      </c>
    </row>
    <row r="435" spans="1:7">
      <c r="A435" s="1054" t="s">
        <v>2009</v>
      </c>
      <c r="B435" s="1072">
        <v>73.5</v>
      </c>
      <c r="C435" s="1072">
        <f t="shared" si="108"/>
        <v>4.250925294617721</v>
      </c>
      <c r="E435" s="1072">
        <f t="shared" si="109"/>
        <v>77.750925294617716</v>
      </c>
      <c r="G435" s="1074">
        <f t="shared" si="110"/>
        <v>0</v>
      </c>
    </row>
    <row r="436" spans="1:7">
      <c r="A436" s="1054" t="s">
        <v>2010</v>
      </c>
      <c r="B436" s="1072">
        <v>80.400000000000006</v>
      </c>
      <c r="C436" s="1072">
        <f t="shared" si="108"/>
        <v>4.64999175084714</v>
      </c>
      <c r="E436" s="1072">
        <f t="shared" si="109"/>
        <v>85.049991750847141</v>
      </c>
      <c r="G436" s="1074">
        <f t="shared" si="110"/>
        <v>0</v>
      </c>
    </row>
    <row r="437" spans="1:7">
      <c r="A437" s="1054" t="s">
        <v>2011</v>
      </c>
      <c r="B437" s="1072">
        <v>96.3</v>
      </c>
      <c r="C437" s="1072">
        <f>'Whitman Reg - Price Out'!O144</f>
        <v>5.5695796717236261</v>
      </c>
      <c r="E437" s="1072">
        <f t="shared" si="109"/>
        <v>101.86957967172363</v>
      </c>
      <c r="G437" s="1074">
        <f t="shared" si="110"/>
        <v>0</v>
      </c>
    </row>
    <row r="438" spans="1:7">
      <c r="A438" s="1054" t="s">
        <v>2012</v>
      </c>
      <c r="B438" s="1072">
        <v>104.7</v>
      </c>
      <c r="C438" s="1072">
        <f t="shared" ref="C438:C439" si="111">B438*$C$7</f>
        <v>6.0553997053942235</v>
      </c>
      <c r="E438" s="1072">
        <f t="shared" si="109"/>
        <v>110.75539970539423</v>
      </c>
      <c r="G438" s="1074">
        <f t="shared" si="110"/>
        <v>0</v>
      </c>
    </row>
    <row r="439" spans="1:7">
      <c r="A439" s="1054" t="s">
        <v>2013</v>
      </c>
      <c r="B439" s="1072">
        <v>111.9</v>
      </c>
      <c r="C439" s="1072">
        <f t="shared" si="111"/>
        <v>6.4718168771118778</v>
      </c>
      <c r="E439" s="1072">
        <f t="shared" si="109"/>
        <v>118.37181687711188</v>
      </c>
      <c r="G439" s="1074">
        <f t="shared" si="110"/>
        <v>0</v>
      </c>
    </row>
    <row r="440" spans="1:7">
      <c r="A440" s="1054" t="s">
        <v>2014</v>
      </c>
      <c r="B440" s="1072">
        <v>120.3</v>
      </c>
      <c r="C440" s="1072">
        <f>'Whitman Reg - Price Out'!O145</f>
        <v>6.9576369107824743</v>
      </c>
      <c r="E440" s="1072">
        <f t="shared" si="109"/>
        <v>127.25763691078247</v>
      </c>
      <c r="G440" s="1074">
        <f t="shared" si="110"/>
        <v>0</v>
      </c>
    </row>
    <row r="441" spans="1:7">
      <c r="G441" s="1054"/>
    </row>
    <row r="442" spans="1:7">
      <c r="A442" s="1054" t="s">
        <v>2022</v>
      </c>
      <c r="B442" s="1072">
        <v>5.26</v>
      </c>
      <c r="C442" s="1072">
        <f>'Whitman Reg - Price Out'!O148</f>
        <v>0.30421587822706408</v>
      </c>
      <c r="E442" s="1072">
        <f t="shared" ref="E442" si="112">B442+C442+D442</f>
        <v>5.5642158782270634</v>
      </c>
      <c r="G442" s="1074">
        <f>(B442*$C$7)-C442</f>
        <v>0</v>
      </c>
    </row>
    <row r="443" spans="1:7">
      <c r="G443" s="1054"/>
    </row>
    <row r="444" spans="1:7">
      <c r="A444" s="1078" t="s">
        <v>1936</v>
      </c>
      <c r="G444" s="1054"/>
    </row>
    <row r="445" spans="1:7">
      <c r="A445" s="1057" t="s">
        <v>2058</v>
      </c>
      <c r="G445" s="1054"/>
    </row>
    <row r="446" spans="1:7">
      <c r="A446" s="1057" t="s">
        <v>2006</v>
      </c>
      <c r="G446" s="1054"/>
    </row>
    <row r="447" spans="1:7">
      <c r="A447" s="1057" t="s">
        <v>2007</v>
      </c>
      <c r="G447" s="1054"/>
    </row>
    <row r="448" spans="1:7">
      <c r="A448" s="1054" t="s">
        <v>2008</v>
      </c>
      <c r="B448" s="1072">
        <v>39.4</v>
      </c>
      <c r="C448" s="1072">
        <f t="shared" ref="C448:C454" si="113">B448*$C$7</f>
        <v>2.2787273007882747</v>
      </c>
      <c r="E448" s="1072">
        <f t="shared" ref="E448:E454" si="114">B448+C448+D448</f>
        <v>41.678727300788275</v>
      </c>
      <c r="G448" s="1074">
        <f t="shared" ref="G448:G454" si="115">(B448*$C$7)-C448</f>
        <v>0</v>
      </c>
    </row>
    <row r="449" spans="1:7">
      <c r="A449" s="1054" t="s">
        <v>2009</v>
      </c>
      <c r="B449" s="1072">
        <v>43.4</v>
      </c>
      <c r="C449" s="1072">
        <f t="shared" si="113"/>
        <v>2.5100701739647495</v>
      </c>
      <c r="E449" s="1072">
        <f t="shared" si="114"/>
        <v>45.910070173964748</v>
      </c>
      <c r="G449" s="1074">
        <f t="shared" si="115"/>
        <v>0</v>
      </c>
    </row>
    <row r="450" spans="1:7">
      <c r="A450" s="1054" t="s">
        <v>2010</v>
      </c>
      <c r="B450" s="1072">
        <v>46.75</v>
      </c>
      <c r="C450" s="1072">
        <f t="shared" si="113"/>
        <v>2.7038198302500471</v>
      </c>
      <c r="E450" s="1072">
        <f t="shared" si="114"/>
        <v>49.453819830250048</v>
      </c>
      <c r="G450" s="1074">
        <f t="shared" si="115"/>
        <v>0</v>
      </c>
    </row>
    <row r="451" spans="1:7">
      <c r="A451" s="1054" t="s">
        <v>2011</v>
      </c>
      <c r="B451" s="1072">
        <v>54.1</v>
      </c>
      <c r="C451" s="1072">
        <f t="shared" si="113"/>
        <v>3.1289123597118191</v>
      </c>
      <c r="E451" s="1072">
        <f t="shared" si="114"/>
        <v>57.228912359711821</v>
      </c>
      <c r="G451" s="1074">
        <f t="shared" si="115"/>
        <v>0</v>
      </c>
    </row>
    <row r="452" spans="1:7">
      <c r="A452" s="1054" t="s">
        <v>2012</v>
      </c>
      <c r="B452" s="1072">
        <v>61</v>
      </c>
      <c r="C452" s="1072">
        <f t="shared" si="113"/>
        <v>3.5279788159412377</v>
      </c>
      <c r="E452" s="1072">
        <f t="shared" si="114"/>
        <v>64.527978815941239</v>
      </c>
      <c r="G452" s="1074">
        <f t="shared" si="115"/>
        <v>0</v>
      </c>
    </row>
    <row r="453" spans="1:7">
      <c r="A453" s="1054" t="s">
        <v>2013</v>
      </c>
      <c r="B453" s="1072">
        <v>61</v>
      </c>
      <c r="C453" s="1072">
        <f t="shared" si="113"/>
        <v>3.5279788159412377</v>
      </c>
      <c r="E453" s="1072">
        <f t="shared" si="114"/>
        <v>64.527978815941239</v>
      </c>
      <c r="G453" s="1074">
        <f t="shared" si="115"/>
        <v>0</v>
      </c>
    </row>
    <row r="454" spans="1:7">
      <c r="A454" s="1054" t="s">
        <v>2014</v>
      </c>
      <c r="B454" s="1072">
        <v>75.45</v>
      </c>
      <c r="C454" s="1072">
        <f t="shared" si="113"/>
        <v>4.3637049452912526</v>
      </c>
      <c r="E454" s="1072">
        <f t="shared" si="114"/>
        <v>79.813704945291249</v>
      </c>
      <c r="G454" s="1074">
        <f t="shared" si="115"/>
        <v>0</v>
      </c>
    </row>
    <row r="455" spans="1:7">
      <c r="G455" s="1054"/>
    </row>
    <row r="456" spans="1:7">
      <c r="A456" s="1057" t="s">
        <v>2015</v>
      </c>
      <c r="G456" s="1054"/>
    </row>
    <row r="457" spans="1:7">
      <c r="A457" s="1054" t="s">
        <v>2008</v>
      </c>
      <c r="B457" s="1072">
        <v>161.12</v>
      </c>
      <c r="C457" s="1072">
        <f t="shared" ref="C457:C459" si="116">B457*$C$7</f>
        <v>9.3184909315483981</v>
      </c>
      <c r="E457" s="1072">
        <f t="shared" ref="E457:E460" si="117">B457+C457+D457</f>
        <v>170.43849093154842</v>
      </c>
      <c r="G457" s="1074">
        <f t="shared" ref="G457:G463" si="118">(B457*$C$7)-C457</f>
        <v>0</v>
      </c>
    </row>
    <row r="458" spans="1:7">
      <c r="A458" s="1054" t="s">
        <v>2009</v>
      </c>
      <c r="B458" s="1072">
        <v>182.49</v>
      </c>
      <c r="C458" s="1072">
        <f t="shared" si="116"/>
        <v>10.554440231493714</v>
      </c>
      <c r="E458" s="1072">
        <f t="shared" si="117"/>
        <v>193.04444023149372</v>
      </c>
      <c r="G458" s="1074">
        <f t="shared" si="118"/>
        <v>0</v>
      </c>
    </row>
    <row r="459" spans="1:7">
      <c r="A459" s="1054" t="s">
        <v>2010</v>
      </c>
      <c r="B459" s="1072">
        <v>203.31</v>
      </c>
      <c r="C459" s="1072">
        <f t="shared" si="116"/>
        <v>11.758579886377264</v>
      </c>
      <c r="E459" s="1072">
        <f t="shared" si="117"/>
        <v>215.06857988637728</v>
      </c>
      <c r="G459" s="1074">
        <f t="shared" si="118"/>
        <v>0</v>
      </c>
    </row>
    <row r="460" spans="1:7">
      <c r="A460" s="1054" t="s">
        <v>2011</v>
      </c>
      <c r="B460" s="1072">
        <v>245.35</v>
      </c>
      <c r="C460" s="1072">
        <f>'Spokane Reg - Price out'!Q82</f>
        <v>14.189993483462011</v>
      </c>
      <c r="E460" s="1072">
        <f t="shared" si="117"/>
        <v>259.53999348346201</v>
      </c>
      <c r="G460" s="1074">
        <f t="shared" si="118"/>
        <v>0</v>
      </c>
    </row>
    <row r="461" spans="1:7">
      <c r="A461" s="1054" t="s">
        <v>2012</v>
      </c>
      <c r="B461" s="1072">
        <v>281.18</v>
      </c>
      <c r="C461" s="1072">
        <f t="shared" ref="C461:C463" si="119">B461*$C$7</f>
        <v>16.262247269940282</v>
      </c>
      <c r="E461" s="1072">
        <f t="shared" ref="E461:E463" si="120">B461+C461+D461</f>
        <v>297.44224726994031</v>
      </c>
      <c r="G461" s="1074">
        <f t="shared" si="118"/>
        <v>0</v>
      </c>
    </row>
    <row r="462" spans="1:7">
      <c r="A462" s="1054" t="s">
        <v>2013</v>
      </c>
      <c r="B462" s="1072">
        <v>305.64</v>
      </c>
      <c r="C462" s="1072">
        <f t="shared" si="119"/>
        <v>17.676908939414425</v>
      </c>
      <c r="E462" s="1072">
        <f t="shared" si="120"/>
        <v>323.31690893941442</v>
      </c>
      <c r="G462" s="1074">
        <f t="shared" si="118"/>
        <v>0</v>
      </c>
    </row>
    <row r="463" spans="1:7">
      <c r="A463" s="1054" t="s">
        <v>2014</v>
      </c>
      <c r="B463" s="1072">
        <v>353.5</v>
      </c>
      <c r="C463" s="1072">
        <f t="shared" si="119"/>
        <v>20.444926416970944</v>
      </c>
      <c r="E463" s="1072">
        <f t="shared" si="120"/>
        <v>373.94492641697093</v>
      </c>
      <c r="G463" s="1074">
        <f t="shared" si="118"/>
        <v>0</v>
      </c>
    </row>
    <row r="464" spans="1:7">
      <c r="G464" s="1054"/>
    </row>
    <row r="465" spans="1:7">
      <c r="A465" s="1057" t="s">
        <v>2016</v>
      </c>
      <c r="G465" s="1054"/>
    </row>
    <row r="466" spans="1:7">
      <c r="A466" s="1054" t="s">
        <v>2008</v>
      </c>
      <c r="B466" s="1072">
        <v>121.72</v>
      </c>
      <c r="C466" s="1072">
        <f t="shared" ref="C466:C472" si="121">B466*$C$7</f>
        <v>7.0397636307601221</v>
      </c>
      <c r="E466" s="1072">
        <f t="shared" ref="E466:E472" si="122">B466+C466+D466</f>
        <v>128.75976363076012</v>
      </c>
      <c r="G466" s="1074">
        <f t="shared" ref="G466:G472" si="123">(B466*$C$7)-C466</f>
        <v>0</v>
      </c>
    </row>
    <row r="467" spans="1:7">
      <c r="A467" s="1054" t="s">
        <v>2009</v>
      </c>
      <c r="B467" s="1072">
        <v>139.09</v>
      </c>
      <c r="C467" s="1072">
        <f t="shared" si="121"/>
        <v>8.0443700575289636</v>
      </c>
      <c r="E467" s="1072">
        <f t="shared" si="122"/>
        <v>147.13437005752897</v>
      </c>
      <c r="G467" s="1074">
        <f t="shared" si="123"/>
        <v>0</v>
      </c>
    </row>
    <row r="468" spans="1:7">
      <c r="A468" s="1054" t="s">
        <v>2010</v>
      </c>
      <c r="B468" s="1072">
        <v>156.56</v>
      </c>
      <c r="C468" s="1072">
        <f t="shared" si="121"/>
        <v>9.0547600561272166</v>
      </c>
      <c r="E468" s="1072">
        <f t="shared" si="122"/>
        <v>165.61476005612721</v>
      </c>
      <c r="G468" s="1074">
        <f t="shared" si="123"/>
        <v>0</v>
      </c>
    </row>
    <row r="469" spans="1:7">
      <c r="A469" s="1054" t="s">
        <v>2011</v>
      </c>
      <c r="B469" s="1072">
        <v>191.25</v>
      </c>
      <c r="C469" s="1072">
        <f t="shared" si="121"/>
        <v>11.061081123750192</v>
      </c>
      <c r="E469" s="1072">
        <f t="shared" si="122"/>
        <v>202.3110811237502</v>
      </c>
      <c r="G469" s="1074">
        <f t="shared" si="123"/>
        <v>0</v>
      </c>
    </row>
    <row r="470" spans="1:7">
      <c r="A470" s="1054" t="s">
        <v>2012</v>
      </c>
      <c r="B470" s="1072">
        <v>220.18</v>
      </c>
      <c r="C470" s="1072">
        <f t="shared" si="121"/>
        <v>12.734268453999046</v>
      </c>
      <c r="E470" s="1072">
        <f t="shared" si="122"/>
        <v>232.91426845399906</v>
      </c>
      <c r="G470" s="1074">
        <f t="shared" si="123"/>
        <v>0</v>
      </c>
    </row>
    <row r="471" spans="1:7">
      <c r="A471" s="1054" t="s">
        <v>2013</v>
      </c>
      <c r="B471" s="1072">
        <v>244.64</v>
      </c>
      <c r="C471" s="1072">
        <f t="shared" si="121"/>
        <v>14.148930123473187</v>
      </c>
      <c r="E471" s="1072">
        <f t="shared" si="122"/>
        <v>258.78893012347316</v>
      </c>
      <c r="G471" s="1074">
        <f t="shared" si="123"/>
        <v>0</v>
      </c>
    </row>
    <row r="472" spans="1:7">
      <c r="A472" s="1054" t="s">
        <v>2014</v>
      </c>
      <c r="B472" s="1072">
        <v>278.05</v>
      </c>
      <c r="C472" s="1072">
        <f t="shared" si="121"/>
        <v>16.081221471679694</v>
      </c>
      <c r="E472" s="1072">
        <f t="shared" si="122"/>
        <v>294.13122147167968</v>
      </c>
      <c r="G472" s="1074">
        <f t="shared" si="123"/>
        <v>0</v>
      </c>
    </row>
    <row r="473" spans="1:7">
      <c r="G473" s="1054"/>
    </row>
    <row r="474" spans="1:7">
      <c r="A474" s="1057" t="s">
        <v>2017</v>
      </c>
      <c r="G474" s="1054"/>
    </row>
    <row r="475" spans="1:7">
      <c r="A475" s="1054" t="s">
        <v>2018</v>
      </c>
      <c r="B475" s="1072">
        <v>72.55</v>
      </c>
      <c r="C475" s="1072">
        <f>'Spokane Reg - Price out'!Q88</f>
        <v>4.1959813622383084</v>
      </c>
      <c r="E475" s="1072">
        <f t="shared" ref="E475" si="124">B475+C475+D475</f>
        <v>76.745981362238311</v>
      </c>
      <c r="G475" s="1074">
        <f t="shared" ref="G475" si="125">(B475*$C$7)-C475</f>
        <v>0</v>
      </c>
    </row>
    <row r="476" spans="1:7">
      <c r="G476" s="1054"/>
    </row>
    <row r="477" spans="1:7">
      <c r="A477" s="1057" t="s">
        <v>2019</v>
      </c>
      <c r="G477" s="1054"/>
    </row>
    <row r="478" spans="1:7">
      <c r="A478" s="1054" t="s">
        <v>2008</v>
      </c>
      <c r="B478" s="1072">
        <v>143.63999999999999</v>
      </c>
      <c r="C478" s="1072">
        <f t="shared" ref="C478:C480" si="126">B478*$C$7</f>
        <v>8.3075225757672033</v>
      </c>
      <c r="E478" s="1072">
        <f t="shared" ref="E478:E484" si="127">B478+C478+D478</f>
        <v>151.94752257576718</v>
      </c>
      <c r="G478" s="1074">
        <f t="shared" ref="G478:G484" si="128">(B478*$C$7)-C478</f>
        <v>0</v>
      </c>
    </row>
    <row r="479" spans="1:7">
      <c r="A479" s="1054" t="s">
        <v>2009</v>
      </c>
      <c r="B479" s="1072">
        <v>165.02</v>
      </c>
      <c r="C479" s="1072">
        <f t="shared" si="126"/>
        <v>9.5440502328954615</v>
      </c>
      <c r="E479" s="1072">
        <f t="shared" si="127"/>
        <v>174.56405023289548</v>
      </c>
      <c r="G479" s="1074">
        <f t="shared" si="128"/>
        <v>0</v>
      </c>
    </row>
    <row r="480" spans="1:7">
      <c r="A480" s="1054" t="s">
        <v>2010</v>
      </c>
      <c r="B480" s="1072">
        <v>184.29</v>
      </c>
      <c r="C480" s="1072">
        <f t="shared" si="126"/>
        <v>10.658544524423126</v>
      </c>
      <c r="E480" s="1072">
        <f t="shared" si="127"/>
        <v>194.94854452442311</v>
      </c>
      <c r="G480" s="1074">
        <f t="shared" si="128"/>
        <v>0</v>
      </c>
    </row>
    <row r="481" spans="1:7">
      <c r="A481" s="1054" t="s">
        <v>2011</v>
      </c>
      <c r="B481" s="1072">
        <v>227.87</v>
      </c>
      <c r="C481" s="1072">
        <f>'Spokane Reg - Price out'!Q83</f>
        <v>13.179025127680818</v>
      </c>
      <c r="E481" s="1072">
        <f t="shared" si="127"/>
        <v>241.04902512768084</v>
      </c>
      <c r="G481" s="1074">
        <f t="shared" si="128"/>
        <v>0</v>
      </c>
    </row>
    <row r="482" spans="1:7">
      <c r="A482" s="1054" t="s">
        <v>2012</v>
      </c>
      <c r="B482" s="1072">
        <v>263.74</v>
      </c>
      <c r="C482" s="1072">
        <f t="shared" ref="C482:C483" si="129">B482*$C$7</f>
        <v>15.253592342890855</v>
      </c>
      <c r="E482" s="1072">
        <f t="shared" si="127"/>
        <v>278.99359234289085</v>
      </c>
      <c r="G482" s="1074">
        <f t="shared" si="128"/>
        <v>0</v>
      </c>
    </row>
    <row r="483" spans="1:7">
      <c r="A483" s="1054" t="s">
        <v>2013</v>
      </c>
      <c r="B483" s="1072">
        <v>299.81</v>
      </c>
      <c r="C483" s="1072">
        <f t="shared" si="129"/>
        <v>17.339726701759712</v>
      </c>
      <c r="E483" s="1072">
        <f t="shared" si="127"/>
        <v>317.14972670175973</v>
      </c>
      <c r="G483" s="1074">
        <f t="shared" si="128"/>
        <v>0</v>
      </c>
    </row>
    <row r="484" spans="1:7">
      <c r="A484" s="1054" t="s">
        <v>2014</v>
      </c>
      <c r="B484" s="1072">
        <v>338.35</v>
      </c>
      <c r="C484" s="1072">
        <f>'Spokane Reg - Price out'!Q84</f>
        <v>19.568715284815049</v>
      </c>
      <c r="E484" s="1072">
        <f t="shared" si="127"/>
        <v>357.91871528481505</v>
      </c>
      <c r="G484" s="1074">
        <f t="shared" si="128"/>
        <v>0</v>
      </c>
    </row>
    <row r="485" spans="1:7">
      <c r="G485" s="1054"/>
    </row>
    <row r="486" spans="1:7">
      <c r="A486" s="1057" t="s">
        <v>2020</v>
      </c>
      <c r="G486" s="1054"/>
    </row>
    <row r="487" spans="1:7">
      <c r="A487" s="1054" t="s">
        <v>2008</v>
      </c>
      <c r="B487" s="1072">
        <v>2.2200000000000002</v>
      </c>
      <c r="C487" s="1072">
        <f t="shared" ref="C487:C493" si="130">B487*$C$7</f>
        <v>0.12839529461294341</v>
      </c>
      <c r="E487" s="1072">
        <f t="shared" ref="E487:E493" si="131">B487+C487+D487</f>
        <v>2.3483952946129438</v>
      </c>
      <c r="G487" s="1074">
        <f t="shared" ref="G487:G493" si="132">(B487*$C$7)-C487</f>
        <v>0</v>
      </c>
    </row>
    <row r="488" spans="1:7">
      <c r="A488" s="1054" t="s">
        <v>2009</v>
      </c>
      <c r="B488" s="1072">
        <v>2.4500000000000002</v>
      </c>
      <c r="C488" s="1072">
        <f t="shared" si="130"/>
        <v>0.14169750982059071</v>
      </c>
      <c r="E488" s="1072">
        <f t="shared" si="131"/>
        <v>2.591697509820591</v>
      </c>
      <c r="G488" s="1074">
        <f t="shared" si="132"/>
        <v>0</v>
      </c>
    </row>
    <row r="489" spans="1:7">
      <c r="A489" s="1054" t="s">
        <v>2010</v>
      </c>
      <c r="B489" s="1072">
        <v>2.68</v>
      </c>
      <c r="C489" s="1072">
        <f t="shared" si="130"/>
        <v>0.154999725028238</v>
      </c>
      <c r="E489" s="1072">
        <f t="shared" si="131"/>
        <v>2.8349997250282382</v>
      </c>
      <c r="G489" s="1074">
        <f t="shared" si="132"/>
        <v>0</v>
      </c>
    </row>
    <row r="490" spans="1:7">
      <c r="A490" s="1054" t="s">
        <v>2011</v>
      </c>
      <c r="B490" s="1072">
        <v>3.21</v>
      </c>
      <c r="C490" s="1072">
        <f t="shared" si="130"/>
        <v>0.18565265572412087</v>
      </c>
      <c r="E490" s="1072">
        <f t="shared" si="131"/>
        <v>3.3956526557241209</v>
      </c>
      <c r="G490" s="1074">
        <f t="shared" si="132"/>
        <v>0</v>
      </c>
    </row>
    <row r="491" spans="1:7">
      <c r="A491" s="1054" t="s">
        <v>2012</v>
      </c>
      <c r="B491" s="1072">
        <v>3.49</v>
      </c>
      <c r="C491" s="1072">
        <f t="shared" si="130"/>
        <v>0.20184665684647413</v>
      </c>
      <c r="E491" s="1072">
        <f t="shared" si="131"/>
        <v>3.6918466568464745</v>
      </c>
      <c r="G491" s="1074">
        <f t="shared" si="132"/>
        <v>0</v>
      </c>
    </row>
    <row r="492" spans="1:7">
      <c r="A492" s="1054" t="s">
        <v>2013</v>
      </c>
      <c r="B492" s="1072">
        <v>3.73</v>
      </c>
      <c r="C492" s="1072">
        <f t="shared" si="130"/>
        <v>0.21572722923706258</v>
      </c>
      <c r="E492" s="1072">
        <f t="shared" si="131"/>
        <v>3.9457272292370624</v>
      </c>
      <c r="G492" s="1074">
        <f t="shared" si="132"/>
        <v>0</v>
      </c>
    </row>
    <row r="493" spans="1:7">
      <c r="A493" s="1054" t="s">
        <v>2014</v>
      </c>
      <c r="B493" s="1072">
        <v>4.01</v>
      </c>
      <c r="C493" s="1072">
        <f t="shared" si="130"/>
        <v>0.23192123035941578</v>
      </c>
      <c r="E493" s="1072">
        <f t="shared" si="131"/>
        <v>4.2419212303594156</v>
      </c>
      <c r="G493" s="1074">
        <f t="shared" si="132"/>
        <v>0</v>
      </c>
    </row>
    <row r="494" spans="1:7">
      <c r="G494" s="1054"/>
    </row>
    <row r="495" spans="1:7">
      <c r="A495" s="1057" t="s">
        <v>2021</v>
      </c>
      <c r="G495" s="1054"/>
    </row>
    <row r="496" spans="1:7">
      <c r="A496" s="1054" t="s">
        <v>2008</v>
      </c>
      <c r="B496" s="1072">
        <v>66.599999999999994</v>
      </c>
      <c r="C496" s="1072">
        <f t="shared" ref="C496:C498" si="133">B496*$C$7</f>
        <v>3.8518588383883019</v>
      </c>
      <c r="E496" s="1072">
        <f t="shared" ref="E496:E504" si="134">B496+C496+D496</f>
        <v>70.45185883838829</v>
      </c>
      <c r="G496" s="1074">
        <f t="shared" ref="G496:G502" si="135">(B496*$C$7)-C496</f>
        <v>0</v>
      </c>
    </row>
    <row r="497" spans="1:248">
      <c r="A497" s="1054" t="s">
        <v>2009</v>
      </c>
      <c r="B497" s="1072">
        <v>73.5</v>
      </c>
      <c r="C497" s="1072">
        <f t="shared" si="133"/>
        <v>4.250925294617721</v>
      </c>
      <c r="E497" s="1072">
        <f t="shared" si="134"/>
        <v>77.750925294617716</v>
      </c>
      <c r="G497" s="1074">
        <f t="shared" si="135"/>
        <v>0</v>
      </c>
    </row>
    <row r="498" spans="1:248">
      <c r="A498" s="1054" t="s">
        <v>2010</v>
      </c>
      <c r="B498" s="1072">
        <v>80.400000000000006</v>
      </c>
      <c r="C498" s="1072">
        <f t="shared" si="133"/>
        <v>4.64999175084714</v>
      </c>
      <c r="E498" s="1072">
        <f t="shared" si="134"/>
        <v>85.049991750847141</v>
      </c>
      <c r="G498" s="1074">
        <f t="shared" si="135"/>
        <v>0</v>
      </c>
    </row>
    <row r="499" spans="1:248">
      <c r="A499" s="1054" t="s">
        <v>2011</v>
      </c>
      <c r="B499" s="1072">
        <v>96.3</v>
      </c>
      <c r="C499" s="1072">
        <f>'Spokane Reg - Price out'!Q86</f>
        <v>5.5695796717236261</v>
      </c>
      <c r="E499" s="1072">
        <f t="shared" si="134"/>
        <v>101.86957967172363</v>
      </c>
      <c r="G499" s="1074">
        <f t="shared" si="135"/>
        <v>0</v>
      </c>
    </row>
    <row r="500" spans="1:248">
      <c r="A500" s="1054" t="s">
        <v>2012</v>
      </c>
      <c r="B500" s="1072">
        <v>104.7</v>
      </c>
      <c r="C500" s="1072">
        <f t="shared" ref="C500:C501" si="136">B500*$C$7</f>
        <v>6.0553997053942235</v>
      </c>
      <c r="E500" s="1072">
        <f t="shared" si="134"/>
        <v>110.75539970539423</v>
      </c>
      <c r="G500" s="1074">
        <f t="shared" si="135"/>
        <v>0</v>
      </c>
    </row>
    <row r="501" spans="1:248">
      <c r="A501" s="1054" t="s">
        <v>2013</v>
      </c>
      <c r="B501" s="1072">
        <v>111.9</v>
      </c>
      <c r="C501" s="1072">
        <f t="shared" si="136"/>
        <v>6.4718168771118778</v>
      </c>
      <c r="E501" s="1072">
        <f t="shared" si="134"/>
        <v>118.37181687711188</v>
      </c>
      <c r="G501" s="1074">
        <f t="shared" si="135"/>
        <v>0</v>
      </c>
    </row>
    <row r="502" spans="1:248">
      <c r="A502" s="1054" t="s">
        <v>2014</v>
      </c>
      <c r="B502" s="1072">
        <v>120.3</v>
      </c>
      <c r="C502" s="1072">
        <f>'Spokane Reg - Price out'!Q87</f>
        <v>6.9576369107824743</v>
      </c>
      <c r="E502" s="1072">
        <f t="shared" si="134"/>
        <v>127.25763691078247</v>
      </c>
      <c r="G502" s="1074">
        <f t="shared" si="135"/>
        <v>0</v>
      </c>
    </row>
    <row r="503" spans="1:248">
      <c r="G503" s="1054"/>
    </row>
    <row r="504" spans="1:248">
      <c r="A504" s="1054" t="s">
        <v>2022</v>
      </c>
      <c r="B504" s="1072">
        <v>5.26</v>
      </c>
      <c r="C504" s="1072">
        <f>'Spokane Reg - Price out'!Q89</f>
        <v>0.30421587822706408</v>
      </c>
      <c r="E504" s="1072">
        <f t="shared" si="134"/>
        <v>5.5642158782270634</v>
      </c>
      <c r="G504" s="1074">
        <f t="shared" ref="G504" si="137">(B504*$C$7)-C504</f>
        <v>0</v>
      </c>
    </row>
    <row r="505" spans="1:248">
      <c r="G505" s="1054"/>
    </row>
    <row r="507" spans="1:248" s="1072" customFormat="1">
      <c r="A507" s="1069" t="s">
        <v>1920</v>
      </c>
      <c r="G507" s="1053"/>
      <c r="H507" s="1053"/>
      <c r="I507" s="1053"/>
      <c r="J507" s="1053"/>
      <c r="K507" s="1053"/>
      <c r="L507" s="1053"/>
      <c r="M507" s="1053"/>
      <c r="N507" s="1053"/>
      <c r="O507" s="1053"/>
      <c r="P507" s="1053"/>
      <c r="Q507" s="1053"/>
      <c r="R507" s="1053"/>
      <c r="S507" s="1053"/>
      <c r="T507" s="1053"/>
      <c r="U507" s="1053"/>
      <c r="V507" s="1053"/>
      <c r="W507" s="1053"/>
      <c r="X507" s="1053"/>
      <c r="Y507" s="1053"/>
      <c r="Z507" s="1053"/>
      <c r="AA507" s="1053"/>
      <c r="AB507" s="1053"/>
      <c r="AC507" s="1053"/>
      <c r="AD507" s="1053"/>
      <c r="AE507" s="1053"/>
      <c r="AF507" s="1053"/>
      <c r="AG507" s="1053"/>
      <c r="AH507" s="1053"/>
      <c r="AI507" s="1053"/>
      <c r="AJ507" s="1053"/>
      <c r="AK507" s="1053"/>
      <c r="AL507" s="1053"/>
      <c r="AM507" s="1053"/>
      <c r="AN507" s="1053"/>
      <c r="AO507" s="1053"/>
      <c r="AP507" s="1053"/>
      <c r="AQ507" s="1053"/>
      <c r="AR507" s="1053"/>
      <c r="AS507" s="1053"/>
      <c r="AT507" s="1053"/>
      <c r="AU507" s="1053"/>
      <c r="AV507" s="1053"/>
      <c r="AW507" s="1053"/>
      <c r="AX507" s="1053"/>
      <c r="AY507" s="1053"/>
      <c r="AZ507" s="1053"/>
      <c r="BA507" s="1053"/>
      <c r="BB507" s="1053"/>
      <c r="BC507" s="1053"/>
      <c r="BD507" s="1053"/>
      <c r="BE507" s="1053"/>
      <c r="BF507" s="1053"/>
      <c r="BG507" s="1053"/>
      <c r="BH507" s="1053"/>
      <c r="BI507" s="1053"/>
      <c r="BJ507" s="1053"/>
      <c r="BK507" s="1053"/>
      <c r="BL507" s="1053"/>
      <c r="BM507" s="1053"/>
      <c r="BN507" s="1053"/>
      <c r="BO507" s="1053"/>
      <c r="BP507" s="1053"/>
      <c r="BQ507" s="1053"/>
      <c r="BR507" s="1053"/>
      <c r="BS507" s="1053"/>
      <c r="BT507" s="1053"/>
      <c r="BU507" s="1053"/>
      <c r="BV507" s="1053"/>
      <c r="BW507" s="1053"/>
      <c r="BX507" s="1053"/>
      <c r="BY507" s="1053"/>
      <c r="BZ507" s="1053"/>
      <c r="CA507" s="1053"/>
      <c r="CB507" s="1053"/>
      <c r="CC507" s="1053"/>
      <c r="CD507" s="1053"/>
      <c r="CE507" s="1053"/>
      <c r="CF507" s="1053"/>
      <c r="CG507" s="1053"/>
      <c r="CH507" s="1053"/>
      <c r="CI507" s="1053"/>
      <c r="CJ507" s="1053"/>
      <c r="CK507" s="1053"/>
      <c r="CL507" s="1053"/>
      <c r="CM507" s="1053"/>
      <c r="CN507" s="1053"/>
      <c r="CO507" s="1053"/>
      <c r="CP507" s="1053"/>
      <c r="CQ507" s="1053"/>
      <c r="CR507" s="1053"/>
      <c r="CS507" s="1053"/>
      <c r="CT507" s="1053"/>
      <c r="CU507" s="1053"/>
      <c r="CV507" s="1053"/>
      <c r="CW507" s="1053"/>
      <c r="CX507" s="1053"/>
      <c r="CY507" s="1053"/>
      <c r="CZ507" s="1053"/>
      <c r="DA507" s="1053"/>
      <c r="DB507" s="1053"/>
      <c r="DC507" s="1053"/>
      <c r="DD507" s="1053"/>
      <c r="DE507" s="1053"/>
      <c r="DF507" s="1053"/>
      <c r="DG507" s="1053"/>
      <c r="DH507" s="1053"/>
      <c r="DI507" s="1053"/>
      <c r="DJ507" s="1053"/>
      <c r="DK507" s="1053"/>
      <c r="DL507" s="1053"/>
      <c r="DM507" s="1053"/>
      <c r="DN507" s="1053"/>
      <c r="DO507" s="1053"/>
      <c r="DP507" s="1053"/>
      <c r="DQ507" s="1053"/>
      <c r="DR507" s="1053"/>
      <c r="DS507" s="1053"/>
      <c r="DT507" s="1053"/>
      <c r="DU507" s="1053"/>
      <c r="DV507" s="1053"/>
      <c r="DW507" s="1053"/>
      <c r="DX507" s="1053"/>
      <c r="DY507" s="1053"/>
      <c r="DZ507" s="1053"/>
      <c r="EA507" s="1053"/>
      <c r="EB507" s="1053"/>
      <c r="EC507" s="1053"/>
      <c r="ED507" s="1053"/>
      <c r="EE507" s="1053"/>
      <c r="EF507" s="1053"/>
      <c r="EG507" s="1053"/>
      <c r="EH507" s="1053"/>
      <c r="EI507" s="1053"/>
      <c r="EJ507" s="1053"/>
      <c r="EK507" s="1053"/>
      <c r="EL507" s="1053"/>
      <c r="EM507" s="1053"/>
      <c r="EN507" s="1053"/>
      <c r="EO507" s="1053"/>
      <c r="EP507" s="1053"/>
      <c r="EQ507" s="1053"/>
      <c r="ER507" s="1053"/>
      <c r="ES507" s="1053"/>
      <c r="ET507" s="1053"/>
      <c r="EU507" s="1053"/>
      <c r="EV507" s="1053"/>
      <c r="EW507" s="1053"/>
      <c r="EX507" s="1053"/>
      <c r="EY507" s="1053"/>
      <c r="EZ507" s="1053"/>
      <c r="FA507" s="1053"/>
      <c r="FB507" s="1053"/>
      <c r="FC507" s="1053"/>
      <c r="FD507" s="1053"/>
      <c r="FE507" s="1053"/>
      <c r="FF507" s="1053"/>
      <c r="FG507" s="1053"/>
      <c r="FH507" s="1053"/>
      <c r="FI507" s="1053"/>
      <c r="FJ507" s="1053"/>
      <c r="FK507" s="1053"/>
      <c r="FL507" s="1053"/>
      <c r="FM507" s="1053"/>
      <c r="FN507" s="1053"/>
      <c r="FO507" s="1053"/>
      <c r="FP507" s="1053"/>
      <c r="FQ507" s="1053"/>
      <c r="FR507" s="1053"/>
      <c r="FS507" s="1053"/>
      <c r="FT507" s="1053"/>
      <c r="FU507" s="1053"/>
      <c r="FV507" s="1053"/>
      <c r="FW507" s="1053"/>
      <c r="FX507" s="1053"/>
      <c r="FY507" s="1053"/>
      <c r="FZ507" s="1053"/>
      <c r="GA507" s="1053"/>
      <c r="GB507" s="1053"/>
      <c r="GC507" s="1053"/>
      <c r="GD507" s="1053"/>
      <c r="GE507" s="1053"/>
      <c r="GF507" s="1053"/>
      <c r="GG507" s="1053"/>
      <c r="GH507" s="1053"/>
      <c r="GI507" s="1053"/>
      <c r="GJ507" s="1053"/>
      <c r="GK507" s="1053"/>
      <c r="GL507" s="1053"/>
      <c r="GM507" s="1053"/>
      <c r="GN507" s="1053"/>
      <c r="GO507" s="1053"/>
      <c r="GP507" s="1053"/>
      <c r="GQ507" s="1053"/>
      <c r="GR507" s="1053"/>
      <c r="GS507" s="1053"/>
      <c r="GT507" s="1053"/>
      <c r="GU507" s="1053"/>
      <c r="GV507" s="1053"/>
      <c r="GW507" s="1053"/>
      <c r="GX507" s="1053"/>
      <c r="GY507" s="1053"/>
      <c r="GZ507" s="1053"/>
      <c r="HA507" s="1053"/>
      <c r="HB507" s="1053"/>
      <c r="HC507" s="1053"/>
      <c r="HD507" s="1053"/>
      <c r="HE507" s="1053"/>
      <c r="HF507" s="1053"/>
      <c r="HG507" s="1053"/>
      <c r="HH507" s="1053"/>
      <c r="HI507" s="1053"/>
      <c r="HJ507" s="1053"/>
      <c r="HK507" s="1053"/>
      <c r="HL507" s="1053"/>
      <c r="HM507" s="1053"/>
      <c r="HN507" s="1053"/>
      <c r="HO507" s="1053"/>
      <c r="HP507" s="1053"/>
      <c r="HQ507" s="1053"/>
      <c r="HR507" s="1053"/>
      <c r="HS507" s="1053"/>
      <c r="HT507" s="1053"/>
      <c r="HU507" s="1053"/>
      <c r="HV507" s="1053"/>
      <c r="HW507" s="1053"/>
      <c r="HX507" s="1053"/>
      <c r="HY507" s="1053"/>
      <c r="HZ507" s="1053"/>
      <c r="IA507" s="1053"/>
      <c r="IB507" s="1053"/>
      <c r="IC507" s="1053"/>
      <c r="ID507" s="1053"/>
      <c r="IE507" s="1053"/>
      <c r="IF507" s="1053"/>
      <c r="IG507" s="1053"/>
      <c r="IH507" s="1053"/>
      <c r="II507" s="1053"/>
      <c r="IJ507" s="1053"/>
      <c r="IK507" s="1053"/>
      <c r="IL507" s="1053"/>
      <c r="IM507" s="1053"/>
      <c r="IN507" s="1053"/>
    </row>
    <row r="508" spans="1:248" s="1072" customFormat="1">
      <c r="A508" s="1057" t="s">
        <v>2059</v>
      </c>
      <c r="G508" s="1053"/>
      <c r="H508" s="1053"/>
      <c r="I508" s="1053"/>
      <c r="J508" s="1053"/>
      <c r="K508" s="1053"/>
      <c r="L508" s="1053"/>
      <c r="M508" s="1053"/>
      <c r="N508" s="1053"/>
      <c r="O508" s="1053"/>
      <c r="P508" s="1053"/>
      <c r="Q508" s="1053"/>
      <c r="R508" s="1053"/>
      <c r="S508" s="1053"/>
      <c r="T508" s="1053"/>
      <c r="U508" s="1053"/>
      <c r="V508" s="1053"/>
      <c r="W508" s="1053"/>
      <c r="X508" s="1053"/>
      <c r="Y508" s="1053"/>
      <c r="Z508" s="1053"/>
      <c r="AA508" s="1053"/>
      <c r="AB508" s="1053"/>
      <c r="AC508" s="1053"/>
      <c r="AD508" s="1053"/>
      <c r="AE508" s="1053"/>
      <c r="AF508" s="1053"/>
      <c r="AG508" s="1053"/>
      <c r="AH508" s="1053"/>
      <c r="AI508" s="1053"/>
      <c r="AJ508" s="1053"/>
      <c r="AK508" s="1053"/>
      <c r="AL508" s="1053"/>
      <c r="AM508" s="1053"/>
      <c r="AN508" s="1053"/>
      <c r="AO508" s="1053"/>
      <c r="AP508" s="1053"/>
      <c r="AQ508" s="1053"/>
      <c r="AR508" s="1053"/>
      <c r="AS508" s="1053"/>
      <c r="AT508" s="1053"/>
      <c r="AU508" s="1053"/>
      <c r="AV508" s="1053"/>
      <c r="AW508" s="1053"/>
      <c r="AX508" s="1053"/>
      <c r="AY508" s="1053"/>
      <c r="AZ508" s="1053"/>
      <c r="BA508" s="1053"/>
      <c r="BB508" s="1053"/>
      <c r="BC508" s="1053"/>
      <c r="BD508" s="1053"/>
      <c r="BE508" s="1053"/>
      <c r="BF508" s="1053"/>
      <c r="BG508" s="1053"/>
      <c r="BH508" s="1053"/>
      <c r="BI508" s="1053"/>
      <c r="BJ508" s="1053"/>
      <c r="BK508" s="1053"/>
      <c r="BL508" s="1053"/>
      <c r="BM508" s="1053"/>
      <c r="BN508" s="1053"/>
      <c r="BO508" s="1053"/>
      <c r="BP508" s="1053"/>
      <c r="BQ508" s="1053"/>
      <c r="BR508" s="1053"/>
      <c r="BS508" s="1053"/>
      <c r="BT508" s="1053"/>
      <c r="BU508" s="1053"/>
      <c r="BV508" s="1053"/>
      <c r="BW508" s="1053"/>
      <c r="BX508" s="1053"/>
      <c r="BY508" s="1053"/>
      <c r="BZ508" s="1053"/>
      <c r="CA508" s="1053"/>
      <c r="CB508" s="1053"/>
      <c r="CC508" s="1053"/>
      <c r="CD508" s="1053"/>
      <c r="CE508" s="1053"/>
      <c r="CF508" s="1053"/>
      <c r="CG508" s="1053"/>
      <c r="CH508" s="1053"/>
      <c r="CI508" s="1053"/>
      <c r="CJ508" s="1053"/>
      <c r="CK508" s="1053"/>
      <c r="CL508" s="1053"/>
      <c r="CM508" s="1053"/>
      <c r="CN508" s="1053"/>
      <c r="CO508" s="1053"/>
      <c r="CP508" s="1053"/>
      <c r="CQ508" s="1053"/>
      <c r="CR508" s="1053"/>
      <c r="CS508" s="1053"/>
      <c r="CT508" s="1053"/>
      <c r="CU508" s="1053"/>
      <c r="CV508" s="1053"/>
      <c r="CW508" s="1053"/>
      <c r="CX508" s="1053"/>
      <c r="CY508" s="1053"/>
      <c r="CZ508" s="1053"/>
      <c r="DA508" s="1053"/>
      <c r="DB508" s="1053"/>
      <c r="DC508" s="1053"/>
      <c r="DD508" s="1053"/>
      <c r="DE508" s="1053"/>
      <c r="DF508" s="1053"/>
      <c r="DG508" s="1053"/>
      <c r="DH508" s="1053"/>
      <c r="DI508" s="1053"/>
      <c r="DJ508" s="1053"/>
      <c r="DK508" s="1053"/>
      <c r="DL508" s="1053"/>
      <c r="DM508" s="1053"/>
      <c r="DN508" s="1053"/>
      <c r="DO508" s="1053"/>
      <c r="DP508" s="1053"/>
      <c r="DQ508" s="1053"/>
      <c r="DR508" s="1053"/>
      <c r="DS508" s="1053"/>
      <c r="DT508" s="1053"/>
      <c r="DU508" s="1053"/>
      <c r="DV508" s="1053"/>
      <c r="DW508" s="1053"/>
      <c r="DX508" s="1053"/>
      <c r="DY508" s="1053"/>
      <c r="DZ508" s="1053"/>
      <c r="EA508" s="1053"/>
      <c r="EB508" s="1053"/>
      <c r="EC508" s="1053"/>
      <c r="ED508" s="1053"/>
      <c r="EE508" s="1053"/>
      <c r="EF508" s="1053"/>
      <c r="EG508" s="1053"/>
      <c r="EH508" s="1053"/>
      <c r="EI508" s="1053"/>
      <c r="EJ508" s="1053"/>
      <c r="EK508" s="1053"/>
      <c r="EL508" s="1053"/>
      <c r="EM508" s="1053"/>
      <c r="EN508" s="1053"/>
      <c r="EO508" s="1053"/>
      <c r="EP508" s="1053"/>
      <c r="EQ508" s="1053"/>
      <c r="ER508" s="1053"/>
      <c r="ES508" s="1053"/>
      <c r="ET508" s="1053"/>
      <c r="EU508" s="1053"/>
      <c r="EV508" s="1053"/>
      <c r="EW508" s="1053"/>
      <c r="EX508" s="1053"/>
      <c r="EY508" s="1053"/>
      <c r="EZ508" s="1053"/>
      <c r="FA508" s="1053"/>
      <c r="FB508" s="1053"/>
      <c r="FC508" s="1053"/>
      <c r="FD508" s="1053"/>
      <c r="FE508" s="1053"/>
      <c r="FF508" s="1053"/>
      <c r="FG508" s="1053"/>
      <c r="FH508" s="1053"/>
      <c r="FI508" s="1053"/>
      <c r="FJ508" s="1053"/>
      <c r="FK508" s="1053"/>
      <c r="FL508" s="1053"/>
      <c r="FM508" s="1053"/>
      <c r="FN508" s="1053"/>
      <c r="FO508" s="1053"/>
      <c r="FP508" s="1053"/>
      <c r="FQ508" s="1053"/>
      <c r="FR508" s="1053"/>
      <c r="FS508" s="1053"/>
      <c r="FT508" s="1053"/>
      <c r="FU508" s="1053"/>
      <c r="FV508" s="1053"/>
      <c r="FW508" s="1053"/>
      <c r="FX508" s="1053"/>
      <c r="FY508" s="1053"/>
      <c r="FZ508" s="1053"/>
      <c r="GA508" s="1053"/>
      <c r="GB508" s="1053"/>
      <c r="GC508" s="1053"/>
      <c r="GD508" s="1053"/>
      <c r="GE508" s="1053"/>
      <c r="GF508" s="1053"/>
      <c r="GG508" s="1053"/>
      <c r="GH508" s="1053"/>
      <c r="GI508" s="1053"/>
      <c r="GJ508" s="1053"/>
      <c r="GK508" s="1053"/>
      <c r="GL508" s="1053"/>
      <c r="GM508" s="1053"/>
      <c r="GN508" s="1053"/>
      <c r="GO508" s="1053"/>
      <c r="GP508" s="1053"/>
      <c r="GQ508" s="1053"/>
      <c r="GR508" s="1053"/>
      <c r="GS508" s="1053"/>
      <c r="GT508" s="1053"/>
      <c r="GU508" s="1053"/>
      <c r="GV508" s="1053"/>
      <c r="GW508" s="1053"/>
      <c r="GX508" s="1053"/>
      <c r="GY508" s="1053"/>
      <c r="GZ508" s="1053"/>
      <c r="HA508" s="1053"/>
      <c r="HB508" s="1053"/>
      <c r="HC508" s="1053"/>
      <c r="HD508" s="1053"/>
      <c r="HE508" s="1053"/>
      <c r="HF508" s="1053"/>
      <c r="HG508" s="1053"/>
      <c r="HH508" s="1053"/>
      <c r="HI508" s="1053"/>
      <c r="HJ508" s="1053"/>
      <c r="HK508" s="1053"/>
      <c r="HL508" s="1053"/>
      <c r="HM508" s="1053"/>
      <c r="HN508" s="1053"/>
      <c r="HO508" s="1053"/>
      <c r="HP508" s="1053"/>
      <c r="HQ508" s="1053"/>
      <c r="HR508" s="1053"/>
      <c r="HS508" s="1053"/>
      <c r="HT508" s="1053"/>
      <c r="HU508" s="1053"/>
      <c r="HV508" s="1053"/>
      <c r="HW508" s="1053"/>
      <c r="HX508" s="1053"/>
      <c r="HY508" s="1053"/>
      <c r="HZ508" s="1053"/>
      <c r="IA508" s="1053"/>
      <c r="IB508" s="1053"/>
      <c r="IC508" s="1053"/>
      <c r="ID508" s="1053"/>
      <c r="IE508" s="1053"/>
      <c r="IF508" s="1053"/>
      <c r="IG508" s="1053"/>
      <c r="IH508" s="1053"/>
      <c r="II508" s="1053"/>
      <c r="IJ508" s="1053"/>
      <c r="IK508" s="1053"/>
      <c r="IL508" s="1053"/>
      <c r="IM508" s="1053"/>
      <c r="IN508" s="1053"/>
    </row>
    <row r="509" spans="1:248" s="1072" customFormat="1">
      <c r="A509" s="1057" t="s">
        <v>2023</v>
      </c>
      <c r="G509" s="1053"/>
      <c r="H509" s="1053"/>
      <c r="I509" s="1053"/>
      <c r="J509" s="1053"/>
      <c r="K509" s="1053"/>
      <c r="L509" s="1053"/>
      <c r="M509" s="1053"/>
      <c r="N509" s="1053"/>
      <c r="O509" s="1053"/>
      <c r="P509" s="1053"/>
      <c r="Q509" s="1053"/>
      <c r="R509" s="1053"/>
      <c r="S509" s="1053"/>
      <c r="T509" s="1053"/>
      <c r="U509" s="1053"/>
      <c r="V509" s="1053"/>
      <c r="W509" s="1053"/>
      <c r="X509" s="1053"/>
      <c r="Y509" s="1053"/>
      <c r="Z509" s="1053"/>
      <c r="AA509" s="1053"/>
      <c r="AB509" s="1053"/>
      <c r="AC509" s="1053"/>
      <c r="AD509" s="1053"/>
      <c r="AE509" s="1053"/>
      <c r="AF509" s="1053"/>
      <c r="AG509" s="1053"/>
      <c r="AH509" s="1053"/>
      <c r="AI509" s="1053"/>
      <c r="AJ509" s="1053"/>
      <c r="AK509" s="1053"/>
      <c r="AL509" s="1053"/>
      <c r="AM509" s="1053"/>
      <c r="AN509" s="1053"/>
      <c r="AO509" s="1053"/>
      <c r="AP509" s="1053"/>
      <c r="AQ509" s="1053"/>
      <c r="AR509" s="1053"/>
      <c r="AS509" s="1053"/>
      <c r="AT509" s="1053"/>
      <c r="AU509" s="1053"/>
      <c r="AV509" s="1053"/>
      <c r="AW509" s="1053"/>
      <c r="AX509" s="1053"/>
      <c r="AY509" s="1053"/>
      <c r="AZ509" s="1053"/>
      <c r="BA509" s="1053"/>
      <c r="BB509" s="1053"/>
      <c r="BC509" s="1053"/>
      <c r="BD509" s="1053"/>
      <c r="BE509" s="1053"/>
      <c r="BF509" s="1053"/>
      <c r="BG509" s="1053"/>
      <c r="BH509" s="1053"/>
      <c r="BI509" s="1053"/>
      <c r="BJ509" s="1053"/>
      <c r="BK509" s="1053"/>
      <c r="BL509" s="1053"/>
      <c r="BM509" s="1053"/>
      <c r="BN509" s="1053"/>
      <c r="BO509" s="1053"/>
      <c r="BP509" s="1053"/>
      <c r="BQ509" s="1053"/>
      <c r="BR509" s="1053"/>
      <c r="BS509" s="1053"/>
      <c r="BT509" s="1053"/>
      <c r="BU509" s="1053"/>
      <c r="BV509" s="1053"/>
      <c r="BW509" s="1053"/>
      <c r="BX509" s="1053"/>
      <c r="BY509" s="1053"/>
      <c r="BZ509" s="1053"/>
      <c r="CA509" s="1053"/>
      <c r="CB509" s="1053"/>
      <c r="CC509" s="1053"/>
      <c r="CD509" s="1053"/>
      <c r="CE509" s="1053"/>
      <c r="CF509" s="1053"/>
      <c r="CG509" s="1053"/>
      <c r="CH509" s="1053"/>
      <c r="CI509" s="1053"/>
      <c r="CJ509" s="1053"/>
      <c r="CK509" s="1053"/>
      <c r="CL509" s="1053"/>
      <c r="CM509" s="1053"/>
      <c r="CN509" s="1053"/>
      <c r="CO509" s="1053"/>
      <c r="CP509" s="1053"/>
      <c r="CQ509" s="1053"/>
      <c r="CR509" s="1053"/>
      <c r="CS509" s="1053"/>
      <c r="CT509" s="1053"/>
      <c r="CU509" s="1053"/>
      <c r="CV509" s="1053"/>
      <c r="CW509" s="1053"/>
      <c r="CX509" s="1053"/>
      <c r="CY509" s="1053"/>
      <c r="CZ509" s="1053"/>
      <c r="DA509" s="1053"/>
      <c r="DB509" s="1053"/>
      <c r="DC509" s="1053"/>
      <c r="DD509" s="1053"/>
      <c r="DE509" s="1053"/>
      <c r="DF509" s="1053"/>
      <c r="DG509" s="1053"/>
      <c r="DH509" s="1053"/>
      <c r="DI509" s="1053"/>
      <c r="DJ509" s="1053"/>
      <c r="DK509" s="1053"/>
      <c r="DL509" s="1053"/>
      <c r="DM509" s="1053"/>
      <c r="DN509" s="1053"/>
      <c r="DO509" s="1053"/>
      <c r="DP509" s="1053"/>
      <c r="DQ509" s="1053"/>
      <c r="DR509" s="1053"/>
      <c r="DS509" s="1053"/>
      <c r="DT509" s="1053"/>
      <c r="DU509" s="1053"/>
      <c r="DV509" s="1053"/>
      <c r="DW509" s="1053"/>
      <c r="DX509" s="1053"/>
      <c r="DY509" s="1053"/>
      <c r="DZ509" s="1053"/>
      <c r="EA509" s="1053"/>
      <c r="EB509" s="1053"/>
      <c r="EC509" s="1053"/>
      <c r="ED509" s="1053"/>
      <c r="EE509" s="1053"/>
      <c r="EF509" s="1053"/>
      <c r="EG509" s="1053"/>
      <c r="EH509" s="1053"/>
      <c r="EI509" s="1053"/>
      <c r="EJ509" s="1053"/>
      <c r="EK509" s="1053"/>
      <c r="EL509" s="1053"/>
      <c r="EM509" s="1053"/>
      <c r="EN509" s="1053"/>
      <c r="EO509" s="1053"/>
      <c r="EP509" s="1053"/>
      <c r="EQ509" s="1053"/>
      <c r="ER509" s="1053"/>
      <c r="ES509" s="1053"/>
      <c r="ET509" s="1053"/>
      <c r="EU509" s="1053"/>
      <c r="EV509" s="1053"/>
      <c r="EW509" s="1053"/>
      <c r="EX509" s="1053"/>
      <c r="EY509" s="1053"/>
      <c r="EZ509" s="1053"/>
      <c r="FA509" s="1053"/>
      <c r="FB509" s="1053"/>
      <c r="FC509" s="1053"/>
      <c r="FD509" s="1053"/>
      <c r="FE509" s="1053"/>
      <c r="FF509" s="1053"/>
      <c r="FG509" s="1053"/>
      <c r="FH509" s="1053"/>
      <c r="FI509" s="1053"/>
      <c r="FJ509" s="1053"/>
      <c r="FK509" s="1053"/>
      <c r="FL509" s="1053"/>
      <c r="FM509" s="1053"/>
      <c r="FN509" s="1053"/>
      <c r="FO509" s="1053"/>
      <c r="FP509" s="1053"/>
      <c r="FQ509" s="1053"/>
      <c r="FR509" s="1053"/>
      <c r="FS509" s="1053"/>
      <c r="FT509" s="1053"/>
      <c r="FU509" s="1053"/>
      <c r="FV509" s="1053"/>
      <c r="FW509" s="1053"/>
      <c r="FX509" s="1053"/>
      <c r="FY509" s="1053"/>
      <c r="FZ509" s="1053"/>
      <c r="GA509" s="1053"/>
      <c r="GB509" s="1053"/>
      <c r="GC509" s="1053"/>
      <c r="GD509" s="1053"/>
      <c r="GE509" s="1053"/>
      <c r="GF509" s="1053"/>
      <c r="GG509" s="1053"/>
      <c r="GH509" s="1053"/>
      <c r="GI509" s="1053"/>
      <c r="GJ509" s="1053"/>
      <c r="GK509" s="1053"/>
      <c r="GL509" s="1053"/>
      <c r="GM509" s="1053"/>
      <c r="GN509" s="1053"/>
      <c r="GO509" s="1053"/>
      <c r="GP509" s="1053"/>
      <c r="GQ509" s="1053"/>
      <c r="GR509" s="1053"/>
      <c r="GS509" s="1053"/>
      <c r="GT509" s="1053"/>
      <c r="GU509" s="1053"/>
      <c r="GV509" s="1053"/>
      <c r="GW509" s="1053"/>
      <c r="GX509" s="1053"/>
      <c r="GY509" s="1053"/>
      <c r="GZ509" s="1053"/>
      <c r="HA509" s="1053"/>
      <c r="HB509" s="1053"/>
      <c r="HC509" s="1053"/>
      <c r="HD509" s="1053"/>
      <c r="HE509" s="1053"/>
      <c r="HF509" s="1053"/>
      <c r="HG509" s="1053"/>
      <c r="HH509" s="1053"/>
      <c r="HI509" s="1053"/>
      <c r="HJ509" s="1053"/>
      <c r="HK509" s="1053"/>
      <c r="HL509" s="1053"/>
      <c r="HM509" s="1053"/>
      <c r="HN509" s="1053"/>
      <c r="HO509" s="1053"/>
      <c r="HP509" s="1053"/>
      <c r="HQ509" s="1053"/>
      <c r="HR509" s="1053"/>
      <c r="HS509" s="1053"/>
      <c r="HT509" s="1053"/>
      <c r="HU509" s="1053"/>
      <c r="HV509" s="1053"/>
      <c r="HW509" s="1053"/>
      <c r="HX509" s="1053"/>
      <c r="HY509" s="1053"/>
      <c r="HZ509" s="1053"/>
      <c r="IA509" s="1053"/>
      <c r="IB509" s="1053"/>
      <c r="IC509" s="1053"/>
      <c r="ID509" s="1053"/>
      <c r="IE509" s="1053"/>
      <c r="IF509" s="1053"/>
      <c r="IG509" s="1053"/>
      <c r="IH509" s="1053"/>
      <c r="II509" s="1053"/>
      <c r="IJ509" s="1053"/>
      <c r="IK509" s="1053"/>
      <c r="IL509" s="1053"/>
      <c r="IM509" s="1053"/>
      <c r="IN509" s="1053"/>
    </row>
    <row r="510" spans="1:248" s="1072" customFormat="1">
      <c r="A510" s="1054" t="s">
        <v>2008</v>
      </c>
      <c r="B510" s="1072">
        <v>135.54</v>
      </c>
      <c r="C510" s="1072">
        <f t="shared" ref="C510:C515" si="138">B510*$C$7</f>
        <v>7.8390532575848422</v>
      </c>
      <c r="E510" s="1072">
        <f t="shared" ref="E510:E515" si="139">B510+C510+D510</f>
        <v>143.37905325758484</v>
      </c>
      <c r="G510" s="1053"/>
      <c r="H510" s="1053"/>
      <c r="I510" s="1053"/>
      <c r="J510" s="1053"/>
      <c r="K510" s="1053"/>
      <c r="L510" s="1053"/>
      <c r="M510" s="1053"/>
      <c r="N510" s="1053"/>
      <c r="O510" s="1053"/>
      <c r="P510" s="1053"/>
      <c r="Q510" s="1053"/>
      <c r="R510" s="1053"/>
      <c r="S510" s="1053"/>
      <c r="T510" s="1053"/>
      <c r="U510" s="1053"/>
      <c r="V510" s="1053"/>
      <c r="W510" s="1053"/>
      <c r="X510" s="1053"/>
      <c r="Y510" s="1053"/>
      <c r="Z510" s="1053"/>
      <c r="AA510" s="1053"/>
      <c r="AB510" s="1053"/>
      <c r="AC510" s="1053"/>
      <c r="AD510" s="1053"/>
      <c r="AE510" s="1053"/>
      <c r="AF510" s="1053"/>
      <c r="AG510" s="1053"/>
      <c r="AH510" s="1053"/>
      <c r="AI510" s="1053"/>
      <c r="AJ510" s="1053"/>
      <c r="AK510" s="1053"/>
      <c r="AL510" s="1053"/>
      <c r="AM510" s="1053"/>
      <c r="AN510" s="1053"/>
      <c r="AO510" s="1053"/>
      <c r="AP510" s="1053"/>
      <c r="AQ510" s="1053"/>
      <c r="AR510" s="1053"/>
      <c r="AS510" s="1053"/>
      <c r="AT510" s="1053"/>
      <c r="AU510" s="1053"/>
      <c r="AV510" s="1053"/>
      <c r="AW510" s="1053"/>
      <c r="AX510" s="1053"/>
      <c r="AY510" s="1053"/>
      <c r="AZ510" s="1053"/>
      <c r="BA510" s="1053"/>
      <c r="BB510" s="1053"/>
      <c r="BC510" s="1053"/>
      <c r="BD510" s="1053"/>
      <c r="BE510" s="1053"/>
      <c r="BF510" s="1053"/>
      <c r="BG510" s="1053"/>
      <c r="BH510" s="1053"/>
      <c r="BI510" s="1053"/>
      <c r="BJ510" s="1053"/>
      <c r="BK510" s="1053"/>
      <c r="BL510" s="1053"/>
      <c r="BM510" s="1053"/>
      <c r="BN510" s="1053"/>
      <c r="BO510" s="1053"/>
      <c r="BP510" s="1053"/>
      <c r="BQ510" s="1053"/>
      <c r="BR510" s="1053"/>
      <c r="BS510" s="1053"/>
      <c r="BT510" s="1053"/>
      <c r="BU510" s="1053"/>
      <c r="BV510" s="1053"/>
      <c r="BW510" s="1053"/>
      <c r="BX510" s="1053"/>
      <c r="BY510" s="1053"/>
      <c r="BZ510" s="1053"/>
      <c r="CA510" s="1053"/>
      <c r="CB510" s="1053"/>
      <c r="CC510" s="1053"/>
      <c r="CD510" s="1053"/>
      <c r="CE510" s="1053"/>
      <c r="CF510" s="1053"/>
      <c r="CG510" s="1053"/>
      <c r="CH510" s="1053"/>
      <c r="CI510" s="1053"/>
      <c r="CJ510" s="1053"/>
      <c r="CK510" s="1053"/>
      <c r="CL510" s="1053"/>
      <c r="CM510" s="1053"/>
      <c r="CN510" s="1053"/>
      <c r="CO510" s="1053"/>
      <c r="CP510" s="1053"/>
      <c r="CQ510" s="1053"/>
      <c r="CR510" s="1053"/>
      <c r="CS510" s="1053"/>
      <c r="CT510" s="1053"/>
      <c r="CU510" s="1053"/>
      <c r="CV510" s="1053"/>
      <c r="CW510" s="1053"/>
      <c r="CX510" s="1053"/>
      <c r="CY510" s="1053"/>
      <c r="CZ510" s="1053"/>
      <c r="DA510" s="1053"/>
      <c r="DB510" s="1053"/>
      <c r="DC510" s="1053"/>
      <c r="DD510" s="1053"/>
      <c r="DE510" s="1053"/>
      <c r="DF510" s="1053"/>
      <c r="DG510" s="1053"/>
      <c r="DH510" s="1053"/>
      <c r="DI510" s="1053"/>
      <c r="DJ510" s="1053"/>
      <c r="DK510" s="1053"/>
      <c r="DL510" s="1053"/>
      <c r="DM510" s="1053"/>
      <c r="DN510" s="1053"/>
      <c r="DO510" s="1053"/>
      <c r="DP510" s="1053"/>
      <c r="DQ510" s="1053"/>
      <c r="DR510" s="1053"/>
      <c r="DS510" s="1053"/>
      <c r="DT510" s="1053"/>
      <c r="DU510" s="1053"/>
      <c r="DV510" s="1053"/>
      <c r="DW510" s="1053"/>
      <c r="DX510" s="1053"/>
      <c r="DY510" s="1053"/>
      <c r="DZ510" s="1053"/>
      <c r="EA510" s="1053"/>
      <c r="EB510" s="1053"/>
      <c r="EC510" s="1053"/>
      <c r="ED510" s="1053"/>
      <c r="EE510" s="1053"/>
      <c r="EF510" s="1053"/>
      <c r="EG510" s="1053"/>
      <c r="EH510" s="1053"/>
      <c r="EI510" s="1053"/>
      <c r="EJ510" s="1053"/>
      <c r="EK510" s="1053"/>
      <c r="EL510" s="1053"/>
      <c r="EM510" s="1053"/>
      <c r="EN510" s="1053"/>
      <c r="EO510" s="1053"/>
      <c r="EP510" s="1053"/>
      <c r="EQ510" s="1053"/>
      <c r="ER510" s="1053"/>
      <c r="ES510" s="1053"/>
      <c r="ET510" s="1053"/>
      <c r="EU510" s="1053"/>
      <c r="EV510" s="1053"/>
      <c r="EW510" s="1053"/>
      <c r="EX510" s="1053"/>
      <c r="EY510" s="1053"/>
      <c r="EZ510" s="1053"/>
      <c r="FA510" s="1053"/>
      <c r="FB510" s="1053"/>
      <c r="FC510" s="1053"/>
      <c r="FD510" s="1053"/>
      <c r="FE510" s="1053"/>
      <c r="FF510" s="1053"/>
      <c r="FG510" s="1053"/>
      <c r="FH510" s="1053"/>
      <c r="FI510" s="1053"/>
      <c r="FJ510" s="1053"/>
      <c r="FK510" s="1053"/>
      <c r="FL510" s="1053"/>
      <c r="FM510" s="1053"/>
      <c r="FN510" s="1053"/>
      <c r="FO510" s="1053"/>
      <c r="FP510" s="1053"/>
      <c r="FQ510" s="1053"/>
      <c r="FR510" s="1053"/>
      <c r="FS510" s="1053"/>
      <c r="FT510" s="1053"/>
      <c r="FU510" s="1053"/>
      <c r="FV510" s="1053"/>
      <c r="FW510" s="1053"/>
      <c r="FX510" s="1053"/>
      <c r="FY510" s="1053"/>
      <c r="FZ510" s="1053"/>
      <c r="GA510" s="1053"/>
      <c r="GB510" s="1053"/>
      <c r="GC510" s="1053"/>
      <c r="GD510" s="1053"/>
      <c r="GE510" s="1053"/>
      <c r="GF510" s="1053"/>
      <c r="GG510" s="1053"/>
      <c r="GH510" s="1053"/>
      <c r="GI510" s="1053"/>
      <c r="GJ510" s="1053"/>
      <c r="GK510" s="1053"/>
      <c r="GL510" s="1053"/>
      <c r="GM510" s="1053"/>
      <c r="GN510" s="1053"/>
      <c r="GO510" s="1053"/>
      <c r="GP510" s="1053"/>
      <c r="GQ510" s="1053"/>
      <c r="GR510" s="1053"/>
      <c r="GS510" s="1053"/>
      <c r="GT510" s="1053"/>
      <c r="GU510" s="1053"/>
      <c r="GV510" s="1053"/>
      <c r="GW510" s="1053"/>
      <c r="GX510" s="1053"/>
      <c r="GY510" s="1053"/>
      <c r="GZ510" s="1053"/>
      <c r="HA510" s="1053"/>
      <c r="HB510" s="1053"/>
      <c r="HC510" s="1053"/>
      <c r="HD510" s="1053"/>
      <c r="HE510" s="1053"/>
      <c r="HF510" s="1053"/>
      <c r="HG510" s="1053"/>
      <c r="HH510" s="1053"/>
      <c r="HI510" s="1053"/>
      <c r="HJ510" s="1053"/>
      <c r="HK510" s="1053"/>
      <c r="HL510" s="1053"/>
      <c r="HM510" s="1053"/>
      <c r="HN510" s="1053"/>
      <c r="HO510" s="1053"/>
      <c r="HP510" s="1053"/>
      <c r="HQ510" s="1053"/>
      <c r="HR510" s="1053"/>
      <c r="HS510" s="1053"/>
      <c r="HT510" s="1053"/>
      <c r="HU510" s="1053"/>
      <c r="HV510" s="1053"/>
      <c r="HW510" s="1053"/>
      <c r="HX510" s="1053"/>
      <c r="HY510" s="1053"/>
      <c r="HZ510" s="1053"/>
      <c r="IA510" s="1053"/>
      <c r="IB510" s="1053"/>
      <c r="IC510" s="1053"/>
      <c r="ID510" s="1053"/>
      <c r="IE510" s="1053"/>
      <c r="IF510" s="1053"/>
      <c r="IG510" s="1053"/>
      <c r="IH510" s="1053"/>
      <c r="II510" s="1053"/>
      <c r="IJ510" s="1053"/>
      <c r="IK510" s="1053"/>
      <c r="IL510" s="1053"/>
      <c r="IM510" s="1053"/>
      <c r="IN510" s="1053"/>
    </row>
    <row r="511" spans="1:248" s="1072" customFormat="1">
      <c r="A511" s="1054" t="s">
        <v>2010</v>
      </c>
      <c r="B511" s="1072">
        <v>171.95</v>
      </c>
      <c r="C511" s="1072">
        <f t="shared" si="138"/>
        <v>9.9448517606737017</v>
      </c>
      <c r="E511" s="1072">
        <f t="shared" si="139"/>
        <v>181.8948517606737</v>
      </c>
      <c r="G511" s="1053"/>
      <c r="H511" s="1053"/>
      <c r="I511" s="1053"/>
      <c r="J511" s="1053"/>
      <c r="K511" s="1053"/>
      <c r="L511" s="1053"/>
      <c r="M511" s="1053"/>
      <c r="N511" s="1053"/>
      <c r="O511" s="1053"/>
      <c r="P511" s="1053"/>
      <c r="Q511" s="1053"/>
      <c r="R511" s="1053"/>
      <c r="S511" s="1053"/>
      <c r="T511" s="1053"/>
      <c r="U511" s="1053"/>
      <c r="V511" s="1053"/>
      <c r="W511" s="1053"/>
      <c r="X511" s="1053"/>
      <c r="Y511" s="1053"/>
      <c r="Z511" s="1053"/>
      <c r="AA511" s="1053"/>
      <c r="AB511" s="1053"/>
      <c r="AC511" s="1053"/>
      <c r="AD511" s="1053"/>
      <c r="AE511" s="1053"/>
      <c r="AF511" s="1053"/>
      <c r="AG511" s="1053"/>
      <c r="AH511" s="1053"/>
      <c r="AI511" s="1053"/>
      <c r="AJ511" s="1053"/>
      <c r="AK511" s="1053"/>
      <c r="AL511" s="1053"/>
      <c r="AM511" s="1053"/>
      <c r="AN511" s="1053"/>
      <c r="AO511" s="1053"/>
      <c r="AP511" s="1053"/>
      <c r="AQ511" s="1053"/>
      <c r="AR511" s="1053"/>
      <c r="AS511" s="1053"/>
      <c r="AT511" s="1053"/>
      <c r="AU511" s="1053"/>
      <c r="AV511" s="1053"/>
      <c r="AW511" s="1053"/>
      <c r="AX511" s="1053"/>
      <c r="AY511" s="1053"/>
      <c r="AZ511" s="1053"/>
      <c r="BA511" s="1053"/>
      <c r="BB511" s="1053"/>
      <c r="BC511" s="1053"/>
      <c r="BD511" s="1053"/>
      <c r="BE511" s="1053"/>
      <c r="BF511" s="1053"/>
      <c r="BG511" s="1053"/>
      <c r="BH511" s="1053"/>
      <c r="BI511" s="1053"/>
      <c r="BJ511" s="1053"/>
      <c r="BK511" s="1053"/>
      <c r="BL511" s="1053"/>
      <c r="BM511" s="1053"/>
      <c r="BN511" s="1053"/>
      <c r="BO511" s="1053"/>
      <c r="BP511" s="1053"/>
      <c r="BQ511" s="1053"/>
      <c r="BR511" s="1053"/>
      <c r="BS511" s="1053"/>
      <c r="BT511" s="1053"/>
      <c r="BU511" s="1053"/>
      <c r="BV511" s="1053"/>
      <c r="BW511" s="1053"/>
      <c r="BX511" s="1053"/>
      <c r="BY511" s="1053"/>
      <c r="BZ511" s="1053"/>
      <c r="CA511" s="1053"/>
      <c r="CB511" s="1053"/>
      <c r="CC511" s="1053"/>
      <c r="CD511" s="1053"/>
      <c r="CE511" s="1053"/>
      <c r="CF511" s="1053"/>
      <c r="CG511" s="1053"/>
      <c r="CH511" s="1053"/>
      <c r="CI511" s="1053"/>
      <c r="CJ511" s="1053"/>
      <c r="CK511" s="1053"/>
      <c r="CL511" s="1053"/>
      <c r="CM511" s="1053"/>
      <c r="CN511" s="1053"/>
      <c r="CO511" s="1053"/>
      <c r="CP511" s="1053"/>
      <c r="CQ511" s="1053"/>
      <c r="CR511" s="1053"/>
      <c r="CS511" s="1053"/>
      <c r="CT511" s="1053"/>
      <c r="CU511" s="1053"/>
      <c r="CV511" s="1053"/>
      <c r="CW511" s="1053"/>
      <c r="CX511" s="1053"/>
      <c r="CY511" s="1053"/>
      <c r="CZ511" s="1053"/>
      <c r="DA511" s="1053"/>
      <c r="DB511" s="1053"/>
      <c r="DC511" s="1053"/>
      <c r="DD511" s="1053"/>
      <c r="DE511" s="1053"/>
      <c r="DF511" s="1053"/>
      <c r="DG511" s="1053"/>
      <c r="DH511" s="1053"/>
      <c r="DI511" s="1053"/>
      <c r="DJ511" s="1053"/>
      <c r="DK511" s="1053"/>
      <c r="DL511" s="1053"/>
      <c r="DM511" s="1053"/>
      <c r="DN511" s="1053"/>
      <c r="DO511" s="1053"/>
      <c r="DP511" s="1053"/>
      <c r="DQ511" s="1053"/>
      <c r="DR511" s="1053"/>
      <c r="DS511" s="1053"/>
      <c r="DT511" s="1053"/>
      <c r="DU511" s="1053"/>
      <c r="DV511" s="1053"/>
      <c r="DW511" s="1053"/>
      <c r="DX511" s="1053"/>
      <c r="DY511" s="1053"/>
      <c r="DZ511" s="1053"/>
      <c r="EA511" s="1053"/>
      <c r="EB511" s="1053"/>
      <c r="EC511" s="1053"/>
      <c r="ED511" s="1053"/>
      <c r="EE511" s="1053"/>
      <c r="EF511" s="1053"/>
      <c r="EG511" s="1053"/>
      <c r="EH511" s="1053"/>
      <c r="EI511" s="1053"/>
      <c r="EJ511" s="1053"/>
      <c r="EK511" s="1053"/>
      <c r="EL511" s="1053"/>
      <c r="EM511" s="1053"/>
      <c r="EN511" s="1053"/>
      <c r="EO511" s="1053"/>
      <c r="EP511" s="1053"/>
      <c r="EQ511" s="1053"/>
      <c r="ER511" s="1053"/>
      <c r="ES511" s="1053"/>
      <c r="ET511" s="1053"/>
      <c r="EU511" s="1053"/>
      <c r="EV511" s="1053"/>
      <c r="EW511" s="1053"/>
      <c r="EX511" s="1053"/>
      <c r="EY511" s="1053"/>
      <c r="EZ511" s="1053"/>
      <c r="FA511" s="1053"/>
      <c r="FB511" s="1053"/>
      <c r="FC511" s="1053"/>
      <c r="FD511" s="1053"/>
      <c r="FE511" s="1053"/>
      <c r="FF511" s="1053"/>
      <c r="FG511" s="1053"/>
      <c r="FH511" s="1053"/>
      <c r="FI511" s="1053"/>
      <c r="FJ511" s="1053"/>
      <c r="FK511" s="1053"/>
      <c r="FL511" s="1053"/>
      <c r="FM511" s="1053"/>
      <c r="FN511" s="1053"/>
      <c r="FO511" s="1053"/>
      <c r="FP511" s="1053"/>
      <c r="FQ511" s="1053"/>
      <c r="FR511" s="1053"/>
      <c r="FS511" s="1053"/>
      <c r="FT511" s="1053"/>
      <c r="FU511" s="1053"/>
      <c r="FV511" s="1053"/>
      <c r="FW511" s="1053"/>
      <c r="FX511" s="1053"/>
      <c r="FY511" s="1053"/>
      <c r="FZ511" s="1053"/>
      <c r="GA511" s="1053"/>
      <c r="GB511" s="1053"/>
      <c r="GC511" s="1053"/>
      <c r="GD511" s="1053"/>
      <c r="GE511" s="1053"/>
      <c r="GF511" s="1053"/>
      <c r="GG511" s="1053"/>
      <c r="GH511" s="1053"/>
      <c r="GI511" s="1053"/>
      <c r="GJ511" s="1053"/>
      <c r="GK511" s="1053"/>
      <c r="GL511" s="1053"/>
      <c r="GM511" s="1053"/>
      <c r="GN511" s="1053"/>
      <c r="GO511" s="1053"/>
      <c r="GP511" s="1053"/>
      <c r="GQ511" s="1053"/>
      <c r="GR511" s="1053"/>
      <c r="GS511" s="1053"/>
      <c r="GT511" s="1053"/>
      <c r="GU511" s="1053"/>
      <c r="GV511" s="1053"/>
      <c r="GW511" s="1053"/>
      <c r="GX511" s="1053"/>
      <c r="GY511" s="1053"/>
      <c r="GZ511" s="1053"/>
      <c r="HA511" s="1053"/>
      <c r="HB511" s="1053"/>
      <c r="HC511" s="1053"/>
      <c r="HD511" s="1053"/>
      <c r="HE511" s="1053"/>
      <c r="HF511" s="1053"/>
      <c r="HG511" s="1053"/>
      <c r="HH511" s="1053"/>
      <c r="HI511" s="1053"/>
      <c r="HJ511" s="1053"/>
      <c r="HK511" s="1053"/>
      <c r="HL511" s="1053"/>
      <c r="HM511" s="1053"/>
      <c r="HN511" s="1053"/>
      <c r="HO511" s="1053"/>
      <c r="HP511" s="1053"/>
      <c r="HQ511" s="1053"/>
      <c r="HR511" s="1053"/>
      <c r="HS511" s="1053"/>
      <c r="HT511" s="1053"/>
      <c r="HU511" s="1053"/>
      <c r="HV511" s="1053"/>
      <c r="HW511" s="1053"/>
      <c r="HX511" s="1053"/>
      <c r="HY511" s="1053"/>
      <c r="HZ511" s="1053"/>
      <c r="IA511" s="1053"/>
      <c r="IB511" s="1053"/>
      <c r="IC511" s="1053"/>
      <c r="ID511" s="1053"/>
      <c r="IE511" s="1053"/>
      <c r="IF511" s="1053"/>
      <c r="IG511" s="1053"/>
      <c r="IH511" s="1053"/>
      <c r="II511" s="1053"/>
      <c r="IJ511" s="1053"/>
      <c r="IK511" s="1053"/>
      <c r="IL511" s="1053"/>
      <c r="IM511" s="1053"/>
      <c r="IN511" s="1053"/>
    </row>
    <row r="512" spans="1:248" s="1072" customFormat="1">
      <c r="A512" s="1054" t="s">
        <v>2011</v>
      </c>
      <c r="B512" s="1072">
        <v>212.02</v>
      </c>
      <c r="C512" s="1072">
        <f t="shared" si="138"/>
        <v>12.262328992719038</v>
      </c>
      <c r="E512" s="1072">
        <f t="shared" si="139"/>
        <v>224.28232899271904</v>
      </c>
      <c r="G512" s="1053"/>
      <c r="H512" s="1053"/>
      <c r="I512" s="1053"/>
      <c r="J512" s="1053"/>
      <c r="K512" s="1053"/>
      <c r="L512" s="1053"/>
      <c r="M512" s="1053"/>
      <c r="N512" s="1053"/>
      <c r="O512" s="1053"/>
      <c r="P512" s="1053"/>
      <c r="Q512" s="1053"/>
      <c r="R512" s="1053"/>
      <c r="S512" s="1053"/>
      <c r="T512" s="1053"/>
      <c r="U512" s="1053"/>
      <c r="V512" s="1053"/>
      <c r="W512" s="1053"/>
      <c r="X512" s="1053"/>
      <c r="Y512" s="1053"/>
      <c r="Z512" s="1053"/>
      <c r="AA512" s="1053"/>
      <c r="AB512" s="1053"/>
      <c r="AC512" s="1053"/>
      <c r="AD512" s="1053"/>
      <c r="AE512" s="1053"/>
      <c r="AF512" s="1053"/>
      <c r="AG512" s="1053"/>
      <c r="AH512" s="1053"/>
      <c r="AI512" s="1053"/>
      <c r="AJ512" s="1053"/>
      <c r="AK512" s="1053"/>
      <c r="AL512" s="1053"/>
      <c r="AM512" s="1053"/>
      <c r="AN512" s="1053"/>
      <c r="AO512" s="1053"/>
      <c r="AP512" s="1053"/>
      <c r="AQ512" s="1053"/>
      <c r="AR512" s="1053"/>
      <c r="AS512" s="1053"/>
      <c r="AT512" s="1053"/>
      <c r="AU512" s="1053"/>
      <c r="AV512" s="1053"/>
      <c r="AW512" s="1053"/>
      <c r="AX512" s="1053"/>
      <c r="AY512" s="1053"/>
      <c r="AZ512" s="1053"/>
      <c r="BA512" s="1053"/>
      <c r="BB512" s="1053"/>
      <c r="BC512" s="1053"/>
      <c r="BD512" s="1053"/>
      <c r="BE512" s="1053"/>
      <c r="BF512" s="1053"/>
      <c r="BG512" s="1053"/>
      <c r="BH512" s="1053"/>
      <c r="BI512" s="1053"/>
      <c r="BJ512" s="1053"/>
      <c r="BK512" s="1053"/>
      <c r="BL512" s="1053"/>
      <c r="BM512" s="1053"/>
      <c r="BN512" s="1053"/>
      <c r="BO512" s="1053"/>
      <c r="BP512" s="1053"/>
      <c r="BQ512" s="1053"/>
      <c r="BR512" s="1053"/>
      <c r="BS512" s="1053"/>
      <c r="BT512" s="1053"/>
      <c r="BU512" s="1053"/>
      <c r="BV512" s="1053"/>
      <c r="BW512" s="1053"/>
      <c r="BX512" s="1053"/>
      <c r="BY512" s="1053"/>
      <c r="BZ512" s="1053"/>
      <c r="CA512" s="1053"/>
      <c r="CB512" s="1053"/>
      <c r="CC512" s="1053"/>
      <c r="CD512" s="1053"/>
      <c r="CE512" s="1053"/>
      <c r="CF512" s="1053"/>
      <c r="CG512" s="1053"/>
      <c r="CH512" s="1053"/>
      <c r="CI512" s="1053"/>
      <c r="CJ512" s="1053"/>
      <c r="CK512" s="1053"/>
      <c r="CL512" s="1053"/>
      <c r="CM512" s="1053"/>
      <c r="CN512" s="1053"/>
      <c r="CO512" s="1053"/>
      <c r="CP512" s="1053"/>
      <c r="CQ512" s="1053"/>
      <c r="CR512" s="1053"/>
      <c r="CS512" s="1053"/>
      <c r="CT512" s="1053"/>
      <c r="CU512" s="1053"/>
      <c r="CV512" s="1053"/>
      <c r="CW512" s="1053"/>
      <c r="CX512" s="1053"/>
      <c r="CY512" s="1053"/>
      <c r="CZ512" s="1053"/>
      <c r="DA512" s="1053"/>
      <c r="DB512" s="1053"/>
      <c r="DC512" s="1053"/>
      <c r="DD512" s="1053"/>
      <c r="DE512" s="1053"/>
      <c r="DF512" s="1053"/>
      <c r="DG512" s="1053"/>
      <c r="DH512" s="1053"/>
      <c r="DI512" s="1053"/>
      <c r="DJ512" s="1053"/>
      <c r="DK512" s="1053"/>
      <c r="DL512" s="1053"/>
      <c r="DM512" s="1053"/>
      <c r="DN512" s="1053"/>
      <c r="DO512" s="1053"/>
      <c r="DP512" s="1053"/>
      <c r="DQ512" s="1053"/>
      <c r="DR512" s="1053"/>
      <c r="DS512" s="1053"/>
      <c r="DT512" s="1053"/>
      <c r="DU512" s="1053"/>
      <c r="DV512" s="1053"/>
      <c r="DW512" s="1053"/>
      <c r="DX512" s="1053"/>
      <c r="DY512" s="1053"/>
      <c r="DZ512" s="1053"/>
      <c r="EA512" s="1053"/>
      <c r="EB512" s="1053"/>
      <c r="EC512" s="1053"/>
      <c r="ED512" s="1053"/>
      <c r="EE512" s="1053"/>
      <c r="EF512" s="1053"/>
      <c r="EG512" s="1053"/>
      <c r="EH512" s="1053"/>
      <c r="EI512" s="1053"/>
      <c r="EJ512" s="1053"/>
      <c r="EK512" s="1053"/>
      <c r="EL512" s="1053"/>
      <c r="EM512" s="1053"/>
      <c r="EN512" s="1053"/>
      <c r="EO512" s="1053"/>
      <c r="EP512" s="1053"/>
      <c r="EQ512" s="1053"/>
      <c r="ER512" s="1053"/>
      <c r="ES512" s="1053"/>
      <c r="ET512" s="1053"/>
      <c r="EU512" s="1053"/>
      <c r="EV512" s="1053"/>
      <c r="EW512" s="1053"/>
      <c r="EX512" s="1053"/>
      <c r="EY512" s="1053"/>
      <c r="EZ512" s="1053"/>
      <c r="FA512" s="1053"/>
      <c r="FB512" s="1053"/>
      <c r="FC512" s="1053"/>
      <c r="FD512" s="1053"/>
      <c r="FE512" s="1053"/>
      <c r="FF512" s="1053"/>
      <c r="FG512" s="1053"/>
      <c r="FH512" s="1053"/>
      <c r="FI512" s="1053"/>
      <c r="FJ512" s="1053"/>
      <c r="FK512" s="1053"/>
      <c r="FL512" s="1053"/>
      <c r="FM512" s="1053"/>
      <c r="FN512" s="1053"/>
      <c r="FO512" s="1053"/>
      <c r="FP512" s="1053"/>
      <c r="FQ512" s="1053"/>
      <c r="FR512" s="1053"/>
      <c r="FS512" s="1053"/>
      <c r="FT512" s="1053"/>
      <c r="FU512" s="1053"/>
      <c r="FV512" s="1053"/>
      <c r="FW512" s="1053"/>
      <c r="FX512" s="1053"/>
      <c r="FY512" s="1053"/>
      <c r="FZ512" s="1053"/>
      <c r="GA512" s="1053"/>
      <c r="GB512" s="1053"/>
      <c r="GC512" s="1053"/>
      <c r="GD512" s="1053"/>
      <c r="GE512" s="1053"/>
      <c r="GF512" s="1053"/>
      <c r="GG512" s="1053"/>
      <c r="GH512" s="1053"/>
      <c r="GI512" s="1053"/>
      <c r="GJ512" s="1053"/>
      <c r="GK512" s="1053"/>
      <c r="GL512" s="1053"/>
      <c r="GM512" s="1053"/>
      <c r="GN512" s="1053"/>
      <c r="GO512" s="1053"/>
      <c r="GP512" s="1053"/>
      <c r="GQ512" s="1053"/>
      <c r="GR512" s="1053"/>
      <c r="GS512" s="1053"/>
      <c r="GT512" s="1053"/>
      <c r="GU512" s="1053"/>
      <c r="GV512" s="1053"/>
      <c r="GW512" s="1053"/>
      <c r="GX512" s="1053"/>
      <c r="GY512" s="1053"/>
      <c r="GZ512" s="1053"/>
      <c r="HA512" s="1053"/>
      <c r="HB512" s="1053"/>
      <c r="HC512" s="1053"/>
      <c r="HD512" s="1053"/>
      <c r="HE512" s="1053"/>
      <c r="HF512" s="1053"/>
      <c r="HG512" s="1053"/>
      <c r="HH512" s="1053"/>
      <c r="HI512" s="1053"/>
      <c r="HJ512" s="1053"/>
      <c r="HK512" s="1053"/>
      <c r="HL512" s="1053"/>
      <c r="HM512" s="1053"/>
      <c r="HN512" s="1053"/>
      <c r="HO512" s="1053"/>
      <c r="HP512" s="1053"/>
      <c r="HQ512" s="1053"/>
      <c r="HR512" s="1053"/>
      <c r="HS512" s="1053"/>
      <c r="HT512" s="1053"/>
      <c r="HU512" s="1053"/>
      <c r="HV512" s="1053"/>
      <c r="HW512" s="1053"/>
      <c r="HX512" s="1053"/>
      <c r="HY512" s="1053"/>
      <c r="HZ512" s="1053"/>
      <c r="IA512" s="1053"/>
      <c r="IB512" s="1053"/>
      <c r="IC512" s="1053"/>
      <c r="ID512" s="1053"/>
      <c r="IE512" s="1053"/>
      <c r="IF512" s="1053"/>
      <c r="IG512" s="1053"/>
      <c r="IH512" s="1053"/>
      <c r="II512" s="1053"/>
      <c r="IJ512" s="1053"/>
      <c r="IK512" s="1053"/>
      <c r="IL512" s="1053"/>
      <c r="IM512" s="1053"/>
      <c r="IN512" s="1053"/>
    </row>
    <row r="513" spans="1:248" s="1072" customFormat="1">
      <c r="A513" s="1054" t="s">
        <v>2012</v>
      </c>
      <c r="B513" s="1072">
        <v>245.11</v>
      </c>
      <c r="C513" s="1072">
        <f t="shared" si="138"/>
        <v>14.176112911071424</v>
      </c>
      <c r="E513" s="1072">
        <f t="shared" si="139"/>
        <v>259.28611291107143</v>
      </c>
      <c r="G513" s="1053"/>
      <c r="H513" s="1053"/>
      <c r="I513" s="1053"/>
      <c r="J513" s="1053"/>
      <c r="K513" s="1053"/>
      <c r="L513" s="1053"/>
      <c r="M513" s="1053"/>
      <c r="N513" s="1053"/>
      <c r="O513" s="1053"/>
      <c r="P513" s="1053"/>
      <c r="Q513" s="1053"/>
      <c r="R513" s="1053"/>
      <c r="S513" s="1053"/>
      <c r="T513" s="1053"/>
      <c r="U513" s="1053"/>
      <c r="V513" s="1053"/>
      <c r="W513" s="1053"/>
      <c r="X513" s="1053"/>
      <c r="Y513" s="1053"/>
      <c r="Z513" s="1053"/>
      <c r="AA513" s="1053"/>
      <c r="AB513" s="1053"/>
      <c r="AC513" s="1053"/>
      <c r="AD513" s="1053"/>
      <c r="AE513" s="1053"/>
      <c r="AF513" s="1053"/>
      <c r="AG513" s="1053"/>
      <c r="AH513" s="1053"/>
      <c r="AI513" s="1053"/>
      <c r="AJ513" s="1053"/>
      <c r="AK513" s="1053"/>
      <c r="AL513" s="1053"/>
      <c r="AM513" s="1053"/>
      <c r="AN513" s="1053"/>
      <c r="AO513" s="1053"/>
      <c r="AP513" s="1053"/>
      <c r="AQ513" s="1053"/>
      <c r="AR513" s="1053"/>
      <c r="AS513" s="1053"/>
      <c r="AT513" s="1053"/>
      <c r="AU513" s="1053"/>
      <c r="AV513" s="1053"/>
      <c r="AW513" s="1053"/>
      <c r="AX513" s="1053"/>
      <c r="AY513" s="1053"/>
      <c r="AZ513" s="1053"/>
      <c r="BA513" s="1053"/>
      <c r="BB513" s="1053"/>
      <c r="BC513" s="1053"/>
      <c r="BD513" s="1053"/>
      <c r="BE513" s="1053"/>
      <c r="BF513" s="1053"/>
      <c r="BG513" s="1053"/>
      <c r="BH513" s="1053"/>
      <c r="BI513" s="1053"/>
      <c r="BJ513" s="1053"/>
      <c r="BK513" s="1053"/>
      <c r="BL513" s="1053"/>
      <c r="BM513" s="1053"/>
      <c r="BN513" s="1053"/>
      <c r="BO513" s="1053"/>
      <c r="BP513" s="1053"/>
      <c r="BQ513" s="1053"/>
      <c r="BR513" s="1053"/>
      <c r="BS513" s="1053"/>
      <c r="BT513" s="1053"/>
      <c r="BU513" s="1053"/>
      <c r="BV513" s="1053"/>
      <c r="BW513" s="1053"/>
      <c r="BX513" s="1053"/>
      <c r="BY513" s="1053"/>
      <c r="BZ513" s="1053"/>
      <c r="CA513" s="1053"/>
      <c r="CB513" s="1053"/>
      <c r="CC513" s="1053"/>
      <c r="CD513" s="1053"/>
      <c r="CE513" s="1053"/>
      <c r="CF513" s="1053"/>
      <c r="CG513" s="1053"/>
      <c r="CH513" s="1053"/>
      <c r="CI513" s="1053"/>
      <c r="CJ513" s="1053"/>
      <c r="CK513" s="1053"/>
      <c r="CL513" s="1053"/>
      <c r="CM513" s="1053"/>
      <c r="CN513" s="1053"/>
      <c r="CO513" s="1053"/>
      <c r="CP513" s="1053"/>
      <c r="CQ513" s="1053"/>
      <c r="CR513" s="1053"/>
      <c r="CS513" s="1053"/>
      <c r="CT513" s="1053"/>
      <c r="CU513" s="1053"/>
      <c r="CV513" s="1053"/>
      <c r="CW513" s="1053"/>
      <c r="CX513" s="1053"/>
      <c r="CY513" s="1053"/>
      <c r="CZ513" s="1053"/>
      <c r="DA513" s="1053"/>
      <c r="DB513" s="1053"/>
      <c r="DC513" s="1053"/>
      <c r="DD513" s="1053"/>
      <c r="DE513" s="1053"/>
      <c r="DF513" s="1053"/>
      <c r="DG513" s="1053"/>
      <c r="DH513" s="1053"/>
      <c r="DI513" s="1053"/>
      <c r="DJ513" s="1053"/>
      <c r="DK513" s="1053"/>
      <c r="DL513" s="1053"/>
      <c r="DM513" s="1053"/>
      <c r="DN513" s="1053"/>
      <c r="DO513" s="1053"/>
      <c r="DP513" s="1053"/>
      <c r="DQ513" s="1053"/>
      <c r="DR513" s="1053"/>
      <c r="DS513" s="1053"/>
      <c r="DT513" s="1053"/>
      <c r="DU513" s="1053"/>
      <c r="DV513" s="1053"/>
      <c r="DW513" s="1053"/>
      <c r="DX513" s="1053"/>
      <c r="DY513" s="1053"/>
      <c r="DZ513" s="1053"/>
      <c r="EA513" s="1053"/>
      <c r="EB513" s="1053"/>
      <c r="EC513" s="1053"/>
      <c r="ED513" s="1053"/>
      <c r="EE513" s="1053"/>
      <c r="EF513" s="1053"/>
      <c r="EG513" s="1053"/>
      <c r="EH513" s="1053"/>
      <c r="EI513" s="1053"/>
      <c r="EJ513" s="1053"/>
      <c r="EK513" s="1053"/>
      <c r="EL513" s="1053"/>
      <c r="EM513" s="1053"/>
      <c r="EN513" s="1053"/>
      <c r="EO513" s="1053"/>
      <c r="EP513" s="1053"/>
      <c r="EQ513" s="1053"/>
      <c r="ER513" s="1053"/>
      <c r="ES513" s="1053"/>
      <c r="ET513" s="1053"/>
      <c r="EU513" s="1053"/>
      <c r="EV513" s="1053"/>
      <c r="EW513" s="1053"/>
      <c r="EX513" s="1053"/>
      <c r="EY513" s="1053"/>
      <c r="EZ513" s="1053"/>
      <c r="FA513" s="1053"/>
      <c r="FB513" s="1053"/>
      <c r="FC513" s="1053"/>
      <c r="FD513" s="1053"/>
      <c r="FE513" s="1053"/>
      <c r="FF513" s="1053"/>
      <c r="FG513" s="1053"/>
      <c r="FH513" s="1053"/>
      <c r="FI513" s="1053"/>
      <c r="FJ513" s="1053"/>
      <c r="FK513" s="1053"/>
      <c r="FL513" s="1053"/>
      <c r="FM513" s="1053"/>
      <c r="FN513" s="1053"/>
      <c r="FO513" s="1053"/>
      <c r="FP513" s="1053"/>
      <c r="FQ513" s="1053"/>
      <c r="FR513" s="1053"/>
      <c r="FS513" s="1053"/>
      <c r="FT513" s="1053"/>
      <c r="FU513" s="1053"/>
      <c r="FV513" s="1053"/>
      <c r="FW513" s="1053"/>
      <c r="FX513" s="1053"/>
      <c r="FY513" s="1053"/>
      <c r="FZ513" s="1053"/>
      <c r="GA513" s="1053"/>
      <c r="GB513" s="1053"/>
      <c r="GC513" s="1053"/>
      <c r="GD513" s="1053"/>
      <c r="GE513" s="1053"/>
      <c r="GF513" s="1053"/>
      <c r="GG513" s="1053"/>
      <c r="GH513" s="1053"/>
      <c r="GI513" s="1053"/>
      <c r="GJ513" s="1053"/>
      <c r="GK513" s="1053"/>
      <c r="GL513" s="1053"/>
      <c r="GM513" s="1053"/>
      <c r="GN513" s="1053"/>
      <c r="GO513" s="1053"/>
      <c r="GP513" s="1053"/>
      <c r="GQ513" s="1053"/>
      <c r="GR513" s="1053"/>
      <c r="GS513" s="1053"/>
      <c r="GT513" s="1053"/>
      <c r="GU513" s="1053"/>
      <c r="GV513" s="1053"/>
      <c r="GW513" s="1053"/>
      <c r="GX513" s="1053"/>
      <c r="GY513" s="1053"/>
      <c r="GZ513" s="1053"/>
      <c r="HA513" s="1053"/>
      <c r="HB513" s="1053"/>
      <c r="HC513" s="1053"/>
      <c r="HD513" s="1053"/>
      <c r="HE513" s="1053"/>
      <c r="HF513" s="1053"/>
      <c r="HG513" s="1053"/>
      <c r="HH513" s="1053"/>
      <c r="HI513" s="1053"/>
      <c r="HJ513" s="1053"/>
      <c r="HK513" s="1053"/>
      <c r="HL513" s="1053"/>
      <c r="HM513" s="1053"/>
      <c r="HN513" s="1053"/>
      <c r="HO513" s="1053"/>
      <c r="HP513" s="1053"/>
      <c r="HQ513" s="1053"/>
      <c r="HR513" s="1053"/>
      <c r="HS513" s="1053"/>
      <c r="HT513" s="1053"/>
      <c r="HU513" s="1053"/>
      <c r="HV513" s="1053"/>
      <c r="HW513" s="1053"/>
      <c r="HX513" s="1053"/>
      <c r="HY513" s="1053"/>
      <c r="HZ513" s="1053"/>
      <c r="IA513" s="1053"/>
      <c r="IB513" s="1053"/>
      <c r="IC513" s="1053"/>
      <c r="ID513" s="1053"/>
      <c r="IE513" s="1053"/>
      <c r="IF513" s="1053"/>
      <c r="IG513" s="1053"/>
      <c r="IH513" s="1053"/>
      <c r="II513" s="1053"/>
      <c r="IJ513" s="1053"/>
      <c r="IK513" s="1053"/>
      <c r="IL513" s="1053"/>
      <c r="IM513" s="1053"/>
      <c r="IN513" s="1053"/>
    </row>
    <row r="514" spans="1:248" s="1072" customFormat="1">
      <c r="A514" s="1054" t="s">
        <v>2013</v>
      </c>
      <c r="B514" s="1072">
        <v>279.58999999999997</v>
      </c>
      <c r="C514" s="1072">
        <f t="shared" si="138"/>
        <v>16.170288477852633</v>
      </c>
      <c r="E514" s="1072">
        <f t="shared" si="139"/>
        <v>295.76028847785261</v>
      </c>
      <c r="G514" s="1053"/>
      <c r="H514" s="1053"/>
      <c r="I514" s="1053"/>
      <c r="J514" s="1053"/>
      <c r="K514" s="1053"/>
      <c r="L514" s="1053"/>
      <c r="M514" s="1053"/>
      <c r="N514" s="1053"/>
      <c r="O514" s="1053"/>
      <c r="P514" s="1053"/>
      <c r="Q514" s="1053"/>
      <c r="R514" s="1053"/>
      <c r="S514" s="1053"/>
      <c r="T514" s="1053"/>
      <c r="U514" s="1053"/>
      <c r="V514" s="1053"/>
      <c r="W514" s="1053"/>
      <c r="X514" s="1053"/>
      <c r="Y514" s="1053"/>
      <c r="Z514" s="1053"/>
      <c r="AA514" s="1053"/>
      <c r="AB514" s="1053"/>
      <c r="AC514" s="1053"/>
      <c r="AD514" s="1053"/>
      <c r="AE514" s="1053"/>
      <c r="AF514" s="1053"/>
      <c r="AG514" s="1053"/>
      <c r="AH514" s="1053"/>
      <c r="AI514" s="1053"/>
      <c r="AJ514" s="1053"/>
      <c r="AK514" s="1053"/>
      <c r="AL514" s="1053"/>
      <c r="AM514" s="1053"/>
      <c r="AN514" s="1053"/>
      <c r="AO514" s="1053"/>
      <c r="AP514" s="1053"/>
      <c r="AQ514" s="1053"/>
      <c r="AR514" s="1053"/>
      <c r="AS514" s="1053"/>
      <c r="AT514" s="1053"/>
      <c r="AU514" s="1053"/>
      <c r="AV514" s="1053"/>
      <c r="AW514" s="1053"/>
      <c r="AX514" s="1053"/>
      <c r="AY514" s="1053"/>
      <c r="AZ514" s="1053"/>
      <c r="BA514" s="1053"/>
      <c r="BB514" s="1053"/>
      <c r="BC514" s="1053"/>
      <c r="BD514" s="1053"/>
      <c r="BE514" s="1053"/>
      <c r="BF514" s="1053"/>
      <c r="BG514" s="1053"/>
      <c r="BH514" s="1053"/>
      <c r="BI514" s="1053"/>
      <c r="BJ514" s="1053"/>
      <c r="BK514" s="1053"/>
      <c r="BL514" s="1053"/>
      <c r="BM514" s="1053"/>
      <c r="BN514" s="1053"/>
      <c r="BO514" s="1053"/>
      <c r="BP514" s="1053"/>
      <c r="BQ514" s="1053"/>
      <c r="BR514" s="1053"/>
      <c r="BS514" s="1053"/>
      <c r="BT514" s="1053"/>
      <c r="BU514" s="1053"/>
      <c r="BV514" s="1053"/>
      <c r="BW514" s="1053"/>
      <c r="BX514" s="1053"/>
      <c r="BY514" s="1053"/>
      <c r="BZ514" s="1053"/>
      <c r="CA514" s="1053"/>
      <c r="CB514" s="1053"/>
      <c r="CC514" s="1053"/>
      <c r="CD514" s="1053"/>
      <c r="CE514" s="1053"/>
      <c r="CF514" s="1053"/>
      <c r="CG514" s="1053"/>
      <c r="CH514" s="1053"/>
      <c r="CI514" s="1053"/>
      <c r="CJ514" s="1053"/>
      <c r="CK514" s="1053"/>
      <c r="CL514" s="1053"/>
      <c r="CM514" s="1053"/>
      <c r="CN514" s="1053"/>
      <c r="CO514" s="1053"/>
      <c r="CP514" s="1053"/>
      <c r="CQ514" s="1053"/>
      <c r="CR514" s="1053"/>
      <c r="CS514" s="1053"/>
      <c r="CT514" s="1053"/>
      <c r="CU514" s="1053"/>
      <c r="CV514" s="1053"/>
      <c r="CW514" s="1053"/>
      <c r="CX514" s="1053"/>
      <c r="CY514" s="1053"/>
      <c r="CZ514" s="1053"/>
      <c r="DA514" s="1053"/>
      <c r="DB514" s="1053"/>
      <c r="DC514" s="1053"/>
      <c r="DD514" s="1053"/>
      <c r="DE514" s="1053"/>
      <c r="DF514" s="1053"/>
      <c r="DG514" s="1053"/>
      <c r="DH514" s="1053"/>
      <c r="DI514" s="1053"/>
      <c r="DJ514" s="1053"/>
      <c r="DK514" s="1053"/>
      <c r="DL514" s="1053"/>
      <c r="DM514" s="1053"/>
      <c r="DN514" s="1053"/>
      <c r="DO514" s="1053"/>
      <c r="DP514" s="1053"/>
      <c r="DQ514" s="1053"/>
      <c r="DR514" s="1053"/>
      <c r="DS514" s="1053"/>
      <c r="DT514" s="1053"/>
      <c r="DU514" s="1053"/>
      <c r="DV514" s="1053"/>
      <c r="DW514" s="1053"/>
      <c r="DX514" s="1053"/>
      <c r="DY514" s="1053"/>
      <c r="DZ514" s="1053"/>
      <c r="EA514" s="1053"/>
      <c r="EB514" s="1053"/>
      <c r="EC514" s="1053"/>
      <c r="ED514" s="1053"/>
      <c r="EE514" s="1053"/>
      <c r="EF514" s="1053"/>
      <c r="EG514" s="1053"/>
      <c r="EH514" s="1053"/>
      <c r="EI514" s="1053"/>
      <c r="EJ514" s="1053"/>
      <c r="EK514" s="1053"/>
      <c r="EL514" s="1053"/>
      <c r="EM514" s="1053"/>
      <c r="EN514" s="1053"/>
      <c r="EO514" s="1053"/>
      <c r="EP514" s="1053"/>
      <c r="EQ514" s="1053"/>
      <c r="ER514" s="1053"/>
      <c r="ES514" s="1053"/>
      <c r="ET514" s="1053"/>
      <c r="EU514" s="1053"/>
      <c r="EV514" s="1053"/>
      <c r="EW514" s="1053"/>
      <c r="EX514" s="1053"/>
      <c r="EY514" s="1053"/>
      <c r="EZ514" s="1053"/>
      <c r="FA514" s="1053"/>
      <c r="FB514" s="1053"/>
      <c r="FC514" s="1053"/>
      <c r="FD514" s="1053"/>
      <c r="FE514" s="1053"/>
      <c r="FF514" s="1053"/>
      <c r="FG514" s="1053"/>
      <c r="FH514" s="1053"/>
      <c r="FI514" s="1053"/>
      <c r="FJ514" s="1053"/>
      <c r="FK514" s="1053"/>
      <c r="FL514" s="1053"/>
      <c r="FM514" s="1053"/>
      <c r="FN514" s="1053"/>
      <c r="FO514" s="1053"/>
      <c r="FP514" s="1053"/>
      <c r="FQ514" s="1053"/>
      <c r="FR514" s="1053"/>
      <c r="FS514" s="1053"/>
      <c r="FT514" s="1053"/>
      <c r="FU514" s="1053"/>
      <c r="FV514" s="1053"/>
      <c r="FW514" s="1053"/>
      <c r="FX514" s="1053"/>
      <c r="FY514" s="1053"/>
      <c r="FZ514" s="1053"/>
      <c r="GA514" s="1053"/>
      <c r="GB514" s="1053"/>
      <c r="GC514" s="1053"/>
      <c r="GD514" s="1053"/>
      <c r="GE514" s="1053"/>
      <c r="GF514" s="1053"/>
      <c r="GG514" s="1053"/>
      <c r="GH514" s="1053"/>
      <c r="GI514" s="1053"/>
      <c r="GJ514" s="1053"/>
      <c r="GK514" s="1053"/>
      <c r="GL514" s="1053"/>
      <c r="GM514" s="1053"/>
      <c r="GN514" s="1053"/>
      <c r="GO514" s="1053"/>
      <c r="GP514" s="1053"/>
      <c r="GQ514" s="1053"/>
      <c r="GR514" s="1053"/>
      <c r="GS514" s="1053"/>
      <c r="GT514" s="1053"/>
      <c r="GU514" s="1053"/>
      <c r="GV514" s="1053"/>
      <c r="GW514" s="1053"/>
      <c r="GX514" s="1053"/>
      <c r="GY514" s="1053"/>
      <c r="GZ514" s="1053"/>
      <c r="HA514" s="1053"/>
      <c r="HB514" s="1053"/>
      <c r="HC514" s="1053"/>
      <c r="HD514" s="1053"/>
      <c r="HE514" s="1053"/>
      <c r="HF514" s="1053"/>
      <c r="HG514" s="1053"/>
      <c r="HH514" s="1053"/>
      <c r="HI514" s="1053"/>
      <c r="HJ514" s="1053"/>
      <c r="HK514" s="1053"/>
      <c r="HL514" s="1053"/>
      <c r="HM514" s="1053"/>
      <c r="HN514" s="1053"/>
      <c r="HO514" s="1053"/>
      <c r="HP514" s="1053"/>
      <c r="HQ514" s="1053"/>
      <c r="HR514" s="1053"/>
      <c r="HS514" s="1053"/>
      <c r="HT514" s="1053"/>
      <c r="HU514" s="1053"/>
      <c r="HV514" s="1053"/>
      <c r="HW514" s="1053"/>
      <c r="HX514" s="1053"/>
      <c r="HY514" s="1053"/>
      <c r="HZ514" s="1053"/>
      <c r="IA514" s="1053"/>
      <c r="IB514" s="1053"/>
      <c r="IC514" s="1053"/>
      <c r="ID514" s="1053"/>
      <c r="IE514" s="1053"/>
      <c r="IF514" s="1053"/>
      <c r="IG514" s="1053"/>
      <c r="IH514" s="1053"/>
      <c r="II514" s="1053"/>
      <c r="IJ514" s="1053"/>
      <c r="IK514" s="1053"/>
      <c r="IL514" s="1053"/>
      <c r="IM514" s="1053"/>
      <c r="IN514" s="1053"/>
    </row>
    <row r="515" spans="1:248" s="1072" customFormat="1">
      <c r="A515" s="1054" t="s">
        <v>2024</v>
      </c>
      <c r="B515" s="1072">
        <v>292.2</v>
      </c>
      <c r="C515" s="1072">
        <f t="shared" si="138"/>
        <v>16.89959688554147</v>
      </c>
      <c r="E515" s="1072">
        <f t="shared" si="139"/>
        <v>309.09959688554147</v>
      </c>
      <c r="G515" s="1053"/>
      <c r="H515" s="1053"/>
      <c r="I515" s="1053"/>
      <c r="J515" s="1053"/>
      <c r="K515" s="1053"/>
      <c r="L515" s="1053"/>
      <c r="M515" s="1053"/>
      <c r="N515" s="1053"/>
      <c r="O515" s="1053"/>
      <c r="P515" s="1053"/>
      <c r="Q515" s="1053"/>
      <c r="R515" s="1053"/>
      <c r="S515" s="1053"/>
      <c r="T515" s="1053"/>
      <c r="U515" s="1053"/>
      <c r="V515" s="1053"/>
      <c r="W515" s="1053"/>
      <c r="X515" s="1053"/>
      <c r="Y515" s="1053"/>
      <c r="Z515" s="1053"/>
      <c r="AA515" s="1053"/>
      <c r="AB515" s="1053"/>
      <c r="AC515" s="1053"/>
      <c r="AD515" s="1053"/>
      <c r="AE515" s="1053"/>
      <c r="AF515" s="1053"/>
      <c r="AG515" s="1053"/>
      <c r="AH515" s="1053"/>
      <c r="AI515" s="1053"/>
      <c r="AJ515" s="1053"/>
      <c r="AK515" s="1053"/>
      <c r="AL515" s="1053"/>
      <c r="AM515" s="1053"/>
      <c r="AN515" s="1053"/>
      <c r="AO515" s="1053"/>
      <c r="AP515" s="1053"/>
      <c r="AQ515" s="1053"/>
      <c r="AR515" s="1053"/>
      <c r="AS515" s="1053"/>
      <c r="AT515" s="1053"/>
      <c r="AU515" s="1053"/>
      <c r="AV515" s="1053"/>
      <c r="AW515" s="1053"/>
      <c r="AX515" s="1053"/>
      <c r="AY515" s="1053"/>
      <c r="AZ515" s="1053"/>
      <c r="BA515" s="1053"/>
      <c r="BB515" s="1053"/>
      <c r="BC515" s="1053"/>
      <c r="BD515" s="1053"/>
      <c r="BE515" s="1053"/>
      <c r="BF515" s="1053"/>
      <c r="BG515" s="1053"/>
      <c r="BH515" s="1053"/>
      <c r="BI515" s="1053"/>
      <c r="BJ515" s="1053"/>
      <c r="BK515" s="1053"/>
      <c r="BL515" s="1053"/>
      <c r="BM515" s="1053"/>
      <c r="BN515" s="1053"/>
      <c r="BO515" s="1053"/>
      <c r="BP515" s="1053"/>
      <c r="BQ515" s="1053"/>
      <c r="BR515" s="1053"/>
      <c r="BS515" s="1053"/>
      <c r="BT515" s="1053"/>
      <c r="BU515" s="1053"/>
      <c r="BV515" s="1053"/>
      <c r="BW515" s="1053"/>
      <c r="BX515" s="1053"/>
      <c r="BY515" s="1053"/>
      <c r="BZ515" s="1053"/>
      <c r="CA515" s="1053"/>
      <c r="CB515" s="1053"/>
      <c r="CC515" s="1053"/>
      <c r="CD515" s="1053"/>
      <c r="CE515" s="1053"/>
      <c r="CF515" s="1053"/>
      <c r="CG515" s="1053"/>
      <c r="CH515" s="1053"/>
      <c r="CI515" s="1053"/>
      <c r="CJ515" s="1053"/>
      <c r="CK515" s="1053"/>
      <c r="CL515" s="1053"/>
      <c r="CM515" s="1053"/>
      <c r="CN515" s="1053"/>
      <c r="CO515" s="1053"/>
      <c r="CP515" s="1053"/>
      <c r="CQ515" s="1053"/>
      <c r="CR515" s="1053"/>
      <c r="CS515" s="1053"/>
      <c r="CT515" s="1053"/>
      <c r="CU515" s="1053"/>
      <c r="CV515" s="1053"/>
      <c r="CW515" s="1053"/>
      <c r="CX515" s="1053"/>
      <c r="CY515" s="1053"/>
      <c r="CZ515" s="1053"/>
      <c r="DA515" s="1053"/>
      <c r="DB515" s="1053"/>
      <c r="DC515" s="1053"/>
      <c r="DD515" s="1053"/>
      <c r="DE515" s="1053"/>
      <c r="DF515" s="1053"/>
      <c r="DG515" s="1053"/>
      <c r="DH515" s="1053"/>
      <c r="DI515" s="1053"/>
      <c r="DJ515" s="1053"/>
      <c r="DK515" s="1053"/>
      <c r="DL515" s="1053"/>
      <c r="DM515" s="1053"/>
      <c r="DN515" s="1053"/>
      <c r="DO515" s="1053"/>
      <c r="DP515" s="1053"/>
      <c r="DQ515" s="1053"/>
      <c r="DR515" s="1053"/>
      <c r="DS515" s="1053"/>
      <c r="DT515" s="1053"/>
      <c r="DU515" s="1053"/>
      <c r="DV515" s="1053"/>
      <c r="DW515" s="1053"/>
      <c r="DX515" s="1053"/>
      <c r="DY515" s="1053"/>
      <c r="DZ515" s="1053"/>
      <c r="EA515" s="1053"/>
      <c r="EB515" s="1053"/>
      <c r="EC515" s="1053"/>
      <c r="ED515" s="1053"/>
      <c r="EE515" s="1053"/>
      <c r="EF515" s="1053"/>
      <c r="EG515" s="1053"/>
      <c r="EH515" s="1053"/>
      <c r="EI515" s="1053"/>
      <c r="EJ515" s="1053"/>
      <c r="EK515" s="1053"/>
      <c r="EL515" s="1053"/>
      <c r="EM515" s="1053"/>
      <c r="EN515" s="1053"/>
      <c r="EO515" s="1053"/>
      <c r="EP515" s="1053"/>
      <c r="EQ515" s="1053"/>
      <c r="ER515" s="1053"/>
      <c r="ES515" s="1053"/>
      <c r="ET515" s="1053"/>
      <c r="EU515" s="1053"/>
      <c r="EV515" s="1053"/>
      <c r="EW515" s="1053"/>
      <c r="EX515" s="1053"/>
      <c r="EY515" s="1053"/>
      <c r="EZ515" s="1053"/>
      <c r="FA515" s="1053"/>
      <c r="FB515" s="1053"/>
      <c r="FC515" s="1053"/>
      <c r="FD515" s="1053"/>
      <c r="FE515" s="1053"/>
      <c r="FF515" s="1053"/>
      <c r="FG515" s="1053"/>
      <c r="FH515" s="1053"/>
      <c r="FI515" s="1053"/>
      <c r="FJ515" s="1053"/>
      <c r="FK515" s="1053"/>
      <c r="FL515" s="1053"/>
      <c r="FM515" s="1053"/>
      <c r="FN515" s="1053"/>
      <c r="FO515" s="1053"/>
      <c r="FP515" s="1053"/>
      <c r="FQ515" s="1053"/>
      <c r="FR515" s="1053"/>
      <c r="FS515" s="1053"/>
      <c r="FT515" s="1053"/>
      <c r="FU515" s="1053"/>
      <c r="FV515" s="1053"/>
      <c r="FW515" s="1053"/>
      <c r="FX515" s="1053"/>
      <c r="FY515" s="1053"/>
      <c r="FZ515" s="1053"/>
      <c r="GA515" s="1053"/>
      <c r="GB515" s="1053"/>
      <c r="GC515" s="1053"/>
      <c r="GD515" s="1053"/>
      <c r="GE515" s="1053"/>
      <c r="GF515" s="1053"/>
      <c r="GG515" s="1053"/>
      <c r="GH515" s="1053"/>
      <c r="GI515" s="1053"/>
      <c r="GJ515" s="1053"/>
      <c r="GK515" s="1053"/>
      <c r="GL515" s="1053"/>
      <c r="GM515" s="1053"/>
      <c r="GN515" s="1053"/>
      <c r="GO515" s="1053"/>
      <c r="GP515" s="1053"/>
      <c r="GQ515" s="1053"/>
      <c r="GR515" s="1053"/>
      <c r="GS515" s="1053"/>
      <c r="GT515" s="1053"/>
      <c r="GU515" s="1053"/>
      <c r="GV515" s="1053"/>
      <c r="GW515" s="1053"/>
      <c r="GX515" s="1053"/>
      <c r="GY515" s="1053"/>
      <c r="GZ515" s="1053"/>
      <c r="HA515" s="1053"/>
      <c r="HB515" s="1053"/>
      <c r="HC515" s="1053"/>
      <c r="HD515" s="1053"/>
      <c r="HE515" s="1053"/>
      <c r="HF515" s="1053"/>
      <c r="HG515" s="1053"/>
      <c r="HH515" s="1053"/>
      <c r="HI515" s="1053"/>
      <c r="HJ515" s="1053"/>
      <c r="HK515" s="1053"/>
      <c r="HL515" s="1053"/>
      <c r="HM515" s="1053"/>
      <c r="HN515" s="1053"/>
      <c r="HO515" s="1053"/>
      <c r="HP515" s="1053"/>
      <c r="HQ515" s="1053"/>
      <c r="HR515" s="1053"/>
      <c r="HS515" s="1053"/>
      <c r="HT515" s="1053"/>
      <c r="HU515" s="1053"/>
      <c r="HV515" s="1053"/>
      <c r="HW515" s="1053"/>
      <c r="HX515" s="1053"/>
      <c r="HY515" s="1053"/>
      <c r="HZ515" s="1053"/>
      <c r="IA515" s="1053"/>
      <c r="IB515" s="1053"/>
      <c r="IC515" s="1053"/>
      <c r="ID515" s="1053"/>
      <c r="IE515" s="1053"/>
      <c r="IF515" s="1053"/>
      <c r="IG515" s="1053"/>
      <c r="IH515" s="1053"/>
      <c r="II515" s="1053"/>
      <c r="IJ515" s="1053"/>
      <c r="IK515" s="1053"/>
      <c r="IL515" s="1053"/>
      <c r="IM515" s="1053"/>
      <c r="IN515" s="1053"/>
    </row>
    <row r="517" spans="1:248" s="1072" customFormat="1">
      <c r="A517" s="1057" t="s">
        <v>2016</v>
      </c>
      <c r="G517" s="1053"/>
      <c r="H517" s="1053"/>
      <c r="I517" s="1053"/>
      <c r="J517" s="1053"/>
      <c r="K517" s="1053"/>
      <c r="L517" s="1053"/>
      <c r="M517" s="1053"/>
      <c r="N517" s="1053"/>
      <c r="O517" s="1053"/>
      <c r="P517" s="1053"/>
      <c r="Q517" s="1053"/>
      <c r="R517" s="1053"/>
      <c r="S517" s="1053"/>
      <c r="T517" s="1053"/>
      <c r="U517" s="1053"/>
      <c r="V517" s="1053"/>
      <c r="W517" s="1053"/>
      <c r="X517" s="1053"/>
      <c r="Y517" s="1053"/>
      <c r="Z517" s="1053"/>
      <c r="AA517" s="1053"/>
      <c r="AB517" s="1053"/>
      <c r="AC517" s="1053"/>
      <c r="AD517" s="1053"/>
      <c r="AE517" s="1053"/>
      <c r="AF517" s="1053"/>
      <c r="AG517" s="1053"/>
      <c r="AH517" s="1053"/>
      <c r="AI517" s="1053"/>
      <c r="AJ517" s="1053"/>
      <c r="AK517" s="1053"/>
      <c r="AL517" s="1053"/>
      <c r="AM517" s="1053"/>
      <c r="AN517" s="1053"/>
      <c r="AO517" s="1053"/>
      <c r="AP517" s="1053"/>
      <c r="AQ517" s="1053"/>
      <c r="AR517" s="1053"/>
      <c r="AS517" s="1053"/>
      <c r="AT517" s="1053"/>
      <c r="AU517" s="1053"/>
      <c r="AV517" s="1053"/>
      <c r="AW517" s="1053"/>
      <c r="AX517" s="1053"/>
      <c r="AY517" s="1053"/>
      <c r="AZ517" s="1053"/>
      <c r="BA517" s="1053"/>
      <c r="BB517" s="1053"/>
      <c r="BC517" s="1053"/>
      <c r="BD517" s="1053"/>
      <c r="BE517" s="1053"/>
      <c r="BF517" s="1053"/>
      <c r="BG517" s="1053"/>
      <c r="BH517" s="1053"/>
      <c r="BI517" s="1053"/>
      <c r="BJ517" s="1053"/>
      <c r="BK517" s="1053"/>
      <c r="BL517" s="1053"/>
      <c r="BM517" s="1053"/>
      <c r="BN517" s="1053"/>
      <c r="BO517" s="1053"/>
      <c r="BP517" s="1053"/>
      <c r="BQ517" s="1053"/>
      <c r="BR517" s="1053"/>
      <c r="BS517" s="1053"/>
      <c r="BT517" s="1053"/>
      <c r="BU517" s="1053"/>
      <c r="BV517" s="1053"/>
      <c r="BW517" s="1053"/>
      <c r="BX517" s="1053"/>
      <c r="BY517" s="1053"/>
      <c r="BZ517" s="1053"/>
      <c r="CA517" s="1053"/>
      <c r="CB517" s="1053"/>
      <c r="CC517" s="1053"/>
      <c r="CD517" s="1053"/>
      <c r="CE517" s="1053"/>
      <c r="CF517" s="1053"/>
      <c r="CG517" s="1053"/>
      <c r="CH517" s="1053"/>
      <c r="CI517" s="1053"/>
      <c r="CJ517" s="1053"/>
      <c r="CK517" s="1053"/>
      <c r="CL517" s="1053"/>
      <c r="CM517" s="1053"/>
      <c r="CN517" s="1053"/>
      <c r="CO517" s="1053"/>
      <c r="CP517" s="1053"/>
      <c r="CQ517" s="1053"/>
      <c r="CR517" s="1053"/>
      <c r="CS517" s="1053"/>
      <c r="CT517" s="1053"/>
      <c r="CU517" s="1053"/>
      <c r="CV517" s="1053"/>
      <c r="CW517" s="1053"/>
      <c r="CX517" s="1053"/>
      <c r="CY517" s="1053"/>
      <c r="CZ517" s="1053"/>
      <c r="DA517" s="1053"/>
      <c r="DB517" s="1053"/>
      <c r="DC517" s="1053"/>
      <c r="DD517" s="1053"/>
      <c r="DE517" s="1053"/>
      <c r="DF517" s="1053"/>
      <c r="DG517" s="1053"/>
      <c r="DH517" s="1053"/>
      <c r="DI517" s="1053"/>
      <c r="DJ517" s="1053"/>
      <c r="DK517" s="1053"/>
      <c r="DL517" s="1053"/>
      <c r="DM517" s="1053"/>
      <c r="DN517" s="1053"/>
      <c r="DO517" s="1053"/>
      <c r="DP517" s="1053"/>
      <c r="DQ517" s="1053"/>
      <c r="DR517" s="1053"/>
      <c r="DS517" s="1053"/>
      <c r="DT517" s="1053"/>
      <c r="DU517" s="1053"/>
      <c r="DV517" s="1053"/>
      <c r="DW517" s="1053"/>
      <c r="DX517" s="1053"/>
      <c r="DY517" s="1053"/>
      <c r="DZ517" s="1053"/>
      <c r="EA517" s="1053"/>
      <c r="EB517" s="1053"/>
      <c r="EC517" s="1053"/>
      <c r="ED517" s="1053"/>
      <c r="EE517" s="1053"/>
      <c r="EF517" s="1053"/>
      <c r="EG517" s="1053"/>
      <c r="EH517" s="1053"/>
      <c r="EI517" s="1053"/>
      <c r="EJ517" s="1053"/>
      <c r="EK517" s="1053"/>
      <c r="EL517" s="1053"/>
      <c r="EM517" s="1053"/>
      <c r="EN517" s="1053"/>
      <c r="EO517" s="1053"/>
      <c r="EP517" s="1053"/>
      <c r="EQ517" s="1053"/>
      <c r="ER517" s="1053"/>
      <c r="ES517" s="1053"/>
      <c r="ET517" s="1053"/>
      <c r="EU517" s="1053"/>
      <c r="EV517" s="1053"/>
      <c r="EW517" s="1053"/>
      <c r="EX517" s="1053"/>
      <c r="EY517" s="1053"/>
      <c r="EZ517" s="1053"/>
      <c r="FA517" s="1053"/>
      <c r="FB517" s="1053"/>
      <c r="FC517" s="1053"/>
      <c r="FD517" s="1053"/>
      <c r="FE517" s="1053"/>
      <c r="FF517" s="1053"/>
      <c r="FG517" s="1053"/>
      <c r="FH517" s="1053"/>
      <c r="FI517" s="1053"/>
      <c r="FJ517" s="1053"/>
      <c r="FK517" s="1053"/>
      <c r="FL517" s="1053"/>
      <c r="FM517" s="1053"/>
      <c r="FN517" s="1053"/>
      <c r="FO517" s="1053"/>
      <c r="FP517" s="1053"/>
      <c r="FQ517" s="1053"/>
      <c r="FR517" s="1053"/>
      <c r="FS517" s="1053"/>
      <c r="FT517" s="1053"/>
      <c r="FU517" s="1053"/>
      <c r="FV517" s="1053"/>
      <c r="FW517" s="1053"/>
      <c r="FX517" s="1053"/>
      <c r="FY517" s="1053"/>
      <c r="FZ517" s="1053"/>
      <c r="GA517" s="1053"/>
      <c r="GB517" s="1053"/>
      <c r="GC517" s="1053"/>
      <c r="GD517" s="1053"/>
      <c r="GE517" s="1053"/>
      <c r="GF517" s="1053"/>
      <c r="GG517" s="1053"/>
      <c r="GH517" s="1053"/>
      <c r="GI517" s="1053"/>
      <c r="GJ517" s="1053"/>
      <c r="GK517" s="1053"/>
      <c r="GL517" s="1053"/>
      <c r="GM517" s="1053"/>
      <c r="GN517" s="1053"/>
      <c r="GO517" s="1053"/>
      <c r="GP517" s="1053"/>
      <c r="GQ517" s="1053"/>
      <c r="GR517" s="1053"/>
      <c r="GS517" s="1053"/>
      <c r="GT517" s="1053"/>
      <c r="GU517" s="1053"/>
      <c r="GV517" s="1053"/>
      <c r="GW517" s="1053"/>
      <c r="GX517" s="1053"/>
      <c r="GY517" s="1053"/>
      <c r="GZ517" s="1053"/>
      <c r="HA517" s="1053"/>
      <c r="HB517" s="1053"/>
      <c r="HC517" s="1053"/>
      <c r="HD517" s="1053"/>
      <c r="HE517" s="1053"/>
      <c r="HF517" s="1053"/>
      <c r="HG517" s="1053"/>
      <c r="HH517" s="1053"/>
      <c r="HI517" s="1053"/>
      <c r="HJ517" s="1053"/>
      <c r="HK517" s="1053"/>
      <c r="HL517" s="1053"/>
      <c r="HM517" s="1053"/>
      <c r="HN517" s="1053"/>
      <c r="HO517" s="1053"/>
      <c r="HP517" s="1053"/>
      <c r="HQ517" s="1053"/>
      <c r="HR517" s="1053"/>
      <c r="HS517" s="1053"/>
      <c r="HT517" s="1053"/>
      <c r="HU517" s="1053"/>
      <c r="HV517" s="1053"/>
      <c r="HW517" s="1053"/>
      <c r="HX517" s="1053"/>
      <c r="HY517" s="1053"/>
      <c r="HZ517" s="1053"/>
      <c r="IA517" s="1053"/>
      <c r="IB517" s="1053"/>
      <c r="IC517" s="1053"/>
      <c r="ID517" s="1053"/>
      <c r="IE517" s="1053"/>
      <c r="IF517" s="1053"/>
      <c r="IG517" s="1053"/>
      <c r="IH517" s="1053"/>
      <c r="II517" s="1053"/>
      <c r="IJ517" s="1053"/>
      <c r="IK517" s="1053"/>
      <c r="IL517" s="1053"/>
      <c r="IM517" s="1053"/>
      <c r="IN517" s="1053"/>
    </row>
    <row r="518" spans="1:248" s="1072" customFormat="1">
      <c r="A518" s="1054" t="s">
        <v>2008</v>
      </c>
      <c r="B518" s="1072">
        <f>B510</f>
        <v>135.54</v>
      </c>
      <c r="C518" s="1072">
        <f t="shared" ref="C518:C523" si="140">B518*$C$7</f>
        <v>7.8390532575848422</v>
      </c>
      <c r="E518" s="1072">
        <f t="shared" ref="E518:E523" si="141">B518+C518+D518</f>
        <v>143.37905325758484</v>
      </c>
      <c r="G518" s="1053"/>
      <c r="H518" s="1053"/>
      <c r="I518" s="1053"/>
      <c r="J518" s="1053"/>
      <c r="K518" s="1053"/>
      <c r="L518" s="1053"/>
      <c r="M518" s="1053"/>
      <c r="N518" s="1053"/>
      <c r="O518" s="1053"/>
      <c r="P518" s="1053"/>
      <c r="Q518" s="1053"/>
      <c r="R518" s="1053"/>
      <c r="S518" s="1053"/>
      <c r="T518" s="1053"/>
      <c r="U518" s="1053"/>
      <c r="V518" s="1053"/>
      <c r="W518" s="1053"/>
      <c r="X518" s="1053"/>
      <c r="Y518" s="1053"/>
      <c r="Z518" s="1053"/>
      <c r="AA518" s="1053"/>
      <c r="AB518" s="1053"/>
      <c r="AC518" s="1053"/>
      <c r="AD518" s="1053"/>
      <c r="AE518" s="1053"/>
      <c r="AF518" s="1053"/>
      <c r="AG518" s="1053"/>
      <c r="AH518" s="1053"/>
      <c r="AI518" s="1053"/>
      <c r="AJ518" s="1053"/>
      <c r="AK518" s="1053"/>
      <c r="AL518" s="1053"/>
      <c r="AM518" s="1053"/>
      <c r="AN518" s="1053"/>
      <c r="AO518" s="1053"/>
      <c r="AP518" s="1053"/>
      <c r="AQ518" s="1053"/>
      <c r="AR518" s="1053"/>
      <c r="AS518" s="1053"/>
      <c r="AT518" s="1053"/>
      <c r="AU518" s="1053"/>
      <c r="AV518" s="1053"/>
      <c r="AW518" s="1053"/>
      <c r="AX518" s="1053"/>
      <c r="AY518" s="1053"/>
      <c r="AZ518" s="1053"/>
      <c r="BA518" s="1053"/>
      <c r="BB518" s="1053"/>
      <c r="BC518" s="1053"/>
      <c r="BD518" s="1053"/>
      <c r="BE518" s="1053"/>
      <c r="BF518" s="1053"/>
      <c r="BG518" s="1053"/>
      <c r="BH518" s="1053"/>
      <c r="BI518" s="1053"/>
      <c r="BJ518" s="1053"/>
      <c r="BK518" s="1053"/>
      <c r="BL518" s="1053"/>
      <c r="BM518" s="1053"/>
      <c r="BN518" s="1053"/>
      <c r="BO518" s="1053"/>
      <c r="BP518" s="1053"/>
      <c r="BQ518" s="1053"/>
      <c r="BR518" s="1053"/>
      <c r="BS518" s="1053"/>
      <c r="BT518" s="1053"/>
      <c r="BU518" s="1053"/>
      <c r="BV518" s="1053"/>
      <c r="BW518" s="1053"/>
      <c r="BX518" s="1053"/>
      <c r="BY518" s="1053"/>
      <c r="BZ518" s="1053"/>
      <c r="CA518" s="1053"/>
      <c r="CB518" s="1053"/>
      <c r="CC518" s="1053"/>
      <c r="CD518" s="1053"/>
      <c r="CE518" s="1053"/>
      <c r="CF518" s="1053"/>
      <c r="CG518" s="1053"/>
      <c r="CH518" s="1053"/>
      <c r="CI518" s="1053"/>
      <c r="CJ518" s="1053"/>
      <c r="CK518" s="1053"/>
      <c r="CL518" s="1053"/>
      <c r="CM518" s="1053"/>
      <c r="CN518" s="1053"/>
      <c r="CO518" s="1053"/>
      <c r="CP518" s="1053"/>
      <c r="CQ518" s="1053"/>
      <c r="CR518" s="1053"/>
      <c r="CS518" s="1053"/>
      <c r="CT518" s="1053"/>
      <c r="CU518" s="1053"/>
      <c r="CV518" s="1053"/>
      <c r="CW518" s="1053"/>
      <c r="CX518" s="1053"/>
      <c r="CY518" s="1053"/>
      <c r="CZ518" s="1053"/>
      <c r="DA518" s="1053"/>
      <c r="DB518" s="1053"/>
      <c r="DC518" s="1053"/>
      <c r="DD518" s="1053"/>
      <c r="DE518" s="1053"/>
      <c r="DF518" s="1053"/>
      <c r="DG518" s="1053"/>
      <c r="DH518" s="1053"/>
      <c r="DI518" s="1053"/>
      <c r="DJ518" s="1053"/>
      <c r="DK518" s="1053"/>
      <c r="DL518" s="1053"/>
      <c r="DM518" s="1053"/>
      <c r="DN518" s="1053"/>
      <c r="DO518" s="1053"/>
      <c r="DP518" s="1053"/>
      <c r="DQ518" s="1053"/>
      <c r="DR518" s="1053"/>
      <c r="DS518" s="1053"/>
      <c r="DT518" s="1053"/>
      <c r="DU518" s="1053"/>
      <c r="DV518" s="1053"/>
      <c r="DW518" s="1053"/>
      <c r="DX518" s="1053"/>
      <c r="DY518" s="1053"/>
      <c r="DZ518" s="1053"/>
      <c r="EA518" s="1053"/>
      <c r="EB518" s="1053"/>
      <c r="EC518" s="1053"/>
      <c r="ED518" s="1053"/>
      <c r="EE518" s="1053"/>
      <c r="EF518" s="1053"/>
      <c r="EG518" s="1053"/>
      <c r="EH518" s="1053"/>
      <c r="EI518" s="1053"/>
      <c r="EJ518" s="1053"/>
      <c r="EK518" s="1053"/>
      <c r="EL518" s="1053"/>
      <c r="EM518" s="1053"/>
      <c r="EN518" s="1053"/>
      <c r="EO518" s="1053"/>
      <c r="EP518" s="1053"/>
      <c r="EQ518" s="1053"/>
      <c r="ER518" s="1053"/>
      <c r="ES518" s="1053"/>
      <c r="ET518" s="1053"/>
      <c r="EU518" s="1053"/>
      <c r="EV518" s="1053"/>
      <c r="EW518" s="1053"/>
      <c r="EX518" s="1053"/>
      <c r="EY518" s="1053"/>
      <c r="EZ518" s="1053"/>
      <c r="FA518" s="1053"/>
      <c r="FB518" s="1053"/>
      <c r="FC518" s="1053"/>
      <c r="FD518" s="1053"/>
      <c r="FE518" s="1053"/>
      <c r="FF518" s="1053"/>
      <c r="FG518" s="1053"/>
      <c r="FH518" s="1053"/>
      <c r="FI518" s="1053"/>
      <c r="FJ518" s="1053"/>
      <c r="FK518" s="1053"/>
      <c r="FL518" s="1053"/>
      <c r="FM518" s="1053"/>
      <c r="FN518" s="1053"/>
      <c r="FO518" s="1053"/>
      <c r="FP518" s="1053"/>
      <c r="FQ518" s="1053"/>
      <c r="FR518" s="1053"/>
      <c r="FS518" s="1053"/>
      <c r="FT518" s="1053"/>
      <c r="FU518" s="1053"/>
      <c r="FV518" s="1053"/>
      <c r="FW518" s="1053"/>
      <c r="FX518" s="1053"/>
      <c r="FY518" s="1053"/>
      <c r="FZ518" s="1053"/>
      <c r="GA518" s="1053"/>
      <c r="GB518" s="1053"/>
      <c r="GC518" s="1053"/>
      <c r="GD518" s="1053"/>
      <c r="GE518" s="1053"/>
      <c r="GF518" s="1053"/>
      <c r="GG518" s="1053"/>
      <c r="GH518" s="1053"/>
      <c r="GI518" s="1053"/>
      <c r="GJ518" s="1053"/>
      <c r="GK518" s="1053"/>
      <c r="GL518" s="1053"/>
      <c r="GM518" s="1053"/>
      <c r="GN518" s="1053"/>
      <c r="GO518" s="1053"/>
      <c r="GP518" s="1053"/>
      <c r="GQ518" s="1053"/>
      <c r="GR518" s="1053"/>
      <c r="GS518" s="1053"/>
      <c r="GT518" s="1053"/>
      <c r="GU518" s="1053"/>
      <c r="GV518" s="1053"/>
      <c r="GW518" s="1053"/>
      <c r="GX518" s="1053"/>
      <c r="GY518" s="1053"/>
      <c r="GZ518" s="1053"/>
      <c r="HA518" s="1053"/>
      <c r="HB518" s="1053"/>
      <c r="HC518" s="1053"/>
      <c r="HD518" s="1053"/>
      <c r="HE518" s="1053"/>
      <c r="HF518" s="1053"/>
      <c r="HG518" s="1053"/>
      <c r="HH518" s="1053"/>
      <c r="HI518" s="1053"/>
      <c r="HJ518" s="1053"/>
      <c r="HK518" s="1053"/>
      <c r="HL518" s="1053"/>
      <c r="HM518" s="1053"/>
      <c r="HN518" s="1053"/>
      <c r="HO518" s="1053"/>
      <c r="HP518" s="1053"/>
      <c r="HQ518" s="1053"/>
      <c r="HR518" s="1053"/>
      <c r="HS518" s="1053"/>
      <c r="HT518" s="1053"/>
      <c r="HU518" s="1053"/>
      <c r="HV518" s="1053"/>
      <c r="HW518" s="1053"/>
      <c r="HX518" s="1053"/>
      <c r="HY518" s="1053"/>
      <c r="HZ518" s="1053"/>
      <c r="IA518" s="1053"/>
      <c r="IB518" s="1053"/>
      <c r="IC518" s="1053"/>
      <c r="ID518" s="1053"/>
      <c r="IE518" s="1053"/>
      <c r="IF518" s="1053"/>
      <c r="IG518" s="1053"/>
      <c r="IH518" s="1053"/>
      <c r="II518" s="1053"/>
      <c r="IJ518" s="1053"/>
      <c r="IK518" s="1053"/>
      <c r="IL518" s="1053"/>
      <c r="IM518" s="1053"/>
      <c r="IN518" s="1053"/>
    </row>
    <row r="519" spans="1:248" s="1072" customFormat="1">
      <c r="A519" s="1054" t="s">
        <v>2010</v>
      </c>
      <c r="B519" s="1072">
        <f t="shared" ref="B519:B523" si="142">B511</f>
        <v>171.95</v>
      </c>
      <c r="C519" s="1072">
        <f t="shared" si="140"/>
        <v>9.9448517606737017</v>
      </c>
      <c r="E519" s="1072">
        <f t="shared" si="141"/>
        <v>181.8948517606737</v>
      </c>
      <c r="G519" s="1053"/>
      <c r="H519" s="1053"/>
      <c r="I519" s="1053"/>
      <c r="J519" s="1053"/>
      <c r="K519" s="1053"/>
      <c r="L519" s="1053"/>
      <c r="M519" s="1053"/>
      <c r="N519" s="1053"/>
      <c r="O519" s="1053"/>
      <c r="P519" s="1053"/>
      <c r="Q519" s="1053"/>
      <c r="R519" s="1053"/>
      <c r="S519" s="1053"/>
      <c r="T519" s="1053"/>
      <c r="U519" s="1053"/>
      <c r="V519" s="1053"/>
      <c r="W519" s="1053"/>
      <c r="X519" s="1053"/>
      <c r="Y519" s="1053"/>
      <c r="Z519" s="1053"/>
      <c r="AA519" s="1053"/>
      <c r="AB519" s="1053"/>
      <c r="AC519" s="1053"/>
      <c r="AD519" s="1053"/>
      <c r="AE519" s="1053"/>
      <c r="AF519" s="1053"/>
      <c r="AG519" s="1053"/>
      <c r="AH519" s="1053"/>
      <c r="AI519" s="1053"/>
      <c r="AJ519" s="1053"/>
      <c r="AK519" s="1053"/>
      <c r="AL519" s="1053"/>
      <c r="AM519" s="1053"/>
      <c r="AN519" s="1053"/>
      <c r="AO519" s="1053"/>
      <c r="AP519" s="1053"/>
      <c r="AQ519" s="1053"/>
      <c r="AR519" s="1053"/>
      <c r="AS519" s="1053"/>
      <c r="AT519" s="1053"/>
      <c r="AU519" s="1053"/>
      <c r="AV519" s="1053"/>
      <c r="AW519" s="1053"/>
      <c r="AX519" s="1053"/>
      <c r="AY519" s="1053"/>
      <c r="AZ519" s="1053"/>
      <c r="BA519" s="1053"/>
      <c r="BB519" s="1053"/>
      <c r="BC519" s="1053"/>
      <c r="BD519" s="1053"/>
      <c r="BE519" s="1053"/>
      <c r="BF519" s="1053"/>
      <c r="BG519" s="1053"/>
      <c r="BH519" s="1053"/>
      <c r="BI519" s="1053"/>
      <c r="BJ519" s="1053"/>
      <c r="BK519" s="1053"/>
      <c r="BL519" s="1053"/>
      <c r="BM519" s="1053"/>
      <c r="BN519" s="1053"/>
      <c r="BO519" s="1053"/>
      <c r="BP519" s="1053"/>
      <c r="BQ519" s="1053"/>
      <c r="BR519" s="1053"/>
      <c r="BS519" s="1053"/>
      <c r="BT519" s="1053"/>
      <c r="BU519" s="1053"/>
      <c r="BV519" s="1053"/>
      <c r="BW519" s="1053"/>
      <c r="BX519" s="1053"/>
      <c r="BY519" s="1053"/>
      <c r="BZ519" s="1053"/>
      <c r="CA519" s="1053"/>
      <c r="CB519" s="1053"/>
      <c r="CC519" s="1053"/>
      <c r="CD519" s="1053"/>
      <c r="CE519" s="1053"/>
      <c r="CF519" s="1053"/>
      <c r="CG519" s="1053"/>
      <c r="CH519" s="1053"/>
      <c r="CI519" s="1053"/>
      <c r="CJ519" s="1053"/>
      <c r="CK519" s="1053"/>
      <c r="CL519" s="1053"/>
      <c r="CM519" s="1053"/>
      <c r="CN519" s="1053"/>
      <c r="CO519" s="1053"/>
      <c r="CP519" s="1053"/>
      <c r="CQ519" s="1053"/>
      <c r="CR519" s="1053"/>
      <c r="CS519" s="1053"/>
      <c r="CT519" s="1053"/>
      <c r="CU519" s="1053"/>
      <c r="CV519" s="1053"/>
      <c r="CW519" s="1053"/>
      <c r="CX519" s="1053"/>
      <c r="CY519" s="1053"/>
      <c r="CZ519" s="1053"/>
      <c r="DA519" s="1053"/>
      <c r="DB519" s="1053"/>
      <c r="DC519" s="1053"/>
      <c r="DD519" s="1053"/>
      <c r="DE519" s="1053"/>
      <c r="DF519" s="1053"/>
      <c r="DG519" s="1053"/>
      <c r="DH519" s="1053"/>
      <c r="DI519" s="1053"/>
      <c r="DJ519" s="1053"/>
      <c r="DK519" s="1053"/>
      <c r="DL519" s="1053"/>
      <c r="DM519" s="1053"/>
      <c r="DN519" s="1053"/>
      <c r="DO519" s="1053"/>
      <c r="DP519" s="1053"/>
      <c r="DQ519" s="1053"/>
      <c r="DR519" s="1053"/>
      <c r="DS519" s="1053"/>
      <c r="DT519" s="1053"/>
      <c r="DU519" s="1053"/>
      <c r="DV519" s="1053"/>
      <c r="DW519" s="1053"/>
      <c r="DX519" s="1053"/>
      <c r="DY519" s="1053"/>
      <c r="DZ519" s="1053"/>
      <c r="EA519" s="1053"/>
      <c r="EB519" s="1053"/>
      <c r="EC519" s="1053"/>
      <c r="ED519" s="1053"/>
      <c r="EE519" s="1053"/>
      <c r="EF519" s="1053"/>
      <c r="EG519" s="1053"/>
      <c r="EH519" s="1053"/>
      <c r="EI519" s="1053"/>
      <c r="EJ519" s="1053"/>
      <c r="EK519" s="1053"/>
      <c r="EL519" s="1053"/>
      <c r="EM519" s="1053"/>
      <c r="EN519" s="1053"/>
      <c r="EO519" s="1053"/>
      <c r="EP519" s="1053"/>
      <c r="EQ519" s="1053"/>
      <c r="ER519" s="1053"/>
      <c r="ES519" s="1053"/>
      <c r="ET519" s="1053"/>
      <c r="EU519" s="1053"/>
      <c r="EV519" s="1053"/>
      <c r="EW519" s="1053"/>
      <c r="EX519" s="1053"/>
      <c r="EY519" s="1053"/>
      <c r="EZ519" s="1053"/>
      <c r="FA519" s="1053"/>
      <c r="FB519" s="1053"/>
      <c r="FC519" s="1053"/>
      <c r="FD519" s="1053"/>
      <c r="FE519" s="1053"/>
      <c r="FF519" s="1053"/>
      <c r="FG519" s="1053"/>
      <c r="FH519" s="1053"/>
      <c r="FI519" s="1053"/>
      <c r="FJ519" s="1053"/>
      <c r="FK519" s="1053"/>
      <c r="FL519" s="1053"/>
      <c r="FM519" s="1053"/>
      <c r="FN519" s="1053"/>
      <c r="FO519" s="1053"/>
      <c r="FP519" s="1053"/>
      <c r="FQ519" s="1053"/>
      <c r="FR519" s="1053"/>
      <c r="FS519" s="1053"/>
      <c r="FT519" s="1053"/>
      <c r="FU519" s="1053"/>
      <c r="FV519" s="1053"/>
      <c r="FW519" s="1053"/>
      <c r="FX519" s="1053"/>
      <c r="FY519" s="1053"/>
      <c r="FZ519" s="1053"/>
      <c r="GA519" s="1053"/>
      <c r="GB519" s="1053"/>
      <c r="GC519" s="1053"/>
      <c r="GD519" s="1053"/>
      <c r="GE519" s="1053"/>
      <c r="GF519" s="1053"/>
      <c r="GG519" s="1053"/>
      <c r="GH519" s="1053"/>
      <c r="GI519" s="1053"/>
      <c r="GJ519" s="1053"/>
      <c r="GK519" s="1053"/>
      <c r="GL519" s="1053"/>
      <c r="GM519" s="1053"/>
      <c r="GN519" s="1053"/>
      <c r="GO519" s="1053"/>
      <c r="GP519" s="1053"/>
      <c r="GQ519" s="1053"/>
      <c r="GR519" s="1053"/>
      <c r="GS519" s="1053"/>
      <c r="GT519" s="1053"/>
      <c r="GU519" s="1053"/>
      <c r="GV519" s="1053"/>
      <c r="GW519" s="1053"/>
      <c r="GX519" s="1053"/>
      <c r="GY519" s="1053"/>
      <c r="GZ519" s="1053"/>
      <c r="HA519" s="1053"/>
      <c r="HB519" s="1053"/>
      <c r="HC519" s="1053"/>
      <c r="HD519" s="1053"/>
      <c r="HE519" s="1053"/>
      <c r="HF519" s="1053"/>
      <c r="HG519" s="1053"/>
      <c r="HH519" s="1053"/>
      <c r="HI519" s="1053"/>
      <c r="HJ519" s="1053"/>
      <c r="HK519" s="1053"/>
      <c r="HL519" s="1053"/>
      <c r="HM519" s="1053"/>
      <c r="HN519" s="1053"/>
      <c r="HO519" s="1053"/>
      <c r="HP519" s="1053"/>
      <c r="HQ519" s="1053"/>
      <c r="HR519" s="1053"/>
      <c r="HS519" s="1053"/>
      <c r="HT519" s="1053"/>
      <c r="HU519" s="1053"/>
      <c r="HV519" s="1053"/>
      <c r="HW519" s="1053"/>
      <c r="HX519" s="1053"/>
      <c r="HY519" s="1053"/>
      <c r="HZ519" s="1053"/>
      <c r="IA519" s="1053"/>
      <c r="IB519" s="1053"/>
      <c r="IC519" s="1053"/>
      <c r="ID519" s="1053"/>
      <c r="IE519" s="1053"/>
      <c r="IF519" s="1053"/>
      <c r="IG519" s="1053"/>
      <c r="IH519" s="1053"/>
      <c r="II519" s="1053"/>
      <c r="IJ519" s="1053"/>
      <c r="IK519" s="1053"/>
      <c r="IL519" s="1053"/>
      <c r="IM519" s="1053"/>
      <c r="IN519" s="1053"/>
    </row>
    <row r="520" spans="1:248" s="1072" customFormat="1">
      <c r="A520" s="1054" t="s">
        <v>2011</v>
      </c>
      <c r="B520" s="1072">
        <f t="shared" si="142"/>
        <v>212.02</v>
      </c>
      <c r="C520" s="1072">
        <f t="shared" si="140"/>
        <v>12.262328992719038</v>
      </c>
      <c r="E520" s="1072">
        <f t="shared" si="141"/>
        <v>224.28232899271904</v>
      </c>
      <c r="G520" s="1053"/>
      <c r="H520" s="1053"/>
      <c r="I520" s="1053"/>
      <c r="J520" s="1053"/>
      <c r="K520" s="1053"/>
      <c r="L520" s="1053"/>
      <c r="M520" s="1053"/>
      <c r="N520" s="1053"/>
      <c r="O520" s="1053"/>
      <c r="P520" s="1053"/>
      <c r="Q520" s="1053"/>
      <c r="R520" s="1053"/>
      <c r="S520" s="1053"/>
      <c r="T520" s="1053"/>
      <c r="U520" s="1053"/>
      <c r="V520" s="1053"/>
      <c r="W520" s="1053"/>
      <c r="X520" s="1053"/>
      <c r="Y520" s="1053"/>
      <c r="Z520" s="1053"/>
      <c r="AA520" s="1053"/>
      <c r="AB520" s="1053"/>
      <c r="AC520" s="1053"/>
      <c r="AD520" s="1053"/>
      <c r="AE520" s="1053"/>
      <c r="AF520" s="1053"/>
      <c r="AG520" s="1053"/>
      <c r="AH520" s="1053"/>
      <c r="AI520" s="1053"/>
      <c r="AJ520" s="1053"/>
      <c r="AK520" s="1053"/>
      <c r="AL520" s="1053"/>
      <c r="AM520" s="1053"/>
      <c r="AN520" s="1053"/>
      <c r="AO520" s="1053"/>
      <c r="AP520" s="1053"/>
      <c r="AQ520" s="1053"/>
      <c r="AR520" s="1053"/>
      <c r="AS520" s="1053"/>
      <c r="AT520" s="1053"/>
      <c r="AU520" s="1053"/>
      <c r="AV520" s="1053"/>
      <c r="AW520" s="1053"/>
      <c r="AX520" s="1053"/>
      <c r="AY520" s="1053"/>
      <c r="AZ520" s="1053"/>
      <c r="BA520" s="1053"/>
      <c r="BB520" s="1053"/>
      <c r="BC520" s="1053"/>
      <c r="BD520" s="1053"/>
      <c r="BE520" s="1053"/>
      <c r="BF520" s="1053"/>
      <c r="BG520" s="1053"/>
      <c r="BH520" s="1053"/>
      <c r="BI520" s="1053"/>
      <c r="BJ520" s="1053"/>
      <c r="BK520" s="1053"/>
      <c r="BL520" s="1053"/>
      <c r="BM520" s="1053"/>
      <c r="BN520" s="1053"/>
      <c r="BO520" s="1053"/>
      <c r="BP520" s="1053"/>
      <c r="BQ520" s="1053"/>
      <c r="BR520" s="1053"/>
      <c r="BS520" s="1053"/>
      <c r="BT520" s="1053"/>
      <c r="BU520" s="1053"/>
      <c r="BV520" s="1053"/>
      <c r="BW520" s="1053"/>
      <c r="BX520" s="1053"/>
      <c r="BY520" s="1053"/>
      <c r="BZ520" s="1053"/>
      <c r="CA520" s="1053"/>
      <c r="CB520" s="1053"/>
      <c r="CC520" s="1053"/>
      <c r="CD520" s="1053"/>
      <c r="CE520" s="1053"/>
      <c r="CF520" s="1053"/>
      <c r="CG520" s="1053"/>
      <c r="CH520" s="1053"/>
      <c r="CI520" s="1053"/>
      <c r="CJ520" s="1053"/>
      <c r="CK520" s="1053"/>
      <c r="CL520" s="1053"/>
      <c r="CM520" s="1053"/>
      <c r="CN520" s="1053"/>
      <c r="CO520" s="1053"/>
      <c r="CP520" s="1053"/>
      <c r="CQ520" s="1053"/>
      <c r="CR520" s="1053"/>
      <c r="CS520" s="1053"/>
      <c r="CT520" s="1053"/>
      <c r="CU520" s="1053"/>
      <c r="CV520" s="1053"/>
      <c r="CW520" s="1053"/>
      <c r="CX520" s="1053"/>
      <c r="CY520" s="1053"/>
      <c r="CZ520" s="1053"/>
      <c r="DA520" s="1053"/>
      <c r="DB520" s="1053"/>
      <c r="DC520" s="1053"/>
      <c r="DD520" s="1053"/>
      <c r="DE520" s="1053"/>
      <c r="DF520" s="1053"/>
      <c r="DG520" s="1053"/>
      <c r="DH520" s="1053"/>
      <c r="DI520" s="1053"/>
      <c r="DJ520" s="1053"/>
      <c r="DK520" s="1053"/>
      <c r="DL520" s="1053"/>
      <c r="DM520" s="1053"/>
      <c r="DN520" s="1053"/>
      <c r="DO520" s="1053"/>
      <c r="DP520" s="1053"/>
      <c r="DQ520" s="1053"/>
      <c r="DR520" s="1053"/>
      <c r="DS520" s="1053"/>
      <c r="DT520" s="1053"/>
      <c r="DU520" s="1053"/>
      <c r="DV520" s="1053"/>
      <c r="DW520" s="1053"/>
      <c r="DX520" s="1053"/>
      <c r="DY520" s="1053"/>
      <c r="DZ520" s="1053"/>
      <c r="EA520" s="1053"/>
      <c r="EB520" s="1053"/>
      <c r="EC520" s="1053"/>
      <c r="ED520" s="1053"/>
      <c r="EE520" s="1053"/>
      <c r="EF520" s="1053"/>
      <c r="EG520" s="1053"/>
      <c r="EH520" s="1053"/>
      <c r="EI520" s="1053"/>
      <c r="EJ520" s="1053"/>
      <c r="EK520" s="1053"/>
      <c r="EL520" s="1053"/>
      <c r="EM520" s="1053"/>
      <c r="EN520" s="1053"/>
      <c r="EO520" s="1053"/>
      <c r="EP520" s="1053"/>
      <c r="EQ520" s="1053"/>
      <c r="ER520" s="1053"/>
      <c r="ES520" s="1053"/>
      <c r="ET520" s="1053"/>
      <c r="EU520" s="1053"/>
      <c r="EV520" s="1053"/>
      <c r="EW520" s="1053"/>
      <c r="EX520" s="1053"/>
      <c r="EY520" s="1053"/>
      <c r="EZ520" s="1053"/>
      <c r="FA520" s="1053"/>
      <c r="FB520" s="1053"/>
      <c r="FC520" s="1053"/>
      <c r="FD520" s="1053"/>
      <c r="FE520" s="1053"/>
      <c r="FF520" s="1053"/>
      <c r="FG520" s="1053"/>
      <c r="FH520" s="1053"/>
      <c r="FI520" s="1053"/>
      <c r="FJ520" s="1053"/>
      <c r="FK520" s="1053"/>
      <c r="FL520" s="1053"/>
      <c r="FM520" s="1053"/>
      <c r="FN520" s="1053"/>
      <c r="FO520" s="1053"/>
      <c r="FP520" s="1053"/>
      <c r="FQ520" s="1053"/>
      <c r="FR520" s="1053"/>
      <c r="FS520" s="1053"/>
      <c r="FT520" s="1053"/>
      <c r="FU520" s="1053"/>
      <c r="FV520" s="1053"/>
      <c r="FW520" s="1053"/>
      <c r="FX520" s="1053"/>
      <c r="FY520" s="1053"/>
      <c r="FZ520" s="1053"/>
      <c r="GA520" s="1053"/>
      <c r="GB520" s="1053"/>
      <c r="GC520" s="1053"/>
      <c r="GD520" s="1053"/>
      <c r="GE520" s="1053"/>
      <c r="GF520" s="1053"/>
      <c r="GG520" s="1053"/>
      <c r="GH520" s="1053"/>
      <c r="GI520" s="1053"/>
      <c r="GJ520" s="1053"/>
      <c r="GK520" s="1053"/>
      <c r="GL520" s="1053"/>
      <c r="GM520" s="1053"/>
      <c r="GN520" s="1053"/>
      <c r="GO520" s="1053"/>
      <c r="GP520" s="1053"/>
      <c r="GQ520" s="1053"/>
      <c r="GR520" s="1053"/>
      <c r="GS520" s="1053"/>
      <c r="GT520" s="1053"/>
      <c r="GU520" s="1053"/>
      <c r="GV520" s="1053"/>
      <c r="GW520" s="1053"/>
      <c r="GX520" s="1053"/>
      <c r="GY520" s="1053"/>
      <c r="GZ520" s="1053"/>
      <c r="HA520" s="1053"/>
      <c r="HB520" s="1053"/>
      <c r="HC520" s="1053"/>
      <c r="HD520" s="1053"/>
      <c r="HE520" s="1053"/>
      <c r="HF520" s="1053"/>
      <c r="HG520" s="1053"/>
      <c r="HH520" s="1053"/>
      <c r="HI520" s="1053"/>
      <c r="HJ520" s="1053"/>
      <c r="HK520" s="1053"/>
      <c r="HL520" s="1053"/>
      <c r="HM520" s="1053"/>
      <c r="HN520" s="1053"/>
      <c r="HO520" s="1053"/>
      <c r="HP520" s="1053"/>
      <c r="HQ520" s="1053"/>
      <c r="HR520" s="1053"/>
      <c r="HS520" s="1053"/>
      <c r="HT520" s="1053"/>
      <c r="HU520" s="1053"/>
      <c r="HV520" s="1053"/>
      <c r="HW520" s="1053"/>
      <c r="HX520" s="1053"/>
      <c r="HY520" s="1053"/>
      <c r="HZ520" s="1053"/>
      <c r="IA520" s="1053"/>
      <c r="IB520" s="1053"/>
      <c r="IC520" s="1053"/>
      <c r="ID520" s="1053"/>
      <c r="IE520" s="1053"/>
      <c r="IF520" s="1053"/>
      <c r="IG520" s="1053"/>
      <c r="IH520" s="1053"/>
      <c r="II520" s="1053"/>
      <c r="IJ520" s="1053"/>
      <c r="IK520" s="1053"/>
      <c r="IL520" s="1053"/>
      <c r="IM520" s="1053"/>
      <c r="IN520" s="1053"/>
    </row>
    <row r="521" spans="1:248" s="1072" customFormat="1">
      <c r="A521" s="1054" t="s">
        <v>2012</v>
      </c>
      <c r="B521" s="1072">
        <f t="shared" si="142"/>
        <v>245.11</v>
      </c>
      <c r="C521" s="1072">
        <f t="shared" si="140"/>
        <v>14.176112911071424</v>
      </c>
      <c r="E521" s="1072">
        <f t="shared" si="141"/>
        <v>259.28611291107143</v>
      </c>
      <c r="G521" s="1053"/>
      <c r="H521" s="1053"/>
      <c r="I521" s="1053"/>
      <c r="J521" s="1053"/>
      <c r="K521" s="1053"/>
      <c r="L521" s="1053"/>
      <c r="M521" s="1053"/>
      <c r="N521" s="1053"/>
      <c r="O521" s="1053"/>
      <c r="P521" s="1053"/>
      <c r="Q521" s="1053"/>
      <c r="R521" s="1053"/>
      <c r="S521" s="1053"/>
      <c r="T521" s="1053"/>
      <c r="U521" s="1053"/>
      <c r="V521" s="1053"/>
      <c r="W521" s="1053"/>
      <c r="X521" s="1053"/>
      <c r="Y521" s="1053"/>
      <c r="Z521" s="1053"/>
      <c r="AA521" s="1053"/>
      <c r="AB521" s="1053"/>
      <c r="AC521" s="1053"/>
      <c r="AD521" s="1053"/>
      <c r="AE521" s="1053"/>
      <c r="AF521" s="1053"/>
      <c r="AG521" s="1053"/>
      <c r="AH521" s="1053"/>
      <c r="AI521" s="1053"/>
      <c r="AJ521" s="1053"/>
      <c r="AK521" s="1053"/>
      <c r="AL521" s="1053"/>
      <c r="AM521" s="1053"/>
      <c r="AN521" s="1053"/>
      <c r="AO521" s="1053"/>
      <c r="AP521" s="1053"/>
      <c r="AQ521" s="1053"/>
      <c r="AR521" s="1053"/>
      <c r="AS521" s="1053"/>
      <c r="AT521" s="1053"/>
      <c r="AU521" s="1053"/>
      <c r="AV521" s="1053"/>
      <c r="AW521" s="1053"/>
      <c r="AX521" s="1053"/>
      <c r="AY521" s="1053"/>
      <c r="AZ521" s="1053"/>
      <c r="BA521" s="1053"/>
      <c r="BB521" s="1053"/>
      <c r="BC521" s="1053"/>
      <c r="BD521" s="1053"/>
      <c r="BE521" s="1053"/>
      <c r="BF521" s="1053"/>
      <c r="BG521" s="1053"/>
      <c r="BH521" s="1053"/>
      <c r="BI521" s="1053"/>
      <c r="BJ521" s="1053"/>
      <c r="BK521" s="1053"/>
      <c r="BL521" s="1053"/>
      <c r="BM521" s="1053"/>
      <c r="BN521" s="1053"/>
      <c r="BO521" s="1053"/>
      <c r="BP521" s="1053"/>
      <c r="BQ521" s="1053"/>
      <c r="BR521" s="1053"/>
      <c r="BS521" s="1053"/>
      <c r="BT521" s="1053"/>
      <c r="BU521" s="1053"/>
      <c r="BV521" s="1053"/>
      <c r="BW521" s="1053"/>
      <c r="BX521" s="1053"/>
      <c r="BY521" s="1053"/>
      <c r="BZ521" s="1053"/>
      <c r="CA521" s="1053"/>
      <c r="CB521" s="1053"/>
      <c r="CC521" s="1053"/>
      <c r="CD521" s="1053"/>
      <c r="CE521" s="1053"/>
      <c r="CF521" s="1053"/>
      <c r="CG521" s="1053"/>
      <c r="CH521" s="1053"/>
      <c r="CI521" s="1053"/>
      <c r="CJ521" s="1053"/>
      <c r="CK521" s="1053"/>
      <c r="CL521" s="1053"/>
      <c r="CM521" s="1053"/>
      <c r="CN521" s="1053"/>
      <c r="CO521" s="1053"/>
      <c r="CP521" s="1053"/>
      <c r="CQ521" s="1053"/>
      <c r="CR521" s="1053"/>
      <c r="CS521" s="1053"/>
      <c r="CT521" s="1053"/>
      <c r="CU521" s="1053"/>
      <c r="CV521" s="1053"/>
      <c r="CW521" s="1053"/>
      <c r="CX521" s="1053"/>
      <c r="CY521" s="1053"/>
      <c r="CZ521" s="1053"/>
      <c r="DA521" s="1053"/>
      <c r="DB521" s="1053"/>
      <c r="DC521" s="1053"/>
      <c r="DD521" s="1053"/>
      <c r="DE521" s="1053"/>
      <c r="DF521" s="1053"/>
      <c r="DG521" s="1053"/>
      <c r="DH521" s="1053"/>
      <c r="DI521" s="1053"/>
      <c r="DJ521" s="1053"/>
      <c r="DK521" s="1053"/>
      <c r="DL521" s="1053"/>
      <c r="DM521" s="1053"/>
      <c r="DN521" s="1053"/>
      <c r="DO521" s="1053"/>
      <c r="DP521" s="1053"/>
      <c r="DQ521" s="1053"/>
      <c r="DR521" s="1053"/>
      <c r="DS521" s="1053"/>
      <c r="DT521" s="1053"/>
      <c r="DU521" s="1053"/>
      <c r="DV521" s="1053"/>
      <c r="DW521" s="1053"/>
      <c r="DX521" s="1053"/>
      <c r="DY521" s="1053"/>
      <c r="DZ521" s="1053"/>
      <c r="EA521" s="1053"/>
      <c r="EB521" s="1053"/>
      <c r="EC521" s="1053"/>
      <c r="ED521" s="1053"/>
      <c r="EE521" s="1053"/>
      <c r="EF521" s="1053"/>
      <c r="EG521" s="1053"/>
      <c r="EH521" s="1053"/>
      <c r="EI521" s="1053"/>
      <c r="EJ521" s="1053"/>
      <c r="EK521" s="1053"/>
      <c r="EL521" s="1053"/>
      <c r="EM521" s="1053"/>
      <c r="EN521" s="1053"/>
      <c r="EO521" s="1053"/>
      <c r="EP521" s="1053"/>
      <c r="EQ521" s="1053"/>
      <c r="ER521" s="1053"/>
      <c r="ES521" s="1053"/>
      <c r="ET521" s="1053"/>
      <c r="EU521" s="1053"/>
      <c r="EV521" s="1053"/>
      <c r="EW521" s="1053"/>
      <c r="EX521" s="1053"/>
      <c r="EY521" s="1053"/>
      <c r="EZ521" s="1053"/>
      <c r="FA521" s="1053"/>
      <c r="FB521" s="1053"/>
      <c r="FC521" s="1053"/>
      <c r="FD521" s="1053"/>
      <c r="FE521" s="1053"/>
      <c r="FF521" s="1053"/>
      <c r="FG521" s="1053"/>
      <c r="FH521" s="1053"/>
      <c r="FI521" s="1053"/>
      <c r="FJ521" s="1053"/>
      <c r="FK521" s="1053"/>
      <c r="FL521" s="1053"/>
      <c r="FM521" s="1053"/>
      <c r="FN521" s="1053"/>
      <c r="FO521" s="1053"/>
      <c r="FP521" s="1053"/>
      <c r="FQ521" s="1053"/>
      <c r="FR521" s="1053"/>
      <c r="FS521" s="1053"/>
      <c r="FT521" s="1053"/>
      <c r="FU521" s="1053"/>
      <c r="FV521" s="1053"/>
      <c r="FW521" s="1053"/>
      <c r="FX521" s="1053"/>
      <c r="FY521" s="1053"/>
      <c r="FZ521" s="1053"/>
      <c r="GA521" s="1053"/>
      <c r="GB521" s="1053"/>
      <c r="GC521" s="1053"/>
      <c r="GD521" s="1053"/>
      <c r="GE521" s="1053"/>
      <c r="GF521" s="1053"/>
      <c r="GG521" s="1053"/>
      <c r="GH521" s="1053"/>
      <c r="GI521" s="1053"/>
      <c r="GJ521" s="1053"/>
      <c r="GK521" s="1053"/>
      <c r="GL521" s="1053"/>
      <c r="GM521" s="1053"/>
      <c r="GN521" s="1053"/>
      <c r="GO521" s="1053"/>
      <c r="GP521" s="1053"/>
      <c r="GQ521" s="1053"/>
      <c r="GR521" s="1053"/>
      <c r="GS521" s="1053"/>
      <c r="GT521" s="1053"/>
      <c r="GU521" s="1053"/>
      <c r="GV521" s="1053"/>
      <c r="GW521" s="1053"/>
      <c r="GX521" s="1053"/>
      <c r="GY521" s="1053"/>
      <c r="GZ521" s="1053"/>
      <c r="HA521" s="1053"/>
      <c r="HB521" s="1053"/>
      <c r="HC521" s="1053"/>
      <c r="HD521" s="1053"/>
      <c r="HE521" s="1053"/>
      <c r="HF521" s="1053"/>
      <c r="HG521" s="1053"/>
      <c r="HH521" s="1053"/>
      <c r="HI521" s="1053"/>
      <c r="HJ521" s="1053"/>
      <c r="HK521" s="1053"/>
      <c r="HL521" s="1053"/>
      <c r="HM521" s="1053"/>
      <c r="HN521" s="1053"/>
      <c r="HO521" s="1053"/>
      <c r="HP521" s="1053"/>
      <c r="HQ521" s="1053"/>
      <c r="HR521" s="1053"/>
      <c r="HS521" s="1053"/>
      <c r="HT521" s="1053"/>
      <c r="HU521" s="1053"/>
      <c r="HV521" s="1053"/>
      <c r="HW521" s="1053"/>
      <c r="HX521" s="1053"/>
      <c r="HY521" s="1053"/>
      <c r="HZ521" s="1053"/>
      <c r="IA521" s="1053"/>
      <c r="IB521" s="1053"/>
      <c r="IC521" s="1053"/>
      <c r="ID521" s="1053"/>
      <c r="IE521" s="1053"/>
      <c r="IF521" s="1053"/>
      <c r="IG521" s="1053"/>
      <c r="IH521" s="1053"/>
      <c r="II521" s="1053"/>
      <c r="IJ521" s="1053"/>
      <c r="IK521" s="1053"/>
      <c r="IL521" s="1053"/>
      <c r="IM521" s="1053"/>
      <c r="IN521" s="1053"/>
    </row>
    <row r="522" spans="1:248" s="1072" customFormat="1">
      <c r="A522" s="1054" t="s">
        <v>2013</v>
      </c>
      <c r="B522" s="1072">
        <f t="shared" si="142"/>
        <v>279.58999999999997</v>
      </c>
      <c r="C522" s="1072">
        <f t="shared" si="140"/>
        <v>16.170288477852633</v>
      </c>
      <c r="E522" s="1072">
        <f t="shared" si="141"/>
        <v>295.76028847785261</v>
      </c>
      <c r="G522" s="1053"/>
      <c r="H522" s="1053"/>
      <c r="I522" s="1053"/>
      <c r="J522" s="1053"/>
      <c r="K522" s="1053"/>
      <c r="L522" s="1053"/>
      <c r="M522" s="1053"/>
      <c r="N522" s="1053"/>
      <c r="O522" s="1053"/>
      <c r="P522" s="1053"/>
      <c r="Q522" s="1053"/>
      <c r="R522" s="1053"/>
      <c r="S522" s="1053"/>
      <c r="T522" s="1053"/>
      <c r="U522" s="1053"/>
      <c r="V522" s="1053"/>
      <c r="W522" s="1053"/>
      <c r="X522" s="1053"/>
      <c r="Y522" s="1053"/>
      <c r="Z522" s="1053"/>
      <c r="AA522" s="1053"/>
      <c r="AB522" s="1053"/>
      <c r="AC522" s="1053"/>
      <c r="AD522" s="1053"/>
      <c r="AE522" s="1053"/>
      <c r="AF522" s="1053"/>
      <c r="AG522" s="1053"/>
      <c r="AH522" s="1053"/>
      <c r="AI522" s="1053"/>
      <c r="AJ522" s="1053"/>
      <c r="AK522" s="1053"/>
      <c r="AL522" s="1053"/>
      <c r="AM522" s="1053"/>
      <c r="AN522" s="1053"/>
      <c r="AO522" s="1053"/>
      <c r="AP522" s="1053"/>
      <c r="AQ522" s="1053"/>
      <c r="AR522" s="1053"/>
      <c r="AS522" s="1053"/>
      <c r="AT522" s="1053"/>
      <c r="AU522" s="1053"/>
      <c r="AV522" s="1053"/>
      <c r="AW522" s="1053"/>
      <c r="AX522" s="1053"/>
      <c r="AY522" s="1053"/>
      <c r="AZ522" s="1053"/>
      <c r="BA522" s="1053"/>
      <c r="BB522" s="1053"/>
      <c r="BC522" s="1053"/>
      <c r="BD522" s="1053"/>
      <c r="BE522" s="1053"/>
      <c r="BF522" s="1053"/>
      <c r="BG522" s="1053"/>
      <c r="BH522" s="1053"/>
      <c r="BI522" s="1053"/>
      <c r="BJ522" s="1053"/>
      <c r="BK522" s="1053"/>
      <c r="BL522" s="1053"/>
      <c r="BM522" s="1053"/>
      <c r="BN522" s="1053"/>
      <c r="BO522" s="1053"/>
      <c r="BP522" s="1053"/>
      <c r="BQ522" s="1053"/>
      <c r="BR522" s="1053"/>
      <c r="BS522" s="1053"/>
      <c r="BT522" s="1053"/>
      <c r="BU522" s="1053"/>
      <c r="BV522" s="1053"/>
      <c r="BW522" s="1053"/>
      <c r="BX522" s="1053"/>
      <c r="BY522" s="1053"/>
      <c r="BZ522" s="1053"/>
      <c r="CA522" s="1053"/>
      <c r="CB522" s="1053"/>
      <c r="CC522" s="1053"/>
      <c r="CD522" s="1053"/>
      <c r="CE522" s="1053"/>
      <c r="CF522" s="1053"/>
      <c r="CG522" s="1053"/>
      <c r="CH522" s="1053"/>
      <c r="CI522" s="1053"/>
      <c r="CJ522" s="1053"/>
      <c r="CK522" s="1053"/>
      <c r="CL522" s="1053"/>
      <c r="CM522" s="1053"/>
      <c r="CN522" s="1053"/>
      <c r="CO522" s="1053"/>
      <c r="CP522" s="1053"/>
      <c r="CQ522" s="1053"/>
      <c r="CR522" s="1053"/>
      <c r="CS522" s="1053"/>
      <c r="CT522" s="1053"/>
      <c r="CU522" s="1053"/>
      <c r="CV522" s="1053"/>
      <c r="CW522" s="1053"/>
      <c r="CX522" s="1053"/>
      <c r="CY522" s="1053"/>
      <c r="CZ522" s="1053"/>
      <c r="DA522" s="1053"/>
      <c r="DB522" s="1053"/>
      <c r="DC522" s="1053"/>
      <c r="DD522" s="1053"/>
      <c r="DE522" s="1053"/>
      <c r="DF522" s="1053"/>
      <c r="DG522" s="1053"/>
      <c r="DH522" s="1053"/>
      <c r="DI522" s="1053"/>
      <c r="DJ522" s="1053"/>
      <c r="DK522" s="1053"/>
      <c r="DL522" s="1053"/>
      <c r="DM522" s="1053"/>
      <c r="DN522" s="1053"/>
      <c r="DO522" s="1053"/>
      <c r="DP522" s="1053"/>
      <c r="DQ522" s="1053"/>
      <c r="DR522" s="1053"/>
      <c r="DS522" s="1053"/>
      <c r="DT522" s="1053"/>
      <c r="DU522" s="1053"/>
      <c r="DV522" s="1053"/>
      <c r="DW522" s="1053"/>
      <c r="DX522" s="1053"/>
      <c r="DY522" s="1053"/>
      <c r="DZ522" s="1053"/>
      <c r="EA522" s="1053"/>
      <c r="EB522" s="1053"/>
      <c r="EC522" s="1053"/>
      <c r="ED522" s="1053"/>
      <c r="EE522" s="1053"/>
      <c r="EF522" s="1053"/>
      <c r="EG522" s="1053"/>
      <c r="EH522" s="1053"/>
      <c r="EI522" s="1053"/>
      <c r="EJ522" s="1053"/>
      <c r="EK522" s="1053"/>
      <c r="EL522" s="1053"/>
      <c r="EM522" s="1053"/>
      <c r="EN522" s="1053"/>
      <c r="EO522" s="1053"/>
      <c r="EP522" s="1053"/>
      <c r="EQ522" s="1053"/>
      <c r="ER522" s="1053"/>
      <c r="ES522" s="1053"/>
      <c r="ET522" s="1053"/>
      <c r="EU522" s="1053"/>
      <c r="EV522" s="1053"/>
      <c r="EW522" s="1053"/>
      <c r="EX522" s="1053"/>
      <c r="EY522" s="1053"/>
      <c r="EZ522" s="1053"/>
      <c r="FA522" s="1053"/>
      <c r="FB522" s="1053"/>
      <c r="FC522" s="1053"/>
      <c r="FD522" s="1053"/>
      <c r="FE522" s="1053"/>
      <c r="FF522" s="1053"/>
      <c r="FG522" s="1053"/>
      <c r="FH522" s="1053"/>
      <c r="FI522" s="1053"/>
      <c r="FJ522" s="1053"/>
      <c r="FK522" s="1053"/>
      <c r="FL522" s="1053"/>
      <c r="FM522" s="1053"/>
      <c r="FN522" s="1053"/>
      <c r="FO522" s="1053"/>
      <c r="FP522" s="1053"/>
      <c r="FQ522" s="1053"/>
      <c r="FR522" s="1053"/>
      <c r="FS522" s="1053"/>
      <c r="FT522" s="1053"/>
      <c r="FU522" s="1053"/>
      <c r="FV522" s="1053"/>
      <c r="FW522" s="1053"/>
      <c r="FX522" s="1053"/>
      <c r="FY522" s="1053"/>
      <c r="FZ522" s="1053"/>
      <c r="GA522" s="1053"/>
      <c r="GB522" s="1053"/>
      <c r="GC522" s="1053"/>
      <c r="GD522" s="1053"/>
      <c r="GE522" s="1053"/>
      <c r="GF522" s="1053"/>
      <c r="GG522" s="1053"/>
      <c r="GH522" s="1053"/>
      <c r="GI522" s="1053"/>
      <c r="GJ522" s="1053"/>
      <c r="GK522" s="1053"/>
      <c r="GL522" s="1053"/>
      <c r="GM522" s="1053"/>
      <c r="GN522" s="1053"/>
      <c r="GO522" s="1053"/>
      <c r="GP522" s="1053"/>
      <c r="GQ522" s="1053"/>
      <c r="GR522" s="1053"/>
      <c r="GS522" s="1053"/>
      <c r="GT522" s="1053"/>
      <c r="GU522" s="1053"/>
      <c r="GV522" s="1053"/>
      <c r="GW522" s="1053"/>
      <c r="GX522" s="1053"/>
      <c r="GY522" s="1053"/>
      <c r="GZ522" s="1053"/>
      <c r="HA522" s="1053"/>
      <c r="HB522" s="1053"/>
      <c r="HC522" s="1053"/>
      <c r="HD522" s="1053"/>
      <c r="HE522" s="1053"/>
      <c r="HF522" s="1053"/>
      <c r="HG522" s="1053"/>
      <c r="HH522" s="1053"/>
      <c r="HI522" s="1053"/>
      <c r="HJ522" s="1053"/>
      <c r="HK522" s="1053"/>
      <c r="HL522" s="1053"/>
      <c r="HM522" s="1053"/>
      <c r="HN522" s="1053"/>
      <c r="HO522" s="1053"/>
      <c r="HP522" s="1053"/>
      <c r="HQ522" s="1053"/>
      <c r="HR522" s="1053"/>
      <c r="HS522" s="1053"/>
      <c r="HT522" s="1053"/>
      <c r="HU522" s="1053"/>
      <c r="HV522" s="1053"/>
      <c r="HW522" s="1053"/>
      <c r="HX522" s="1053"/>
      <c r="HY522" s="1053"/>
      <c r="HZ522" s="1053"/>
      <c r="IA522" s="1053"/>
      <c r="IB522" s="1053"/>
      <c r="IC522" s="1053"/>
      <c r="ID522" s="1053"/>
      <c r="IE522" s="1053"/>
      <c r="IF522" s="1053"/>
      <c r="IG522" s="1053"/>
      <c r="IH522" s="1053"/>
      <c r="II522" s="1053"/>
      <c r="IJ522" s="1053"/>
      <c r="IK522" s="1053"/>
      <c r="IL522" s="1053"/>
      <c r="IM522" s="1053"/>
      <c r="IN522" s="1053"/>
    </row>
    <row r="523" spans="1:248" s="1072" customFormat="1">
      <c r="A523" s="1054" t="s">
        <v>2024</v>
      </c>
      <c r="B523" s="1072">
        <f t="shared" si="142"/>
        <v>292.2</v>
      </c>
      <c r="C523" s="1072">
        <f t="shared" si="140"/>
        <v>16.89959688554147</v>
      </c>
      <c r="E523" s="1072">
        <f t="shared" si="141"/>
        <v>309.09959688554147</v>
      </c>
      <c r="G523" s="1053"/>
      <c r="H523" s="1053"/>
      <c r="I523" s="1053"/>
      <c r="J523" s="1053"/>
      <c r="K523" s="1053"/>
      <c r="L523" s="1053"/>
      <c r="M523" s="1053"/>
      <c r="N523" s="1053"/>
      <c r="O523" s="1053"/>
      <c r="P523" s="1053"/>
      <c r="Q523" s="1053"/>
      <c r="R523" s="1053"/>
      <c r="S523" s="1053"/>
      <c r="T523" s="1053"/>
      <c r="U523" s="1053"/>
      <c r="V523" s="1053"/>
      <c r="W523" s="1053"/>
      <c r="X523" s="1053"/>
      <c r="Y523" s="1053"/>
      <c r="Z523" s="1053"/>
      <c r="AA523" s="1053"/>
      <c r="AB523" s="1053"/>
      <c r="AC523" s="1053"/>
      <c r="AD523" s="1053"/>
      <c r="AE523" s="1053"/>
      <c r="AF523" s="1053"/>
      <c r="AG523" s="1053"/>
      <c r="AH523" s="1053"/>
      <c r="AI523" s="1053"/>
      <c r="AJ523" s="1053"/>
      <c r="AK523" s="1053"/>
      <c r="AL523" s="1053"/>
      <c r="AM523" s="1053"/>
      <c r="AN523" s="1053"/>
      <c r="AO523" s="1053"/>
      <c r="AP523" s="1053"/>
      <c r="AQ523" s="1053"/>
      <c r="AR523" s="1053"/>
      <c r="AS523" s="1053"/>
      <c r="AT523" s="1053"/>
      <c r="AU523" s="1053"/>
      <c r="AV523" s="1053"/>
      <c r="AW523" s="1053"/>
      <c r="AX523" s="1053"/>
      <c r="AY523" s="1053"/>
      <c r="AZ523" s="1053"/>
      <c r="BA523" s="1053"/>
      <c r="BB523" s="1053"/>
      <c r="BC523" s="1053"/>
      <c r="BD523" s="1053"/>
      <c r="BE523" s="1053"/>
      <c r="BF523" s="1053"/>
      <c r="BG523" s="1053"/>
      <c r="BH523" s="1053"/>
      <c r="BI523" s="1053"/>
      <c r="BJ523" s="1053"/>
      <c r="BK523" s="1053"/>
      <c r="BL523" s="1053"/>
      <c r="BM523" s="1053"/>
      <c r="BN523" s="1053"/>
      <c r="BO523" s="1053"/>
      <c r="BP523" s="1053"/>
      <c r="BQ523" s="1053"/>
      <c r="BR523" s="1053"/>
      <c r="BS523" s="1053"/>
      <c r="BT523" s="1053"/>
      <c r="BU523" s="1053"/>
      <c r="BV523" s="1053"/>
      <c r="BW523" s="1053"/>
      <c r="BX523" s="1053"/>
      <c r="BY523" s="1053"/>
      <c r="BZ523" s="1053"/>
      <c r="CA523" s="1053"/>
      <c r="CB523" s="1053"/>
      <c r="CC523" s="1053"/>
      <c r="CD523" s="1053"/>
      <c r="CE523" s="1053"/>
      <c r="CF523" s="1053"/>
      <c r="CG523" s="1053"/>
      <c r="CH523" s="1053"/>
      <c r="CI523" s="1053"/>
      <c r="CJ523" s="1053"/>
      <c r="CK523" s="1053"/>
      <c r="CL523" s="1053"/>
      <c r="CM523" s="1053"/>
      <c r="CN523" s="1053"/>
      <c r="CO523" s="1053"/>
      <c r="CP523" s="1053"/>
      <c r="CQ523" s="1053"/>
      <c r="CR523" s="1053"/>
      <c r="CS523" s="1053"/>
      <c r="CT523" s="1053"/>
      <c r="CU523" s="1053"/>
      <c r="CV523" s="1053"/>
      <c r="CW523" s="1053"/>
      <c r="CX523" s="1053"/>
      <c r="CY523" s="1053"/>
      <c r="CZ523" s="1053"/>
      <c r="DA523" s="1053"/>
      <c r="DB523" s="1053"/>
      <c r="DC523" s="1053"/>
      <c r="DD523" s="1053"/>
      <c r="DE523" s="1053"/>
      <c r="DF523" s="1053"/>
      <c r="DG523" s="1053"/>
      <c r="DH523" s="1053"/>
      <c r="DI523" s="1053"/>
      <c r="DJ523" s="1053"/>
      <c r="DK523" s="1053"/>
      <c r="DL523" s="1053"/>
      <c r="DM523" s="1053"/>
      <c r="DN523" s="1053"/>
      <c r="DO523" s="1053"/>
      <c r="DP523" s="1053"/>
      <c r="DQ523" s="1053"/>
      <c r="DR523" s="1053"/>
      <c r="DS523" s="1053"/>
      <c r="DT523" s="1053"/>
      <c r="DU523" s="1053"/>
      <c r="DV523" s="1053"/>
      <c r="DW523" s="1053"/>
      <c r="DX523" s="1053"/>
      <c r="DY523" s="1053"/>
      <c r="DZ523" s="1053"/>
      <c r="EA523" s="1053"/>
      <c r="EB523" s="1053"/>
      <c r="EC523" s="1053"/>
      <c r="ED523" s="1053"/>
      <c r="EE523" s="1053"/>
      <c r="EF523" s="1053"/>
      <c r="EG523" s="1053"/>
      <c r="EH523" s="1053"/>
      <c r="EI523" s="1053"/>
      <c r="EJ523" s="1053"/>
      <c r="EK523" s="1053"/>
      <c r="EL523" s="1053"/>
      <c r="EM523" s="1053"/>
      <c r="EN523" s="1053"/>
      <c r="EO523" s="1053"/>
      <c r="EP523" s="1053"/>
      <c r="EQ523" s="1053"/>
      <c r="ER523" s="1053"/>
      <c r="ES523" s="1053"/>
      <c r="ET523" s="1053"/>
      <c r="EU523" s="1053"/>
      <c r="EV523" s="1053"/>
      <c r="EW523" s="1053"/>
      <c r="EX523" s="1053"/>
      <c r="EY523" s="1053"/>
      <c r="EZ523" s="1053"/>
      <c r="FA523" s="1053"/>
      <c r="FB523" s="1053"/>
      <c r="FC523" s="1053"/>
      <c r="FD523" s="1053"/>
      <c r="FE523" s="1053"/>
      <c r="FF523" s="1053"/>
      <c r="FG523" s="1053"/>
      <c r="FH523" s="1053"/>
      <c r="FI523" s="1053"/>
      <c r="FJ523" s="1053"/>
      <c r="FK523" s="1053"/>
      <c r="FL523" s="1053"/>
      <c r="FM523" s="1053"/>
      <c r="FN523" s="1053"/>
      <c r="FO523" s="1053"/>
      <c r="FP523" s="1053"/>
      <c r="FQ523" s="1053"/>
      <c r="FR523" s="1053"/>
      <c r="FS523" s="1053"/>
      <c r="FT523" s="1053"/>
      <c r="FU523" s="1053"/>
      <c r="FV523" s="1053"/>
      <c r="FW523" s="1053"/>
      <c r="FX523" s="1053"/>
      <c r="FY523" s="1053"/>
      <c r="FZ523" s="1053"/>
      <c r="GA523" s="1053"/>
      <c r="GB523" s="1053"/>
      <c r="GC523" s="1053"/>
      <c r="GD523" s="1053"/>
      <c r="GE523" s="1053"/>
      <c r="GF523" s="1053"/>
      <c r="GG523" s="1053"/>
      <c r="GH523" s="1053"/>
      <c r="GI523" s="1053"/>
      <c r="GJ523" s="1053"/>
      <c r="GK523" s="1053"/>
      <c r="GL523" s="1053"/>
      <c r="GM523" s="1053"/>
      <c r="GN523" s="1053"/>
      <c r="GO523" s="1053"/>
      <c r="GP523" s="1053"/>
      <c r="GQ523" s="1053"/>
      <c r="GR523" s="1053"/>
      <c r="GS523" s="1053"/>
      <c r="GT523" s="1053"/>
      <c r="GU523" s="1053"/>
      <c r="GV523" s="1053"/>
      <c r="GW523" s="1053"/>
      <c r="GX523" s="1053"/>
      <c r="GY523" s="1053"/>
      <c r="GZ523" s="1053"/>
      <c r="HA523" s="1053"/>
      <c r="HB523" s="1053"/>
      <c r="HC523" s="1053"/>
      <c r="HD523" s="1053"/>
      <c r="HE523" s="1053"/>
      <c r="HF523" s="1053"/>
      <c r="HG523" s="1053"/>
      <c r="HH523" s="1053"/>
      <c r="HI523" s="1053"/>
      <c r="HJ523" s="1053"/>
      <c r="HK523" s="1053"/>
      <c r="HL523" s="1053"/>
      <c r="HM523" s="1053"/>
      <c r="HN523" s="1053"/>
      <c r="HO523" s="1053"/>
      <c r="HP523" s="1053"/>
      <c r="HQ523" s="1053"/>
      <c r="HR523" s="1053"/>
      <c r="HS523" s="1053"/>
      <c r="HT523" s="1053"/>
      <c r="HU523" s="1053"/>
      <c r="HV523" s="1053"/>
      <c r="HW523" s="1053"/>
      <c r="HX523" s="1053"/>
      <c r="HY523" s="1053"/>
      <c r="HZ523" s="1053"/>
      <c r="IA523" s="1053"/>
      <c r="IB523" s="1053"/>
      <c r="IC523" s="1053"/>
      <c r="ID523" s="1053"/>
      <c r="IE523" s="1053"/>
      <c r="IF523" s="1053"/>
      <c r="IG523" s="1053"/>
      <c r="IH523" s="1053"/>
      <c r="II523" s="1053"/>
      <c r="IJ523" s="1053"/>
      <c r="IK523" s="1053"/>
      <c r="IL523" s="1053"/>
      <c r="IM523" s="1053"/>
      <c r="IN523" s="1053"/>
    </row>
    <row r="526" spans="1:248" s="1072" customFormat="1">
      <c r="A526" s="1054" t="s">
        <v>2022</v>
      </c>
      <c r="B526" s="1072">
        <v>5.26</v>
      </c>
      <c r="C526" s="1072">
        <f t="shared" ref="C526:C528" si="143">B526*$C$7</f>
        <v>0.30421587822706408</v>
      </c>
      <c r="E526" s="1072">
        <f t="shared" ref="E526:E528" si="144">B526+C526+D526</f>
        <v>5.5642158782270634</v>
      </c>
      <c r="G526" s="1053"/>
      <c r="H526" s="1053"/>
      <c r="I526" s="1053"/>
      <c r="J526" s="1053"/>
      <c r="K526" s="1053"/>
      <c r="L526" s="1053"/>
      <c r="M526" s="1053"/>
      <c r="N526" s="1053"/>
      <c r="O526" s="1053"/>
      <c r="P526" s="1053"/>
      <c r="Q526" s="1053"/>
      <c r="R526" s="1053"/>
      <c r="S526" s="1053"/>
      <c r="T526" s="1053"/>
      <c r="U526" s="1053"/>
      <c r="V526" s="1053"/>
      <c r="W526" s="1053"/>
      <c r="X526" s="1053"/>
      <c r="Y526" s="1053"/>
      <c r="Z526" s="1053"/>
      <c r="AA526" s="1053"/>
      <c r="AB526" s="1053"/>
      <c r="AC526" s="1053"/>
      <c r="AD526" s="1053"/>
      <c r="AE526" s="1053"/>
      <c r="AF526" s="1053"/>
      <c r="AG526" s="1053"/>
      <c r="AH526" s="1053"/>
      <c r="AI526" s="1053"/>
      <c r="AJ526" s="1053"/>
      <c r="AK526" s="1053"/>
      <c r="AL526" s="1053"/>
      <c r="AM526" s="1053"/>
      <c r="AN526" s="1053"/>
      <c r="AO526" s="1053"/>
      <c r="AP526" s="1053"/>
      <c r="AQ526" s="1053"/>
      <c r="AR526" s="1053"/>
      <c r="AS526" s="1053"/>
      <c r="AT526" s="1053"/>
      <c r="AU526" s="1053"/>
      <c r="AV526" s="1053"/>
      <c r="AW526" s="1053"/>
      <c r="AX526" s="1053"/>
      <c r="AY526" s="1053"/>
      <c r="AZ526" s="1053"/>
      <c r="BA526" s="1053"/>
      <c r="BB526" s="1053"/>
      <c r="BC526" s="1053"/>
      <c r="BD526" s="1053"/>
      <c r="BE526" s="1053"/>
      <c r="BF526" s="1053"/>
      <c r="BG526" s="1053"/>
      <c r="BH526" s="1053"/>
      <c r="BI526" s="1053"/>
      <c r="BJ526" s="1053"/>
      <c r="BK526" s="1053"/>
      <c r="BL526" s="1053"/>
      <c r="BM526" s="1053"/>
      <c r="BN526" s="1053"/>
      <c r="BO526" s="1053"/>
      <c r="BP526" s="1053"/>
      <c r="BQ526" s="1053"/>
      <c r="BR526" s="1053"/>
      <c r="BS526" s="1053"/>
      <c r="BT526" s="1053"/>
      <c r="BU526" s="1053"/>
      <c r="BV526" s="1053"/>
      <c r="BW526" s="1053"/>
      <c r="BX526" s="1053"/>
      <c r="BY526" s="1053"/>
      <c r="BZ526" s="1053"/>
      <c r="CA526" s="1053"/>
      <c r="CB526" s="1053"/>
      <c r="CC526" s="1053"/>
      <c r="CD526" s="1053"/>
      <c r="CE526" s="1053"/>
      <c r="CF526" s="1053"/>
      <c r="CG526" s="1053"/>
      <c r="CH526" s="1053"/>
      <c r="CI526" s="1053"/>
      <c r="CJ526" s="1053"/>
      <c r="CK526" s="1053"/>
      <c r="CL526" s="1053"/>
      <c r="CM526" s="1053"/>
      <c r="CN526" s="1053"/>
      <c r="CO526" s="1053"/>
      <c r="CP526" s="1053"/>
      <c r="CQ526" s="1053"/>
      <c r="CR526" s="1053"/>
      <c r="CS526" s="1053"/>
      <c r="CT526" s="1053"/>
      <c r="CU526" s="1053"/>
      <c r="CV526" s="1053"/>
      <c r="CW526" s="1053"/>
      <c r="CX526" s="1053"/>
      <c r="CY526" s="1053"/>
      <c r="CZ526" s="1053"/>
      <c r="DA526" s="1053"/>
      <c r="DB526" s="1053"/>
      <c r="DC526" s="1053"/>
      <c r="DD526" s="1053"/>
      <c r="DE526" s="1053"/>
      <c r="DF526" s="1053"/>
      <c r="DG526" s="1053"/>
      <c r="DH526" s="1053"/>
      <c r="DI526" s="1053"/>
      <c r="DJ526" s="1053"/>
      <c r="DK526" s="1053"/>
      <c r="DL526" s="1053"/>
      <c r="DM526" s="1053"/>
      <c r="DN526" s="1053"/>
      <c r="DO526" s="1053"/>
      <c r="DP526" s="1053"/>
      <c r="DQ526" s="1053"/>
      <c r="DR526" s="1053"/>
      <c r="DS526" s="1053"/>
      <c r="DT526" s="1053"/>
      <c r="DU526" s="1053"/>
      <c r="DV526" s="1053"/>
      <c r="DW526" s="1053"/>
      <c r="DX526" s="1053"/>
      <c r="DY526" s="1053"/>
      <c r="DZ526" s="1053"/>
      <c r="EA526" s="1053"/>
      <c r="EB526" s="1053"/>
      <c r="EC526" s="1053"/>
      <c r="ED526" s="1053"/>
      <c r="EE526" s="1053"/>
      <c r="EF526" s="1053"/>
      <c r="EG526" s="1053"/>
      <c r="EH526" s="1053"/>
      <c r="EI526" s="1053"/>
      <c r="EJ526" s="1053"/>
      <c r="EK526" s="1053"/>
      <c r="EL526" s="1053"/>
      <c r="EM526" s="1053"/>
      <c r="EN526" s="1053"/>
      <c r="EO526" s="1053"/>
      <c r="EP526" s="1053"/>
      <c r="EQ526" s="1053"/>
      <c r="ER526" s="1053"/>
      <c r="ES526" s="1053"/>
      <c r="ET526" s="1053"/>
      <c r="EU526" s="1053"/>
      <c r="EV526" s="1053"/>
      <c r="EW526" s="1053"/>
      <c r="EX526" s="1053"/>
      <c r="EY526" s="1053"/>
      <c r="EZ526" s="1053"/>
      <c r="FA526" s="1053"/>
      <c r="FB526" s="1053"/>
      <c r="FC526" s="1053"/>
      <c r="FD526" s="1053"/>
      <c r="FE526" s="1053"/>
      <c r="FF526" s="1053"/>
      <c r="FG526" s="1053"/>
      <c r="FH526" s="1053"/>
      <c r="FI526" s="1053"/>
      <c r="FJ526" s="1053"/>
      <c r="FK526" s="1053"/>
      <c r="FL526" s="1053"/>
      <c r="FM526" s="1053"/>
      <c r="FN526" s="1053"/>
      <c r="FO526" s="1053"/>
      <c r="FP526" s="1053"/>
      <c r="FQ526" s="1053"/>
      <c r="FR526" s="1053"/>
      <c r="FS526" s="1053"/>
      <c r="FT526" s="1053"/>
      <c r="FU526" s="1053"/>
      <c r="FV526" s="1053"/>
      <c r="FW526" s="1053"/>
      <c r="FX526" s="1053"/>
      <c r="FY526" s="1053"/>
      <c r="FZ526" s="1053"/>
      <c r="GA526" s="1053"/>
      <c r="GB526" s="1053"/>
      <c r="GC526" s="1053"/>
      <c r="GD526" s="1053"/>
      <c r="GE526" s="1053"/>
      <c r="GF526" s="1053"/>
      <c r="GG526" s="1053"/>
      <c r="GH526" s="1053"/>
      <c r="GI526" s="1053"/>
      <c r="GJ526" s="1053"/>
      <c r="GK526" s="1053"/>
      <c r="GL526" s="1053"/>
      <c r="GM526" s="1053"/>
      <c r="GN526" s="1053"/>
      <c r="GO526" s="1053"/>
      <c r="GP526" s="1053"/>
      <c r="GQ526" s="1053"/>
      <c r="GR526" s="1053"/>
      <c r="GS526" s="1053"/>
      <c r="GT526" s="1053"/>
      <c r="GU526" s="1053"/>
      <c r="GV526" s="1053"/>
      <c r="GW526" s="1053"/>
      <c r="GX526" s="1053"/>
      <c r="GY526" s="1053"/>
      <c r="GZ526" s="1053"/>
      <c r="HA526" s="1053"/>
      <c r="HB526" s="1053"/>
      <c r="HC526" s="1053"/>
      <c r="HD526" s="1053"/>
      <c r="HE526" s="1053"/>
      <c r="HF526" s="1053"/>
      <c r="HG526" s="1053"/>
      <c r="HH526" s="1053"/>
      <c r="HI526" s="1053"/>
      <c r="HJ526" s="1053"/>
      <c r="HK526" s="1053"/>
      <c r="HL526" s="1053"/>
      <c r="HM526" s="1053"/>
      <c r="HN526" s="1053"/>
      <c r="HO526" s="1053"/>
      <c r="HP526" s="1053"/>
      <c r="HQ526" s="1053"/>
      <c r="HR526" s="1053"/>
      <c r="HS526" s="1053"/>
      <c r="HT526" s="1053"/>
      <c r="HU526" s="1053"/>
      <c r="HV526" s="1053"/>
      <c r="HW526" s="1053"/>
      <c r="HX526" s="1053"/>
      <c r="HY526" s="1053"/>
      <c r="HZ526" s="1053"/>
      <c r="IA526" s="1053"/>
      <c r="IB526" s="1053"/>
      <c r="IC526" s="1053"/>
      <c r="ID526" s="1053"/>
      <c r="IE526" s="1053"/>
      <c r="IF526" s="1053"/>
      <c r="IG526" s="1053"/>
      <c r="IH526" s="1053"/>
      <c r="II526" s="1053"/>
      <c r="IJ526" s="1053"/>
      <c r="IK526" s="1053"/>
      <c r="IL526" s="1053"/>
      <c r="IM526" s="1053"/>
      <c r="IN526" s="1053"/>
    </row>
    <row r="527" spans="1:248" s="1072" customFormat="1">
      <c r="A527" s="1054" t="s">
        <v>2025</v>
      </c>
      <c r="B527" s="1072">
        <v>21.5</v>
      </c>
      <c r="C527" s="1072">
        <f t="shared" si="143"/>
        <v>1.2434679433235512</v>
      </c>
      <c r="E527" s="1072">
        <f t="shared" si="144"/>
        <v>22.743467943323552</v>
      </c>
      <c r="G527" s="1053"/>
      <c r="H527" s="1053"/>
      <c r="I527" s="1053"/>
      <c r="J527" s="1053"/>
      <c r="K527" s="1053"/>
      <c r="L527" s="1053"/>
      <c r="M527" s="1053"/>
      <c r="N527" s="1053"/>
      <c r="O527" s="1053"/>
      <c r="P527" s="1053"/>
      <c r="Q527" s="1053"/>
      <c r="R527" s="1053"/>
      <c r="S527" s="1053"/>
      <c r="T527" s="1053"/>
      <c r="U527" s="1053"/>
      <c r="V527" s="1053"/>
      <c r="W527" s="1053"/>
      <c r="X527" s="1053"/>
      <c r="Y527" s="1053"/>
      <c r="Z527" s="1053"/>
      <c r="AA527" s="1053"/>
      <c r="AB527" s="1053"/>
      <c r="AC527" s="1053"/>
      <c r="AD527" s="1053"/>
      <c r="AE527" s="1053"/>
      <c r="AF527" s="1053"/>
      <c r="AG527" s="1053"/>
      <c r="AH527" s="1053"/>
      <c r="AI527" s="1053"/>
      <c r="AJ527" s="1053"/>
      <c r="AK527" s="1053"/>
      <c r="AL527" s="1053"/>
      <c r="AM527" s="1053"/>
      <c r="AN527" s="1053"/>
      <c r="AO527" s="1053"/>
      <c r="AP527" s="1053"/>
      <c r="AQ527" s="1053"/>
      <c r="AR527" s="1053"/>
      <c r="AS527" s="1053"/>
      <c r="AT527" s="1053"/>
      <c r="AU527" s="1053"/>
      <c r="AV527" s="1053"/>
      <c r="AW527" s="1053"/>
      <c r="AX527" s="1053"/>
      <c r="AY527" s="1053"/>
      <c r="AZ527" s="1053"/>
      <c r="BA527" s="1053"/>
      <c r="BB527" s="1053"/>
      <c r="BC527" s="1053"/>
      <c r="BD527" s="1053"/>
      <c r="BE527" s="1053"/>
      <c r="BF527" s="1053"/>
      <c r="BG527" s="1053"/>
      <c r="BH527" s="1053"/>
      <c r="BI527" s="1053"/>
      <c r="BJ527" s="1053"/>
      <c r="BK527" s="1053"/>
      <c r="BL527" s="1053"/>
      <c r="BM527" s="1053"/>
      <c r="BN527" s="1053"/>
      <c r="BO527" s="1053"/>
      <c r="BP527" s="1053"/>
      <c r="BQ527" s="1053"/>
      <c r="BR527" s="1053"/>
      <c r="BS527" s="1053"/>
      <c r="BT527" s="1053"/>
      <c r="BU527" s="1053"/>
      <c r="BV527" s="1053"/>
      <c r="BW527" s="1053"/>
      <c r="BX527" s="1053"/>
      <c r="BY527" s="1053"/>
      <c r="BZ527" s="1053"/>
      <c r="CA527" s="1053"/>
      <c r="CB527" s="1053"/>
      <c r="CC527" s="1053"/>
      <c r="CD527" s="1053"/>
      <c r="CE527" s="1053"/>
      <c r="CF527" s="1053"/>
      <c r="CG527" s="1053"/>
      <c r="CH527" s="1053"/>
      <c r="CI527" s="1053"/>
      <c r="CJ527" s="1053"/>
      <c r="CK527" s="1053"/>
      <c r="CL527" s="1053"/>
      <c r="CM527" s="1053"/>
      <c r="CN527" s="1053"/>
      <c r="CO527" s="1053"/>
      <c r="CP527" s="1053"/>
      <c r="CQ527" s="1053"/>
      <c r="CR527" s="1053"/>
      <c r="CS527" s="1053"/>
      <c r="CT527" s="1053"/>
      <c r="CU527" s="1053"/>
      <c r="CV527" s="1053"/>
      <c r="CW527" s="1053"/>
      <c r="CX527" s="1053"/>
      <c r="CY527" s="1053"/>
      <c r="CZ527" s="1053"/>
      <c r="DA527" s="1053"/>
      <c r="DB527" s="1053"/>
      <c r="DC527" s="1053"/>
      <c r="DD527" s="1053"/>
      <c r="DE527" s="1053"/>
      <c r="DF527" s="1053"/>
      <c r="DG527" s="1053"/>
      <c r="DH527" s="1053"/>
      <c r="DI527" s="1053"/>
      <c r="DJ527" s="1053"/>
      <c r="DK527" s="1053"/>
      <c r="DL527" s="1053"/>
      <c r="DM527" s="1053"/>
      <c r="DN527" s="1053"/>
      <c r="DO527" s="1053"/>
      <c r="DP527" s="1053"/>
      <c r="DQ527" s="1053"/>
      <c r="DR527" s="1053"/>
      <c r="DS527" s="1053"/>
      <c r="DT527" s="1053"/>
      <c r="DU527" s="1053"/>
      <c r="DV527" s="1053"/>
      <c r="DW527" s="1053"/>
      <c r="DX527" s="1053"/>
      <c r="DY527" s="1053"/>
      <c r="DZ527" s="1053"/>
      <c r="EA527" s="1053"/>
      <c r="EB527" s="1053"/>
      <c r="EC527" s="1053"/>
      <c r="ED527" s="1053"/>
      <c r="EE527" s="1053"/>
      <c r="EF527" s="1053"/>
      <c r="EG527" s="1053"/>
      <c r="EH527" s="1053"/>
      <c r="EI527" s="1053"/>
      <c r="EJ527" s="1053"/>
      <c r="EK527" s="1053"/>
      <c r="EL527" s="1053"/>
      <c r="EM527" s="1053"/>
      <c r="EN527" s="1053"/>
      <c r="EO527" s="1053"/>
      <c r="EP527" s="1053"/>
      <c r="EQ527" s="1053"/>
      <c r="ER527" s="1053"/>
      <c r="ES527" s="1053"/>
      <c r="ET527" s="1053"/>
      <c r="EU527" s="1053"/>
      <c r="EV527" s="1053"/>
      <c r="EW527" s="1053"/>
      <c r="EX527" s="1053"/>
      <c r="EY527" s="1053"/>
      <c r="EZ527" s="1053"/>
      <c r="FA527" s="1053"/>
      <c r="FB527" s="1053"/>
      <c r="FC527" s="1053"/>
      <c r="FD527" s="1053"/>
      <c r="FE527" s="1053"/>
      <c r="FF527" s="1053"/>
      <c r="FG527" s="1053"/>
      <c r="FH527" s="1053"/>
      <c r="FI527" s="1053"/>
      <c r="FJ527" s="1053"/>
      <c r="FK527" s="1053"/>
      <c r="FL527" s="1053"/>
      <c r="FM527" s="1053"/>
      <c r="FN527" s="1053"/>
      <c r="FO527" s="1053"/>
      <c r="FP527" s="1053"/>
      <c r="FQ527" s="1053"/>
      <c r="FR527" s="1053"/>
      <c r="FS527" s="1053"/>
      <c r="FT527" s="1053"/>
      <c r="FU527" s="1053"/>
      <c r="FV527" s="1053"/>
      <c r="FW527" s="1053"/>
      <c r="FX527" s="1053"/>
      <c r="FY527" s="1053"/>
      <c r="FZ527" s="1053"/>
      <c r="GA527" s="1053"/>
      <c r="GB527" s="1053"/>
      <c r="GC527" s="1053"/>
      <c r="GD527" s="1053"/>
      <c r="GE527" s="1053"/>
      <c r="GF527" s="1053"/>
      <c r="GG527" s="1053"/>
      <c r="GH527" s="1053"/>
      <c r="GI527" s="1053"/>
      <c r="GJ527" s="1053"/>
      <c r="GK527" s="1053"/>
      <c r="GL527" s="1053"/>
      <c r="GM527" s="1053"/>
      <c r="GN527" s="1053"/>
      <c r="GO527" s="1053"/>
      <c r="GP527" s="1053"/>
      <c r="GQ527" s="1053"/>
      <c r="GR527" s="1053"/>
      <c r="GS527" s="1053"/>
      <c r="GT527" s="1053"/>
      <c r="GU527" s="1053"/>
      <c r="GV527" s="1053"/>
      <c r="GW527" s="1053"/>
      <c r="GX527" s="1053"/>
      <c r="GY527" s="1053"/>
      <c r="GZ527" s="1053"/>
      <c r="HA527" s="1053"/>
      <c r="HB527" s="1053"/>
      <c r="HC527" s="1053"/>
      <c r="HD527" s="1053"/>
      <c r="HE527" s="1053"/>
      <c r="HF527" s="1053"/>
      <c r="HG527" s="1053"/>
      <c r="HH527" s="1053"/>
      <c r="HI527" s="1053"/>
      <c r="HJ527" s="1053"/>
      <c r="HK527" s="1053"/>
      <c r="HL527" s="1053"/>
      <c r="HM527" s="1053"/>
      <c r="HN527" s="1053"/>
      <c r="HO527" s="1053"/>
      <c r="HP527" s="1053"/>
      <c r="HQ527" s="1053"/>
      <c r="HR527" s="1053"/>
      <c r="HS527" s="1053"/>
      <c r="HT527" s="1053"/>
      <c r="HU527" s="1053"/>
      <c r="HV527" s="1053"/>
      <c r="HW527" s="1053"/>
      <c r="HX527" s="1053"/>
      <c r="HY527" s="1053"/>
      <c r="HZ527" s="1053"/>
      <c r="IA527" s="1053"/>
      <c r="IB527" s="1053"/>
      <c r="IC527" s="1053"/>
      <c r="ID527" s="1053"/>
      <c r="IE527" s="1053"/>
      <c r="IF527" s="1053"/>
      <c r="IG527" s="1053"/>
      <c r="IH527" s="1053"/>
      <c r="II527" s="1053"/>
      <c r="IJ527" s="1053"/>
      <c r="IK527" s="1053"/>
      <c r="IL527" s="1053"/>
      <c r="IM527" s="1053"/>
      <c r="IN527" s="1053"/>
    </row>
    <row r="528" spans="1:248" s="1072" customFormat="1">
      <c r="A528" s="1054" t="s">
        <v>2026</v>
      </c>
      <c r="B528" s="1072">
        <v>2.2000000000000002</v>
      </c>
      <c r="C528" s="1072">
        <f t="shared" si="143"/>
        <v>0.12723858024706106</v>
      </c>
      <c r="E528" s="1072">
        <f t="shared" si="144"/>
        <v>2.3272385802470614</v>
      </c>
      <c r="G528" s="1053"/>
      <c r="H528" s="1053"/>
      <c r="I528" s="1053"/>
      <c r="J528" s="1053"/>
      <c r="K528" s="1053"/>
      <c r="L528" s="1053"/>
      <c r="M528" s="1053"/>
      <c r="N528" s="1053"/>
      <c r="O528" s="1053"/>
      <c r="P528" s="1053"/>
      <c r="Q528" s="1053"/>
      <c r="R528" s="1053"/>
      <c r="S528" s="1053"/>
      <c r="T528" s="1053"/>
      <c r="U528" s="1053"/>
      <c r="V528" s="1053"/>
      <c r="W528" s="1053"/>
      <c r="X528" s="1053"/>
      <c r="Y528" s="1053"/>
      <c r="Z528" s="1053"/>
      <c r="AA528" s="1053"/>
      <c r="AB528" s="1053"/>
      <c r="AC528" s="1053"/>
      <c r="AD528" s="1053"/>
      <c r="AE528" s="1053"/>
      <c r="AF528" s="1053"/>
      <c r="AG528" s="1053"/>
      <c r="AH528" s="1053"/>
      <c r="AI528" s="1053"/>
      <c r="AJ528" s="1053"/>
      <c r="AK528" s="1053"/>
      <c r="AL528" s="1053"/>
      <c r="AM528" s="1053"/>
      <c r="AN528" s="1053"/>
      <c r="AO528" s="1053"/>
      <c r="AP528" s="1053"/>
      <c r="AQ528" s="1053"/>
      <c r="AR528" s="1053"/>
      <c r="AS528" s="1053"/>
      <c r="AT528" s="1053"/>
      <c r="AU528" s="1053"/>
      <c r="AV528" s="1053"/>
      <c r="AW528" s="1053"/>
      <c r="AX528" s="1053"/>
      <c r="AY528" s="1053"/>
      <c r="AZ528" s="1053"/>
      <c r="BA528" s="1053"/>
      <c r="BB528" s="1053"/>
      <c r="BC528" s="1053"/>
      <c r="BD528" s="1053"/>
      <c r="BE528" s="1053"/>
      <c r="BF528" s="1053"/>
      <c r="BG528" s="1053"/>
      <c r="BH528" s="1053"/>
      <c r="BI528" s="1053"/>
      <c r="BJ528" s="1053"/>
      <c r="BK528" s="1053"/>
      <c r="BL528" s="1053"/>
      <c r="BM528" s="1053"/>
      <c r="BN528" s="1053"/>
      <c r="BO528" s="1053"/>
      <c r="BP528" s="1053"/>
      <c r="BQ528" s="1053"/>
      <c r="BR528" s="1053"/>
      <c r="BS528" s="1053"/>
      <c r="BT528" s="1053"/>
      <c r="BU528" s="1053"/>
      <c r="BV528" s="1053"/>
      <c r="BW528" s="1053"/>
      <c r="BX528" s="1053"/>
      <c r="BY528" s="1053"/>
      <c r="BZ528" s="1053"/>
      <c r="CA528" s="1053"/>
      <c r="CB528" s="1053"/>
      <c r="CC528" s="1053"/>
      <c r="CD528" s="1053"/>
      <c r="CE528" s="1053"/>
      <c r="CF528" s="1053"/>
      <c r="CG528" s="1053"/>
      <c r="CH528" s="1053"/>
      <c r="CI528" s="1053"/>
      <c r="CJ528" s="1053"/>
      <c r="CK528" s="1053"/>
      <c r="CL528" s="1053"/>
      <c r="CM528" s="1053"/>
      <c r="CN528" s="1053"/>
      <c r="CO528" s="1053"/>
      <c r="CP528" s="1053"/>
      <c r="CQ528" s="1053"/>
      <c r="CR528" s="1053"/>
      <c r="CS528" s="1053"/>
      <c r="CT528" s="1053"/>
      <c r="CU528" s="1053"/>
      <c r="CV528" s="1053"/>
      <c r="CW528" s="1053"/>
      <c r="CX528" s="1053"/>
      <c r="CY528" s="1053"/>
      <c r="CZ528" s="1053"/>
      <c r="DA528" s="1053"/>
      <c r="DB528" s="1053"/>
      <c r="DC528" s="1053"/>
      <c r="DD528" s="1053"/>
      <c r="DE528" s="1053"/>
      <c r="DF528" s="1053"/>
      <c r="DG528" s="1053"/>
      <c r="DH528" s="1053"/>
      <c r="DI528" s="1053"/>
      <c r="DJ528" s="1053"/>
      <c r="DK528" s="1053"/>
      <c r="DL528" s="1053"/>
      <c r="DM528" s="1053"/>
      <c r="DN528" s="1053"/>
      <c r="DO528" s="1053"/>
      <c r="DP528" s="1053"/>
      <c r="DQ528" s="1053"/>
      <c r="DR528" s="1053"/>
      <c r="DS528" s="1053"/>
      <c r="DT528" s="1053"/>
      <c r="DU528" s="1053"/>
      <c r="DV528" s="1053"/>
      <c r="DW528" s="1053"/>
      <c r="DX528" s="1053"/>
      <c r="DY528" s="1053"/>
      <c r="DZ528" s="1053"/>
      <c r="EA528" s="1053"/>
      <c r="EB528" s="1053"/>
      <c r="EC528" s="1053"/>
      <c r="ED528" s="1053"/>
      <c r="EE528" s="1053"/>
      <c r="EF528" s="1053"/>
      <c r="EG528" s="1053"/>
      <c r="EH528" s="1053"/>
      <c r="EI528" s="1053"/>
      <c r="EJ528" s="1053"/>
      <c r="EK528" s="1053"/>
      <c r="EL528" s="1053"/>
      <c r="EM528" s="1053"/>
      <c r="EN528" s="1053"/>
      <c r="EO528" s="1053"/>
      <c r="EP528" s="1053"/>
      <c r="EQ528" s="1053"/>
      <c r="ER528" s="1053"/>
      <c r="ES528" s="1053"/>
      <c r="ET528" s="1053"/>
      <c r="EU528" s="1053"/>
      <c r="EV528" s="1053"/>
      <c r="EW528" s="1053"/>
      <c r="EX528" s="1053"/>
      <c r="EY528" s="1053"/>
      <c r="EZ528" s="1053"/>
      <c r="FA528" s="1053"/>
      <c r="FB528" s="1053"/>
      <c r="FC528" s="1053"/>
      <c r="FD528" s="1053"/>
      <c r="FE528" s="1053"/>
      <c r="FF528" s="1053"/>
      <c r="FG528" s="1053"/>
      <c r="FH528" s="1053"/>
      <c r="FI528" s="1053"/>
      <c r="FJ528" s="1053"/>
      <c r="FK528" s="1053"/>
      <c r="FL528" s="1053"/>
      <c r="FM528" s="1053"/>
      <c r="FN528" s="1053"/>
      <c r="FO528" s="1053"/>
      <c r="FP528" s="1053"/>
      <c r="FQ528" s="1053"/>
      <c r="FR528" s="1053"/>
      <c r="FS528" s="1053"/>
      <c r="FT528" s="1053"/>
      <c r="FU528" s="1053"/>
      <c r="FV528" s="1053"/>
      <c r="FW528" s="1053"/>
      <c r="FX528" s="1053"/>
      <c r="FY528" s="1053"/>
      <c r="FZ528" s="1053"/>
      <c r="GA528" s="1053"/>
      <c r="GB528" s="1053"/>
      <c r="GC528" s="1053"/>
      <c r="GD528" s="1053"/>
      <c r="GE528" s="1053"/>
      <c r="GF528" s="1053"/>
      <c r="GG528" s="1053"/>
      <c r="GH528" s="1053"/>
      <c r="GI528" s="1053"/>
      <c r="GJ528" s="1053"/>
      <c r="GK528" s="1053"/>
      <c r="GL528" s="1053"/>
      <c r="GM528" s="1053"/>
      <c r="GN528" s="1053"/>
      <c r="GO528" s="1053"/>
      <c r="GP528" s="1053"/>
      <c r="GQ528" s="1053"/>
      <c r="GR528" s="1053"/>
      <c r="GS528" s="1053"/>
      <c r="GT528" s="1053"/>
      <c r="GU528" s="1053"/>
      <c r="GV528" s="1053"/>
      <c r="GW528" s="1053"/>
      <c r="GX528" s="1053"/>
      <c r="GY528" s="1053"/>
      <c r="GZ528" s="1053"/>
      <c r="HA528" s="1053"/>
      <c r="HB528" s="1053"/>
      <c r="HC528" s="1053"/>
      <c r="HD528" s="1053"/>
      <c r="HE528" s="1053"/>
      <c r="HF528" s="1053"/>
      <c r="HG528" s="1053"/>
      <c r="HH528" s="1053"/>
      <c r="HI528" s="1053"/>
      <c r="HJ528" s="1053"/>
      <c r="HK528" s="1053"/>
      <c r="HL528" s="1053"/>
      <c r="HM528" s="1053"/>
      <c r="HN528" s="1053"/>
      <c r="HO528" s="1053"/>
      <c r="HP528" s="1053"/>
      <c r="HQ528" s="1053"/>
      <c r="HR528" s="1053"/>
      <c r="HS528" s="1053"/>
      <c r="HT528" s="1053"/>
      <c r="HU528" s="1053"/>
      <c r="HV528" s="1053"/>
      <c r="HW528" s="1053"/>
      <c r="HX528" s="1053"/>
      <c r="HY528" s="1053"/>
      <c r="HZ528" s="1053"/>
      <c r="IA528" s="1053"/>
      <c r="IB528" s="1053"/>
      <c r="IC528" s="1053"/>
      <c r="ID528" s="1053"/>
      <c r="IE528" s="1053"/>
      <c r="IF528" s="1053"/>
      <c r="IG528" s="1053"/>
      <c r="IH528" s="1053"/>
      <c r="II528" s="1053"/>
      <c r="IJ528" s="1053"/>
      <c r="IK528" s="1053"/>
      <c r="IL528" s="1053"/>
      <c r="IM528" s="1053"/>
      <c r="IN528" s="1053"/>
    </row>
    <row r="530" spans="1:248" s="1072" customFormat="1">
      <c r="A530" s="1057"/>
      <c r="G530" s="1053"/>
      <c r="H530" s="1053"/>
      <c r="I530" s="1053"/>
      <c r="J530" s="1053"/>
      <c r="K530" s="1053"/>
      <c r="L530" s="1053"/>
      <c r="M530" s="1053"/>
      <c r="N530" s="1053"/>
      <c r="O530" s="1053"/>
      <c r="P530" s="1053"/>
      <c r="Q530" s="1053"/>
      <c r="R530" s="1053"/>
      <c r="S530" s="1053"/>
      <c r="T530" s="1053"/>
      <c r="U530" s="1053"/>
      <c r="V530" s="1053"/>
      <c r="W530" s="1053"/>
      <c r="X530" s="1053"/>
      <c r="Y530" s="1053"/>
      <c r="Z530" s="1053"/>
      <c r="AA530" s="1053"/>
      <c r="AB530" s="1053"/>
      <c r="AC530" s="1053"/>
      <c r="AD530" s="1053"/>
      <c r="AE530" s="1053"/>
      <c r="AF530" s="1053"/>
      <c r="AG530" s="1053"/>
      <c r="AH530" s="1053"/>
      <c r="AI530" s="1053"/>
      <c r="AJ530" s="1053"/>
      <c r="AK530" s="1053"/>
      <c r="AL530" s="1053"/>
      <c r="AM530" s="1053"/>
      <c r="AN530" s="1053"/>
      <c r="AO530" s="1053"/>
      <c r="AP530" s="1053"/>
      <c r="AQ530" s="1053"/>
      <c r="AR530" s="1053"/>
      <c r="AS530" s="1053"/>
      <c r="AT530" s="1053"/>
      <c r="AU530" s="1053"/>
      <c r="AV530" s="1053"/>
      <c r="AW530" s="1053"/>
      <c r="AX530" s="1053"/>
      <c r="AY530" s="1053"/>
      <c r="AZ530" s="1053"/>
      <c r="BA530" s="1053"/>
      <c r="BB530" s="1053"/>
      <c r="BC530" s="1053"/>
      <c r="BD530" s="1053"/>
      <c r="BE530" s="1053"/>
      <c r="BF530" s="1053"/>
      <c r="BG530" s="1053"/>
      <c r="BH530" s="1053"/>
      <c r="BI530" s="1053"/>
      <c r="BJ530" s="1053"/>
      <c r="BK530" s="1053"/>
      <c r="BL530" s="1053"/>
      <c r="BM530" s="1053"/>
      <c r="BN530" s="1053"/>
      <c r="BO530" s="1053"/>
      <c r="BP530" s="1053"/>
      <c r="BQ530" s="1053"/>
      <c r="BR530" s="1053"/>
      <c r="BS530" s="1053"/>
      <c r="BT530" s="1053"/>
      <c r="BU530" s="1053"/>
      <c r="BV530" s="1053"/>
      <c r="BW530" s="1053"/>
      <c r="BX530" s="1053"/>
      <c r="BY530" s="1053"/>
      <c r="BZ530" s="1053"/>
      <c r="CA530" s="1053"/>
      <c r="CB530" s="1053"/>
      <c r="CC530" s="1053"/>
      <c r="CD530" s="1053"/>
      <c r="CE530" s="1053"/>
      <c r="CF530" s="1053"/>
      <c r="CG530" s="1053"/>
      <c r="CH530" s="1053"/>
      <c r="CI530" s="1053"/>
      <c r="CJ530" s="1053"/>
      <c r="CK530" s="1053"/>
      <c r="CL530" s="1053"/>
      <c r="CM530" s="1053"/>
      <c r="CN530" s="1053"/>
      <c r="CO530" s="1053"/>
      <c r="CP530" s="1053"/>
      <c r="CQ530" s="1053"/>
      <c r="CR530" s="1053"/>
      <c r="CS530" s="1053"/>
      <c r="CT530" s="1053"/>
      <c r="CU530" s="1053"/>
      <c r="CV530" s="1053"/>
      <c r="CW530" s="1053"/>
      <c r="CX530" s="1053"/>
      <c r="CY530" s="1053"/>
      <c r="CZ530" s="1053"/>
      <c r="DA530" s="1053"/>
      <c r="DB530" s="1053"/>
      <c r="DC530" s="1053"/>
      <c r="DD530" s="1053"/>
      <c r="DE530" s="1053"/>
      <c r="DF530" s="1053"/>
      <c r="DG530" s="1053"/>
      <c r="DH530" s="1053"/>
      <c r="DI530" s="1053"/>
      <c r="DJ530" s="1053"/>
      <c r="DK530" s="1053"/>
      <c r="DL530" s="1053"/>
      <c r="DM530" s="1053"/>
      <c r="DN530" s="1053"/>
      <c r="DO530" s="1053"/>
      <c r="DP530" s="1053"/>
      <c r="DQ530" s="1053"/>
      <c r="DR530" s="1053"/>
      <c r="DS530" s="1053"/>
      <c r="DT530" s="1053"/>
      <c r="DU530" s="1053"/>
      <c r="DV530" s="1053"/>
      <c r="DW530" s="1053"/>
      <c r="DX530" s="1053"/>
      <c r="DY530" s="1053"/>
      <c r="DZ530" s="1053"/>
      <c r="EA530" s="1053"/>
      <c r="EB530" s="1053"/>
      <c r="EC530" s="1053"/>
      <c r="ED530" s="1053"/>
      <c r="EE530" s="1053"/>
      <c r="EF530" s="1053"/>
      <c r="EG530" s="1053"/>
      <c r="EH530" s="1053"/>
      <c r="EI530" s="1053"/>
      <c r="EJ530" s="1053"/>
      <c r="EK530" s="1053"/>
      <c r="EL530" s="1053"/>
      <c r="EM530" s="1053"/>
      <c r="EN530" s="1053"/>
      <c r="EO530" s="1053"/>
      <c r="EP530" s="1053"/>
      <c r="EQ530" s="1053"/>
      <c r="ER530" s="1053"/>
      <c r="ES530" s="1053"/>
      <c r="ET530" s="1053"/>
      <c r="EU530" s="1053"/>
      <c r="EV530" s="1053"/>
      <c r="EW530" s="1053"/>
      <c r="EX530" s="1053"/>
      <c r="EY530" s="1053"/>
      <c r="EZ530" s="1053"/>
      <c r="FA530" s="1053"/>
      <c r="FB530" s="1053"/>
      <c r="FC530" s="1053"/>
      <c r="FD530" s="1053"/>
      <c r="FE530" s="1053"/>
      <c r="FF530" s="1053"/>
      <c r="FG530" s="1053"/>
      <c r="FH530" s="1053"/>
      <c r="FI530" s="1053"/>
      <c r="FJ530" s="1053"/>
      <c r="FK530" s="1053"/>
      <c r="FL530" s="1053"/>
      <c r="FM530" s="1053"/>
      <c r="FN530" s="1053"/>
      <c r="FO530" s="1053"/>
      <c r="FP530" s="1053"/>
      <c r="FQ530" s="1053"/>
      <c r="FR530" s="1053"/>
      <c r="FS530" s="1053"/>
      <c r="FT530" s="1053"/>
      <c r="FU530" s="1053"/>
      <c r="FV530" s="1053"/>
      <c r="FW530" s="1053"/>
      <c r="FX530" s="1053"/>
      <c r="FY530" s="1053"/>
      <c r="FZ530" s="1053"/>
      <c r="GA530" s="1053"/>
      <c r="GB530" s="1053"/>
      <c r="GC530" s="1053"/>
      <c r="GD530" s="1053"/>
      <c r="GE530" s="1053"/>
      <c r="GF530" s="1053"/>
      <c r="GG530" s="1053"/>
      <c r="GH530" s="1053"/>
      <c r="GI530" s="1053"/>
      <c r="GJ530" s="1053"/>
      <c r="GK530" s="1053"/>
      <c r="GL530" s="1053"/>
      <c r="GM530" s="1053"/>
      <c r="GN530" s="1053"/>
      <c r="GO530" s="1053"/>
      <c r="GP530" s="1053"/>
      <c r="GQ530" s="1053"/>
      <c r="GR530" s="1053"/>
      <c r="GS530" s="1053"/>
      <c r="GT530" s="1053"/>
      <c r="GU530" s="1053"/>
      <c r="GV530" s="1053"/>
      <c r="GW530" s="1053"/>
      <c r="GX530" s="1053"/>
      <c r="GY530" s="1053"/>
      <c r="GZ530" s="1053"/>
      <c r="HA530" s="1053"/>
      <c r="HB530" s="1053"/>
      <c r="HC530" s="1053"/>
      <c r="HD530" s="1053"/>
      <c r="HE530" s="1053"/>
      <c r="HF530" s="1053"/>
      <c r="HG530" s="1053"/>
      <c r="HH530" s="1053"/>
      <c r="HI530" s="1053"/>
      <c r="HJ530" s="1053"/>
      <c r="HK530" s="1053"/>
      <c r="HL530" s="1053"/>
      <c r="HM530" s="1053"/>
      <c r="HN530" s="1053"/>
      <c r="HO530" s="1053"/>
      <c r="HP530" s="1053"/>
      <c r="HQ530" s="1053"/>
      <c r="HR530" s="1053"/>
      <c r="HS530" s="1053"/>
      <c r="HT530" s="1053"/>
      <c r="HU530" s="1053"/>
      <c r="HV530" s="1053"/>
      <c r="HW530" s="1053"/>
      <c r="HX530" s="1053"/>
      <c r="HY530" s="1053"/>
      <c r="HZ530" s="1053"/>
      <c r="IA530" s="1053"/>
      <c r="IB530" s="1053"/>
      <c r="IC530" s="1053"/>
      <c r="ID530" s="1053"/>
      <c r="IE530" s="1053"/>
      <c r="IF530" s="1053"/>
      <c r="IG530" s="1053"/>
      <c r="IH530" s="1053"/>
      <c r="II530" s="1053"/>
      <c r="IJ530" s="1053"/>
      <c r="IK530" s="1053"/>
      <c r="IL530" s="1053"/>
      <c r="IM530" s="1053"/>
      <c r="IN530" s="1053"/>
    </row>
    <row r="531" spans="1:248" s="1072" customFormat="1">
      <c r="A531" s="1057"/>
      <c r="G531" s="1053"/>
      <c r="H531" s="1053"/>
      <c r="I531" s="1053"/>
      <c r="J531" s="1053"/>
      <c r="K531" s="1053"/>
      <c r="L531" s="1053"/>
      <c r="M531" s="1053"/>
      <c r="N531" s="1053"/>
      <c r="O531" s="1053"/>
      <c r="P531" s="1053"/>
      <c r="Q531" s="1053"/>
      <c r="R531" s="1053"/>
      <c r="S531" s="1053"/>
      <c r="T531" s="1053"/>
      <c r="U531" s="1053"/>
      <c r="V531" s="1053"/>
      <c r="W531" s="1053"/>
      <c r="X531" s="1053"/>
      <c r="Y531" s="1053"/>
      <c r="Z531" s="1053"/>
      <c r="AA531" s="1053"/>
      <c r="AB531" s="1053"/>
      <c r="AC531" s="1053"/>
      <c r="AD531" s="1053"/>
      <c r="AE531" s="1053"/>
      <c r="AF531" s="1053"/>
      <c r="AG531" s="1053"/>
      <c r="AH531" s="1053"/>
      <c r="AI531" s="1053"/>
      <c r="AJ531" s="1053"/>
      <c r="AK531" s="1053"/>
      <c r="AL531" s="1053"/>
      <c r="AM531" s="1053"/>
      <c r="AN531" s="1053"/>
      <c r="AO531" s="1053"/>
      <c r="AP531" s="1053"/>
      <c r="AQ531" s="1053"/>
      <c r="AR531" s="1053"/>
      <c r="AS531" s="1053"/>
      <c r="AT531" s="1053"/>
      <c r="AU531" s="1053"/>
      <c r="AV531" s="1053"/>
      <c r="AW531" s="1053"/>
      <c r="AX531" s="1053"/>
      <c r="AY531" s="1053"/>
      <c r="AZ531" s="1053"/>
      <c r="BA531" s="1053"/>
      <c r="BB531" s="1053"/>
      <c r="BC531" s="1053"/>
      <c r="BD531" s="1053"/>
      <c r="BE531" s="1053"/>
      <c r="BF531" s="1053"/>
      <c r="BG531" s="1053"/>
      <c r="BH531" s="1053"/>
      <c r="BI531" s="1053"/>
      <c r="BJ531" s="1053"/>
      <c r="BK531" s="1053"/>
      <c r="BL531" s="1053"/>
      <c r="BM531" s="1053"/>
      <c r="BN531" s="1053"/>
      <c r="BO531" s="1053"/>
      <c r="BP531" s="1053"/>
      <c r="BQ531" s="1053"/>
      <c r="BR531" s="1053"/>
      <c r="BS531" s="1053"/>
      <c r="BT531" s="1053"/>
      <c r="BU531" s="1053"/>
      <c r="BV531" s="1053"/>
      <c r="BW531" s="1053"/>
      <c r="BX531" s="1053"/>
      <c r="BY531" s="1053"/>
      <c r="BZ531" s="1053"/>
      <c r="CA531" s="1053"/>
      <c r="CB531" s="1053"/>
      <c r="CC531" s="1053"/>
      <c r="CD531" s="1053"/>
      <c r="CE531" s="1053"/>
      <c r="CF531" s="1053"/>
      <c r="CG531" s="1053"/>
      <c r="CH531" s="1053"/>
      <c r="CI531" s="1053"/>
      <c r="CJ531" s="1053"/>
      <c r="CK531" s="1053"/>
      <c r="CL531" s="1053"/>
      <c r="CM531" s="1053"/>
      <c r="CN531" s="1053"/>
      <c r="CO531" s="1053"/>
      <c r="CP531" s="1053"/>
      <c r="CQ531" s="1053"/>
      <c r="CR531" s="1053"/>
      <c r="CS531" s="1053"/>
      <c r="CT531" s="1053"/>
      <c r="CU531" s="1053"/>
      <c r="CV531" s="1053"/>
      <c r="CW531" s="1053"/>
      <c r="CX531" s="1053"/>
      <c r="CY531" s="1053"/>
      <c r="CZ531" s="1053"/>
      <c r="DA531" s="1053"/>
      <c r="DB531" s="1053"/>
      <c r="DC531" s="1053"/>
      <c r="DD531" s="1053"/>
      <c r="DE531" s="1053"/>
      <c r="DF531" s="1053"/>
      <c r="DG531" s="1053"/>
      <c r="DH531" s="1053"/>
      <c r="DI531" s="1053"/>
      <c r="DJ531" s="1053"/>
      <c r="DK531" s="1053"/>
      <c r="DL531" s="1053"/>
      <c r="DM531" s="1053"/>
      <c r="DN531" s="1053"/>
      <c r="DO531" s="1053"/>
      <c r="DP531" s="1053"/>
      <c r="DQ531" s="1053"/>
      <c r="DR531" s="1053"/>
      <c r="DS531" s="1053"/>
      <c r="DT531" s="1053"/>
      <c r="DU531" s="1053"/>
      <c r="DV531" s="1053"/>
      <c r="DW531" s="1053"/>
      <c r="DX531" s="1053"/>
      <c r="DY531" s="1053"/>
      <c r="DZ531" s="1053"/>
      <c r="EA531" s="1053"/>
      <c r="EB531" s="1053"/>
      <c r="EC531" s="1053"/>
      <c r="ED531" s="1053"/>
      <c r="EE531" s="1053"/>
      <c r="EF531" s="1053"/>
      <c r="EG531" s="1053"/>
      <c r="EH531" s="1053"/>
      <c r="EI531" s="1053"/>
      <c r="EJ531" s="1053"/>
      <c r="EK531" s="1053"/>
      <c r="EL531" s="1053"/>
      <c r="EM531" s="1053"/>
      <c r="EN531" s="1053"/>
      <c r="EO531" s="1053"/>
      <c r="EP531" s="1053"/>
      <c r="EQ531" s="1053"/>
      <c r="ER531" s="1053"/>
      <c r="ES531" s="1053"/>
      <c r="ET531" s="1053"/>
      <c r="EU531" s="1053"/>
      <c r="EV531" s="1053"/>
      <c r="EW531" s="1053"/>
      <c r="EX531" s="1053"/>
      <c r="EY531" s="1053"/>
      <c r="EZ531" s="1053"/>
      <c r="FA531" s="1053"/>
      <c r="FB531" s="1053"/>
      <c r="FC531" s="1053"/>
      <c r="FD531" s="1053"/>
      <c r="FE531" s="1053"/>
      <c r="FF531" s="1053"/>
      <c r="FG531" s="1053"/>
      <c r="FH531" s="1053"/>
      <c r="FI531" s="1053"/>
      <c r="FJ531" s="1053"/>
      <c r="FK531" s="1053"/>
      <c r="FL531" s="1053"/>
      <c r="FM531" s="1053"/>
      <c r="FN531" s="1053"/>
      <c r="FO531" s="1053"/>
      <c r="FP531" s="1053"/>
      <c r="FQ531" s="1053"/>
      <c r="FR531" s="1053"/>
      <c r="FS531" s="1053"/>
      <c r="FT531" s="1053"/>
      <c r="FU531" s="1053"/>
      <c r="FV531" s="1053"/>
      <c r="FW531" s="1053"/>
      <c r="FX531" s="1053"/>
      <c r="FY531" s="1053"/>
      <c r="FZ531" s="1053"/>
      <c r="GA531" s="1053"/>
      <c r="GB531" s="1053"/>
      <c r="GC531" s="1053"/>
      <c r="GD531" s="1053"/>
      <c r="GE531" s="1053"/>
      <c r="GF531" s="1053"/>
      <c r="GG531" s="1053"/>
      <c r="GH531" s="1053"/>
      <c r="GI531" s="1053"/>
      <c r="GJ531" s="1053"/>
      <c r="GK531" s="1053"/>
      <c r="GL531" s="1053"/>
      <c r="GM531" s="1053"/>
      <c r="GN531" s="1053"/>
      <c r="GO531" s="1053"/>
      <c r="GP531" s="1053"/>
      <c r="GQ531" s="1053"/>
      <c r="GR531" s="1053"/>
      <c r="GS531" s="1053"/>
      <c r="GT531" s="1053"/>
      <c r="GU531" s="1053"/>
      <c r="GV531" s="1053"/>
      <c r="GW531" s="1053"/>
      <c r="GX531" s="1053"/>
      <c r="GY531" s="1053"/>
      <c r="GZ531" s="1053"/>
      <c r="HA531" s="1053"/>
      <c r="HB531" s="1053"/>
      <c r="HC531" s="1053"/>
      <c r="HD531" s="1053"/>
      <c r="HE531" s="1053"/>
      <c r="HF531" s="1053"/>
      <c r="HG531" s="1053"/>
      <c r="HH531" s="1053"/>
      <c r="HI531" s="1053"/>
      <c r="HJ531" s="1053"/>
      <c r="HK531" s="1053"/>
      <c r="HL531" s="1053"/>
      <c r="HM531" s="1053"/>
      <c r="HN531" s="1053"/>
      <c r="HO531" s="1053"/>
      <c r="HP531" s="1053"/>
      <c r="HQ531" s="1053"/>
      <c r="HR531" s="1053"/>
      <c r="HS531" s="1053"/>
      <c r="HT531" s="1053"/>
      <c r="HU531" s="1053"/>
      <c r="HV531" s="1053"/>
      <c r="HW531" s="1053"/>
      <c r="HX531" s="1053"/>
      <c r="HY531" s="1053"/>
      <c r="HZ531" s="1053"/>
      <c r="IA531" s="1053"/>
      <c r="IB531" s="1053"/>
      <c r="IC531" s="1053"/>
      <c r="ID531" s="1053"/>
      <c r="IE531" s="1053"/>
      <c r="IF531" s="1053"/>
      <c r="IG531" s="1053"/>
      <c r="IH531" s="1053"/>
      <c r="II531" s="1053"/>
      <c r="IJ531" s="1053"/>
      <c r="IK531" s="1053"/>
      <c r="IL531" s="1053"/>
      <c r="IM531" s="1053"/>
      <c r="IN531" s="1053"/>
    </row>
    <row r="532" spans="1:248" s="1072" customFormat="1">
      <c r="A532" s="1057"/>
      <c r="G532" s="1053"/>
      <c r="H532" s="1053"/>
      <c r="I532" s="1053"/>
      <c r="J532" s="1053"/>
      <c r="K532" s="1053"/>
      <c r="L532" s="1053"/>
      <c r="M532" s="1053"/>
      <c r="N532" s="1053"/>
      <c r="O532" s="1053"/>
      <c r="P532" s="1053"/>
      <c r="Q532" s="1053"/>
      <c r="R532" s="1053"/>
      <c r="S532" s="1053"/>
      <c r="T532" s="1053"/>
      <c r="U532" s="1053"/>
      <c r="V532" s="1053"/>
      <c r="W532" s="1053"/>
      <c r="X532" s="1053"/>
      <c r="Y532" s="1053"/>
      <c r="Z532" s="1053"/>
      <c r="AA532" s="1053"/>
      <c r="AB532" s="1053"/>
      <c r="AC532" s="1053"/>
      <c r="AD532" s="1053"/>
      <c r="AE532" s="1053"/>
      <c r="AF532" s="1053"/>
      <c r="AG532" s="1053"/>
      <c r="AH532" s="1053"/>
      <c r="AI532" s="1053"/>
      <c r="AJ532" s="1053"/>
      <c r="AK532" s="1053"/>
      <c r="AL532" s="1053"/>
      <c r="AM532" s="1053"/>
      <c r="AN532" s="1053"/>
      <c r="AO532" s="1053"/>
      <c r="AP532" s="1053"/>
      <c r="AQ532" s="1053"/>
      <c r="AR532" s="1053"/>
      <c r="AS532" s="1053"/>
      <c r="AT532" s="1053"/>
      <c r="AU532" s="1053"/>
      <c r="AV532" s="1053"/>
      <c r="AW532" s="1053"/>
      <c r="AX532" s="1053"/>
      <c r="AY532" s="1053"/>
      <c r="AZ532" s="1053"/>
      <c r="BA532" s="1053"/>
      <c r="BB532" s="1053"/>
      <c r="BC532" s="1053"/>
      <c r="BD532" s="1053"/>
      <c r="BE532" s="1053"/>
      <c r="BF532" s="1053"/>
      <c r="BG532" s="1053"/>
      <c r="BH532" s="1053"/>
      <c r="BI532" s="1053"/>
      <c r="BJ532" s="1053"/>
      <c r="BK532" s="1053"/>
      <c r="BL532" s="1053"/>
      <c r="BM532" s="1053"/>
      <c r="BN532" s="1053"/>
      <c r="BO532" s="1053"/>
      <c r="BP532" s="1053"/>
      <c r="BQ532" s="1053"/>
      <c r="BR532" s="1053"/>
      <c r="BS532" s="1053"/>
      <c r="BT532" s="1053"/>
      <c r="BU532" s="1053"/>
      <c r="BV532" s="1053"/>
      <c r="BW532" s="1053"/>
      <c r="BX532" s="1053"/>
      <c r="BY532" s="1053"/>
      <c r="BZ532" s="1053"/>
      <c r="CA532" s="1053"/>
      <c r="CB532" s="1053"/>
      <c r="CC532" s="1053"/>
      <c r="CD532" s="1053"/>
      <c r="CE532" s="1053"/>
      <c r="CF532" s="1053"/>
      <c r="CG532" s="1053"/>
      <c r="CH532" s="1053"/>
      <c r="CI532" s="1053"/>
      <c r="CJ532" s="1053"/>
      <c r="CK532" s="1053"/>
      <c r="CL532" s="1053"/>
      <c r="CM532" s="1053"/>
      <c r="CN532" s="1053"/>
      <c r="CO532" s="1053"/>
      <c r="CP532" s="1053"/>
      <c r="CQ532" s="1053"/>
      <c r="CR532" s="1053"/>
      <c r="CS532" s="1053"/>
      <c r="CT532" s="1053"/>
      <c r="CU532" s="1053"/>
      <c r="CV532" s="1053"/>
      <c r="CW532" s="1053"/>
      <c r="CX532" s="1053"/>
      <c r="CY532" s="1053"/>
      <c r="CZ532" s="1053"/>
      <c r="DA532" s="1053"/>
      <c r="DB532" s="1053"/>
      <c r="DC532" s="1053"/>
      <c r="DD532" s="1053"/>
      <c r="DE532" s="1053"/>
      <c r="DF532" s="1053"/>
      <c r="DG532" s="1053"/>
      <c r="DH532" s="1053"/>
      <c r="DI532" s="1053"/>
      <c r="DJ532" s="1053"/>
      <c r="DK532" s="1053"/>
      <c r="DL532" s="1053"/>
      <c r="DM532" s="1053"/>
      <c r="DN532" s="1053"/>
      <c r="DO532" s="1053"/>
      <c r="DP532" s="1053"/>
      <c r="DQ532" s="1053"/>
      <c r="DR532" s="1053"/>
      <c r="DS532" s="1053"/>
      <c r="DT532" s="1053"/>
      <c r="DU532" s="1053"/>
      <c r="DV532" s="1053"/>
      <c r="DW532" s="1053"/>
      <c r="DX532" s="1053"/>
      <c r="DY532" s="1053"/>
      <c r="DZ532" s="1053"/>
      <c r="EA532" s="1053"/>
      <c r="EB532" s="1053"/>
      <c r="EC532" s="1053"/>
      <c r="ED532" s="1053"/>
      <c r="EE532" s="1053"/>
      <c r="EF532" s="1053"/>
      <c r="EG532" s="1053"/>
      <c r="EH532" s="1053"/>
      <c r="EI532" s="1053"/>
      <c r="EJ532" s="1053"/>
      <c r="EK532" s="1053"/>
      <c r="EL532" s="1053"/>
      <c r="EM532" s="1053"/>
      <c r="EN532" s="1053"/>
      <c r="EO532" s="1053"/>
      <c r="EP532" s="1053"/>
      <c r="EQ532" s="1053"/>
      <c r="ER532" s="1053"/>
      <c r="ES532" s="1053"/>
      <c r="ET532" s="1053"/>
      <c r="EU532" s="1053"/>
      <c r="EV532" s="1053"/>
      <c r="EW532" s="1053"/>
      <c r="EX532" s="1053"/>
      <c r="EY532" s="1053"/>
      <c r="EZ532" s="1053"/>
      <c r="FA532" s="1053"/>
      <c r="FB532" s="1053"/>
      <c r="FC532" s="1053"/>
      <c r="FD532" s="1053"/>
      <c r="FE532" s="1053"/>
      <c r="FF532" s="1053"/>
      <c r="FG532" s="1053"/>
      <c r="FH532" s="1053"/>
      <c r="FI532" s="1053"/>
      <c r="FJ532" s="1053"/>
      <c r="FK532" s="1053"/>
      <c r="FL532" s="1053"/>
      <c r="FM532" s="1053"/>
      <c r="FN532" s="1053"/>
      <c r="FO532" s="1053"/>
      <c r="FP532" s="1053"/>
      <c r="FQ532" s="1053"/>
      <c r="FR532" s="1053"/>
      <c r="FS532" s="1053"/>
      <c r="FT532" s="1053"/>
      <c r="FU532" s="1053"/>
      <c r="FV532" s="1053"/>
      <c r="FW532" s="1053"/>
      <c r="FX532" s="1053"/>
      <c r="FY532" s="1053"/>
      <c r="FZ532" s="1053"/>
      <c r="GA532" s="1053"/>
      <c r="GB532" s="1053"/>
      <c r="GC532" s="1053"/>
      <c r="GD532" s="1053"/>
      <c r="GE532" s="1053"/>
      <c r="GF532" s="1053"/>
      <c r="GG532" s="1053"/>
      <c r="GH532" s="1053"/>
      <c r="GI532" s="1053"/>
      <c r="GJ532" s="1053"/>
      <c r="GK532" s="1053"/>
      <c r="GL532" s="1053"/>
      <c r="GM532" s="1053"/>
      <c r="GN532" s="1053"/>
      <c r="GO532" s="1053"/>
      <c r="GP532" s="1053"/>
      <c r="GQ532" s="1053"/>
      <c r="GR532" s="1053"/>
      <c r="GS532" s="1053"/>
      <c r="GT532" s="1053"/>
      <c r="GU532" s="1053"/>
      <c r="GV532" s="1053"/>
      <c r="GW532" s="1053"/>
      <c r="GX532" s="1053"/>
      <c r="GY532" s="1053"/>
      <c r="GZ532" s="1053"/>
      <c r="HA532" s="1053"/>
      <c r="HB532" s="1053"/>
      <c r="HC532" s="1053"/>
      <c r="HD532" s="1053"/>
      <c r="HE532" s="1053"/>
      <c r="HF532" s="1053"/>
      <c r="HG532" s="1053"/>
      <c r="HH532" s="1053"/>
      <c r="HI532" s="1053"/>
      <c r="HJ532" s="1053"/>
      <c r="HK532" s="1053"/>
      <c r="HL532" s="1053"/>
      <c r="HM532" s="1053"/>
      <c r="HN532" s="1053"/>
      <c r="HO532" s="1053"/>
      <c r="HP532" s="1053"/>
      <c r="HQ532" s="1053"/>
      <c r="HR532" s="1053"/>
      <c r="HS532" s="1053"/>
      <c r="HT532" s="1053"/>
      <c r="HU532" s="1053"/>
      <c r="HV532" s="1053"/>
      <c r="HW532" s="1053"/>
      <c r="HX532" s="1053"/>
      <c r="HY532" s="1053"/>
      <c r="HZ532" s="1053"/>
      <c r="IA532" s="1053"/>
      <c r="IB532" s="1053"/>
      <c r="IC532" s="1053"/>
      <c r="ID532" s="1053"/>
      <c r="IE532" s="1053"/>
      <c r="IF532" s="1053"/>
      <c r="IG532" s="1053"/>
      <c r="IH532" s="1053"/>
      <c r="II532" s="1053"/>
      <c r="IJ532" s="1053"/>
      <c r="IK532" s="1053"/>
      <c r="IL532" s="1053"/>
      <c r="IM532" s="1053"/>
      <c r="IN532" s="1053"/>
    </row>
    <row r="533" spans="1:248" s="1072" customFormat="1">
      <c r="A533" s="1054"/>
      <c r="G533" s="1053"/>
      <c r="H533" s="1053"/>
      <c r="I533" s="1053"/>
      <c r="J533" s="1053"/>
      <c r="K533" s="1053"/>
      <c r="L533" s="1053"/>
      <c r="M533" s="1053"/>
      <c r="N533" s="1053"/>
      <c r="O533" s="1053"/>
      <c r="P533" s="1053"/>
      <c r="Q533" s="1053"/>
      <c r="R533" s="1053"/>
      <c r="S533" s="1053"/>
      <c r="T533" s="1053"/>
      <c r="U533" s="1053"/>
      <c r="V533" s="1053"/>
      <c r="W533" s="1053"/>
      <c r="X533" s="1053"/>
      <c r="Y533" s="1053"/>
      <c r="Z533" s="1053"/>
      <c r="AA533" s="1053"/>
      <c r="AB533" s="1053"/>
      <c r="AC533" s="1053"/>
      <c r="AD533" s="1053"/>
      <c r="AE533" s="1053"/>
      <c r="AF533" s="1053"/>
      <c r="AG533" s="1053"/>
      <c r="AH533" s="1053"/>
      <c r="AI533" s="1053"/>
      <c r="AJ533" s="1053"/>
      <c r="AK533" s="1053"/>
      <c r="AL533" s="1053"/>
      <c r="AM533" s="1053"/>
      <c r="AN533" s="1053"/>
      <c r="AO533" s="1053"/>
      <c r="AP533" s="1053"/>
      <c r="AQ533" s="1053"/>
      <c r="AR533" s="1053"/>
      <c r="AS533" s="1053"/>
      <c r="AT533" s="1053"/>
      <c r="AU533" s="1053"/>
      <c r="AV533" s="1053"/>
      <c r="AW533" s="1053"/>
      <c r="AX533" s="1053"/>
      <c r="AY533" s="1053"/>
      <c r="AZ533" s="1053"/>
      <c r="BA533" s="1053"/>
      <c r="BB533" s="1053"/>
      <c r="BC533" s="1053"/>
      <c r="BD533" s="1053"/>
      <c r="BE533" s="1053"/>
      <c r="BF533" s="1053"/>
      <c r="BG533" s="1053"/>
      <c r="BH533" s="1053"/>
      <c r="BI533" s="1053"/>
      <c r="BJ533" s="1053"/>
      <c r="BK533" s="1053"/>
      <c r="BL533" s="1053"/>
      <c r="BM533" s="1053"/>
      <c r="BN533" s="1053"/>
      <c r="BO533" s="1053"/>
      <c r="BP533" s="1053"/>
      <c r="BQ533" s="1053"/>
      <c r="BR533" s="1053"/>
      <c r="BS533" s="1053"/>
      <c r="BT533" s="1053"/>
      <c r="BU533" s="1053"/>
      <c r="BV533" s="1053"/>
      <c r="BW533" s="1053"/>
      <c r="BX533" s="1053"/>
      <c r="BY533" s="1053"/>
      <c r="BZ533" s="1053"/>
      <c r="CA533" s="1053"/>
      <c r="CB533" s="1053"/>
      <c r="CC533" s="1053"/>
      <c r="CD533" s="1053"/>
      <c r="CE533" s="1053"/>
      <c r="CF533" s="1053"/>
      <c r="CG533" s="1053"/>
      <c r="CH533" s="1053"/>
      <c r="CI533" s="1053"/>
      <c r="CJ533" s="1053"/>
      <c r="CK533" s="1053"/>
      <c r="CL533" s="1053"/>
      <c r="CM533" s="1053"/>
      <c r="CN533" s="1053"/>
      <c r="CO533" s="1053"/>
      <c r="CP533" s="1053"/>
      <c r="CQ533" s="1053"/>
      <c r="CR533" s="1053"/>
      <c r="CS533" s="1053"/>
      <c r="CT533" s="1053"/>
      <c r="CU533" s="1053"/>
      <c r="CV533" s="1053"/>
      <c r="CW533" s="1053"/>
      <c r="CX533" s="1053"/>
      <c r="CY533" s="1053"/>
      <c r="CZ533" s="1053"/>
      <c r="DA533" s="1053"/>
      <c r="DB533" s="1053"/>
      <c r="DC533" s="1053"/>
      <c r="DD533" s="1053"/>
      <c r="DE533" s="1053"/>
      <c r="DF533" s="1053"/>
      <c r="DG533" s="1053"/>
      <c r="DH533" s="1053"/>
      <c r="DI533" s="1053"/>
      <c r="DJ533" s="1053"/>
      <c r="DK533" s="1053"/>
      <c r="DL533" s="1053"/>
      <c r="DM533" s="1053"/>
      <c r="DN533" s="1053"/>
      <c r="DO533" s="1053"/>
      <c r="DP533" s="1053"/>
      <c r="DQ533" s="1053"/>
      <c r="DR533" s="1053"/>
      <c r="DS533" s="1053"/>
      <c r="DT533" s="1053"/>
      <c r="DU533" s="1053"/>
      <c r="DV533" s="1053"/>
      <c r="DW533" s="1053"/>
      <c r="DX533" s="1053"/>
      <c r="DY533" s="1053"/>
      <c r="DZ533" s="1053"/>
      <c r="EA533" s="1053"/>
      <c r="EB533" s="1053"/>
      <c r="EC533" s="1053"/>
      <c r="ED533" s="1053"/>
      <c r="EE533" s="1053"/>
      <c r="EF533" s="1053"/>
      <c r="EG533" s="1053"/>
      <c r="EH533" s="1053"/>
      <c r="EI533" s="1053"/>
      <c r="EJ533" s="1053"/>
      <c r="EK533" s="1053"/>
      <c r="EL533" s="1053"/>
      <c r="EM533" s="1053"/>
      <c r="EN533" s="1053"/>
      <c r="EO533" s="1053"/>
      <c r="EP533" s="1053"/>
      <c r="EQ533" s="1053"/>
      <c r="ER533" s="1053"/>
      <c r="ES533" s="1053"/>
      <c r="ET533" s="1053"/>
      <c r="EU533" s="1053"/>
      <c r="EV533" s="1053"/>
      <c r="EW533" s="1053"/>
      <c r="EX533" s="1053"/>
      <c r="EY533" s="1053"/>
      <c r="EZ533" s="1053"/>
      <c r="FA533" s="1053"/>
      <c r="FB533" s="1053"/>
      <c r="FC533" s="1053"/>
      <c r="FD533" s="1053"/>
      <c r="FE533" s="1053"/>
      <c r="FF533" s="1053"/>
      <c r="FG533" s="1053"/>
      <c r="FH533" s="1053"/>
      <c r="FI533" s="1053"/>
      <c r="FJ533" s="1053"/>
      <c r="FK533" s="1053"/>
      <c r="FL533" s="1053"/>
      <c r="FM533" s="1053"/>
      <c r="FN533" s="1053"/>
      <c r="FO533" s="1053"/>
      <c r="FP533" s="1053"/>
      <c r="FQ533" s="1053"/>
      <c r="FR533" s="1053"/>
      <c r="FS533" s="1053"/>
      <c r="FT533" s="1053"/>
      <c r="FU533" s="1053"/>
      <c r="FV533" s="1053"/>
      <c r="FW533" s="1053"/>
      <c r="FX533" s="1053"/>
      <c r="FY533" s="1053"/>
      <c r="FZ533" s="1053"/>
      <c r="GA533" s="1053"/>
      <c r="GB533" s="1053"/>
      <c r="GC533" s="1053"/>
      <c r="GD533" s="1053"/>
      <c r="GE533" s="1053"/>
      <c r="GF533" s="1053"/>
      <c r="GG533" s="1053"/>
      <c r="GH533" s="1053"/>
      <c r="GI533" s="1053"/>
      <c r="GJ533" s="1053"/>
      <c r="GK533" s="1053"/>
      <c r="GL533" s="1053"/>
      <c r="GM533" s="1053"/>
      <c r="GN533" s="1053"/>
      <c r="GO533" s="1053"/>
      <c r="GP533" s="1053"/>
      <c r="GQ533" s="1053"/>
      <c r="GR533" s="1053"/>
      <c r="GS533" s="1053"/>
      <c r="GT533" s="1053"/>
      <c r="GU533" s="1053"/>
      <c r="GV533" s="1053"/>
      <c r="GW533" s="1053"/>
      <c r="GX533" s="1053"/>
      <c r="GY533" s="1053"/>
      <c r="GZ533" s="1053"/>
      <c r="HA533" s="1053"/>
      <c r="HB533" s="1053"/>
      <c r="HC533" s="1053"/>
      <c r="HD533" s="1053"/>
      <c r="HE533" s="1053"/>
      <c r="HF533" s="1053"/>
      <c r="HG533" s="1053"/>
      <c r="HH533" s="1053"/>
      <c r="HI533" s="1053"/>
      <c r="HJ533" s="1053"/>
      <c r="HK533" s="1053"/>
      <c r="HL533" s="1053"/>
      <c r="HM533" s="1053"/>
      <c r="HN533" s="1053"/>
      <c r="HO533" s="1053"/>
      <c r="HP533" s="1053"/>
      <c r="HQ533" s="1053"/>
      <c r="HR533" s="1053"/>
      <c r="HS533" s="1053"/>
      <c r="HT533" s="1053"/>
      <c r="HU533" s="1053"/>
      <c r="HV533" s="1053"/>
      <c r="HW533" s="1053"/>
      <c r="HX533" s="1053"/>
      <c r="HY533" s="1053"/>
      <c r="HZ533" s="1053"/>
      <c r="IA533" s="1053"/>
      <c r="IB533" s="1053"/>
      <c r="IC533" s="1053"/>
      <c r="ID533" s="1053"/>
      <c r="IE533" s="1053"/>
      <c r="IF533" s="1053"/>
      <c r="IG533" s="1053"/>
      <c r="IH533" s="1053"/>
      <c r="II533" s="1053"/>
      <c r="IJ533" s="1053"/>
      <c r="IK533" s="1053"/>
      <c r="IL533" s="1053"/>
      <c r="IM533" s="1053"/>
      <c r="IN533" s="1053"/>
    </row>
    <row r="534" spans="1:248" s="1072" customFormat="1">
      <c r="A534" s="1054"/>
      <c r="G534" s="1053"/>
      <c r="H534" s="1053"/>
      <c r="I534" s="1053"/>
      <c r="J534" s="1053"/>
      <c r="K534" s="1053"/>
      <c r="L534" s="1053"/>
      <c r="M534" s="1053"/>
      <c r="N534" s="1053"/>
      <c r="O534" s="1053"/>
      <c r="P534" s="1053"/>
      <c r="Q534" s="1053"/>
      <c r="R534" s="1053"/>
      <c r="S534" s="1053"/>
      <c r="T534" s="1053"/>
      <c r="U534" s="1053"/>
      <c r="V534" s="1053"/>
      <c r="W534" s="1053"/>
      <c r="X534" s="1053"/>
      <c r="Y534" s="1053"/>
      <c r="Z534" s="1053"/>
      <c r="AA534" s="1053"/>
      <c r="AB534" s="1053"/>
      <c r="AC534" s="1053"/>
      <c r="AD534" s="1053"/>
      <c r="AE534" s="1053"/>
      <c r="AF534" s="1053"/>
      <c r="AG534" s="1053"/>
      <c r="AH534" s="1053"/>
      <c r="AI534" s="1053"/>
      <c r="AJ534" s="1053"/>
      <c r="AK534" s="1053"/>
      <c r="AL534" s="1053"/>
      <c r="AM534" s="1053"/>
      <c r="AN534" s="1053"/>
      <c r="AO534" s="1053"/>
      <c r="AP534" s="1053"/>
      <c r="AQ534" s="1053"/>
      <c r="AR534" s="1053"/>
      <c r="AS534" s="1053"/>
      <c r="AT534" s="1053"/>
      <c r="AU534" s="1053"/>
      <c r="AV534" s="1053"/>
      <c r="AW534" s="1053"/>
      <c r="AX534" s="1053"/>
      <c r="AY534" s="1053"/>
      <c r="AZ534" s="1053"/>
      <c r="BA534" s="1053"/>
      <c r="BB534" s="1053"/>
      <c r="BC534" s="1053"/>
      <c r="BD534" s="1053"/>
      <c r="BE534" s="1053"/>
      <c r="BF534" s="1053"/>
      <c r="BG534" s="1053"/>
      <c r="BH534" s="1053"/>
      <c r="BI534" s="1053"/>
      <c r="BJ534" s="1053"/>
      <c r="BK534" s="1053"/>
      <c r="BL534" s="1053"/>
      <c r="BM534" s="1053"/>
      <c r="BN534" s="1053"/>
      <c r="BO534" s="1053"/>
      <c r="BP534" s="1053"/>
      <c r="BQ534" s="1053"/>
      <c r="BR534" s="1053"/>
      <c r="BS534" s="1053"/>
      <c r="BT534" s="1053"/>
      <c r="BU534" s="1053"/>
      <c r="BV534" s="1053"/>
      <c r="BW534" s="1053"/>
      <c r="BX534" s="1053"/>
      <c r="BY534" s="1053"/>
      <c r="BZ534" s="1053"/>
      <c r="CA534" s="1053"/>
      <c r="CB534" s="1053"/>
      <c r="CC534" s="1053"/>
      <c r="CD534" s="1053"/>
      <c r="CE534" s="1053"/>
      <c r="CF534" s="1053"/>
      <c r="CG534" s="1053"/>
      <c r="CH534" s="1053"/>
      <c r="CI534" s="1053"/>
      <c r="CJ534" s="1053"/>
      <c r="CK534" s="1053"/>
      <c r="CL534" s="1053"/>
      <c r="CM534" s="1053"/>
      <c r="CN534" s="1053"/>
      <c r="CO534" s="1053"/>
      <c r="CP534" s="1053"/>
      <c r="CQ534" s="1053"/>
      <c r="CR534" s="1053"/>
      <c r="CS534" s="1053"/>
      <c r="CT534" s="1053"/>
      <c r="CU534" s="1053"/>
      <c r="CV534" s="1053"/>
      <c r="CW534" s="1053"/>
      <c r="CX534" s="1053"/>
      <c r="CY534" s="1053"/>
      <c r="CZ534" s="1053"/>
      <c r="DA534" s="1053"/>
      <c r="DB534" s="1053"/>
      <c r="DC534" s="1053"/>
      <c r="DD534" s="1053"/>
      <c r="DE534" s="1053"/>
      <c r="DF534" s="1053"/>
      <c r="DG534" s="1053"/>
      <c r="DH534" s="1053"/>
      <c r="DI534" s="1053"/>
      <c r="DJ534" s="1053"/>
      <c r="DK534" s="1053"/>
      <c r="DL534" s="1053"/>
      <c r="DM534" s="1053"/>
      <c r="DN534" s="1053"/>
      <c r="DO534" s="1053"/>
      <c r="DP534" s="1053"/>
      <c r="DQ534" s="1053"/>
      <c r="DR534" s="1053"/>
      <c r="DS534" s="1053"/>
      <c r="DT534" s="1053"/>
      <c r="DU534" s="1053"/>
      <c r="DV534" s="1053"/>
      <c r="DW534" s="1053"/>
      <c r="DX534" s="1053"/>
      <c r="DY534" s="1053"/>
      <c r="DZ534" s="1053"/>
      <c r="EA534" s="1053"/>
      <c r="EB534" s="1053"/>
      <c r="EC534" s="1053"/>
      <c r="ED534" s="1053"/>
      <c r="EE534" s="1053"/>
      <c r="EF534" s="1053"/>
      <c r="EG534" s="1053"/>
      <c r="EH534" s="1053"/>
      <c r="EI534" s="1053"/>
      <c r="EJ534" s="1053"/>
      <c r="EK534" s="1053"/>
      <c r="EL534" s="1053"/>
      <c r="EM534" s="1053"/>
      <c r="EN534" s="1053"/>
      <c r="EO534" s="1053"/>
      <c r="EP534" s="1053"/>
      <c r="EQ534" s="1053"/>
      <c r="ER534" s="1053"/>
      <c r="ES534" s="1053"/>
      <c r="ET534" s="1053"/>
      <c r="EU534" s="1053"/>
      <c r="EV534" s="1053"/>
      <c r="EW534" s="1053"/>
      <c r="EX534" s="1053"/>
      <c r="EY534" s="1053"/>
      <c r="EZ534" s="1053"/>
      <c r="FA534" s="1053"/>
      <c r="FB534" s="1053"/>
      <c r="FC534" s="1053"/>
      <c r="FD534" s="1053"/>
      <c r="FE534" s="1053"/>
      <c r="FF534" s="1053"/>
      <c r="FG534" s="1053"/>
      <c r="FH534" s="1053"/>
      <c r="FI534" s="1053"/>
      <c r="FJ534" s="1053"/>
      <c r="FK534" s="1053"/>
      <c r="FL534" s="1053"/>
      <c r="FM534" s="1053"/>
      <c r="FN534" s="1053"/>
      <c r="FO534" s="1053"/>
      <c r="FP534" s="1053"/>
      <c r="FQ534" s="1053"/>
      <c r="FR534" s="1053"/>
      <c r="FS534" s="1053"/>
      <c r="FT534" s="1053"/>
      <c r="FU534" s="1053"/>
      <c r="FV534" s="1053"/>
      <c r="FW534" s="1053"/>
      <c r="FX534" s="1053"/>
      <c r="FY534" s="1053"/>
      <c r="FZ534" s="1053"/>
      <c r="GA534" s="1053"/>
      <c r="GB534" s="1053"/>
      <c r="GC534" s="1053"/>
      <c r="GD534" s="1053"/>
      <c r="GE534" s="1053"/>
      <c r="GF534" s="1053"/>
      <c r="GG534" s="1053"/>
      <c r="GH534" s="1053"/>
      <c r="GI534" s="1053"/>
      <c r="GJ534" s="1053"/>
      <c r="GK534" s="1053"/>
      <c r="GL534" s="1053"/>
      <c r="GM534" s="1053"/>
      <c r="GN534" s="1053"/>
      <c r="GO534" s="1053"/>
      <c r="GP534" s="1053"/>
      <c r="GQ534" s="1053"/>
      <c r="GR534" s="1053"/>
      <c r="GS534" s="1053"/>
      <c r="GT534" s="1053"/>
      <c r="GU534" s="1053"/>
      <c r="GV534" s="1053"/>
      <c r="GW534" s="1053"/>
      <c r="GX534" s="1053"/>
      <c r="GY534" s="1053"/>
      <c r="GZ534" s="1053"/>
      <c r="HA534" s="1053"/>
      <c r="HB534" s="1053"/>
      <c r="HC534" s="1053"/>
      <c r="HD534" s="1053"/>
      <c r="HE534" s="1053"/>
      <c r="HF534" s="1053"/>
      <c r="HG534" s="1053"/>
      <c r="HH534" s="1053"/>
      <c r="HI534" s="1053"/>
      <c r="HJ534" s="1053"/>
      <c r="HK534" s="1053"/>
      <c r="HL534" s="1053"/>
      <c r="HM534" s="1053"/>
      <c r="HN534" s="1053"/>
      <c r="HO534" s="1053"/>
      <c r="HP534" s="1053"/>
      <c r="HQ534" s="1053"/>
      <c r="HR534" s="1053"/>
      <c r="HS534" s="1053"/>
      <c r="HT534" s="1053"/>
      <c r="HU534" s="1053"/>
      <c r="HV534" s="1053"/>
      <c r="HW534" s="1053"/>
      <c r="HX534" s="1053"/>
      <c r="HY534" s="1053"/>
      <c r="HZ534" s="1053"/>
      <c r="IA534" s="1053"/>
      <c r="IB534" s="1053"/>
      <c r="IC534" s="1053"/>
      <c r="ID534" s="1053"/>
      <c r="IE534" s="1053"/>
      <c r="IF534" s="1053"/>
      <c r="IG534" s="1053"/>
      <c r="IH534" s="1053"/>
      <c r="II534" s="1053"/>
      <c r="IJ534" s="1053"/>
      <c r="IK534" s="1053"/>
      <c r="IL534" s="1053"/>
      <c r="IM534" s="1053"/>
      <c r="IN534" s="1053"/>
    </row>
    <row r="535" spans="1:248" s="1072" customFormat="1">
      <c r="A535" s="1054"/>
      <c r="G535" s="1053"/>
      <c r="H535" s="1053"/>
      <c r="I535" s="1053"/>
      <c r="J535" s="1053"/>
      <c r="K535" s="1053"/>
      <c r="L535" s="1053"/>
      <c r="M535" s="1053"/>
      <c r="N535" s="1053"/>
      <c r="O535" s="1053"/>
      <c r="P535" s="1053"/>
      <c r="Q535" s="1053"/>
      <c r="R535" s="1053"/>
      <c r="S535" s="1053"/>
      <c r="T535" s="1053"/>
      <c r="U535" s="1053"/>
      <c r="V535" s="1053"/>
      <c r="W535" s="1053"/>
      <c r="X535" s="1053"/>
      <c r="Y535" s="1053"/>
      <c r="Z535" s="1053"/>
      <c r="AA535" s="1053"/>
      <c r="AB535" s="1053"/>
      <c r="AC535" s="1053"/>
      <c r="AD535" s="1053"/>
      <c r="AE535" s="1053"/>
      <c r="AF535" s="1053"/>
      <c r="AG535" s="1053"/>
      <c r="AH535" s="1053"/>
      <c r="AI535" s="1053"/>
      <c r="AJ535" s="1053"/>
      <c r="AK535" s="1053"/>
      <c r="AL535" s="1053"/>
      <c r="AM535" s="1053"/>
      <c r="AN535" s="1053"/>
      <c r="AO535" s="1053"/>
      <c r="AP535" s="1053"/>
      <c r="AQ535" s="1053"/>
      <c r="AR535" s="1053"/>
      <c r="AS535" s="1053"/>
      <c r="AT535" s="1053"/>
      <c r="AU535" s="1053"/>
      <c r="AV535" s="1053"/>
      <c r="AW535" s="1053"/>
      <c r="AX535" s="1053"/>
      <c r="AY535" s="1053"/>
      <c r="AZ535" s="1053"/>
      <c r="BA535" s="1053"/>
      <c r="BB535" s="1053"/>
      <c r="BC535" s="1053"/>
      <c r="BD535" s="1053"/>
      <c r="BE535" s="1053"/>
      <c r="BF535" s="1053"/>
      <c r="BG535" s="1053"/>
      <c r="BH535" s="1053"/>
      <c r="BI535" s="1053"/>
      <c r="BJ535" s="1053"/>
      <c r="BK535" s="1053"/>
      <c r="BL535" s="1053"/>
      <c r="BM535" s="1053"/>
      <c r="BN535" s="1053"/>
      <c r="BO535" s="1053"/>
      <c r="BP535" s="1053"/>
      <c r="BQ535" s="1053"/>
      <c r="BR535" s="1053"/>
      <c r="BS535" s="1053"/>
      <c r="BT535" s="1053"/>
      <c r="BU535" s="1053"/>
      <c r="BV535" s="1053"/>
      <c r="BW535" s="1053"/>
      <c r="BX535" s="1053"/>
      <c r="BY535" s="1053"/>
      <c r="BZ535" s="1053"/>
      <c r="CA535" s="1053"/>
      <c r="CB535" s="1053"/>
      <c r="CC535" s="1053"/>
      <c r="CD535" s="1053"/>
      <c r="CE535" s="1053"/>
      <c r="CF535" s="1053"/>
      <c r="CG535" s="1053"/>
      <c r="CH535" s="1053"/>
      <c r="CI535" s="1053"/>
      <c r="CJ535" s="1053"/>
      <c r="CK535" s="1053"/>
      <c r="CL535" s="1053"/>
      <c r="CM535" s="1053"/>
      <c r="CN535" s="1053"/>
      <c r="CO535" s="1053"/>
      <c r="CP535" s="1053"/>
      <c r="CQ535" s="1053"/>
      <c r="CR535" s="1053"/>
      <c r="CS535" s="1053"/>
      <c r="CT535" s="1053"/>
      <c r="CU535" s="1053"/>
      <c r="CV535" s="1053"/>
      <c r="CW535" s="1053"/>
      <c r="CX535" s="1053"/>
      <c r="CY535" s="1053"/>
      <c r="CZ535" s="1053"/>
      <c r="DA535" s="1053"/>
      <c r="DB535" s="1053"/>
      <c r="DC535" s="1053"/>
      <c r="DD535" s="1053"/>
      <c r="DE535" s="1053"/>
      <c r="DF535" s="1053"/>
      <c r="DG535" s="1053"/>
      <c r="DH535" s="1053"/>
      <c r="DI535" s="1053"/>
      <c r="DJ535" s="1053"/>
      <c r="DK535" s="1053"/>
      <c r="DL535" s="1053"/>
      <c r="DM535" s="1053"/>
      <c r="DN535" s="1053"/>
      <c r="DO535" s="1053"/>
      <c r="DP535" s="1053"/>
      <c r="DQ535" s="1053"/>
      <c r="DR535" s="1053"/>
      <c r="DS535" s="1053"/>
      <c r="DT535" s="1053"/>
      <c r="DU535" s="1053"/>
      <c r="DV535" s="1053"/>
      <c r="DW535" s="1053"/>
      <c r="DX535" s="1053"/>
      <c r="DY535" s="1053"/>
      <c r="DZ535" s="1053"/>
      <c r="EA535" s="1053"/>
      <c r="EB535" s="1053"/>
      <c r="EC535" s="1053"/>
      <c r="ED535" s="1053"/>
      <c r="EE535" s="1053"/>
      <c r="EF535" s="1053"/>
      <c r="EG535" s="1053"/>
      <c r="EH535" s="1053"/>
      <c r="EI535" s="1053"/>
      <c r="EJ535" s="1053"/>
      <c r="EK535" s="1053"/>
      <c r="EL535" s="1053"/>
      <c r="EM535" s="1053"/>
      <c r="EN535" s="1053"/>
      <c r="EO535" s="1053"/>
      <c r="EP535" s="1053"/>
      <c r="EQ535" s="1053"/>
      <c r="ER535" s="1053"/>
      <c r="ES535" s="1053"/>
      <c r="ET535" s="1053"/>
      <c r="EU535" s="1053"/>
      <c r="EV535" s="1053"/>
      <c r="EW535" s="1053"/>
      <c r="EX535" s="1053"/>
      <c r="EY535" s="1053"/>
      <c r="EZ535" s="1053"/>
      <c r="FA535" s="1053"/>
      <c r="FB535" s="1053"/>
      <c r="FC535" s="1053"/>
      <c r="FD535" s="1053"/>
      <c r="FE535" s="1053"/>
      <c r="FF535" s="1053"/>
      <c r="FG535" s="1053"/>
      <c r="FH535" s="1053"/>
      <c r="FI535" s="1053"/>
      <c r="FJ535" s="1053"/>
      <c r="FK535" s="1053"/>
      <c r="FL535" s="1053"/>
      <c r="FM535" s="1053"/>
      <c r="FN535" s="1053"/>
      <c r="FO535" s="1053"/>
      <c r="FP535" s="1053"/>
      <c r="FQ535" s="1053"/>
      <c r="FR535" s="1053"/>
      <c r="FS535" s="1053"/>
      <c r="FT535" s="1053"/>
      <c r="FU535" s="1053"/>
      <c r="FV535" s="1053"/>
      <c r="FW535" s="1053"/>
      <c r="FX535" s="1053"/>
      <c r="FY535" s="1053"/>
      <c r="FZ535" s="1053"/>
      <c r="GA535" s="1053"/>
      <c r="GB535" s="1053"/>
      <c r="GC535" s="1053"/>
      <c r="GD535" s="1053"/>
      <c r="GE535" s="1053"/>
      <c r="GF535" s="1053"/>
      <c r="GG535" s="1053"/>
      <c r="GH535" s="1053"/>
      <c r="GI535" s="1053"/>
      <c r="GJ535" s="1053"/>
      <c r="GK535" s="1053"/>
      <c r="GL535" s="1053"/>
      <c r="GM535" s="1053"/>
      <c r="GN535" s="1053"/>
      <c r="GO535" s="1053"/>
      <c r="GP535" s="1053"/>
      <c r="GQ535" s="1053"/>
      <c r="GR535" s="1053"/>
      <c r="GS535" s="1053"/>
      <c r="GT535" s="1053"/>
      <c r="GU535" s="1053"/>
      <c r="GV535" s="1053"/>
      <c r="GW535" s="1053"/>
      <c r="GX535" s="1053"/>
      <c r="GY535" s="1053"/>
      <c r="GZ535" s="1053"/>
      <c r="HA535" s="1053"/>
      <c r="HB535" s="1053"/>
      <c r="HC535" s="1053"/>
      <c r="HD535" s="1053"/>
      <c r="HE535" s="1053"/>
      <c r="HF535" s="1053"/>
      <c r="HG535" s="1053"/>
      <c r="HH535" s="1053"/>
      <c r="HI535" s="1053"/>
      <c r="HJ535" s="1053"/>
      <c r="HK535" s="1053"/>
      <c r="HL535" s="1053"/>
      <c r="HM535" s="1053"/>
      <c r="HN535" s="1053"/>
      <c r="HO535" s="1053"/>
      <c r="HP535" s="1053"/>
      <c r="HQ535" s="1053"/>
      <c r="HR535" s="1053"/>
      <c r="HS535" s="1053"/>
      <c r="HT535" s="1053"/>
      <c r="HU535" s="1053"/>
      <c r="HV535" s="1053"/>
      <c r="HW535" s="1053"/>
      <c r="HX535" s="1053"/>
      <c r="HY535" s="1053"/>
      <c r="HZ535" s="1053"/>
      <c r="IA535" s="1053"/>
      <c r="IB535" s="1053"/>
      <c r="IC535" s="1053"/>
      <c r="ID535" s="1053"/>
      <c r="IE535" s="1053"/>
      <c r="IF535" s="1053"/>
      <c r="IG535" s="1053"/>
      <c r="IH535" s="1053"/>
      <c r="II535" s="1053"/>
      <c r="IJ535" s="1053"/>
      <c r="IK535" s="1053"/>
      <c r="IL535" s="1053"/>
      <c r="IM535" s="1053"/>
      <c r="IN535" s="1053"/>
    </row>
    <row r="536" spans="1:248" s="1072" customFormat="1">
      <c r="A536" s="1054"/>
      <c r="G536" s="1053"/>
      <c r="H536" s="1053"/>
      <c r="I536" s="1053"/>
      <c r="J536" s="1053"/>
      <c r="K536" s="1053"/>
      <c r="L536" s="1053"/>
      <c r="M536" s="1053"/>
      <c r="N536" s="1053"/>
      <c r="O536" s="1053"/>
      <c r="P536" s="1053"/>
      <c r="Q536" s="1053"/>
      <c r="R536" s="1053"/>
      <c r="S536" s="1053"/>
      <c r="T536" s="1053"/>
      <c r="U536" s="1053"/>
      <c r="V536" s="1053"/>
      <c r="W536" s="1053"/>
      <c r="X536" s="1053"/>
      <c r="Y536" s="1053"/>
      <c r="Z536" s="1053"/>
      <c r="AA536" s="1053"/>
      <c r="AB536" s="1053"/>
      <c r="AC536" s="1053"/>
      <c r="AD536" s="1053"/>
      <c r="AE536" s="1053"/>
      <c r="AF536" s="1053"/>
      <c r="AG536" s="1053"/>
      <c r="AH536" s="1053"/>
      <c r="AI536" s="1053"/>
      <c r="AJ536" s="1053"/>
      <c r="AK536" s="1053"/>
      <c r="AL536" s="1053"/>
      <c r="AM536" s="1053"/>
      <c r="AN536" s="1053"/>
      <c r="AO536" s="1053"/>
      <c r="AP536" s="1053"/>
      <c r="AQ536" s="1053"/>
      <c r="AR536" s="1053"/>
      <c r="AS536" s="1053"/>
      <c r="AT536" s="1053"/>
      <c r="AU536" s="1053"/>
      <c r="AV536" s="1053"/>
      <c r="AW536" s="1053"/>
      <c r="AX536" s="1053"/>
      <c r="AY536" s="1053"/>
      <c r="AZ536" s="1053"/>
      <c r="BA536" s="1053"/>
      <c r="BB536" s="1053"/>
      <c r="BC536" s="1053"/>
      <c r="BD536" s="1053"/>
      <c r="BE536" s="1053"/>
      <c r="BF536" s="1053"/>
      <c r="BG536" s="1053"/>
      <c r="BH536" s="1053"/>
      <c r="BI536" s="1053"/>
      <c r="BJ536" s="1053"/>
      <c r="BK536" s="1053"/>
      <c r="BL536" s="1053"/>
      <c r="BM536" s="1053"/>
      <c r="BN536" s="1053"/>
      <c r="BO536" s="1053"/>
      <c r="BP536" s="1053"/>
      <c r="BQ536" s="1053"/>
      <c r="BR536" s="1053"/>
      <c r="BS536" s="1053"/>
      <c r="BT536" s="1053"/>
      <c r="BU536" s="1053"/>
      <c r="BV536" s="1053"/>
      <c r="BW536" s="1053"/>
      <c r="BX536" s="1053"/>
      <c r="BY536" s="1053"/>
      <c r="BZ536" s="1053"/>
      <c r="CA536" s="1053"/>
      <c r="CB536" s="1053"/>
      <c r="CC536" s="1053"/>
      <c r="CD536" s="1053"/>
      <c r="CE536" s="1053"/>
      <c r="CF536" s="1053"/>
      <c r="CG536" s="1053"/>
      <c r="CH536" s="1053"/>
      <c r="CI536" s="1053"/>
      <c r="CJ536" s="1053"/>
      <c r="CK536" s="1053"/>
      <c r="CL536" s="1053"/>
      <c r="CM536" s="1053"/>
      <c r="CN536" s="1053"/>
      <c r="CO536" s="1053"/>
      <c r="CP536" s="1053"/>
      <c r="CQ536" s="1053"/>
      <c r="CR536" s="1053"/>
      <c r="CS536" s="1053"/>
      <c r="CT536" s="1053"/>
      <c r="CU536" s="1053"/>
      <c r="CV536" s="1053"/>
      <c r="CW536" s="1053"/>
      <c r="CX536" s="1053"/>
      <c r="CY536" s="1053"/>
      <c r="CZ536" s="1053"/>
      <c r="DA536" s="1053"/>
      <c r="DB536" s="1053"/>
      <c r="DC536" s="1053"/>
      <c r="DD536" s="1053"/>
      <c r="DE536" s="1053"/>
      <c r="DF536" s="1053"/>
      <c r="DG536" s="1053"/>
      <c r="DH536" s="1053"/>
      <c r="DI536" s="1053"/>
      <c r="DJ536" s="1053"/>
      <c r="DK536" s="1053"/>
      <c r="DL536" s="1053"/>
      <c r="DM536" s="1053"/>
      <c r="DN536" s="1053"/>
      <c r="DO536" s="1053"/>
      <c r="DP536" s="1053"/>
      <c r="DQ536" s="1053"/>
      <c r="DR536" s="1053"/>
      <c r="DS536" s="1053"/>
      <c r="DT536" s="1053"/>
      <c r="DU536" s="1053"/>
      <c r="DV536" s="1053"/>
      <c r="DW536" s="1053"/>
      <c r="DX536" s="1053"/>
      <c r="DY536" s="1053"/>
      <c r="DZ536" s="1053"/>
      <c r="EA536" s="1053"/>
      <c r="EB536" s="1053"/>
      <c r="EC536" s="1053"/>
      <c r="ED536" s="1053"/>
      <c r="EE536" s="1053"/>
      <c r="EF536" s="1053"/>
      <c r="EG536" s="1053"/>
      <c r="EH536" s="1053"/>
      <c r="EI536" s="1053"/>
      <c r="EJ536" s="1053"/>
      <c r="EK536" s="1053"/>
      <c r="EL536" s="1053"/>
      <c r="EM536" s="1053"/>
      <c r="EN536" s="1053"/>
      <c r="EO536" s="1053"/>
      <c r="EP536" s="1053"/>
      <c r="EQ536" s="1053"/>
      <c r="ER536" s="1053"/>
      <c r="ES536" s="1053"/>
      <c r="ET536" s="1053"/>
      <c r="EU536" s="1053"/>
      <c r="EV536" s="1053"/>
      <c r="EW536" s="1053"/>
      <c r="EX536" s="1053"/>
      <c r="EY536" s="1053"/>
      <c r="EZ536" s="1053"/>
      <c r="FA536" s="1053"/>
      <c r="FB536" s="1053"/>
      <c r="FC536" s="1053"/>
      <c r="FD536" s="1053"/>
      <c r="FE536" s="1053"/>
      <c r="FF536" s="1053"/>
      <c r="FG536" s="1053"/>
      <c r="FH536" s="1053"/>
      <c r="FI536" s="1053"/>
      <c r="FJ536" s="1053"/>
      <c r="FK536" s="1053"/>
      <c r="FL536" s="1053"/>
      <c r="FM536" s="1053"/>
      <c r="FN536" s="1053"/>
      <c r="FO536" s="1053"/>
      <c r="FP536" s="1053"/>
      <c r="FQ536" s="1053"/>
      <c r="FR536" s="1053"/>
      <c r="FS536" s="1053"/>
      <c r="FT536" s="1053"/>
      <c r="FU536" s="1053"/>
      <c r="FV536" s="1053"/>
      <c r="FW536" s="1053"/>
      <c r="FX536" s="1053"/>
      <c r="FY536" s="1053"/>
      <c r="FZ536" s="1053"/>
      <c r="GA536" s="1053"/>
      <c r="GB536" s="1053"/>
      <c r="GC536" s="1053"/>
      <c r="GD536" s="1053"/>
      <c r="GE536" s="1053"/>
      <c r="GF536" s="1053"/>
      <c r="GG536" s="1053"/>
      <c r="GH536" s="1053"/>
      <c r="GI536" s="1053"/>
      <c r="GJ536" s="1053"/>
      <c r="GK536" s="1053"/>
      <c r="GL536" s="1053"/>
      <c r="GM536" s="1053"/>
      <c r="GN536" s="1053"/>
      <c r="GO536" s="1053"/>
      <c r="GP536" s="1053"/>
      <c r="GQ536" s="1053"/>
      <c r="GR536" s="1053"/>
      <c r="GS536" s="1053"/>
      <c r="GT536" s="1053"/>
      <c r="GU536" s="1053"/>
      <c r="GV536" s="1053"/>
      <c r="GW536" s="1053"/>
      <c r="GX536" s="1053"/>
      <c r="GY536" s="1053"/>
      <c r="GZ536" s="1053"/>
      <c r="HA536" s="1053"/>
      <c r="HB536" s="1053"/>
      <c r="HC536" s="1053"/>
      <c r="HD536" s="1053"/>
      <c r="HE536" s="1053"/>
      <c r="HF536" s="1053"/>
      <c r="HG536" s="1053"/>
      <c r="HH536" s="1053"/>
      <c r="HI536" s="1053"/>
      <c r="HJ536" s="1053"/>
      <c r="HK536" s="1053"/>
      <c r="HL536" s="1053"/>
      <c r="HM536" s="1053"/>
      <c r="HN536" s="1053"/>
      <c r="HO536" s="1053"/>
      <c r="HP536" s="1053"/>
      <c r="HQ536" s="1053"/>
      <c r="HR536" s="1053"/>
      <c r="HS536" s="1053"/>
      <c r="HT536" s="1053"/>
      <c r="HU536" s="1053"/>
      <c r="HV536" s="1053"/>
      <c r="HW536" s="1053"/>
      <c r="HX536" s="1053"/>
      <c r="HY536" s="1053"/>
      <c r="HZ536" s="1053"/>
      <c r="IA536" s="1053"/>
      <c r="IB536" s="1053"/>
      <c r="IC536" s="1053"/>
      <c r="ID536" s="1053"/>
      <c r="IE536" s="1053"/>
      <c r="IF536" s="1053"/>
      <c r="IG536" s="1053"/>
      <c r="IH536" s="1053"/>
      <c r="II536" s="1053"/>
      <c r="IJ536" s="1053"/>
      <c r="IK536" s="1053"/>
      <c r="IL536" s="1053"/>
      <c r="IM536" s="1053"/>
      <c r="IN536" s="1053"/>
    </row>
    <row r="537" spans="1:248" s="1072" customFormat="1">
      <c r="A537" s="1054"/>
      <c r="G537" s="1053"/>
      <c r="H537" s="1053"/>
      <c r="I537" s="1053"/>
      <c r="J537" s="1053"/>
      <c r="K537" s="1053"/>
      <c r="L537" s="1053"/>
      <c r="M537" s="1053"/>
      <c r="N537" s="1053"/>
      <c r="O537" s="1053"/>
      <c r="P537" s="1053"/>
      <c r="Q537" s="1053"/>
      <c r="R537" s="1053"/>
      <c r="S537" s="1053"/>
      <c r="T537" s="1053"/>
      <c r="U537" s="1053"/>
      <c r="V537" s="1053"/>
      <c r="W537" s="1053"/>
      <c r="X537" s="1053"/>
      <c r="Y537" s="1053"/>
      <c r="Z537" s="1053"/>
      <c r="AA537" s="1053"/>
      <c r="AB537" s="1053"/>
      <c r="AC537" s="1053"/>
      <c r="AD537" s="1053"/>
      <c r="AE537" s="1053"/>
      <c r="AF537" s="1053"/>
      <c r="AG537" s="1053"/>
      <c r="AH537" s="1053"/>
      <c r="AI537" s="1053"/>
      <c r="AJ537" s="1053"/>
      <c r="AK537" s="1053"/>
      <c r="AL537" s="1053"/>
      <c r="AM537" s="1053"/>
      <c r="AN537" s="1053"/>
      <c r="AO537" s="1053"/>
      <c r="AP537" s="1053"/>
      <c r="AQ537" s="1053"/>
      <c r="AR537" s="1053"/>
      <c r="AS537" s="1053"/>
      <c r="AT537" s="1053"/>
      <c r="AU537" s="1053"/>
      <c r="AV537" s="1053"/>
      <c r="AW537" s="1053"/>
      <c r="AX537" s="1053"/>
      <c r="AY537" s="1053"/>
      <c r="AZ537" s="1053"/>
      <c r="BA537" s="1053"/>
      <c r="BB537" s="1053"/>
      <c r="BC537" s="1053"/>
      <c r="BD537" s="1053"/>
      <c r="BE537" s="1053"/>
      <c r="BF537" s="1053"/>
      <c r="BG537" s="1053"/>
      <c r="BH537" s="1053"/>
      <c r="BI537" s="1053"/>
      <c r="BJ537" s="1053"/>
      <c r="BK537" s="1053"/>
      <c r="BL537" s="1053"/>
      <c r="BM537" s="1053"/>
      <c r="BN537" s="1053"/>
      <c r="BO537" s="1053"/>
      <c r="BP537" s="1053"/>
      <c r="BQ537" s="1053"/>
      <c r="BR537" s="1053"/>
      <c r="BS537" s="1053"/>
      <c r="BT537" s="1053"/>
      <c r="BU537" s="1053"/>
      <c r="BV537" s="1053"/>
      <c r="BW537" s="1053"/>
      <c r="BX537" s="1053"/>
      <c r="BY537" s="1053"/>
      <c r="BZ537" s="1053"/>
      <c r="CA537" s="1053"/>
      <c r="CB537" s="1053"/>
      <c r="CC537" s="1053"/>
      <c r="CD537" s="1053"/>
      <c r="CE537" s="1053"/>
      <c r="CF537" s="1053"/>
      <c r="CG537" s="1053"/>
      <c r="CH537" s="1053"/>
      <c r="CI537" s="1053"/>
      <c r="CJ537" s="1053"/>
      <c r="CK537" s="1053"/>
      <c r="CL537" s="1053"/>
      <c r="CM537" s="1053"/>
      <c r="CN537" s="1053"/>
      <c r="CO537" s="1053"/>
      <c r="CP537" s="1053"/>
      <c r="CQ537" s="1053"/>
      <c r="CR537" s="1053"/>
      <c r="CS537" s="1053"/>
      <c r="CT537" s="1053"/>
      <c r="CU537" s="1053"/>
      <c r="CV537" s="1053"/>
      <c r="CW537" s="1053"/>
      <c r="CX537" s="1053"/>
      <c r="CY537" s="1053"/>
      <c r="CZ537" s="1053"/>
      <c r="DA537" s="1053"/>
      <c r="DB537" s="1053"/>
      <c r="DC537" s="1053"/>
      <c r="DD537" s="1053"/>
      <c r="DE537" s="1053"/>
      <c r="DF537" s="1053"/>
      <c r="DG537" s="1053"/>
      <c r="DH537" s="1053"/>
      <c r="DI537" s="1053"/>
      <c r="DJ537" s="1053"/>
      <c r="DK537" s="1053"/>
      <c r="DL537" s="1053"/>
      <c r="DM537" s="1053"/>
      <c r="DN537" s="1053"/>
      <c r="DO537" s="1053"/>
      <c r="DP537" s="1053"/>
      <c r="DQ537" s="1053"/>
      <c r="DR537" s="1053"/>
      <c r="DS537" s="1053"/>
      <c r="DT537" s="1053"/>
      <c r="DU537" s="1053"/>
      <c r="DV537" s="1053"/>
      <c r="DW537" s="1053"/>
      <c r="DX537" s="1053"/>
      <c r="DY537" s="1053"/>
      <c r="DZ537" s="1053"/>
      <c r="EA537" s="1053"/>
      <c r="EB537" s="1053"/>
      <c r="EC537" s="1053"/>
      <c r="ED537" s="1053"/>
      <c r="EE537" s="1053"/>
      <c r="EF537" s="1053"/>
      <c r="EG537" s="1053"/>
      <c r="EH537" s="1053"/>
      <c r="EI537" s="1053"/>
      <c r="EJ537" s="1053"/>
      <c r="EK537" s="1053"/>
      <c r="EL537" s="1053"/>
      <c r="EM537" s="1053"/>
      <c r="EN537" s="1053"/>
      <c r="EO537" s="1053"/>
      <c r="EP537" s="1053"/>
      <c r="EQ537" s="1053"/>
      <c r="ER537" s="1053"/>
      <c r="ES537" s="1053"/>
      <c r="ET537" s="1053"/>
      <c r="EU537" s="1053"/>
      <c r="EV537" s="1053"/>
      <c r="EW537" s="1053"/>
      <c r="EX537" s="1053"/>
      <c r="EY537" s="1053"/>
      <c r="EZ537" s="1053"/>
      <c r="FA537" s="1053"/>
      <c r="FB537" s="1053"/>
      <c r="FC537" s="1053"/>
      <c r="FD537" s="1053"/>
      <c r="FE537" s="1053"/>
      <c r="FF537" s="1053"/>
      <c r="FG537" s="1053"/>
      <c r="FH537" s="1053"/>
      <c r="FI537" s="1053"/>
      <c r="FJ537" s="1053"/>
      <c r="FK537" s="1053"/>
      <c r="FL537" s="1053"/>
      <c r="FM537" s="1053"/>
      <c r="FN537" s="1053"/>
      <c r="FO537" s="1053"/>
      <c r="FP537" s="1053"/>
      <c r="FQ537" s="1053"/>
      <c r="FR537" s="1053"/>
      <c r="FS537" s="1053"/>
      <c r="FT537" s="1053"/>
      <c r="FU537" s="1053"/>
      <c r="FV537" s="1053"/>
      <c r="FW537" s="1053"/>
      <c r="FX537" s="1053"/>
      <c r="FY537" s="1053"/>
      <c r="FZ537" s="1053"/>
      <c r="GA537" s="1053"/>
      <c r="GB537" s="1053"/>
      <c r="GC537" s="1053"/>
      <c r="GD537" s="1053"/>
      <c r="GE537" s="1053"/>
      <c r="GF537" s="1053"/>
      <c r="GG537" s="1053"/>
      <c r="GH537" s="1053"/>
      <c r="GI537" s="1053"/>
      <c r="GJ537" s="1053"/>
      <c r="GK537" s="1053"/>
      <c r="GL537" s="1053"/>
      <c r="GM537" s="1053"/>
      <c r="GN537" s="1053"/>
      <c r="GO537" s="1053"/>
      <c r="GP537" s="1053"/>
      <c r="GQ537" s="1053"/>
      <c r="GR537" s="1053"/>
      <c r="GS537" s="1053"/>
      <c r="GT537" s="1053"/>
      <c r="GU537" s="1053"/>
      <c r="GV537" s="1053"/>
      <c r="GW537" s="1053"/>
      <c r="GX537" s="1053"/>
      <c r="GY537" s="1053"/>
      <c r="GZ537" s="1053"/>
      <c r="HA537" s="1053"/>
      <c r="HB537" s="1053"/>
      <c r="HC537" s="1053"/>
      <c r="HD537" s="1053"/>
      <c r="HE537" s="1053"/>
      <c r="HF537" s="1053"/>
      <c r="HG537" s="1053"/>
      <c r="HH537" s="1053"/>
      <c r="HI537" s="1053"/>
      <c r="HJ537" s="1053"/>
      <c r="HK537" s="1053"/>
      <c r="HL537" s="1053"/>
      <c r="HM537" s="1053"/>
      <c r="HN537" s="1053"/>
      <c r="HO537" s="1053"/>
      <c r="HP537" s="1053"/>
      <c r="HQ537" s="1053"/>
      <c r="HR537" s="1053"/>
      <c r="HS537" s="1053"/>
      <c r="HT537" s="1053"/>
      <c r="HU537" s="1053"/>
      <c r="HV537" s="1053"/>
      <c r="HW537" s="1053"/>
      <c r="HX537" s="1053"/>
      <c r="HY537" s="1053"/>
      <c r="HZ537" s="1053"/>
      <c r="IA537" s="1053"/>
      <c r="IB537" s="1053"/>
      <c r="IC537" s="1053"/>
      <c r="ID537" s="1053"/>
      <c r="IE537" s="1053"/>
      <c r="IF537" s="1053"/>
      <c r="IG537" s="1053"/>
      <c r="IH537" s="1053"/>
      <c r="II537" s="1053"/>
      <c r="IJ537" s="1053"/>
      <c r="IK537" s="1053"/>
      <c r="IL537" s="1053"/>
      <c r="IM537" s="1053"/>
      <c r="IN537" s="1053"/>
    </row>
    <row r="538" spans="1:248" s="1072" customFormat="1">
      <c r="A538" s="1054"/>
      <c r="G538" s="1053"/>
      <c r="H538" s="1053"/>
      <c r="I538" s="1053"/>
      <c r="J538" s="1053"/>
      <c r="K538" s="1053"/>
      <c r="L538" s="1053"/>
      <c r="M538" s="1053"/>
      <c r="N538" s="1053"/>
      <c r="O538" s="1053"/>
      <c r="P538" s="1053"/>
      <c r="Q538" s="1053"/>
      <c r="R538" s="1053"/>
      <c r="S538" s="1053"/>
      <c r="T538" s="1053"/>
      <c r="U538" s="1053"/>
      <c r="V538" s="1053"/>
      <c r="W538" s="1053"/>
      <c r="X538" s="1053"/>
      <c r="Y538" s="1053"/>
      <c r="Z538" s="1053"/>
      <c r="AA538" s="1053"/>
      <c r="AB538" s="1053"/>
      <c r="AC538" s="1053"/>
      <c r="AD538" s="1053"/>
      <c r="AE538" s="1053"/>
      <c r="AF538" s="1053"/>
      <c r="AG538" s="1053"/>
      <c r="AH538" s="1053"/>
      <c r="AI538" s="1053"/>
      <c r="AJ538" s="1053"/>
      <c r="AK538" s="1053"/>
      <c r="AL538" s="1053"/>
      <c r="AM538" s="1053"/>
      <c r="AN538" s="1053"/>
      <c r="AO538" s="1053"/>
      <c r="AP538" s="1053"/>
      <c r="AQ538" s="1053"/>
      <c r="AR538" s="1053"/>
      <c r="AS538" s="1053"/>
      <c r="AT538" s="1053"/>
      <c r="AU538" s="1053"/>
      <c r="AV538" s="1053"/>
      <c r="AW538" s="1053"/>
      <c r="AX538" s="1053"/>
      <c r="AY538" s="1053"/>
      <c r="AZ538" s="1053"/>
      <c r="BA538" s="1053"/>
      <c r="BB538" s="1053"/>
      <c r="BC538" s="1053"/>
      <c r="BD538" s="1053"/>
      <c r="BE538" s="1053"/>
      <c r="BF538" s="1053"/>
      <c r="BG538" s="1053"/>
      <c r="BH538" s="1053"/>
      <c r="BI538" s="1053"/>
      <c r="BJ538" s="1053"/>
      <c r="BK538" s="1053"/>
      <c r="BL538" s="1053"/>
      <c r="BM538" s="1053"/>
      <c r="BN538" s="1053"/>
      <c r="BO538" s="1053"/>
      <c r="BP538" s="1053"/>
      <c r="BQ538" s="1053"/>
      <c r="BR538" s="1053"/>
      <c r="BS538" s="1053"/>
      <c r="BT538" s="1053"/>
      <c r="BU538" s="1053"/>
      <c r="BV538" s="1053"/>
      <c r="BW538" s="1053"/>
      <c r="BX538" s="1053"/>
      <c r="BY538" s="1053"/>
      <c r="BZ538" s="1053"/>
      <c r="CA538" s="1053"/>
      <c r="CB538" s="1053"/>
      <c r="CC538" s="1053"/>
      <c r="CD538" s="1053"/>
      <c r="CE538" s="1053"/>
      <c r="CF538" s="1053"/>
      <c r="CG538" s="1053"/>
      <c r="CH538" s="1053"/>
      <c r="CI538" s="1053"/>
      <c r="CJ538" s="1053"/>
      <c r="CK538" s="1053"/>
      <c r="CL538" s="1053"/>
      <c r="CM538" s="1053"/>
      <c r="CN538" s="1053"/>
      <c r="CO538" s="1053"/>
      <c r="CP538" s="1053"/>
      <c r="CQ538" s="1053"/>
      <c r="CR538" s="1053"/>
      <c r="CS538" s="1053"/>
      <c r="CT538" s="1053"/>
      <c r="CU538" s="1053"/>
      <c r="CV538" s="1053"/>
      <c r="CW538" s="1053"/>
      <c r="CX538" s="1053"/>
      <c r="CY538" s="1053"/>
      <c r="CZ538" s="1053"/>
      <c r="DA538" s="1053"/>
      <c r="DB538" s="1053"/>
      <c r="DC538" s="1053"/>
      <c r="DD538" s="1053"/>
      <c r="DE538" s="1053"/>
      <c r="DF538" s="1053"/>
      <c r="DG538" s="1053"/>
      <c r="DH538" s="1053"/>
      <c r="DI538" s="1053"/>
      <c r="DJ538" s="1053"/>
      <c r="DK538" s="1053"/>
      <c r="DL538" s="1053"/>
      <c r="DM538" s="1053"/>
      <c r="DN538" s="1053"/>
      <c r="DO538" s="1053"/>
      <c r="DP538" s="1053"/>
      <c r="DQ538" s="1053"/>
      <c r="DR538" s="1053"/>
      <c r="DS538" s="1053"/>
      <c r="DT538" s="1053"/>
      <c r="DU538" s="1053"/>
      <c r="DV538" s="1053"/>
      <c r="DW538" s="1053"/>
      <c r="DX538" s="1053"/>
      <c r="DY538" s="1053"/>
      <c r="DZ538" s="1053"/>
      <c r="EA538" s="1053"/>
      <c r="EB538" s="1053"/>
      <c r="EC538" s="1053"/>
      <c r="ED538" s="1053"/>
      <c r="EE538" s="1053"/>
      <c r="EF538" s="1053"/>
      <c r="EG538" s="1053"/>
      <c r="EH538" s="1053"/>
      <c r="EI538" s="1053"/>
      <c r="EJ538" s="1053"/>
      <c r="EK538" s="1053"/>
      <c r="EL538" s="1053"/>
      <c r="EM538" s="1053"/>
      <c r="EN538" s="1053"/>
      <c r="EO538" s="1053"/>
      <c r="EP538" s="1053"/>
      <c r="EQ538" s="1053"/>
      <c r="ER538" s="1053"/>
      <c r="ES538" s="1053"/>
      <c r="ET538" s="1053"/>
      <c r="EU538" s="1053"/>
      <c r="EV538" s="1053"/>
      <c r="EW538" s="1053"/>
      <c r="EX538" s="1053"/>
      <c r="EY538" s="1053"/>
      <c r="EZ538" s="1053"/>
      <c r="FA538" s="1053"/>
      <c r="FB538" s="1053"/>
      <c r="FC538" s="1053"/>
      <c r="FD538" s="1053"/>
      <c r="FE538" s="1053"/>
      <c r="FF538" s="1053"/>
      <c r="FG538" s="1053"/>
      <c r="FH538" s="1053"/>
      <c r="FI538" s="1053"/>
      <c r="FJ538" s="1053"/>
      <c r="FK538" s="1053"/>
      <c r="FL538" s="1053"/>
      <c r="FM538" s="1053"/>
      <c r="FN538" s="1053"/>
      <c r="FO538" s="1053"/>
      <c r="FP538" s="1053"/>
      <c r="FQ538" s="1053"/>
      <c r="FR538" s="1053"/>
      <c r="FS538" s="1053"/>
      <c r="FT538" s="1053"/>
      <c r="FU538" s="1053"/>
      <c r="FV538" s="1053"/>
      <c r="FW538" s="1053"/>
      <c r="FX538" s="1053"/>
      <c r="FY538" s="1053"/>
      <c r="FZ538" s="1053"/>
      <c r="GA538" s="1053"/>
      <c r="GB538" s="1053"/>
      <c r="GC538" s="1053"/>
      <c r="GD538" s="1053"/>
      <c r="GE538" s="1053"/>
      <c r="GF538" s="1053"/>
      <c r="GG538" s="1053"/>
      <c r="GH538" s="1053"/>
      <c r="GI538" s="1053"/>
      <c r="GJ538" s="1053"/>
      <c r="GK538" s="1053"/>
      <c r="GL538" s="1053"/>
      <c r="GM538" s="1053"/>
      <c r="GN538" s="1053"/>
      <c r="GO538" s="1053"/>
      <c r="GP538" s="1053"/>
      <c r="GQ538" s="1053"/>
      <c r="GR538" s="1053"/>
      <c r="GS538" s="1053"/>
      <c r="GT538" s="1053"/>
      <c r="GU538" s="1053"/>
      <c r="GV538" s="1053"/>
      <c r="GW538" s="1053"/>
      <c r="GX538" s="1053"/>
      <c r="GY538" s="1053"/>
      <c r="GZ538" s="1053"/>
      <c r="HA538" s="1053"/>
      <c r="HB538" s="1053"/>
      <c r="HC538" s="1053"/>
      <c r="HD538" s="1053"/>
      <c r="HE538" s="1053"/>
      <c r="HF538" s="1053"/>
      <c r="HG538" s="1053"/>
      <c r="HH538" s="1053"/>
      <c r="HI538" s="1053"/>
      <c r="HJ538" s="1053"/>
      <c r="HK538" s="1053"/>
      <c r="HL538" s="1053"/>
      <c r="HM538" s="1053"/>
      <c r="HN538" s="1053"/>
      <c r="HO538" s="1053"/>
      <c r="HP538" s="1053"/>
      <c r="HQ538" s="1053"/>
      <c r="HR538" s="1053"/>
      <c r="HS538" s="1053"/>
      <c r="HT538" s="1053"/>
      <c r="HU538" s="1053"/>
      <c r="HV538" s="1053"/>
      <c r="HW538" s="1053"/>
      <c r="HX538" s="1053"/>
      <c r="HY538" s="1053"/>
      <c r="HZ538" s="1053"/>
      <c r="IA538" s="1053"/>
      <c r="IB538" s="1053"/>
      <c r="IC538" s="1053"/>
      <c r="ID538" s="1053"/>
      <c r="IE538" s="1053"/>
      <c r="IF538" s="1053"/>
      <c r="IG538" s="1053"/>
      <c r="IH538" s="1053"/>
      <c r="II538" s="1053"/>
      <c r="IJ538" s="1053"/>
      <c r="IK538" s="1053"/>
      <c r="IL538" s="1053"/>
      <c r="IM538" s="1053"/>
      <c r="IN538" s="1053"/>
    </row>
    <row r="540" spans="1:248" s="1072" customFormat="1">
      <c r="A540" s="1057"/>
      <c r="G540" s="1053"/>
      <c r="H540" s="1053"/>
      <c r="I540" s="1053"/>
      <c r="J540" s="1053"/>
      <c r="K540" s="1053"/>
      <c r="L540" s="1053"/>
      <c r="M540" s="1053"/>
      <c r="N540" s="1053"/>
      <c r="O540" s="1053"/>
      <c r="P540" s="1053"/>
      <c r="Q540" s="1053"/>
      <c r="R540" s="1053"/>
      <c r="S540" s="1053"/>
      <c r="T540" s="1053"/>
      <c r="U540" s="1053"/>
      <c r="V540" s="1053"/>
      <c r="W540" s="1053"/>
      <c r="X540" s="1053"/>
      <c r="Y540" s="1053"/>
      <c r="Z540" s="1053"/>
      <c r="AA540" s="1053"/>
      <c r="AB540" s="1053"/>
      <c r="AC540" s="1053"/>
      <c r="AD540" s="1053"/>
      <c r="AE540" s="1053"/>
      <c r="AF540" s="1053"/>
      <c r="AG540" s="1053"/>
      <c r="AH540" s="1053"/>
      <c r="AI540" s="1053"/>
      <c r="AJ540" s="1053"/>
      <c r="AK540" s="1053"/>
      <c r="AL540" s="1053"/>
      <c r="AM540" s="1053"/>
      <c r="AN540" s="1053"/>
      <c r="AO540" s="1053"/>
      <c r="AP540" s="1053"/>
      <c r="AQ540" s="1053"/>
      <c r="AR540" s="1053"/>
      <c r="AS540" s="1053"/>
      <c r="AT540" s="1053"/>
      <c r="AU540" s="1053"/>
      <c r="AV540" s="1053"/>
      <c r="AW540" s="1053"/>
      <c r="AX540" s="1053"/>
      <c r="AY540" s="1053"/>
      <c r="AZ540" s="1053"/>
      <c r="BA540" s="1053"/>
      <c r="BB540" s="1053"/>
      <c r="BC540" s="1053"/>
      <c r="BD540" s="1053"/>
      <c r="BE540" s="1053"/>
      <c r="BF540" s="1053"/>
      <c r="BG540" s="1053"/>
      <c r="BH540" s="1053"/>
      <c r="BI540" s="1053"/>
      <c r="BJ540" s="1053"/>
      <c r="BK540" s="1053"/>
      <c r="BL540" s="1053"/>
      <c r="BM540" s="1053"/>
      <c r="BN540" s="1053"/>
      <c r="BO540" s="1053"/>
      <c r="BP540" s="1053"/>
      <c r="BQ540" s="1053"/>
      <c r="BR540" s="1053"/>
      <c r="BS540" s="1053"/>
      <c r="BT540" s="1053"/>
      <c r="BU540" s="1053"/>
      <c r="BV540" s="1053"/>
      <c r="BW540" s="1053"/>
      <c r="BX540" s="1053"/>
      <c r="BY540" s="1053"/>
      <c r="BZ540" s="1053"/>
      <c r="CA540" s="1053"/>
      <c r="CB540" s="1053"/>
      <c r="CC540" s="1053"/>
      <c r="CD540" s="1053"/>
      <c r="CE540" s="1053"/>
      <c r="CF540" s="1053"/>
      <c r="CG540" s="1053"/>
      <c r="CH540" s="1053"/>
      <c r="CI540" s="1053"/>
      <c r="CJ540" s="1053"/>
      <c r="CK540" s="1053"/>
      <c r="CL540" s="1053"/>
      <c r="CM540" s="1053"/>
      <c r="CN540" s="1053"/>
      <c r="CO540" s="1053"/>
      <c r="CP540" s="1053"/>
      <c r="CQ540" s="1053"/>
      <c r="CR540" s="1053"/>
      <c r="CS540" s="1053"/>
      <c r="CT540" s="1053"/>
      <c r="CU540" s="1053"/>
      <c r="CV540" s="1053"/>
      <c r="CW540" s="1053"/>
      <c r="CX540" s="1053"/>
      <c r="CY540" s="1053"/>
      <c r="CZ540" s="1053"/>
      <c r="DA540" s="1053"/>
      <c r="DB540" s="1053"/>
      <c r="DC540" s="1053"/>
      <c r="DD540" s="1053"/>
      <c r="DE540" s="1053"/>
      <c r="DF540" s="1053"/>
      <c r="DG540" s="1053"/>
      <c r="DH540" s="1053"/>
      <c r="DI540" s="1053"/>
      <c r="DJ540" s="1053"/>
      <c r="DK540" s="1053"/>
      <c r="DL540" s="1053"/>
      <c r="DM540" s="1053"/>
      <c r="DN540" s="1053"/>
      <c r="DO540" s="1053"/>
      <c r="DP540" s="1053"/>
      <c r="DQ540" s="1053"/>
      <c r="DR540" s="1053"/>
      <c r="DS540" s="1053"/>
      <c r="DT540" s="1053"/>
      <c r="DU540" s="1053"/>
      <c r="DV540" s="1053"/>
      <c r="DW540" s="1053"/>
      <c r="DX540" s="1053"/>
      <c r="DY540" s="1053"/>
      <c r="DZ540" s="1053"/>
      <c r="EA540" s="1053"/>
      <c r="EB540" s="1053"/>
      <c r="EC540" s="1053"/>
      <c r="ED540" s="1053"/>
      <c r="EE540" s="1053"/>
      <c r="EF540" s="1053"/>
      <c r="EG540" s="1053"/>
      <c r="EH540" s="1053"/>
      <c r="EI540" s="1053"/>
      <c r="EJ540" s="1053"/>
      <c r="EK540" s="1053"/>
      <c r="EL540" s="1053"/>
      <c r="EM540" s="1053"/>
      <c r="EN540" s="1053"/>
      <c r="EO540" s="1053"/>
      <c r="EP540" s="1053"/>
      <c r="EQ540" s="1053"/>
      <c r="ER540" s="1053"/>
      <c r="ES540" s="1053"/>
      <c r="ET540" s="1053"/>
      <c r="EU540" s="1053"/>
      <c r="EV540" s="1053"/>
      <c r="EW540" s="1053"/>
      <c r="EX540" s="1053"/>
      <c r="EY540" s="1053"/>
      <c r="EZ540" s="1053"/>
      <c r="FA540" s="1053"/>
      <c r="FB540" s="1053"/>
      <c r="FC540" s="1053"/>
      <c r="FD540" s="1053"/>
      <c r="FE540" s="1053"/>
      <c r="FF540" s="1053"/>
      <c r="FG540" s="1053"/>
      <c r="FH540" s="1053"/>
      <c r="FI540" s="1053"/>
      <c r="FJ540" s="1053"/>
      <c r="FK540" s="1053"/>
      <c r="FL540" s="1053"/>
      <c r="FM540" s="1053"/>
      <c r="FN540" s="1053"/>
      <c r="FO540" s="1053"/>
      <c r="FP540" s="1053"/>
      <c r="FQ540" s="1053"/>
      <c r="FR540" s="1053"/>
      <c r="FS540" s="1053"/>
      <c r="FT540" s="1053"/>
      <c r="FU540" s="1053"/>
      <c r="FV540" s="1053"/>
      <c r="FW540" s="1053"/>
      <c r="FX540" s="1053"/>
      <c r="FY540" s="1053"/>
      <c r="FZ540" s="1053"/>
      <c r="GA540" s="1053"/>
      <c r="GB540" s="1053"/>
      <c r="GC540" s="1053"/>
      <c r="GD540" s="1053"/>
      <c r="GE540" s="1053"/>
      <c r="GF540" s="1053"/>
      <c r="GG540" s="1053"/>
      <c r="GH540" s="1053"/>
      <c r="GI540" s="1053"/>
      <c r="GJ540" s="1053"/>
      <c r="GK540" s="1053"/>
      <c r="GL540" s="1053"/>
      <c r="GM540" s="1053"/>
      <c r="GN540" s="1053"/>
      <c r="GO540" s="1053"/>
      <c r="GP540" s="1053"/>
      <c r="GQ540" s="1053"/>
      <c r="GR540" s="1053"/>
      <c r="GS540" s="1053"/>
      <c r="GT540" s="1053"/>
      <c r="GU540" s="1053"/>
      <c r="GV540" s="1053"/>
      <c r="GW540" s="1053"/>
      <c r="GX540" s="1053"/>
      <c r="GY540" s="1053"/>
      <c r="GZ540" s="1053"/>
      <c r="HA540" s="1053"/>
      <c r="HB540" s="1053"/>
      <c r="HC540" s="1053"/>
      <c r="HD540" s="1053"/>
      <c r="HE540" s="1053"/>
      <c r="HF540" s="1053"/>
      <c r="HG540" s="1053"/>
      <c r="HH540" s="1053"/>
      <c r="HI540" s="1053"/>
      <c r="HJ540" s="1053"/>
      <c r="HK540" s="1053"/>
      <c r="HL540" s="1053"/>
      <c r="HM540" s="1053"/>
      <c r="HN540" s="1053"/>
      <c r="HO540" s="1053"/>
      <c r="HP540" s="1053"/>
      <c r="HQ540" s="1053"/>
      <c r="HR540" s="1053"/>
      <c r="HS540" s="1053"/>
      <c r="HT540" s="1053"/>
      <c r="HU540" s="1053"/>
      <c r="HV540" s="1053"/>
      <c r="HW540" s="1053"/>
      <c r="HX540" s="1053"/>
      <c r="HY540" s="1053"/>
      <c r="HZ540" s="1053"/>
      <c r="IA540" s="1053"/>
      <c r="IB540" s="1053"/>
      <c r="IC540" s="1053"/>
      <c r="ID540" s="1053"/>
      <c r="IE540" s="1053"/>
      <c r="IF540" s="1053"/>
      <c r="IG540" s="1053"/>
      <c r="IH540" s="1053"/>
      <c r="II540" s="1053"/>
      <c r="IJ540" s="1053"/>
      <c r="IK540" s="1053"/>
      <c r="IL540" s="1053"/>
      <c r="IM540" s="1053"/>
      <c r="IN540" s="1053"/>
    </row>
    <row r="541" spans="1:248" s="1072" customFormat="1">
      <c r="A541" s="1054"/>
      <c r="G541" s="1053"/>
      <c r="H541" s="1053"/>
      <c r="I541" s="1053"/>
      <c r="J541" s="1053"/>
      <c r="K541" s="1053"/>
      <c r="L541" s="1053"/>
      <c r="M541" s="1053"/>
      <c r="N541" s="1053"/>
      <c r="O541" s="1053"/>
      <c r="P541" s="1053"/>
      <c r="Q541" s="1053"/>
      <c r="R541" s="1053"/>
      <c r="S541" s="1053"/>
      <c r="T541" s="1053"/>
      <c r="U541" s="1053"/>
      <c r="V541" s="1053"/>
      <c r="W541" s="1053"/>
      <c r="X541" s="1053"/>
      <c r="Y541" s="1053"/>
      <c r="Z541" s="1053"/>
      <c r="AA541" s="1053"/>
      <c r="AB541" s="1053"/>
      <c r="AC541" s="1053"/>
      <c r="AD541" s="1053"/>
      <c r="AE541" s="1053"/>
      <c r="AF541" s="1053"/>
      <c r="AG541" s="1053"/>
      <c r="AH541" s="1053"/>
      <c r="AI541" s="1053"/>
      <c r="AJ541" s="1053"/>
      <c r="AK541" s="1053"/>
      <c r="AL541" s="1053"/>
      <c r="AM541" s="1053"/>
      <c r="AN541" s="1053"/>
      <c r="AO541" s="1053"/>
      <c r="AP541" s="1053"/>
      <c r="AQ541" s="1053"/>
      <c r="AR541" s="1053"/>
      <c r="AS541" s="1053"/>
      <c r="AT541" s="1053"/>
      <c r="AU541" s="1053"/>
      <c r="AV541" s="1053"/>
      <c r="AW541" s="1053"/>
      <c r="AX541" s="1053"/>
      <c r="AY541" s="1053"/>
      <c r="AZ541" s="1053"/>
      <c r="BA541" s="1053"/>
      <c r="BB541" s="1053"/>
      <c r="BC541" s="1053"/>
      <c r="BD541" s="1053"/>
      <c r="BE541" s="1053"/>
      <c r="BF541" s="1053"/>
      <c r="BG541" s="1053"/>
      <c r="BH541" s="1053"/>
      <c r="BI541" s="1053"/>
      <c r="BJ541" s="1053"/>
      <c r="BK541" s="1053"/>
      <c r="BL541" s="1053"/>
      <c r="BM541" s="1053"/>
      <c r="BN541" s="1053"/>
      <c r="BO541" s="1053"/>
      <c r="BP541" s="1053"/>
      <c r="BQ541" s="1053"/>
      <c r="BR541" s="1053"/>
      <c r="BS541" s="1053"/>
      <c r="BT541" s="1053"/>
      <c r="BU541" s="1053"/>
      <c r="BV541" s="1053"/>
      <c r="BW541" s="1053"/>
      <c r="BX541" s="1053"/>
      <c r="BY541" s="1053"/>
      <c r="BZ541" s="1053"/>
      <c r="CA541" s="1053"/>
      <c r="CB541" s="1053"/>
      <c r="CC541" s="1053"/>
      <c r="CD541" s="1053"/>
      <c r="CE541" s="1053"/>
      <c r="CF541" s="1053"/>
      <c r="CG541" s="1053"/>
      <c r="CH541" s="1053"/>
      <c r="CI541" s="1053"/>
      <c r="CJ541" s="1053"/>
      <c r="CK541" s="1053"/>
      <c r="CL541" s="1053"/>
      <c r="CM541" s="1053"/>
      <c r="CN541" s="1053"/>
      <c r="CO541" s="1053"/>
      <c r="CP541" s="1053"/>
      <c r="CQ541" s="1053"/>
      <c r="CR541" s="1053"/>
      <c r="CS541" s="1053"/>
      <c r="CT541" s="1053"/>
      <c r="CU541" s="1053"/>
      <c r="CV541" s="1053"/>
      <c r="CW541" s="1053"/>
      <c r="CX541" s="1053"/>
      <c r="CY541" s="1053"/>
      <c r="CZ541" s="1053"/>
      <c r="DA541" s="1053"/>
      <c r="DB541" s="1053"/>
      <c r="DC541" s="1053"/>
      <c r="DD541" s="1053"/>
      <c r="DE541" s="1053"/>
      <c r="DF541" s="1053"/>
      <c r="DG541" s="1053"/>
      <c r="DH541" s="1053"/>
      <c r="DI541" s="1053"/>
      <c r="DJ541" s="1053"/>
      <c r="DK541" s="1053"/>
      <c r="DL541" s="1053"/>
      <c r="DM541" s="1053"/>
      <c r="DN541" s="1053"/>
      <c r="DO541" s="1053"/>
      <c r="DP541" s="1053"/>
      <c r="DQ541" s="1053"/>
      <c r="DR541" s="1053"/>
      <c r="DS541" s="1053"/>
      <c r="DT541" s="1053"/>
      <c r="DU541" s="1053"/>
      <c r="DV541" s="1053"/>
      <c r="DW541" s="1053"/>
      <c r="DX541" s="1053"/>
      <c r="DY541" s="1053"/>
      <c r="DZ541" s="1053"/>
      <c r="EA541" s="1053"/>
      <c r="EB541" s="1053"/>
      <c r="EC541" s="1053"/>
      <c r="ED541" s="1053"/>
      <c r="EE541" s="1053"/>
      <c r="EF541" s="1053"/>
      <c r="EG541" s="1053"/>
      <c r="EH541" s="1053"/>
      <c r="EI541" s="1053"/>
      <c r="EJ541" s="1053"/>
      <c r="EK541" s="1053"/>
      <c r="EL541" s="1053"/>
      <c r="EM541" s="1053"/>
      <c r="EN541" s="1053"/>
      <c r="EO541" s="1053"/>
      <c r="EP541" s="1053"/>
      <c r="EQ541" s="1053"/>
      <c r="ER541" s="1053"/>
      <c r="ES541" s="1053"/>
      <c r="ET541" s="1053"/>
      <c r="EU541" s="1053"/>
      <c r="EV541" s="1053"/>
      <c r="EW541" s="1053"/>
      <c r="EX541" s="1053"/>
      <c r="EY541" s="1053"/>
      <c r="EZ541" s="1053"/>
      <c r="FA541" s="1053"/>
      <c r="FB541" s="1053"/>
      <c r="FC541" s="1053"/>
      <c r="FD541" s="1053"/>
      <c r="FE541" s="1053"/>
      <c r="FF541" s="1053"/>
      <c r="FG541" s="1053"/>
      <c r="FH541" s="1053"/>
      <c r="FI541" s="1053"/>
      <c r="FJ541" s="1053"/>
      <c r="FK541" s="1053"/>
      <c r="FL541" s="1053"/>
      <c r="FM541" s="1053"/>
      <c r="FN541" s="1053"/>
      <c r="FO541" s="1053"/>
      <c r="FP541" s="1053"/>
      <c r="FQ541" s="1053"/>
      <c r="FR541" s="1053"/>
      <c r="FS541" s="1053"/>
      <c r="FT541" s="1053"/>
      <c r="FU541" s="1053"/>
      <c r="FV541" s="1053"/>
      <c r="FW541" s="1053"/>
      <c r="FX541" s="1053"/>
      <c r="FY541" s="1053"/>
      <c r="FZ541" s="1053"/>
      <c r="GA541" s="1053"/>
      <c r="GB541" s="1053"/>
      <c r="GC541" s="1053"/>
      <c r="GD541" s="1053"/>
      <c r="GE541" s="1053"/>
      <c r="GF541" s="1053"/>
      <c r="GG541" s="1053"/>
      <c r="GH541" s="1053"/>
      <c r="GI541" s="1053"/>
      <c r="GJ541" s="1053"/>
      <c r="GK541" s="1053"/>
      <c r="GL541" s="1053"/>
      <c r="GM541" s="1053"/>
      <c r="GN541" s="1053"/>
      <c r="GO541" s="1053"/>
      <c r="GP541" s="1053"/>
      <c r="GQ541" s="1053"/>
      <c r="GR541" s="1053"/>
      <c r="GS541" s="1053"/>
      <c r="GT541" s="1053"/>
      <c r="GU541" s="1053"/>
      <c r="GV541" s="1053"/>
      <c r="GW541" s="1053"/>
      <c r="GX541" s="1053"/>
      <c r="GY541" s="1053"/>
      <c r="GZ541" s="1053"/>
      <c r="HA541" s="1053"/>
      <c r="HB541" s="1053"/>
      <c r="HC541" s="1053"/>
      <c r="HD541" s="1053"/>
      <c r="HE541" s="1053"/>
      <c r="HF541" s="1053"/>
      <c r="HG541" s="1053"/>
      <c r="HH541" s="1053"/>
      <c r="HI541" s="1053"/>
      <c r="HJ541" s="1053"/>
      <c r="HK541" s="1053"/>
      <c r="HL541" s="1053"/>
      <c r="HM541" s="1053"/>
      <c r="HN541" s="1053"/>
      <c r="HO541" s="1053"/>
      <c r="HP541" s="1053"/>
      <c r="HQ541" s="1053"/>
      <c r="HR541" s="1053"/>
      <c r="HS541" s="1053"/>
      <c r="HT541" s="1053"/>
      <c r="HU541" s="1053"/>
      <c r="HV541" s="1053"/>
      <c r="HW541" s="1053"/>
      <c r="HX541" s="1053"/>
      <c r="HY541" s="1053"/>
      <c r="HZ541" s="1053"/>
      <c r="IA541" s="1053"/>
      <c r="IB541" s="1053"/>
      <c r="IC541" s="1053"/>
      <c r="ID541" s="1053"/>
      <c r="IE541" s="1053"/>
      <c r="IF541" s="1053"/>
      <c r="IG541" s="1053"/>
      <c r="IH541" s="1053"/>
      <c r="II541" s="1053"/>
      <c r="IJ541" s="1053"/>
      <c r="IK541" s="1053"/>
      <c r="IL541" s="1053"/>
      <c r="IM541" s="1053"/>
      <c r="IN541" s="1053"/>
    </row>
    <row r="542" spans="1:248" s="1072" customFormat="1">
      <c r="A542" s="1054"/>
      <c r="G542" s="1053"/>
      <c r="H542" s="1053"/>
      <c r="I542" s="1053"/>
      <c r="J542" s="1053"/>
      <c r="K542" s="1053"/>
      <c r="L542" s="1053"/>
      <c r="M542" s="1053"/>
      <c r="N542" s="1053"/>
      <c r="O542" s="1053"/>
      <c r="P542" s="1053"/>
      <c r="Q542" s="1053"/>
      <c r="R542" s="1053"/>
      <c r="S542" s="1053"/>
      <c r="T542" s="1053"/>
      <c r="U542" s="1053"/>
      <c r="V542" s="1053"/>
      <c r="W542" s="1053"/>
      <c r="X542" s="1053"/>
      <c r="Y542" s="1053"/>
      <c r="Z542" s="1053"/>
      <c r="AA542" s="1053"/>
      <c r="AB542" s="1053"/>
      <c r="AC542" s="1053"/>
      <c r="AD542" s="1053"/>
      <c r="AE542" s="1053"/>
      <c r="AF542" s="1053"/>
      <c r="AG542" s="1053"/>
      <c r="AH542" s="1053"/>
      <c r="AI542" s="1053"/>
      <c r="AJ542" s="1053"/>
      <c r="AK542" s="1053"/>
      <c r="AL542" s="1053"/>
      <c r="AM542" s="1053"/>
      <c r="AN542" s="1053"/>
      <c r="AO542" s="1053"/>
      <c r="AP542" s="1053"/>
      <c r="AQ542" s="1053"/>
      <c r="AR542" s="1053"/>
      <c r="AS542" s="1053"/>
      <c r="AT542" s="1053"/>
      <c r="AU542" s="1053"/>
      <c r="AV542" s="1053"/>
      <c r="AW542" s="1053"/>
      <c r="AX542" s="1053"/>
      <c r="AY542" s="1053"/>
      <c r="AZ542" s="1053"/>
      <c r="BA542" s="1053"/>
      <c r="BB542" s="1053"/>
      <c r="BC542" s="1053"/>
      <c r="BD542" s="1053"/>
      <c r="BE542" s="1053"/>
      <c r="BF542" s="1053"/>
      <c r="BG542" s="1053"/>
      <c r="BH542" s="1053"/>
      <c r="BI542" s="1053"/>
      <c r="BJ542" s="1053"/>
      <c r="BK542" s="1053"/>
      <c r="BL542" s="1053"/>
      <c r="BM542" s="1053"/>
      <c r="BN542" s="1053"/>
      <c r="BO542" s="1053"/>
      <c r="BP542" s="1053"/>
      <c r="BQ542" s="1053"/>
      <c r="BR542" s="1053"/>
      <c r="BS542" s="1053"/>
      <c r="BT542" s="1053"/>
      <c r="BU542" s="1053"/>
      <c r="BV542" s="1053"/>
      <c r="BW542" s="1053"/>
      <c r="BX542" s="1053"/>
      <c r="BY542" s="1053"/>
      <c r="BZ542" s="1053"/>
      <c r="CA542" s="1053"/>
      <c r="CB542" s="1053"/>
      <c r="CC542" s="1053"/>
      <c r="CD542" s="1053"/>
      <c r="CE542" s="1053"/>
      <c r="CF542" s="1053"/>
      <c r="CG542" s="1053"/>
      <c r="CH542" s="1053"/>
      <c r="CI542" s="1053"/>
      <c r="CJ542" s="1053"/>
      <c r="CK542" s="1053"/>
      <c r="CL542" s="1053"/>
      <c r="CM542" s="1053"/>
      <c r="CN542" s="1053"/>
      <c r="CO542" s="1053"/>
      <c r="CP542" s="1053"/>
      <c r="CQ542" s="1053"/>
      <c r="CR542" s="1053"/>
      <c r="CS542" s="1053"/>
      <c r="CT542" s="1053"/>
      <c r="CU542" s="1053"/>
      <c r="CV542" s="1053"/>
      <c r="CW542" s="1053"/>
      <c r="CX542" s="1053"/>
      <c r="CY542" s="1053"/>
      <c r="CZ542" s="1053"/>
      <c r="DA542" s="1053"/>
      <c r="DB542" s="1053"/>
      <c r="DC542" s="1053"/>
      <c r="DD542" s="1053"/>
      <c r="DE542" s="1053"/>
      <c r="DF542" s="1053"/>
      <c r="DG542" s="1053"/>
      <c r="DH542" s="1053"/>
      <c r="DI542" s="1053"/>
      <c r="DJ542" s="1053"/>
      <c r="DK542" s="1053"/>
      <c r="DL542" s="1053"/>
      <c r="DM542" s="1053"/>
      <c r="DN542" s="1053"/>
      <c r="DO542" s="1053"/>
      <c r="DP542" s="1053"/>
      <c r="DQ542" s="1053"/>
      <c r="DR542" s="1053"/>
      <c r="DS542" s="1053"/>
      <c r="DT542" s="1053"/>
      <c r="DU542" s="1053"/>
      <c r="DV542" s="1053"/>
      <c r="DW542" s="1053"/>
      <c r="DX542" s="1053"/>
      <c r="DY542" s="1053"/>
      <c r="DZ542" s="1053"/>
      <c r="EA542" s="1053"/>
      <c r="EB542" s="1053"/>
      <c r="EC542" s="1053"/>
      <c r="ED542" s="1053"/>
      <c r="EE542" s="1053"/>
      <c r="EF542" s="1053"/>
      <c r="EG542" s="1053"/>
      <c r="EH542" s="1053"/>
      <c r="EI542" s="1053"/>
      <c r="EJ542" s="1053"/>
      <c r="EK542" s="1053"/>
      <c r="EL542" s="1053"/>
      <c r="EM542" s="1053"/>
      <c r="EN542" s="1053"/>
      <c r="EO542" s="1053"/>
      <c r="EP542" s="1053"/>
      <c r="EQ542" s="1053"/>
      <c r="ER542" s="1053"/>
      <c r="ES542" s="1053"/>
      <c r="ET542" s="1053"/>
      <c r="EU542" s="1053"/>
      <c r="EV542" s="1053"/>
      <c r="EW542" s="1053"/>
      <c r="EX542" s="1053"/>
      <c r="EY542" s="1053"/>
      <c r="EZ542" s="1053"/>
      <c r="FA542" s="1053"/>
      <c r="FB542" s="1053"/>
      <c r="FC542" s="1053"/>
      <c r="FD542" s="1053"/>
      <c r="FE542" s="1053"/>
      <c r="FF542" s="1053"/>
      <c r="FG542" s="1053"/>
      <c r="FH542" s="1053"/>
      <c r="FI542" s="1053"/>
      <c r="FJ542" s="1053"/>
      <c r="FK542" s="1053"/>
      <c r="FL542" s="1053"/>
      <c r="FM542" s="1053"/>
      <c r="FN542" s="1053"/>
      <c r="FO542" s="1053"/>
      <c r="FP542" s="1053"/>
      <c r="FQ542" s="1053"/>
      <c r="FR542" s="1053"/>
      <c r="FS542" s="1053"/>
      <c r="FT542" s="1053"/>
      <c r="FU542" s="1053"/>
      <c r="FV542" s="1053"/>
      <c r="FW542" s="1053"/>
      <c r="FX542" s="1053"/>
      <c r="FY542" s="1053"/>
      <c r="FZ542" s="1053"/>
      <c r="GA542" s="1053"/>
      <c r="GB542" s="1053"/>
      <c r="GC542" s="1053"/>
      <c r="GD542" s="1053"/>
      <c r="GE542" s="1053"/>
      <c r="GF542" s="1053"/>
      <c r="GG542" s="1053"/>
      <c r="GH542" s="1053"/>
      <c r="GI542" s="1053"/>
      <c r="GJ542" s="1053"/>
      <c r="GK542" s="1053"/>
      <c r="GL542" s="1053"/>
      <c r="GM542" s="1053"/>
      <c r="GN542" s="1053"/>
      <c r="GO542" s="1053"/>
      <c r="GP542" s="1053"/>
      <c r="GQ542" s="1053"/>
      <c r="GR542" s="1053"/>
      <c r="GS542" s="1053"/>
      <c r="GT542" s="1053"/>
      <c r="GU542" s="1053"/>
      <c r="GV542" s="1053"/>
      <c r="GW542" s="1053"/>
      <c r="GX542" s="1053"/>
      <c r="GY542" s="1053"/>
      <c r="GZ542" s="1053"/>
      <c r="HA542" s="1053"/>
      <c r="HB542" s="1053"/>
      <c r="HC542" s="1053"/>
      <c r="HD542" s="1053"/>
      <c r="HE542" s="1053"/>
      <c r="HF542" s="1053"/>
      <c r="HG542" s="1053"/>
      <c r="HH542" s="1053"/>
      <c r="HI542" s="1053"/>
      <c r="HJ542" s="1053"/>
      <c r="HK542" s="1053"/>
      <c r="HL542" s="1053"/>
      <c r="HM542" s="1053"/>
      <c r="HN542" s="1053"/>
      <c r="HO542" s="1053"/>
      <c r="HP542" s="1053"/>
      <c r="HQ542" s="1053"/>
      <c r="HR542" s="1053"/>
      <c r="HS542" s="1053"/>
      <c r="HT542" s="1053"/>
      <c r="HU542" s="1053"/>
      <c r="HV542" s="1053"/>
      <c r="HW542" s="1053"/>
      <c r="HX542" s="1053"/>
      <c r="HY542" s="1053"/>
      <c r="HZ542" s="1053"/>
      <c r="IA542" s="1053"/>
      <c r="IB542" s="1053"/>
      <c r="IC542" s="1053"/>
      <c r="ID542" s="1053"/>
      <c r="IE542" s="1053"/>
      <c r="IF542" s="1053"/>
      <c r="IG542" s="1053"/>
      <c r="IH542" s="1053"/>
      <c r="II542" s="1053"/>
      <c r="IJ542" s="1053"/>
      <c r="IK542" s="1053"/>
      <c r="IL542" s="1053"/>
      <c r="IM542" s="1053"/>
      <c r="IN542" s="1053"/>
    </row>
    <row r="543" spans="1:248" s="1072" customFormat="1">
      <c r="A543" s="1054"/>
      <c r="G543" s="1053"/>
      <c r="H543" s="1053"/>
      <c r="I543" s="1053"/>
      <c r="J543" s="1053"/>
      <c r="K543" s="1053"/>
      <c r="L543" s="1053"/>
      <c r="M543" s="1053"/>
      <c r="N543" s="1053"/>
      <c r="O543" s="1053"/>
      <c r="P543" s="1053"/>
      <c r="Q543" s="1053"/>
      <c r="R543" s="1053"/>
      <c r="S543" s="1053"/>
      <c r="T543" s="1053"/>
      <c r="U543" s="1053"/>
      <c r="V543" s="1053"/>
      <c r="W543" s="1053"/>
      <c r="X543" s="1053"/>
      <c r="Y543" s="1053"/>
      <c r="Z543" s="1053"/>
      <c r="AA543" s="1053"/>
      <c r="AB543" s="1053"/>
      <c r="AC543" s="1053"/>
      <c r="AD543" s="1053"/>
      <c r="AE543" s="1053"/>
      <c r="AF543" s="1053"/>
      <c r="AG543" s="1053"/>
      <c r="AH543" s="1053"/>
      <c r="AI543" s="1053"/>
      <c r="AJ543" s="1053"/>
      <c r="AK543" s="1053"/>
      <c r="AL543" s="1053"/>
      <c r="AM543" s="1053"/>
      <c r="AN543" s="1053"/>
      <c r="AO543" s="1053"/>
      <c r="AP543" s="1053"/>
      <c r="AQ543" s="1053"/>
      <c r="AR543" s="1053"/>
      <c r="AS543" s="1053"/>
      <c r="AT543" s="1053"/>
      <c r="AU543" s="1053"/>
      <c r="AV543" s="1053"/>
      <c r="AW543" s="1053"/>
      <c r="AX543" s="1053"/>
      <c r="AY543" s="1053"/>
      <c r="AZ543" s="1053"/>
      <c r="BA543" s="1053"/>
      <c r="BB543" s="1053"/>
      <c r="BC543" s="1053"/>
      <c r="BD543" s="1053"/>
      <c r="BE543" s="1053"/>
      <c r="BF543" s="1053"/>
      <c r="BG543" s="1053"/>
      <c r="BH543" s="1053"/>
      <c r="BI543" s="1053"/>
      <c r="BJ543" s="1053"/>
      <c r="BK543" s="1053"/>
      <c r="BL543" s="1053"/>
      <c r="BM543" s="1053"/>
      <c r="BN543" s="1053"/>
      <c r="BO543" s="1053"/>
      <c r="BP543" s="1053"/>
      <c r="BQ543" s="1053"/>
      <c r="BR543" s="1053"/>
      <c r="BS543" s="1053"/>
      <c r="BT543" s="1053"/>
      <c r="BU543" s="1053"/>
      <c r="BV543" s="1053"/>
      <c r="BW543" s="1053"/>
      <c r="BX543" s="1053"/>
      <c r="BY543" s="1053"/>
      <c r="BZ543" s="1053"/>
      <c r="CA543" s="1053"/>
      <c r="CB543" s="1053"/>
      <c r="CC543" s="1053"/>
      <c r="CD543" s="1053"/>
      <c r="CE543" s="1053"/>
      <c r="CF543" s="1053"/>
      <c r="CG543" s="1053"/>
      <c r="CH543" s="1053"/>
      <c r="CI543" s="1053"/>
      <c r="CJ543" s="1053"/>
      <c r="CK543" s="1053"/>
      <c r="CL543" s="1053"/>
      <c r="CM543" s="1053"/>
      <c r="CN543" s="1053"/>
      <c r="CO543" s="1053"/>
      <c r="CP543" s="1053"/>
      <c r="CQ543" s="1053"/>
      <c r="CR543" s="1053"/>
      <c r="CS543" s="1053"/>
      <c r="CT543" s="1053"/>
      <c r="CU543" s="1053"/>
      <c r="CV543" s="1053"/>
      <c r="CW543" s="1053"/>
      <c r="CX543" s="1053"/>
      <c r="CY543" s="1053"/>
      <c r="CZ543" s="1053"/>
      <c r="DA543" s="1053"/>
      <c r="DB543" s="1053"/>
      <c r="DC543" s="1053"/>
      <c r="DD543" s="1053"/>
      <c r="DE543" s="1053"/>
      <c r="DF543" s="1053"/>
      <c r="DG543" s="1053"/>
      <c r="DH543" s="1053"/>
      <c r="DI543" s="1053"/>
      <c r="DJ543" s="1053"/>
      <c r="DK543" s="1053"/>
      <c r="DL543" s="1053"/>
      <c r="DM543" s="1053"/>
      <c r="DN543" s="1053"/>
      <c r="DO543" s="1053"/>
      <c r="DP543" s="1053"/>
      <c r="DQ543" s="1053"/>
      <c r="DR543" s="1053"/>
      <c r="DS543" s="1053"/>
      <c r="DT543" s="1053"/>
      <c r="DU543" s="1053"/>
      <c r="DV543" s="1053"/>
      <c r="DW543" s="1053"/>
      <c r="DX543" s="1053"/>
      <c r="DY543" s="1053"/>
      <c r="DZ543" s="1053"/>
      <c r="EA543" s="1053"/>
      <c r="EB543" s="1053"/>
      <c r="EC543" s="1053"/>
      <c r="ED543" s="1053"/>
      <c r="EE543" s="1053"/>
      <c r="EF543" s="1053"/>
      <c r="EG543" s="1053"/>
      <c r="EH543" s="1053"/>
      <c r="EI543" s="1053"/>
      <c r="EJ543" s="1053"/>
      <c r="EK543" s="1053"/>
      <c r="EL543" s="1053"/>
      <c r="EM543" s="1053"/>
      <c r="EN543" s="1053"/>
      <c r="EO543" s="1053"/>
      <c r="EP543" s="1053"/>
      <c r="EQ543" s="1053"/>
      <c r="ER543" s="1053"/>
      <c r="ES543" s="1053"/>
      <c r="ET543" s="1053"/>
      <c r="EU543" s="1053"/>
      <c r="EV543" s="1053"/>
      <c r="EW543" s="1053"/>
      <c r="EX543" s="1053"/>
      <c r="EY543" s="1053"/>
      <c r="EZ543" s="1053"/>
      <c r="FA543" s="1053"/>
      <c r="FB543" s="1053"/>
      <c r="FC543" s="1053"/>
      <c r="FD543" s="1053"/>
      <c r="FE543" s="1053"/>
      <c r="FF543" s="1053"/>
      <c r="FG543" s="1053"/>
      <c r="FH543" s="1053"/>
      <c r="FI543" s="1053"/>
      <c r="FJ543" s="1053"/>
      <c r="FK543" s="1053"/>
      <c r="FL543" s="1053"/>
      <c r="FM543" s="1053"/>
      <c r="FN543" s="1053"/>
      <c r="FO543" s="1053"/>
      <c r="FP543" s="1053"/>
      <c r="FQ543" s="1053"/>
      <c r="FR543" s="1053"/>
      <c r="FS543" s="1053"/>
      <c r="FT543" s="1053"/>
      <c r="FU543" s="1053"/>
      <c r="FV543" s="1053"/>
      <c r="FW543" s="1053"/>
      <c r="FX543" s="1053"/>
      <c r="FY543" s="1053"/>
      <c r="FZ543" s="1053"/>
      <c r="GA543" s="1053"/>
      <c r="GB543" s="1053"/>
      <c r="GC543" s="1053"/>
      <c r="GD543" s="1053"/>
      <c r="GE543" s="1053"/>
      <c r="GF543" s="1053"/>
      <c r="GG543" s="1053"/>
      <c r="GH543" s="1053"/>
      <c r="GI543" s="1053"/>
      <c r="GJ543" s="1053"/>
      <c r="GK543" s="1053"/>
      <c r="GL543" s="1053"/>
      <c r="GM543" s="1053"/>
      <c r="GN543" s="1053"/>
      <c r="GO543" s="1053"/>
      <c r="GP543" s="1053"/>
      <c r="GQ543" s="1053"/>
      <c r="GR543" s="1053"/>
      <c r="GS543" s="1053"/>
      <c r="GT543" s="1053"/>
      <c r="GU543" s="1053"/>
      <c r="GV543" s="1053"/>
      <c r="GW543" s="1053"/>
      <c r="GX543" s="1053"/>
      <c r="GY543" s="1053"/>
      <c r="GZ543" s="1053"/>
      <c r="HA543" s="1053"/>
      <c r="HB543" s="1053"/>
      <c r="HC543" s="1053"/>
      <c r="HD543" s="1053"/>
      <c r="HE543" s="1053"/>
      <c r="HF543" s="1053"/>
      <c r="HG543" s="1053"/>
      <c r="HH543" s="1053"/>
      <c r="HI543" s="1053"/>
      <c r="HJ543" s="1053"/>
      <c r="HK543" s="1053"/>
      <c r="HL543" s="1053"/>
      <c r="HM543" s="1053"/>
      <c r="HN543" s="1053"/>
      <c r="HO543" s="1053"/>
      <c r="HP543" s="1053"/>
      <c r="HQ543" s="1053"/>
      <c r="HR543" s="1053"/>
      <c r="HS543" s="1053"/>
      <c r="HT543" s="1053"/>
      <c r="HU543" s="1053"/>
      <c r="HV543" s="1053"/>
      <c r="HW543" s="1053"/>
      <c r="HX543" s="1053"/>
      <c r="HY543" s="1053"/>
      <c r="HZ543" s="1053"/>
      <c r="IA543" s="1053"/>
      <c r="IB543" s="1053"/>
      <c r="IC543" s="1053"/>
      <c r="ID543" s="1053"/>
      <c r="IE543" s="1053"/>
      <c r="IF543" s="1053"/>
      <c r="IG543" s="1053"/>
      <c r="IH543" s="1053"/>
      <c r="II543" s="1053"/>
      <c r="IJ543" s="1053"/>
      <c r="IK543" s="1053"/>
      <c r="IL543" s="1053"/>
      <c r="IM543" s="1053"/>
      <c r="IN543" s="1053"/>
    </row>
    <row r="544" spans="1:248" s="1072" customFormat="1">
      <c r="A544" s="1054"/>
      <c r="G544" s="1053"/>
      <c r="H544" s="1053"/>
      <c r="I544" s="1053"/>
      <c r="J544" s="1053"/>
      <c r="K544" s="1053"/>
      <c r="L544" s="1053"/>
      <c r="M544" s="1053"/>
      <c r="N544" s="1053"/>
      <c r="O544" s="1053"/>
      <c r="P544" s="1053"/>
      <c r="Q544" s="1053"/>
      <c r="R544" s="1053"/>
      <c r="S544" s="1053"/>
      <c r="T544" s="1053"/>
      <c r="U544" s="1053"/>
      <c r="V544" s="1053"/>
      <c r="W544" s="1053"/>
      <c r="X544" s="1053"/>
      <c r="Y544" s="1053"/>
      <c r="Z544" s="1053"/>
      <c r="AA544" s="1053"/>
      <c r="AB544" s="1053"/>
      <c r="AC544" s="1053"/>
      <c r="AD544" s="1053"/>
      <c r="AE544" s="1053"/>
      <c r="AF544" s="1053"/>
      <c r="AG544" s="1053"/>
      <c r="AH544" s="1053"/>
      <c r="AI544" s="1053"/>
      <c r="AJ544" s="1053"/>
      <c r="AK544" s="1053"/>
      <c r="AL544" s="1053"/>
      <c r="AM544" s="1053"/>
      <c r="AN544" s="1053"/>
      <c r="AO544" s="1053"/>
      <c r="AP544" s="1053"/>
      <c r="AQ544" s="1053"/>
      <c r="AR544" s="1053"/>
      <c r="AS544" s="1053"/>
      <c r="AT544" s="1053"/>
      <c r="AU544" s="1053"/>
      <c r="AV544" s="1053"/>
      <c r="AW544" s="1053"/>
      <c r="AX544" s="1053"/>
      <c r="AY544" s="1053"/>
      <c r="AZ544" s="1053"/>
      <c r="BA544" s="1053"/>
      <c r="BB544" s="1053"/>
      <c r="BC544" s="1053"/>
      <c r="BD544" s="1053"/>
      <c r="BE544" s="1053"/>
      <c r="BF544" s="1053"/>
      <c r="BG544" s="1053"/>
      <c r="BH544" s="1053"/>
      <c r="BI544" s="1053"/>
      <c r="BJ544" s="1053"/>
      <c r="BK544" s="1053"/>
      <c r="BL544" s="1053"/>
      <c r="BM544" s="1053"/>
      <c r="BN544" s="1053"/>
      <c r="BO544" s="1053"/>
      <c r="BP544" s="1053"/>
      <c r="BQ544" s="1053"/>
      <c r="BR544" s="1053"/>
      <c r="BS544" s="1053"/>
      <c r="BT544" s="1053"/>
      <c r="BU544" s="1053"/>
      <c r="BV544" s="1053"/>
      <c r="BW544" s="1053"/>
      <c r="BX544" s="1053"/>
      <c r="BY544" s="1053"/>
      <c r="BZ544" s="1053"/>
      <c r="CA544" s="1053"/>
      <c r="CB544" s="1053"/>
      <c r="CC544" s="1053"/>
      <c r="CD544" s="1053"/>
      <c r="CE544" s="1053"/>
      <c r="CF544" s="1053"/>
      <c r="CG544" s="1053"/>
      <c r="CH544" s="1053"/>
      <c r="CI544" s="1053"/>
      <c r="CJ544" s="1053"/>
      <c r="CK544" s="1053"/>
      <c r="CL544" s="1053"/>
      <c r="CM544" s="1053"/>
      <c r="CN544" s="1053"/>
      <c r="CO544" s="1053"/>
      <c r="CP544" s="1053"/>
      <c r="CQ544" s="1053"/>
      <c r="CR544" s="1053"/>
      <c r="CS544" s="1053"/>
      <c r="CT544" s="1053"/>
      <c r="CU544" s="1053"/>
      <c r="CV544" s="1053"/>
      <c r="CW544" s="1053"/>
      <c r="CX544" s="1053"/>
      <c r="CY544" s="1053"/>
      <c r="CZ544" s="1053"/>
      <c r="DA544" s="1053"/>
      <c r="DB544" s="1053"/>
      <c r="DC544" s="1053"/>
      <c r="DD544" s="1053"/>
      <c r="DE544" s="1053"/>
      <c r="DF544" s="1053"/>
      <c r="DG544" s="1053"/>
      <c r="DH544" s="1053"/>
      <c r="DI544" s="1053"/>
      <c r="DJ544" s="1053"/>
      <c r="DK544" s="1053"/>
      <c r="DL544" s="1053"/>
      <c r="DM544" s="1053"/>
      <c r="DN544" s="1053"/>
      <c r="DO544" s="1053"/>
      <c r="DP544" s="1053"/>
      <c r="DQ544" s="1053"/>
      <c r="DR544" s="1053"/>
      <c r="DS544" s="1053"/>
      <c r="DT544" s="1053"/>
      <c r="DU544" s="1053"/>
      <c r="DV544" s="1053"/>
      <c r="DW544" s="1053"/>
      <c r="DX544" s="1053"/>
      <c r="DY544" s="1053"/>
      <c r="DZ544" s="1053"/>
      <c r="EA544" s="1053"/>
      <c r="EB544" s="1053"/>
      <c r="EC544" s="1053"/>
      <c r="ED544" s="1053"/>
      <c r="EE544" s="1053"/>
      <c r="EF544" s="1053"/>
      <c r="EG544" s="1053"/>
      <c r="EH544" s="1053"/>
      <c r="EI544" s="1053"/>
      <c r="EJ544" s="1053"/>
      <c r="EK544" s="1053"/>
      <c r="EL544" s="1053"/>
      <c r="EM544" s="1053"/>
      <c r="EN544" s="1053"/>
      <c r="EO544" s="1053"/>
      <c r="EP544" s="1053"/>
      <c r="EQ544" s="1053"/>
      <c r="ER544" s="1053"/>
      <c r="ES544" s="1053"/>
      <c r="ET544" s="1053"/>
      <c r="EU544" s="1053"/>
      <c r="EV544" s="1053"/>
      <c r="EW544" s="1053"/>
      <c r="EX544" s="1053"/>
      <c r="EY544" s="1053"/>
      <c r="EZ544" s="1053"/>
      <c r="FA544" s="1053"/>
      <c r="FB544" s="1053"/>
      <c r="FC544" s="1053"/>
      <c r="FD544" s="1053"/>
      <c r="FE544" s="1053"/>
      <c r="FF544" s="1053"/>
      <c r="FG544" s="1053"/>
      <c r="FH544" s="1053"/>
      <c r="FI544" s="1053"/>
      <c r="FJ544" s="1053"/>
      <c r="FK544" s="1053"/>
      <c r="FL544" s="1053"/>
      <c r="FM544" s="1053"/>
      <c r="FN544" s="1053"/>
      <c r="FO544" s="1053"/>
      <c r="FP544" s="1053"/>
      <c r="FQ544" s="1053"/>
      <c r="FR544" s="1053"/>
      <c r="FS544" s="1053"/>
      <c r="FT544" s="1053"/>
      <c r="FU544" s="1053"/>
      <c r="FV544" s="1053"/>
      <c r="FW544" s="1053"/>
      <c r="FX544" s="1053"/>
      <c r="FY544" s="1053"/>
      <c r="FZ544" s="1053"/>
      <c r="GA544" s="1053"/>
      <c r="GB544" s="1053"/>
      <c r="GC544" s="1053"/>
      <c r="GD544" s="1053"/>
      <c r="GE544" s="1053"/>
      <c r="GF544" s="1053"/>
      <c r="GG544" s="1053"/>
      <c r="GH544" s="1053"/>
      <c r="GI544" s="1053"/>
      <c r="GJ544" s="1053"/>
      <c r="GK544" s="1053"/>
      <c r="GL544" s="1053"/>
      <c r="GM544" s="1053"/>
      <c r="GN544" s="1053"/>
      <c r="GO544" s="1053"/>
      <c r="GP544" s="1053"/>
      <c r="GQ544" s="1053"/>
      <c r="GR544" s="1053"/>
      <c r="GS544" s="1053"/>
      <c r="GT544" s="1053"/>
      <c r="GU544" s="1053"/>
      <c r="GV544" s="1053"/>
      <c r="GW544" s="1053"/>
      <c r="GX544" s="1053"/>
      <c r="GY544" s="1053"/>
      <c r="GZ544" s="1053"/>
      <c r="HA544" s="1053"/>
      <c r="HB544" s="1053"/>
      <c r="HC544" s="1053"/>
      <c r="HD544" s="1053"/>
      <c r="HE544" s="1053"/>
      <c r="HF544" s="1053"/>
      <c r="HG544" s="1053"/>
      <c r="HH544" s="1053"/>
      <c r="HI544" s="1053"/>
      <c r="HJ544" s="1053"/>
      <c r="HK544" s="1053"/>
      <c r="HL544" s="1053"/>
      <c r="HM544" s="1053"/>
      <c r="HN544" s="1053"/>
      <c r="HO544" s="1053"/>
      <c r="HP544" s="1053"/>
      <c r="HQ544" s="1053"/>
      <c r="HR544" s="1053"/>
      <c r="HS544" s="1053"/>
      <c r="HT544" s="1053"/>
      <c r="HU544" s="1053"/>
      <c r="HV544" s="1053"/>
      <c r="HW544" s="1053"/>
      <c r="HX544" s="1053"/>
      <c r="HY544" s="1053"/>
      <c r="HZ544" s="1053"/>
      <c r="IA544" s="1053"/>
      <c r="IB544" s="1053"/>
      <c r="IC544" s="1053"/>
      <c r="ID544" s="1053"/>
      <c r="IE544" s="1053"/>
      <c r="IF544" s="1053"/>
      <c r="IG544" s="1053"/>
      <c r="IH544" s="1053"/>
      <c r="II544" s="1053"/>
      <c r="IJ544" s="1053"/>
      <c r="IK544" s="1053"/>
      <c r="IL544" s="1053"/>
      <c r="IM544" s="1053"/>
      <c r="IN544" s="1053"/>
    </row>
    <row r="545" spans="1:248" s="1072" customFormat="1">
      <c r="A545" s="1054"/>
      <c r="G545" s="1053"/>
      <c r="H545" s="1053"/>
      <c r="I545" s="1053"/>
      <c r="J545" s="1053"/>
      <c r="K545" s="1053"/>
      <c r="L545" s="1053"/>
      <c r="M545" s="1053"/>
      <c r="N545" s="1053"/>
      <c r="O545" s="1053"/>
      <c r="P545" s="1053"/>
      <c r="Q545" s="1053"/>
      <c r="R545" s="1053"/>
      <c r="S545" s="1053"/>
      <c r="T545" s="1053"/>
      <c r="U545" s="1053"/>
      <c r="V545" s="1053"/>
      <c r="W545" s="1053"/>
      <c r="X545" s="1053"/>
      <c r="Y545" s="1053"/>
      <c r="Z545" s="1053"/>
      <c r="AA545" s="1053"/>
      <c r="AB545" s="1053"/>
      <c r="AC545" s="1053"/>
      <c r="AD545" s="1053"/>
      <c r="AE545" s="1053"/>
      <c r="AF545" s="1053"/>
      <c r="AG545" s="1053"/>
      <c r="AH545" s="1053"/>
      <c r="AI545" s="1053"/>
      <c r="AJ545" s="1053"/>
      <c r="AK545" s="1053"/>
      <c r="AL545" s="1053"/>
      <c r="AM545" s="1053"/>
      <c r="AN545" s="1053"/>
      <c r="AO545" s="1053"/>
      <c r="AP545" s="1053"/>
      <c r="AQ545" s="1053"/>
      <c r="AR545" s="1053"/>
      <c r="AS545" s="1053"/>
      <c r="AT545" s="1053"/>
      <c r="AU545" s="1053"/>
      <c r="AV545" s="1053"/>
      <c r="AW545" s="1053"/>
      <c r="AX545" s="1053"/>
      <c r="AY545" s="1053"/>
      <c r="AZ545" s="1053"/>
      <c r="BA545" s="1053"/>
      <c r="BB545" s="1053"/>
      <c r="BC545" s="1053"/>
      <c r="BD545" s="1053"/>
      <c r="BE545" s="1053"/>
      <c r="BF545" s="1053"/>
      <c r="BG545" s="1053"/>
      <c r="BH545" s="1053"/>
      <c r="BI545" s="1053"/>
      <c r="BJ545" s="1053"/>
      <c r="BK545" s="1053"/>
      <c r="BL545" s="1053"/>
      <c r="BM545" s="1053"/>
      <c r="BN545" s="1053"/>
      <c r="BO545" s="1053"/>
      <c r="BP545" s="1053"/>
      <c r="BQ545" s="1053"/>
      <c r="BR545" s="1053"/>
      <c r="BS545" s="1053"/>
      <c r="BT545" s="1053"/>
      <c r="BU545" s="1053"/>
      <c r="BV545" s="1053"/>
      <c r="BW545" s="1053"/>
      <c r="BX545" s="1053"/>
      <c r="BY545" s="1053"/>
      <c r="BZ545" s="1053"/>
      <c r="CA545" s="1053"/>
      <c r="CB545" s="1053"/>
      <c r="CC545" s="1053"/>
      <c r="CD545" s="1053"/>
      <c r="CE545" s="1053"/>
      <c r="CF545" s="1053"/>
      <c r="CG545" s="1053"/>
      <c r="CH545" s="1053"/>
      <c r="CI545" s="1053"/>
      <c r="CJ545" s="1053"/>
      <c r="CK545" s="1053"/>
      <c r="CL545" s="1053"/>
      <c r="CM545" s="1053"/>
      <c r="CN545" s="1053"/>
      <c r="CO545" s="1053"/>
      <c r="CP545" s="1053"/>
      <c r="CQ545" s="1053"/>
      <c r="CR545" s="1053"/>
      <c r="CS545" s="1053"/>
      <c r="CT545" s="1053"/>
      <c r="CU545" s="1053"/>
      <c r="CV545" s="1053"/>
      <c r="CW545" s="1053"/>
      <c r="CX545" s="1053"/>
      <c r="CY545" s="1053"/>
      <c r="CZ545" s="1053"/>
      <c r="DA545" s="1053"/>
      <c r="DB545" s="1053"/>
      <c r="DC545" s="1053"/>
      <c r="DD545" s="1053"/>
      <c r="DE545" s="1053"/>
      <c r="DF545" s="1053"/>
      <c r="DG545" s="1053"/>
      <c r="DH545" s="1053"/>
      <c r="DI545" s="1053"/>
      <c r="DJ545" s="1053"/>
      <c r="DK545" s="1053"/>
      <c r="DL545" s="1053"/>
      <c r="DM545" s="1053"/>
      <c r="DN545" s="1053"/>
      <c r="DO545" s="1053"/>
      <c r="DP545" s="1053"/>
      <c r="DQ545" s="1053"/>
      <c r="DR545" s="1053"/>
      <c r="DS545" s="1053"/>
      <c r="DT545" s="1053"/>
      <c r="DU545" s="1053"/>
      <c r="DV545" s="1053"/>
      <c r="DW545" s="1053"/>
      <c r="DX545" s="1053"/>
      <c r="DY545" s="1053"/>
      <c r="DZ545" s="1053"/>
      <c r="EA545" s="1053"/>
      <c r="EB545" s="1053"/>
      <c r="EC545" s="1053"/>
      <c r="ED545" s="1053"/>
      <c r="EE545" s="1053"/>
      <c r="EF545" s="1053"/>
      <c r="EG545" s="1053"/>
      <c r="EH545" s="1053"/>
      <c r="EI545" s="1053"/>
      <c r="EJ545" s="1053"/>
      <c r="EK545" s="1053"/>
      <c r="EL545" s="1053"/>
      <c r="EM545" s="1053"/>
      <c r="EN545" s="1053"/>
      <c r="EO545" s="1053"/>
      <c r="EP545" s="1053"/>
      <c r="EQ545" s="1053"/>
      <c r="ER545" s="1053"/>
      <c r="ES545" s="1053"/>
      <c r="ET545" s="1053"/>
      <c r="EU545" s="1053"/>
      <c r="EV545" s="1053"/>
      <c r="EW545" s="1053"/>
      <c r="EX545" s="1053"/>
      <c r="EY545" s="1053"/>
      <c r="EZ545" s="1053"/>
      <c r="FA545" s="1053"/>
      <c r="FB545" s="1053"/>
      <c r="FC545" s="1053"/>
      <c r="FD545" s="1053"/>
      <c r="FE545" s="1053"/>
      <c r="FF545" s="1053"/>
      <c r="FG545" s="1053"/>
      <c r="FH545" s="1053"/>
      <c r="FI545" s="1053"/>
      <c r="FJ545" s="1053"/>
      <c r="FK545" s="1053"/>
      <c r="FL545" s="1053"/>
      <c r="FM545" s="1053"/>
      <c r="FN545" s="1053"/>
      <c r="FO545" s="1053"/>
      <c r="FP545" s="1053"/>
      <c r="FQ545" s="1053"/>
      <c r="FR545" s="1053"/>
      <c r="FS545" s="1053"/>
      <c r="FT545" s="1053"/>
      <c r="FU545" s="1053"/>
      <c r="FV545" s="1053"/>
      <c r="FW545" s="1053"/>
      <c r="FX545" s="1053"/>
      <c r="FY545" s="1053"/>
      <c r="FZ545" s="1053"/>
      <c r="GA545" s="1053"/>
      <c r="GB545" s="1053"/>
      <c r="GC545" s="1053"/>
      <c r="GD545" s="1053"/>
      <c r="GE545" s="1053"/>
      <c r="GF545" s="1053"/>
      <c r="GG545" s="1053"/>
      <c r="GH545" s="1053"/>
      <c r="GI545" s="1053"/>
      <c r="GJ545" s="1053"/>
      <c r="GK545" s="1053"/>
      <c r="GL545" s="1053"/>
      <c r="GM545" s="1053"/>
      <c r="GN545" s="1053"/>
      <c r="GO545" s="1053"/>
      <c r="GP545" s="1053"/>
      <c r="GQ545" s="1053"/>
      <c r="GR545" s="1053"/>
      <c r="GS545" s="1053"/>
      <c r="GT545" s="1053"/>
      <c r="GU545" s="1053"/>
      <c r="GV545" s="1053"/>
      <c r="GW545" s="1053"/>
      <c r="GX545" s="1053"/>
      <c r="GY545" s="1053"/>
      <c r="GZ545" s="1053"/>
      <c r="HA545" s="1053"/>
      <c r="HB545" s="1053"/>
      <c r="HC545" s="1053"/>
      <c r="HD545" s="1053"/>
      <c r="HE545" s="1053"/>
      <c r="HF545" s="1053"/>
      <c r="HG545" s="1053"/>
      <c r="HH545" s="1053"/>
      <c r="HI545" s="1053"/>
      <c r="HJ545" s="1053"/>
      <c r="HK545" s="1053"/>
      <c r="HL545" s="1053"/>
      <c r="HM545" s="1053"/>
      <c r="HN545" s="1053"/>
      <c r="HO545" s="1053"/>
      <c r="HP545" s="1053"/>
      <c r="HQ545" s="1053"/>
      <c r="HR545" s="1053"/>
      <c r="HS545" s="1053"/>
      <c r="HT545" s="1053"/>
      <c r="HU545" s="1053"/>
      <c r="HV545" s="1053"/>
      <c r="HW545" s="1053"/>
      <c r="HX545" s="1053"/>
      <c r="HY545" s="1053"/>
      <c r="HZ545" s="1053"/>
      <c r="IA545" s="1053"/>
      <c r="IB545" s="1053"/>
      <c r="IC545" s="1053"/>
      <c r="ID545" s="1053"/>
      <c r="IE545" s="1053"/>
      <c r="IF545" s="1053"/>
      <c r="IG545" s="1053"/>
      <c r="IH545" s="1053"/>
      <c r="II545" s="1053"/>
      <c r="IJ545" s="1053"/>
      <c r="IK545" s="1053"/>
      <c r="IL545" s="1053"/>
      <c r="IM545" s="1053"/>
      <c r="IN545" s="1053"/>
    </row>
    <row r="546" spans="1:248" s="1072" customFormat="1">
      <c r="A546" s="1054"/>
      <c r="G546" s="1053"/>
      <c r="H546" s="1053"/>
      <c r="I546" s="1053"/>
      <c r="J546" s="1053"/>
      <c r="K546" s="1053"/>
      <c r="L546" s="1053"/>
      <c r="M546" s="1053"/>
      <c r="N546" s="1053"/>
      <c r="O546" s="1053"/>
      <c r="P546" s="1053"/>
      <c r="Q546" s="1053"/>
      <c r="R546" s="1053"/>
      <c r="S546" s="1053"/>
      <c r="T546" s="1053"/>
      <c r="U546" s="1053"/>
      <c r="V546" s="1053"/>
      <c r="W546" s="1053"/>
      <c r="X546" s="1053"/>
      <c r="Y546" s="1053"/>
      <c r="Z546" s="1053"/>
      <c r="AA546" s="1053"/>
      <c r="AB546" s="1053"/>
      <c r="AC546" s="1053"/>
      <c r="AD546" s="1053"/>
      <c r="AE546" s="1053"/>
      <c r="AF546" s="1053"/>
      <c r="AG546" s="1053"/>
      <c r="AH546" s="1053"/>
      <c r="AI546" s="1053"/>
      <c r="AJ546" s="1053"/>
      <c r="AK546" s="1053"/>
      <c r="AL546" s="1053"/>
      <c r="AM546" s="1053"/>
      <c r="AN546" s="1053"/>
      <c r="AO546" s="1053"/>
      <c r="AP546" s="1053"/>
      <c r="AQ546" s="1053"/>
      <c r="AR546" s="1053"/>
      <c r="AS546" s="1053"/>
      <c r="AT546" s="1053"/>
      <c r="AU546" s="1053"/>
      <c r="AV546" s="1053"/>
      <c r="AW546" s="1053"/>
      <c r="AX546" s="1053"/>
      <c r="AY546" s="1053"/>
      <c r="AZ546" s="1053"/>
      <c r="BA546" s="1053"/>
      <c r="BB546" s="1053"/>
      <c r="BC546" s="1053"/>
      <c r="BD546" s="1053"/>
      <c r="BE546" s="1053"/>
      <c r="BF546" s="1053"/>
      <c r="BG546" s="1053"/>
      <c r="BH546" s="1053"/>
      <c r="BI546" s="1053"/>
      <c r="BJ546" s="1053"/>
      <c r="BK546" s="1053"/>
      <c r="BL546" s="1053"/>
      <c r="BM546" s="1053"/>
      <c r="BN546" s="1053"/>
      <c r="BO546" s="1053"/>
      <c r="BP546" s="1053"/>
      <c r="BQ546" s="1053"/>
      <c r="BR546" s="1053"/>
      <c r="BS546" s="1053"/>
      <c r="BT546" s="1053"/>
      <c r="BU546" s="1053"/>
      <c r="BV546" s="1053"/>
      <c r="BW546" s="1053"/>
      <c r="BX546" s="1053"/>
      <c r="BY546" s="1053"/>
      <c r="BZ546" s="1053"/>
      <c r="CA546" s="1053"/>
      <c r="CB546" s="1053"/>
      <c r="CC546" s="1053"/>
      <c r="CD546" s="1053"/>
      <c r="CE546" s="1053"/>
      <c r="CF546" s="1053"/>
      <c r="CG546" s="1053"/>
      <c r="CH546" s="1053"/>
      <c r="CI546" s="1053"/>
      <c r="CJ546" s="1053"/>
      <c r="CK546" s="1053"/>
      <c r="CL546" s="1053"/>
      <c r="CM546" s="1053"/>
      <c r="CN546" s="1053"/>
      <c r="CO546" s="1053"/>
      <c r="CP546" s="1053"/>
      <c r="CQ546" s="1053"/>
      <c r="CR546" s="1053"/>
      <c r="CS546" s="1053"/>
      <c r="CT546" s="1053"/>
      <c r="CU546" s="1053"/>
      <c r="CV546" s="1053"/>
      <c r="CW546" s="1053"/>
      <c r="CX546" s="1053"/>
      <c r="CY546" s="1053"/>
      <c r="CZ546" s="1053"/>
      <c r="DA546" s="1053"/>
      <c r="DB546" s="1053"/>
      <c r="DC546" s="1053"/>
      <c r="DD546" s="1053"/>
      <c r="DE546" s="1053"/>
      <c r="DF546" s="1053"/>
      <c r="DG546" s="1053"/>
      <c r="DH546" s="1053"/>
      <c r="DI546" s="1053"/>
      <c r="DJ546" s="1053"/>
      <c r="DK546" s="1053"/>
      <c r="DL546" s="1053"/>
      <c r="DM546" s="1053"/>
      <c r="DN546" s="1053"/>
      <c r="DO546" s="1053"/>
      <c r="DP546" s="1053"/>
      <c r="DQ546" s="1053"/>
      <c r="DR546" s="1053"/>
      <c r="DS546" s="1053"/>
      <c r="DT546" s="1053"/>
      <c r="DU546" s="1053"/>
      <c r="DV546" s="1053"/>
      <c r="DW546" s="1053"/>
      <c r="DX546" s="1053"/>
      <c r="DY546" s="1053"/>
      <c r="DZ546" s="1053"/>
      <c r="EA546" s="1053"/>
      <c r="EB546" s="1053"/>
      <c r="EC546" s="1053"/>
      <c r="ED546" s="1053"/>
      <c r="EE546" s="1053"/>
      <c r="EF546" s="1053"/>
      <c r="EG546" s="1053"/>
      <c r="EH546" s="1053"/>
      <c r="EI546" s="1053"/>
      <c r="EJ546" s="1053"/>
      <c r="EK546" s="1053"/>
      <c r="EL546" s="1053"/>
      <c r="EM546" s="1053"/>
      <c r="EN546" s="1053"/>
      <c r="EO546" s="1053"/>
      <c r="EP546" s="1053"/>
      <c r="EQ546" s="1053"/>
      <c r="ER546" s="1053"/>
      <c r="ES546" s="1053"/>
      <c r="ET546" s="1053"/>
      <c r="EU546" s="1053"/>
      <c r="EV546" s="1053"/>
      <c r="EW546" s="1053"/>
      <c r="EX546" s="1053"/>
      <c r="EY546" s="1053"/>
      <c r="EZ546" s="1053"/>
      <c r="FA546" s="1053"/>
      <c r="FB546" s="1053"/>
      <c r="FC546" s="1053"/>
      <c r="FD546" s="1053"/>
      <c r="FE546" s="1053"/>
      <c r="FF546" s="1053"/>
      <c r="FG546" s="1053"/>
      <c r="FH546" s="1053"/>
      <c r="FI546" s="1053"/>
      <c r="FJ546" s="1053"/>
      <c r="FK546" s="1053"/>
      <c r="FL546" s="1053"/>
      <c r="FM546" s="1053"/>
      <c r="FN546" s="1053"/>
      <c r="FO546" s="1053"/>
      <c r="FP546" s="1053"/>
      <c r="FQ546" s="1053"/>
      <c r="FR546" s="1053"/>
      <c r="FS546" s="1053"/>
      <c r="FT546" s="1053"/>
      <c r="FU546" s="1053"/>
      <c r="FV546" s="1053"/>
      <c r="FW546" s="1053"/>
      <c r="FX546" s="1053"/>
      <c r="FY546" s="1053"/>
      <c r="FZ546" s="1053"/>
      <c r="GA546" s="1053"/>
      <c r="GB546" s="1053"/>
      <c r="GC546" s="1053"/>
      <c r="GD546" s="1053"/>
      <c r="GE546" s="1053"/>
      <c r="GF546" s="1053"/>
      <c r="GG546" s="1053"/>
      <c r="GH546" s="1053"/>
      <c r="GI546" s="1053"/>
      <c r="GJ546" s="1053"/>
      <c r="GK546" s="1053"/>
      <c r="GL546" s="1053"/>
      <c r="GM546" s="1053"/>
      <c r="GN546" s="1053"/>
      <c r="GO546" s="1053"/>
      <c r="GP546" s="1053"/>
      <c r="GQ546" s="1053"/>
      <c r="GR546" s="1053"/>
      <c r="GS546" s="1053"/>
      <c r="GT546" s="1053"/>
      <c r="GU546" s="1053"/>
      <c r="GV546" s="1053"/>
      <c r="GW546" s="1053"/>
      <c r="GX546" s="1053"/>
      <c r="GY546" s="1053"/>
      <c r="GZ546" s="1053"/>
      <c r="HA546" s="1053"/>
      <c r="HB546" s="1053"/>
      <c r="HC546" s="1053"/>
      <c r="HD546" s="1053"/>
      <c r="HE546" s="1053"/>
      <c r="HF546" s="1053"/>
      <c r="HG546" s="1053"/>
      <c r="HH546" s="1053"/>
      <c r="HI546" s="1053"/>
      <c r="HJ546" s="1053"/>
      <c r="HK546" s="1053"/>
      <c r="HL546" s="1053"/>
      <c r="HM546" s="1053"/>
      <c r="HN546" s="1053"/>
      <c r="HO546" s="1053"/>
      <c r="HP546" s="1053"/>
      <c r="HQ546" s="1053"/>
      <c r="HR546" s="1053"/>
      <c r="HS546" s="1053"/>
      <c r="HT546" s="1053"/>
      <c r="HU546" s="1053"/>
      <c r="HV546" s="1053"/>
      <c r="HW546" s="1053"/>
      <c r="HX546" s="1053"/>
      <c r="HY546" s="1053"/>
      <c r="HZ546" s="1053"/>
      <c r="IA546" s="1053"/>
      <c r="IB546" s="1053"/>
      <c r="IC546" s="1053"/>
      <c r="ID546" s="1053"/>
      <c r="IE546" s="1053"/>
      <c r="IF546" s="1053"/>
      <c r="IG546" s="1053"/>
      <c r="IH546" s="1053"/>
      <c r="II546" s="1053"/>
      <c r="IJ546" s="1053"/>
      <c r="IK546" s="1053"/>
      <c r="IL546" s="1053"/>
      <c r="IM546" s="1053"/>
      <c r="IN546" s="1053"/>
    </row>
    <row r="548" spans="1:248" s="1072" customFormat="1">
      <c r="A548" s="1057"/>
      <c r="G548" s="1053"/>
      <c r="H548" s="1053"/>
      <c r="I548" s="1053"/>
      <c r="J548" s="1053"/>
      <c r="K548" s="1053"/>
      <c r="L548" s="1053"/>
      <c r="M548" s="1053"/>
      <c r="N548" s="1053"/>
      <c r="O548" s="1053"/>
      <c r="P548" s="1053"/>
      <c r="Q548" s="1053"/>
      <c r="R548" s="1053"/>
      <c r="S548" s="1053"/>
      <c r="T548" s="1053"/>
      <c r="U548" s="1053"/>
      <c r="V548" s="1053"/>
      <c r="W548" s="1053"/>
      <c r="X548" s="1053"/>
      <c r="Y548" s="1053"/>
      <c r="Z548" s="1053"/>
      <c r="AA548" s="1053"/>
      <c r="AB548" s="1053"/>
      <c r="AC548" s="1053"/>
      <c r="AD548" s="1053"/>
      <c r="AE548" s="1053"/>
      <c r="AF548" s="1053"/>
      <c r="AG548" s="1053"/>
      <c r="AH548" s="1053"/>
      <c r="AI548" s="1053"/>
      <c r="AJ548" s="1053"/>
      <c r="AK548" s="1053"/>
      <c r="AL548" s="1053"/>
      <c r="AM548" s="1053"/>
      <c r="AN548" s="1053"/>
      <c r="AO548" s="1053"/>
      <c r="AP548" s="1053"/>
      <c r="AQ548" s="1053"/>
      <c r="AR548" s="1053"/>
      <c r="AS548" s="1053"/>
      <c r="AT548" s="1053"/>
      <c r="AU548" s="1053"/>
      <c r="AV548" s="1053"/>
      <c r="AW548" s="1053"/>
      <c r="AX548" s="1053"/>
      <c r="AY548" s="1053"/>
      <c r="AZ548" s="1053"/>
      <c r="BA548" s="1053"/>
      <c r="BB548" s="1053"/>
      <c r="BC548" s="1053"/>
      <c r="BD548" s="1053"/>
      <c r="BE548" s="1053"/>
      <c r="BF548" s="1053"/>
      <c r="BG548" s="1053"/>
      <c r="BH548" s="1053"/>
      <c r="BI548" s="1053"/>
      <c r="BJ548" s="1053"/>
      <c r="BK548" s="1053"/>
      <c r="BL548" s="1053"/>
      <c r="BM548" s="1053"/>
      <c r="BN548" s="1053"/>
      <c r="BO548" s="1053"/>
      <c r="BP548" s="1053"/>
      <c r="BQ548" s="1053"/>
      <c r="BR548" s="1053"/>
      <c r="BS548" s="1053"/>
      <c r="BT548" s="1053"/>
      <c r="BU548" s="1053"/>
      <c r="BV548" s="1053"/>
      <c r="BW548" s="1053"/>
      <c r="BX548" s="1053"/>
      <c r="BY548" s="1053"/>
      <c r="BZ548" s="1053"/>
      <c r="CA548" s="1053"/>
      <c r="CB548" s="1053"/>
      <c r="CC548" s="1053"/>
      <c r="CD548" s="1053"/>
      <c r="CE548" s="1053"/>
      <c r="CF548" s="1053"/>
      <c r="CG548" s="1053"/>
      <c r="CH548" s="1053"/>
      <c r="CI548" s="1053"/>
      <c r="CJ548" s="1053"/>
      <c r="CK548" s="1053"/>
      <c r="CL548" s="1053"/>
      <c r="CM548" s="1053"/>
      <c r="CN548" s="1053"/>
      <c r="CO548" s="1053"/>
      <c r="CP548" s="1053"/>
      <c r="CQ548" s="1053"/>
      <c r="CR548" s="1053"/>
      <c r="CS548" s="1053"/>
      <c r="CT548" s="1053"/>
      <c r="CU548" s="1053"/>
      <c r="CV548" s="1053"/>
      <c r="CW548" s="1053"/>
      <c r="CX548" s="1053"/>
      <c r="CY548" s="1053"/>
      <c r="CZ548" s="1053"/>
      <c r="DA548" s="1053"/>
      <c r="DB548" s="1053"/>
      <c r="DC548" s="1053"/>
      <c r="DD548" s="1053"/>
      <c r="DE548" s="1053"/>
      <c r="DF548" s="1053"/>
      <c r="DG548" s="1053"/>
      <c r="DH548" s="1053"/>
      <c r="DI548" s="1053"/>
      <c r="DJ548" s="1053"/>
      <c r="DK548" s="1053"/>
      <c r="DL548" s="1053"/>
      <c r="DM548" s="1053"/>
      <c r="DN548" s="1053"/>
      <c r="DO548" s="1053"/>
      <c r="DP548" s="1053"/>
      <c r="DQ548" s="1053"/>
      <c r="DR548" s="1053"/>
      <c r="DS548" s="1053"/>
      <c r="DT548" s="1053"/>
      <c r="DU548" s="1053"/>
      <c r="DV548" s="1053"/>
      <c r="DW548" s="1053"/>
      <c r="DX548" s="1053"/>
      <c r="DY548" s="1053"/>
      <c r="DZ548" s="1053"/>
      <c r="EA548" s="1053"/>
      <c r="EB548" s="1053"/>
      <c r="EC548" s="1053"/>
      <c r="ED548" s="1053"/>
      <c r="EE548" s="1053"/>
      <c r="EF548" s="1053"/>
      <c r="EG548" s="1053"/>
      <c r="EH548" s="1053"/>
      <c r="EI548" s="1053"/>
      <c r="EJ548" s="1053"/>
      <c r="EK548" s="1053"/>
      <c r="EL548" s="1053"/>
      <c r="EM548" s="1053"/>
      <c r="EN548" s="1053"/>
      <c r="EO548" s="1053"/>
      <c r="EP548" s="1053"/>
      <c r="EQ548" s="1053"/>
      <c r="ER548" s="1053"/>
      <c r="ES548" s="1053"/>
      <c r="ET548" s="1053"/>
      <c r="EU548" s="1053"/>
      <c r="EV548" s="1053"/>
      <c r="EW548" s="1053"/>
      <c r="EX548" s="1053"/>
      <c r="EY548" s="1053"/>
      <c r="EZ548" s="1053"/>
      <c r="FA548" s="1053"/>
      <c r="FB548" s="1053"/>
      <c r="FC548" s="1053"/>
      <c r="FD548" s="1053"/>
      <c r="FE548" s="1053"/>
      <c r="FF548" s="1053"/>
      <c r="FG548" s="1053"/>
      <c r="FH548" s="1053"/>
      <c r="FI548" s="1053"/>
      <c r="FJ548" s="1053"/>
      <c r="FK548" s="1053"/>
      <c r="FL548" s="1053"/>
      <c r="FM548" s="1053"/>
      <c r="FN548" s="1053"/>
      <c r="FO548" s="1053"/>
      <c r="FP548" s="1053"/>
      <c r="FQ548" s="1053"/>
      <c r="FR548" s="1053"/>
      <c r="FS548" s="1053"/>
      <c r="FT548" s="1053"/>
      <c r="FU548" s="1053"/>
      <c r="FV548" s="1053"/>
      <c r="FW548" s="1053"/>
      <c r="FX548" s="1053"/>
      <c r="FY548" s="1053"/>
      <c r="FZ548" s="1053"/>
      <c r="GA548" s="1053"/>
      <c r="GB548" s="1053"/>
      <c r="GC548" s="1053"/>
      <c r="GD548" s="1053"/>
      <c r="GE548" s="1053"/>
      <c r="GF548" s="1053"/>
      <c r="GG548" s="1053"/>
      <c r="GH548" s="1053"/>
      <c r="GI548" s="1053"/>
      <c r="GJ548" s="1053"/>
      <c r="GK548" s="1053"/>
      <c r="GL548" s="1053"/>
      <c r="GM548" s="1053"/>
      <c r="GN548" s="1053"/>
      <c r="GO548" s="1053"/>
      <c r="GP548" s="1053"/>
      <c r="GQ548" s="1053"/>
      <c r="GR548" s="1053"/>
      <c r="GS548" s="1053"/>
      <c r="GT548" s="1053"/>
      <c r="GU548" s="1053"/>
      <c r="GV548" s="1053"/>
      <c r="GW548" s="1053"/>
      <c r="GX548" s="1053"/>
      <c r="GY548" s="1053"/>
      <c r="GZ548" s="1053"/>
      <c r="HA548" s="1053"/>
      <c r="HB548" s="1053"/>
      <c r="HC548" s="1053"/>
      <c r="HD548" s="1053"/>
      <c r="HE548" s="1053"/>
      <c r="HF548" s="1053"/>
      <c r="HG548" s="1053"/>
      <c r="HH548" s="1053"/>
      <c r="HI548" s="1053"/>
      <c r="HJ548" s="1053"/>
      <c r="HK548" s="1053"/>
      <c r="HL548" s="1053"/>
      <c r="HM548" s="1053"/>
      <c r="HN548" s="1053"/>
      <c r="HO548" s="1053"/>
      <c r="HP548" s="1053"/>
      <c r="HQ548" s="1053"/>
      <c r="HR548" s="1053"/>
      <c r="HS548" s="1053"/>
      <c r="HT548" s="1053"/>
      <c r="HU548" s="1053"/>
      <c r="HV548" s="1053"/>
      <c r="HW548" s="1053"/>
      <c r="HX548" s="1053"/>
      <c r="HY548" s="1053"/>
      <c r="HZ548" s="1053"/>
      <c r="IA548" s="1053"/>
      <c r="IB548" s="1053"/>
      <c r="IC548" s="1053"/>
      <c r="ID548" s="1053"/>
      <c r="IE548" s="1053"/>
      <c r="IF548" s="1053"/>
      <c r="IG548" s="1053"/>
      <c r="IH548" s="1053"/>
      <c r="II548" s="1053"/>
      <c r="IJ548" s="1053"/>
      <c r="IK548" s="1053"/>
      <c r="IL548" s="1053"/>
      <c r="IM548" s="1053"/>
      <c r="IN548" s="1053"/>
    </row>
    <row r="549" spans="1:248" s="1072" customFormat="1">
      <c r="A549" s="1054"/>
      <c r="G549" s="1053"/>
      <c r="H549" s="1053"/>
      <c r="I549" s="1053"/>
      <c r="J549" s="1053"/>
      <c r="K549" s="1053"/>
      <c r="L549" s="1053"/>
      <c r="M549" s="1053"/>
      <c r="N549" s="1053"/>
      <c r="O549" s="1053"/>
      <c r="P549" s="1053"/>
      <c r="Q549" s="1053"/>
      <c r="R549" s="1053"/>
      <c r="S549" s="1053"/>
      <c r="T549" s="1053"/>
      <c r="U549" s="1053"/>
      <c r="V549" s="1053"/>
      <c r="W549" s="1053"/>
      <c r="X549" s="1053"/>
      <c r="Y549" s="1053"/>
      <c r="Z549" s="1053"/>
      <c r="AA549" s="1053"/>
      <c r="AB549" s="1053"/>
      <c r="AC549" s="1053"/>
      <c r="AD549" s="1053"/>
      <c r="AE549" s="1053"/>
      <c r="AF549" s="1053"/>
      <c r="AG549" s="1053"/>
      <c r="AH549" s="1053"/>
      <c r="AI549" s="1053"/>
      <c r="AJ549" s="1053"/>
      <c r="AK549" s="1053"/>
      <c r="AL549" s="1053"/>
      <c r="AM549" s="1053"/>
      <c r="AN549" s="1053"/>
      <c r="AO549" s="1053"/>
      <c r="AP549" s="1053"/>
      <c r="AQ549" s="1053"/>
      <c r="AR549" s="1053"/>
      <c r="AS549" s="1053"/>
      <c r="AT549" s="1053"/>
      <c r="AU549" s="1053"/>
      <c r="AV549" s="1053"/>
      <c r="AW549" s="1053"/>
      <c r="AX549" s="1053"/>
      <c r="AY549" s="1053"/>
      <c r="AZ549" s="1053"/>
      <c r="BA549" s="1053"/>
      <c r="BB549" s="1053"/>
      <c r="BC549" s="1053"/>
      <c r="BD549" s="1053"/>
      <c r="BE549" s="1053"/>
      <c r="BF549" s="1053"/>
      <c r="BG549" s="1053"/>
      <c r="BH549" s="1053"/>
      <c r="BI549" s="1053"/>
      <c r="BJ549" s="1053"/>
      <c r="BK549" s="1053"/>
      <c r="BL549" s="1053"/>
      <c r="BM549" s="1053"/>
      <c r="BN549" s="1053"/>
      <c r="BO549" s="1053"/>
      <c r="BP549" s="1053"/>
      <c r="BQ549" s="1053"/>
      <c r="BR549" s="1053"/>
      <c r="BS549" s="1053"/>
      <c r="BT549" s="1053"/>
      <c r="BU549" s="1053"/>
      <c r="BV549" s="1053"/>
      <c r="BW549" s="1053"/>
      <c r="BX549" s="1053"/>
      <c r="BY549" s="1053"/>
      <c r="BZ549" s="1053"/>
      <c r="CA549" s="1053"/>
      <c r="CB549" s="1053"/>
      <c r="CC549" s="1053"/>
      <c r="CD549" s="1053"/>
      <c r="CE549" s="1053"/>
      <c r="CF549" s="1053"/>
      <c r="CG549" s="1053"/>
      <c r="CH549" s="1053"/>
      <c r="CI549" s="1053"/>
      <c r="CJ549" s="1053"/>
      <c r="CK549" s="1053"/>
      <c r="CL549" s="1053"/>
      <c r="CM549" s="1053"/>
      <c r="CN549" s="1053"/>
      <c r="CO549" s="1053"/>
      <c r="CP549" s="1053"/>
      <c r="CQ549" s="1053"/>
      <c r="CR549" s="1053"/>
      <c r="CS549" s="1053"/>
      <c r="CT549" s="1053"/>
      <c r="CU549" s="1053"/>
      <c r="CV549" s="1053"/>
      <c r="CW549" s="1053"/>
      <c r="CX549" s="1053"/>
      <c r="CY549" s="1053"/>
      <c r="CZ549" s="1053"/>
      <c r="DA549" s="1053"/>
      <c r="DB549" s="1053"/>
      <c r="DC549" s="1053"/>
      <c r="DD549" s="1053"/>
      <c r="DE549" s="1053"/>
      <c r="DF549" s="1053"/>
      <c r="DG549" s="1053"/>
      <c r="DH549" s="1053"/>
      <c r="DI549" s="1053"/>
      <c r="DJ549" s="1053"/>
      <c r="DK549" s="1053"/>
      <c r="DL549" s="1053"/>
      <c r="DM549" s="1053"/>
      <c r="DN549" s="1053"/>
      <c r="DO549" s="1053"/>
      <c r="DP549" s="1053"/>
      <c r="DQ549" s="1053"/>
      <c r="DR549" s="1053"/>
      <c r="DS549" s="1053"/>
      <c r="DT549" s="1053"/>
      <c r="DU549" s="1053"/>
      <c r="DV549" s="1053"/>
      <c r="DW549" s="1053"/>
      <c r="DX549" s="1053"/>
      <c r="DY549" s="1053"/>
      <c r="DZ549" s="1053"/>
      <c r="EA549" s="1053"/>
      <c r="EB549" s="1053"/>
      <c r="EC549" s="1053"/>
      <c r="ED549" s="1053"/>
      <c r="EE549" s="1053"/>
      <c r="EF549" s="1053"/>
      <c r="EG549" s="1053"/>
      <c r="EH549" s="1053"/>
      <c r="EI549" s="1053"/>
      <c r="EJ549" s="1053"/>
      <c r="EK549" s="1053"/>
      <c r="EL549" s="1053"/>
      <c r="EM549" s="1053"/>
      <c r="EN549" s="1053"/>
      <c r="EO549" s="1053"/>
      <c r="EP549" s="1053"/>
      <c r="EQ549" s="1053"/>
      <c r="ER549" s="1053"/>
      <c r="ES549" s="1053"/>
      <c r="ET549" s="1053"/>
      <c r="EU549" s="1053"/>
      <c r="EV549" s="1053"/>
      <c r="EW549" s="1053"/>
      <c r="EX549" s="1053"/>
      <c r="EY549" s="1053"/>
      <c r="EZ549" s="1053"/>
      <c r="FA549" s="1053"/>
      <c r="FB549" s="1053"/>
      <c r="FC549" s="1053"/>
      <c r="FD549" s="1053"/>
      <c r="FE549" s="1053"/>
      <c r="FF549" s="1053"/>
      <c r="FG549" s="1053"/>
      <c r="FH549" s="1053"/>
      <c r="FI549" s="1053"/>
      <c r="FJ549" s="1053"/>
      <c r="FK549" s="1053"/>
      <c r="FL549" s="1053"/>
      <c r="FM549" s="1053"/>
      <c r="FN549" s="1053"/>
      <c r="FO549" s="1053"/>
      <c r="FP549" s="1053"/>
      <c r="FQ549" s="1053"/>
      <c r="FR549" s="1053"/>
      <c r="FS549" s="1053"/>
      <c r="FT549" s="1053"/>
      <c r="FU549" s="1053"/>
      <c r="FV549" s="1053"/>
      <c r="FW549" s="1053"/>
      <c r="FX549" s="1053"/>
      <c r="FY549" s="1053"/>
      <c r="FZ549" s="1053"/>
      <c r="GA549" s="1053"/>
      <c r="GB549" s="1053"/>
      <c r="GC549" s="1053"/>
      <c r="GD549" s="1053"/>
      <c r="GE549" s="1053"/>
      <c r="GF549" s="1053"/>
      <c r="GG549" s="1053"/>
      <c r="GH549" s="1053"/>
      <c r="GI549" s="1053"/>
      <c r="GJ549" s="1053"/>
      <c r="GK549" s="1053"/>
      <c r="GL549" s="1053"/>
      <c r="GM549" s="1053"/>
      <c r="GN549" s="1053"/>
      <c r="GO549" s="1053"/>
      <c r="GP549" s="1053"/>
      <c r="GQ549" s="1053"/>
      <c r="GR549" s="1053"/>
      <c r="GS549" s="1053"/>
      <c r="GT549" s="1053"/>
      <c r="GU549" s="1053"/>
      <c r="GV549" s="1053"/>
      <c r="GW549" s="1053"/>
      <c r="GX549" s="1053"/>
      <c r="GY549" s="1053"/>
      <c r="GZ549" s="1053"/>
      <c r="HA549" s="1053"/>
      <c r="HB549" s="1053"/>
      <c r="HC549" s="1053"/>
      <c r="HD549" s="1053"/>
      <c r="HE549" s="1053"/>
      <c r="HF549" s="1053"/>
      <c r="HG549" s="1053"/>
      <c r="HH549" s="1053"/>
      <c r="HI549" s="1053"/>
      <c r="HJ549" s="1053"/>
      <c r="HK549" s="1053"/>
      <c r="HL549" s="1053"/>
      <c r="HM549" s="1053"/>
      <c r="HN549" s="1053"/>
      <c r="HO549" s="1053"/>
      <c r="HP549" s="1053"/>
      <c r="HQ549" s="1053"/>
      <c r="HR549" s="1053"/>
      <c r="HS549" s="1053"/>
      <c r="HT549" s="1053"/>
      <c r="HU549" s="1053"/>
      <c r="HV549" s="1053"/>
      <c r="HW549" s="1053"/>
      <c r="HX549" s="1053"/>
      <c r="HY549" s="1053"/>
      <c r="HZ549" s="1053"/>
      <c r="IA549" s="1053"/>
      <c r="IB549" s="1053"/>
      <c r="IC549" s="1053"/>
      <c r="ID549" s="1053"/>
      <c r="IE549" s="1053"/>
      <c r="IF549" s="1053"/>
      <c r="IG549" s="1053"/>
      <c r="IH549" s="1053"/>
      <c r="II549" s="1053"/>
      <c r="IJ549" s="1053"/>
      <c r="IK549" s="1053"/>
      <c r="IL549" s="1053"/>
      <c r="IM549" s="1053"/>
      <c r="IN549" s="1053"/>
    </row>
    <row r="550" spans="1:248" s="1072" customFormat="1">
      <c r="A550" s="1054"/>
      <c r="G550" s="1053"/>
      <c r="H550" s="1053"/>
      <c r="I550" s="1053"/>
      <c r="J550" s="1053"/>
      <c r="K550" s="1053"/>
      <c r="L550" s="1053"/>
      <c r="M550" s="1053"/>
      <c r="N550" s="1053"/>
      <c r="O550" s="1053"/>
      <c r="P550" s="1053"/>
      <c r="Q550" s="1053"/>
      <c r="R550" s="1053"/>
      <c r="S550" s="1053"/>
      <c r="T550" s="1053"/>
      <c r="U550" s="1053"/>
      <c r="V550" s="1053"/>
      <c r="W550" s="1053"/>
      <c r="X550" s="1053"/>
      <c r="Y550" s="1053"/>
      <c r="Z550" s="1053"/>
      <c r="AA550" s="1053"/>
      <c r="AB550" s="1053"/>
      <c r="AC550" s="1053"/>
      <c r="AD550" s="1053"/>
      <c r="AE550" s="1053"/>
      <c r="AF550" s="1053"/>
      <c r="AG550" s="1053"/>
      <c r="AH550" s="1053"/>
      <c r="AI550" s="1053"/>
      <c r="AJ550" s="1053"/>
      <c r="AK550" s="1053"/>
      <c r="AL550" s="1053"/>
      <c r="AM550" s="1053"/>
      <c r="AN550" s="1053"/>
      <c r="AO550" s="1053"/>
      <c r="AP550" s="1053"/>
      <c r="AQ550" s="1053"/>
      <c r="AR550" s="1053"/>
      <c r="AS550" s="1053"/>
      <c r="AT550" s="1053"/>
      <c r="AU550" s="1053"/>
      <c r="AV550" s="1053"/>
      <c r="AW550" s="1053"/>
      <c r="AX550" s="1053"/>
      <c r="AY550" s="1053"/>
      <c r="AZ550" s="1053"/>
      <c r="BA550" s="1053"/>
      <c r="BB550" s="1053"/>
      <c r="BC550" s="1053"/>
      <c r="BD550" s="1053"/>
      <c r="BE550" s="1053"/>
      <c r="BF550" s="1053"/>
      <c r="BG550" s="1053"/>
      <c r="BH550" s="1053"/>
      <c r="BI550" s="1053"/>
      <c r="BJ550" s="1053"/>
      <c r="BK550" s="1053"/>
      <c r="BL550" s="1053"/>
      <c r="BM550" s="1053"/>
      <c r="BN550" s="1053"/>
      <c r="BO550" s="1053"/>
      <c r="BP550" s="1053"/>
      <c r="BQ550" s="1053"/>
      <c r="BR550" s="1053"/>
      <c r="BS550" s="1053"/>
      <c r="BT550" s="1053"/>
      <c r="BU550" s="1053"/>
      <c r="BV550" s="1053"/>
      <c r="BW550" s="1053"/>
      <c r="BX550" s="1053"/>
      <c r="BY550" s="1053"/>
      <c r="BZ550" s="1053"/>
      <c r="CA550" s="1053"/>
      <c r="CB550" s="1053"/>
      <c r="CC550" s="1053"/>
      <c r="CD550" s="1053"/>
      <c r="CE550" s="1053"/>
      <c r="CF550" s="1053"/>
      <c r="CG550" s="1053"/>
      <c r="CH550" s="1053"/>
      <c r="CI550" s="1053"/>
      <c r="CJ550" s="1053"/>
      <c r="CK550" s="1053"/>
      <c r="CL550" s="1053"/>
      <c r="CM550" s="1053"/>
      <c r="CN550" s="1053"/>
      <c r="CO550" s="1053"/>
      <c r="CP550" s="1053"/>
      <c r="CQ550" s="1053"/>
      <c r="CR550" s="1053"/>
      <c r="CS550" s="1053"/>
      <c r="CT550" s="1053"/>
      <c r="CU550" s="1053"/>
      <c r="CV550" s="1053"/>
      <c r="CW550" s="1053"/>
      <c r="CX550" s="1053"/>
      <c r="CY550" s="1053"/>
      <c r="CZ550" s="1053"/>
      <c r="DA550" s="1053"/>
      <c r="DB550" s="1053"/>
      <c r="DC550" s="1053"/>
      <c r="DD550" s="1053"/>
      <c r="DE550" s="1053"/>
      <c r="DF550" s="1053"/>
      <c r="DG550" s="1053"/>
      <c r="DH550" s="1053"/>
      <c r="DI550" s="1053"/>
      <c r="DJ550" s="1053"/>
      <c r="DK550" s="1053"/>
      <c r="DL550" s="1053"/>
      <c r="DM550" s="1053"/>
      <c r="DN550" s="1053"/>
      <c r="DO550" s="1053"/>
      <c r="DP550" s="1053"/>
      <c r="DQ550" s="1053"/>
      <c r="DR550" s="1053"/>
      <c r="DS550" s="1053"/>
      <c r="DT550" s="1053"/>
      <c r="DU550" s="1053"/>
      <c r="DV550" s="1053"/>
      <c r="DW550" s="1053"/>
      <c r="DX550" s="1053"/>
      <c r="DY550" s="1053"/>
      <c r="DZ550" s="1053"/>
      <c r="EA550" s="1053"/>
      <c r="EB550" s="1053"/>
      <c r="EC550" s="1053"/>
      <c r="ED550" s="1053"/>
      <c r="EE550" s="1053"/>
      <c r="EF550" s="1053"/>
      <c r="EG550" s="1053"/>
      <c r="EH550" s="1053"/>
      <c r="EI550" s="1053"/>
      <c r="EJ550" s="1053"/>
      <c r="EK550" s="1053"/>
      <c r="EL550" s="1053"/>
      <c r="EM550" s="1053"/>
      <c r="EN550" s="1053"/>
      <c r="EO550" s="1053"/>
      <c r="EP550" s="1053"/>
      <c r="EQ550" s="1053"/>
      <c r="ER550" s="1053"/>
      <c r="ES550" s="1053"/>
      <c r="ET550" s="1053"/>
      <c r="EU550" s="1053"/>
      <c r="EV550" s="1053"/>
      <c r="EW550" s="1053"/>
      <c r="EX550" s="1053"/>
      <c r="EY550" s="1053"/>
      <c r="EZ550" s="1053"/>
      <c r="FA550" s="1053"/>
      <c r="FB550" s="1053"/>
      <c r="FC550" s="1053"/>
      <c r="FD550" s="1053"/>
      <c r="FE550" s="1053"/>
      <c r="FF550" s="1053"/>
      <c r="FG550" s="1053"/>
      <c r="FH550" s="1053"/>
      <c r="FI550" s="1053"/>
      <c r="FJ550" s="1053"/>
      <c r="FK550" s="1053"/>
      <c r="FL550" s="1053"/>
      <c r="FM550" s="1053"/>
      <c r="FN550" s="1053"/>
      <c r="FO550" s="1053"/>
      <c r="FP550" s="1053"/>
      <c r="FQ550" s="1053"/>
      <c r="FR550" s="1053"/>
      <c r="FS550" s="1053"/>
      <c r="FT550" s="1053"/>
      <c r="FU550" s="1053"/>
      <c r="FV550" s="1053"/>
      <c r="FW550" s="1053"/>
      <c r="FX550" s="1053"/>
      <c r="FY550" s="1053"/>
      <c r="FZ550" s="1053"/>
      <c r="GA550" s="1053"/>
      <c r="GB550" s="1053"/>
      <c r="GC550" s="1053"/>
      <c r="GD550" s="1053"/>
      <c r="GE550" s="1053"/>
      <c r="GF550" s="1053"/>
      <c r="GG550" s="1053"/>
      <c r="GH550" s="1053"/>
      <c r="GI550" s="1053"/>
      <c r="GJ550" s="1053"/>
      <c r="GK550" s="1053"/>
      <c r="GL550" s="1053"/>
      <c r="GM550" s="1053"/>
      <c r="GN550" s="1053"/>
      <c r="GO550" s="1053"/>
      <c r="GP550" s="1053"/>
      <c r="GQ550" s="1053"/>
      <c r="GR550" s="1053"/>
      <c r="GS550" s="1053"/>
      <c r="GT550" s="1053"/>
      <c r="GU550" s="1053"/>
      <c r="GV550" s="1053"/>
      <c r="GW550" s="1053"/>
      <c r="GX550" s="1053"/>
      <c r="GY550" s="1053"/>
      <c r="GZ550" s="1053"/>
      <c r="HA550" s="1053"/>
      <c r="HB550" s="1053"/>
      <c r="HC550" s="1053"/>
      <c r="HD550" s="1053"/>
      <c r="HE550" s="1053"/>
      <c r="HF550" s="1053"/>
      <c r="HG550" s="1053"/>
      <c r="HH550" s="1053"/>
      <c r="HI550" s="1053"/>
      <c r="HJ550" s="1053"/>
      <c r="HK550" s="1053"/>
      <c r="HL550" s="1053"/>
      <c r="HM550" s="1053"/>
      <c r="HN550" s="1053"/>
      <c r="HO550" s="1053"/>
      <c r="HP550" s="1053"/>
      <c r="HQ550" s="1053"/>
      <c r="HR550" s="1053"/>
      <c r="HS550" s="1053"/>
      <c r="HT550" s="1053"/>
      <c r="HU550" s="1053"/>
      <c r="HV550" s="1053"/>
      <c r="HW550" s="1053"/>
      <c r="HX550" s="1053"/>
      <c r="HY550" s="1053"/>
      <c r="HZ550" s="1053"/>
      <c r="IA550" s="1053"/>
      <c r="IB550" s="1053"/>
      <c r="IC550" s="1053"/>
      <c r="ID550" s="1053"/>
      <c r="IE550" s="1053"/>
      <c r="IF550" s="1053"/>
      <c r="IG550" s="1053"/>
      <c r="IH550" s="1053"/>
      <c r="II550" s="1053"/>
      <c r="IJ550" s="1053"/>
      <c r="IK550" s="1053"/>
      <c r="IL550" s="1053"/>
      <c r="IM550" s="1053"/>
      <c r="IN550" s="1053"/>
    </row>
    <row r="551" spans="1:248" s="1072" customFormat="1">
      <c r="A551" s="1054"/>
      <c r="G551" s="1053"/>
      <c r="H551" s="1053"/>
      <c r="I551" s="1053"/>
      <c r="J551" s="1053"/>
      <c r="K551" s="1053"/>
      <c r="L551" s="1053"/>
      <c r="M551" s="1053"/>
      <c r="N551" s="1053"/>
      <c r="O551" s="1053"/>
      <c r="P551" s="1053"/>
      <c r="Q551" s="1053"/>
      <c r="R551" s="1053"/>
      <c r="S551" s="1053"/>
      <c r="T551" s="1053"/>
      <c r="U551" s="1053"/>
      <c r="V551" s="1053"/>
      <c r="W551" s="1053"/>
      <c r="X551" s="1053"/>
      <c r="Y551" s="1053"/>
      <c r="Z551" s="1053"/>
      <c r="AA551" s="1053"/>
      <c r="AB551" s="1053"/>
      <c r="AC551" s="1053"/>
      <c r="AD551" s="1053"/>
      <c r="AE551" s="1053"/>
      <c r="AF551" s="1053"/>
      <c r="AG551" s="1053"/>
      <c r="AH551" s="1053"/>
      <c r="AI551" s="1053"/>
      <c r="AJ551" s="1053"/>
      <c r="AK551" s="1053"/>
      <c r="AL551" s="1053"/>
      <c r="AM551" s="1053"/>
      <c r="AN551" s="1053"/>
      <c r="AO551" s="1053"/>
      <c r="AP551" s="1053"/>
      <c r="AQ551" s="1053"/>
      <c r="AR551" s="1053"/>
      <c r="AS551" s="1053"/>
      <c r="AT551" s="1053"/>
      <c r="AU551" s="1053"/>
      <c r="AV551" s="1053"/>
      <c r="AW551" s="1053"/>
      <c r="AX551" s="1053"/>
      <c r="AY551" s="1053"/>
      <c r="AZ551" s="1053"/>
      <c r="BA551" s="1053"/>
      <c r="BB551" s="1053"/>
      <c r="BC551" s="1053"/>
      <c r="BD551" s="1053"/>
      <c r="BE551" s="1053"/>
      <c r="BF551" s="1053"/>
      <c r="BG551" s="1053"/>
      <c r="BH551" s="1053"/>
      <c r="BI551" s="1053"/>
      <c r="BJ551" s="1053"/>
      <c r="BK551" s="1053"/>
      <c r="BL551" s="1053"/>
      <c r="BM551" s="1053"/>
      <c r="BN551" s="1053"/>
      <c r="BO551" s="1053"/>
      <c r="BP551" s="1053"/>
      <c r="BQ551" s="1053"/>
      <c r="BR551" s="1053"/>
      <c r="BS551" s="1053"/>
      <c r="BT551" s="1053"/>
      <c r="BU551" s="1053"/>
      <c r="BV551" s="1053"/>
      <c r="BW551" s="1053"/>
      <c r="BX551" s="1053"/>
      <c r="BY551" s="1053"/>
      <c r="BZ551" s="1053"/>
      <c r="CA551" s="1053"/>
      <c r="CB551" s="1053"/>
      <c r="CC551" s="1053"/>
      <c r="CD551" s="1053"/>
      <c r="CE551" s="1053"/>
      <c r="CF551" s="1053"/>
      <c r="CG551" s="1053"/>
      <c r="CH551" s="1053"/>
      <c r="CI551" s="1053"/>
      <c r="CJ551" s="1053"/>
      <c r="CK551" s="1053"/>
      <c r="CL551" s="1053"/>
      <c r="CM551" s="1053"/>
      <c r="CN551" s="1053"/>
      <c r="CO551" s="1053"/>
      <c r="CP551" s="1053"/>
      <c r="CQ551" s="1053"/>
      <c r="CR551" s="1053"/>
      <c r="CS551" s="1053"/>
      <c r="CT551" s="1053"/>
      <c r="CU551" s="1053"/>
      <c r="CV551" s="1053"/>
      <c r="CW551" s="1053"/>
      <c r="CX551" s="1053"/>
      <c r="CY551" s="1053"/>
      <c r="CZ551" s="1053"/>
      <c r="DA551" s="1053"/>
      <c r="DB551" s="1053"/>
      <c r="DC551" s="1053"/>
      <c r="DD551" s="1053"/>
      <c r="DE551" s="1053"/>
      <c r="DF551" s="1053"/>
      <c r="DG551" s="1053"/>
      <c r="DH551" s="1053"/>
      <c r="DI551" s="1053"/>
      <c r="DJ551" s="1053"/>
      <c r="DK551" s="1053"/>
      <c r="DL551" s="1053"/>
      <c r="DM551" s="1053"/>
      <c r="DN551" s="1053"/>
      <c r="DO551" s="1053"/>
      <c r="DP551" s="1053"/>
      <c r="DQ551" s="1053"/>
      <c r="DR551" s="1053"/>
      <c r="DS551" s="1053"/>
      <c r="DT551" s="1053"/>
      <c r="DU551" s="1053"/>
      <c r="DV551" s="1053"/>
      <c r="DW551" s="1053"/>
      <c r="DX551" s="1053"/>
      <c r="DY551" s="1053"/>
      <c r="DZ551" s="1053"/>
      <c r="EA551" s="1053"/>
      <c r="EB551" s="1053"/>
      <c r="EC551" s="1053"/>
      <c r="ED551" s="1053"/>
      <c r="EE551" s="1053"/>
      <c r="EF551" s="1053"/>
      <c r="EG551" s="1053"/>
      <c r="EH551" s="1053"/>
      <c r="EI551" s="1053"/>
      <c r="EJ551" s="1053"/>
      <c r="EK551" s="1053"/>
      <c r="EL551" s="1053"/>
      <c r="EM551" s="1053"/>
      <c r="EN551" s="1053"/>
      <c r="EO551" s="1053"/>
      <c r="EP551" s="1053"/>
      <c r="EQ551" s="1053"/>
      <c r="ER551" s="1053"/>
      <c r="ES551" s="1053"/>
      <c r="ET551" s="1053"/>
      <c r="EU551" s="1053"/>
      <c r="EV551" s="1053"/>
      <c r="EW551" s="1053"/>
      <c r="EX551" s="1053"/>
      <c r="EY551" s="1053"/>
      <c r="EZ551" s="1053"/>
      <c r="FA551" s="1053"/>
      <c r="FB551" s="1053"/>
      <c r="FC551" s="1053"/>
      <c r="FD551" s="1053"/>
      <c r="FE551" s="1053"/>
      <c r="FF551" s="1053"/>
      <c r="FG551" s="1053"/>
      <c r="FH551" s="1053"/>
      <c r="FI551" s="1053"/>
      <c r="FJ551" s="1053"/>
      <c r="FK551" s="1053"/>
      <c r="FL551" s="1053"/>
      <c r="FM551" s="1053"/>
      <c r="FN551" s="1053"/>
      <c r="FO551" s="1053"/>
      <c r="FP551" s="1053"/>
      <c r="FQ551" s="1053"/>
      <c r="FR551" s="1053"/>
      <c r="FS551" s="1053"/>
      <c r="FT551" s="1053"/>
      <c r="FU551" s="1053"/>
      <c r="FV551" s="1053"/>
      <c r="FW551" s="1053"/>
      <c r="FX551" s="1053"/>
      <c r="FY551" s="1053"/>
      <c r="FZ551" s="1053"/>
      <c r="GA551" s="1053"/>
      <c r="GB551" s="1053"/>
      <c r="GC551" s="1053"/>
      <c r="GD551" s="1053"/>
      <c r="GE551" s="1053"/>
      <c r="GF551" s="1053"/>
      <c r="GG551" s="1053"/>
      <c r="GH551" s="1053"/>
      <c r="GI551" s="1053"/>
      <c r="GJ551" s="1053"/>
      <c r="GK551" s="1053"/>
      <c r="GL551" s="1053"/>
      <c r="GM551" s="1053"/>
      <c r="GN551" s="1053"/>
      <c r="GO551" s="1053"/>
      <c r="GP551" s="1053"/>
      <c r="GQ551" s="1053"/>
      <c r="GR551" s="1053"/>
      <c r="GS551" s="1053"/>
      <c r="GT551" s="1053"/>
      <c r="GU551" s="1053"/>
      <c r="GV551" s="1053"/>
      <c r="GW551" s="1053"/>
      <c r="GX551" s="1053"/>
      <c r="GY551" s="1053"/>
      <c r="GZ551" s="1053"/>
      <c r="HA551" s="1053"/>
      <c r="HB551" s="1053"/>
      <c r="HC551" s="1053"/>
      <c r="HD551" s="1053"/>
      <c r="HE551" s="1053"/>
      <c r="HF551" s="1053"/>
      <c r="HG551" s="1053"/>
      <c r="HH551" s="1053"/>
      <c r="HI551" s="1053"/>
      <c r="HJ551" s="1053"/>
      <c r="HK551" s="1053"/>
      <c r="HL551" s="1053"/>
      <c r="HM551" s="1053"/>
      <c r="HN551" s="1053"/>
      <c r="HO551" s="1053"/>
      <c r="HP551" s="1053"/>
      <c r="HQ551" s="1053"/>
      <c r="HR551" s="1053"/>
      <c r="HS551" s="1053"/>
      <c r="HT551" s="1053"/>
      <c r="HU551" s="1053"/>
      <c r="HV551" s="1053"/>
      <c r="HW551" s="1053"/>
      <c r="HX551" s="1053"/>
      <c r="HY551" s="1053"/>
      <c r="HZ551" s="1053"/>
      <c r="IA551" s="1053"/>
      <c r="IB551" s="1053"/>
      <c r="IC551" s="1053"/>
      <c r="ID551" s="1053"/>
      <c r="IE551" s="1053"/>
      <c r="IF551" s="1053"/>
      <c r="IG551" s="1053"/>
      <c r="IH551" s="1053"/>
      <c r="II551" s="1053"/>
      <c r="IJ551" s="1053"/>
      <c r="IK551" s="1053"/>
      <c r="IL551" s="1053"/>
      <c r="IM551" s="1053"/>
      <c r="IN551" s="1053"/>
    </row>
    <row r="552" spans="1:248" s="1072" customFormat="1">
      <c r="A552" s="1054"/>
      <c r="G552" s="1053"/>
      <c r="H552" s="1053"/>
      <c r="I552" s="1053"/>
      <c r="J552" s="1053"/>
      <c r="K552" s="1053"/>
      <c r="L552" s="1053"/>
      <c r="M552" s="1053"/>
      <c r="N552" s="1053"/>
      <c r="O552" s="1053"/>
      <c r="P552" s="1053"/>
      <c r="Q552" s="1053"/>
      <c r="R552" s="1053"/>
      <c r="S552" s="1053"/>
      <c r="T552" s="1053"/>
      <c r="U552" s="1053"/>
      <c r="V552" s="1053"/>
      <c r="W552" s="1053"/>
      <c r="X552" s="1053"/>
      <c r="Y552" s="1053"/>
      <c r="Z552" s="1053"/>
      <c r="AA552" s="1053"/>
      <c r="AB552" s="1053"/>
      <c r="AC552" s="1053"/>
      <c r="AD552" s="1053"/>
      <c r="AE552" s="1053"/>
      <c r="AF552" s="1053"/>
      <c r="AG552" s="1053"/>
      <c r="AH552" s="1053"/>
      <c r="AI552" s="1053"/>
      <c r="AJ552" s="1053"/>
      <c r="AK552" s="1053"/>
      <c r="AL552" s="1053"/>
      <c r="AM552" s="1053"/>
      <c r="AN552" s="1053"/>
      <c r="AO552" s="1053"/>
      <c r="AP552" s="1053"/>
      <c r="AQ552" s="1053"/>
      <c r="AR552" s="1053"/>
      <c r="AS552" s="1053"/>
      <c r="AT552" s="1053"/>
      <c r="AU552" s="1053"/>
      <c r="AV552" s="1053"/>
      <c r="AW552" s="1053"/>
      <c r="AX552" s="1053"/>
      <c r="AY552" s="1053"/>
      <c r="AZ552" s="1053"/>
      <c r="BA552" s="1053"/>
      <c r="BB552" s="1053"/>
      <c r="BC552" s="1053"/>
      <c r="BD552" s="1053"/>
      <c r="BE552" s="1053"/>
      <c r="BF552" s="1053"/>
      <c r="BG552" s="1053"/>
      <c r="BH552" s="1053"/>
      <c r="BI552" s="1053"/>
      <c r="BJ552" s="1053"/>
      <c r="BK552" s="1053"/>
      <c r="BL552" s="1053"/>
      <c r="BM552" s="1053"/>
      <c r="BN552" s="1053"/>
      <c r="BO552" s="1053"/>
      <c r="BP552" s="1053"/>
      <c r="BQ552" s="1053"/>
      <c r="BR552" s="1053"/>
      <c r="BS552" s="1053"/>
      <c r="BT552" s="1053"/>
      <c r="BU552" s="1053"/>
      <c r="BV552" s="1053"/>
      <c r="BW552" s="1053"/>
      <c r="BX552" s="1053"/>
      <c r="BY552" s="1053"/>
      <c r="BZ552" s="1053"/>
      <c r="CA552" s="1053"/>
      <c r="CB552" s="1053"/>
      <c r="CC552" s="1053"/>
      <c r="CD552" s="1053"/>
      <c r="CE552" s="1053"/>
      <c r="CF552" s="1053"/>
      <c r="CG552" s="1053"/>
      <c r="CH552" s="1053"/>
      <c r="CI552" s="1053"/>
      <c r="CJ552" s="1053"/>
      <c r="CK552" s="1053"/>
      <c r="CL552" s="1053"/>
      <c r="CM552" s="1053"/>
      <c r="CN552" s="1053"/>
      <c r="CO552" s="1053"/>
      <c r="CP552" s="1053"/>
      <c r="CQ552" s="1053"/>
      <c r="CR552" s="1053"/>
      <c r="CS552" s="1053"/>
      <c r="CT552" s="1053"/>
      <c r="CU552" s="1053"/>
      <c r="CV552" s="1053"/>
      <c r="CW552" s="1053"/>
      <c r="CX552" s="1053"/>
      <c r="CY552" s="1053"/>
      <c r="CZ552" s="1053"/>
      <c r="DA552" s="1053"/>
      <c r="DB552" s="1053"/>
      <c r="DC552" s="1053"/>
      <c r="DD552" s="1053"/>
      <c r="DE552" s="1053"/>
      <c r="DF552" s="1053"/>
      <c r="DG552" s="1053"/>
      <c r="DH552" s="1053"/>
      <c r="DI552" s="1053"/>
      <c r="DJ552" s="1053"/>
      <c r="DK552" s="1053"/>
      <c r="DL552" s="1053"/>
      <c r="DM552" s="1053"/>
      <c r="DN552" s="1053"/>
      <c r="DO552" s="1053"/>
      <c r="DP552" s="1053"/>
      <c r="DQ552" s="1053"/>
      <c r="DR552" s="1053"/>
      <c r="DS552" s="1053"/>
      <c r="DT552" s="1053"/>
      <c r="DU552" s="1053"/>
      <c r="DV552" s="1053"/>
      <c r="DW552" s="1053"/>
      <c r="DX552" s="1053"/>
      <c r="DY552" s="1053"/>
      <c r="DZ552" s="1053"/>
      <c r="EA552" s="1053"/>
      <c r="EB552" s="1053"/>
      <c r="EC552" s="1053"/>
      <c r="ED552" s="1053"/>
      <c r="EE552" s="1053"/>
      <c r="EF552" s="1053"/>
      <c r="EG552" s="1053"/>
      <c r="EH552" s="1053"/>
      <c r="EI552" s="1053"/>
      <c r="EJ552" s="1053"/>
      <c r="EK552" s="1053"/>
      <c r="EL552" s="1053"/>
      <c r="EM552" s="1053"/>
      <c r="EN552" s="1053"/>
      <c r="EO552" s="1053"/>
      <c r="EP552" s="1053"/>
      <c r="EQ552" s="1053"/>
      <c r="ER552" s="1053"/>
      <c r="ES552" s="1053"/>
      <c r="ET552" s="1053"/>
      <c r="EU552" s="1053"/>
      <c r="EV552" s="1053"/>
      <c r="EW552" s="1053"/>
      <c r="EX552" s="1053"/>
      <c r="EY552" s="1053"/>
      <c r="EZ552" s="1053"/>
      <c r="FA552" s="1053"/>
      <c r="FB552" s="1053"/>
      <c r="FC552" s="1053"/>
      <c r="FD552" s="1053"/>
      <c r="FE552" s="1053"/>
      <c r="FF552" s="1053"/>
      <c r="FG552" s="1053"/>
      <c r="FH552" s="1053"/>
      <c r="FI552" s="1053"/>
      <c r="FJ552" s="1053"/>
      <c r="FK552" s="1053"/>
      <c r="FL552" s="1053"/>
      <c r="FM552" s="1053"/>
      <c r="FN552" s="1053"/>
      <c r="FO552" s="1053"/>
      <c r="FP552" s="1053"/>
      <c r="FQ552" s="1053"/>
      <c r="FR552" s="1053"/>
      <c r="FS552" s="1053"/>
      <c r="FT552" s="1053"/>
      <c r="FU552" s="1053"/>
      <c r="FV552" s="1053"/>
      <c r="FW552" s="1053"/>
      <c r="FX552" s="1053"/>
      <c r="FY552" s="1053"/>
      <c r="FZ552" s="1053"/>
      <c r="GA552" s="1053"/>
      <c r="GB552" s="1053"/>
      <c r="GC552" s="1053"/>
      <c r="GD552" s="1053"/>
      <c r="GE552" s="1053"/>
      <c r="GF552" s="1053"/>
      <c r="GG552" s="1053"/>
      <c r="GH552" s="1053"/>
      <c r="GI552" s="1053"/>
      <c r="GJ552" s="1053"/>
      <c r="GK552" s="1053"/>
      <c r="GL552" s="1053"/>
      <c r="GM552" s="1053"/>
      <c r="GN552" s="1053"/>
      <c r="GO552" s="1053"/>
      <c r="GP552" s="1053"/>
      <c r="GQ552" s="1053"/>
      <c r="GR552" s="1053"/>
      <c r="GS552" s="1053"/>
      <c r="GT552" s="1053"/>
      <c r="GU552" s="1053"/>
      <c r="GV552" s="1053"/>
      <c r="GW552" s="1053"/>
      <c r="GX552" s="1053"/>
      <c r="GY552" s="1053"/>
      <c r="GZ552" s="1053"/>
      <c r="HA552" s="1053"/>
      <c r="HB552" s="1053"/>
      <c r="HC552" s="1053"/>
      <c r="HD552" s="1053"/>
      <c r="HE552" s="1053"/>
      <c r="HF552" s="1053"/>
      <c r="HG552" s="1053"/>
      <c r="HH552" s="1053"/>
      <c r="HI552" s="1053"/>
      <c r="HJ552" s="1053"/>
      <c r="HK552" s="1053"/>
      <c r="HL552" s="1053"/>
      <c r="HM552" s="1053"/>
      <c r="HN552" s="1053"/>
      <c r="HO552" s="1053"/>
      <c r="HP552" s="1053"/>
      <c r="HQ552" s="1053"/>
      <c r="HR552" s="1053"/>
      <c r="HS552" s="1053"/>
      <c r="HT552" s="1053"/>
      <c r="HU552" s="1053"/>
      <c r="HV552" s="1053"/>
      <c r="HW552" s="1053"/>
      <c r="HX552" s="1053"/>
      <c r="HY552" s="1053"/>
      <c r="HZ552" s="1053"/>
      <c r="IA552" s="1053"/>
      <c r="IB552" s="1053"/>
      <c r="IC552" s="1053"/>
      <c r="ID552" s="1053"/>
      <c r="IE552" s="1053"/>
      <c r="IF552" s="1053"/>
      <c r="IG552" s="1053"/>
      <c r="IH552" s="1053"/>
      <c r="II552" s="1053"/>
      <c r="IJ552" s="1053"/>
      <c r="IK552" s="1053"/>
      <c r="IL552" s="1053"/>
      <c r="IM552" s="1053"/>
      <c r="IN552" s="1053"/>
    </row>
    <row r="553" spans="1:248" s="1072" customFormat="1">
      <c r="A553" s="1054"/>
      <c r="G553" s="1053"/>
      <c r="H553" s="1053"/>
      <c r="I553" s="1053"/>
      <c r="J553" s="1053"/>
      <c r="K553" s="1053"/>
      <c r="L553" s="1053"/>
      <c r="M553" s="1053"/>
      <c r="N553" s="1053"/>
      <c r="O553" s="1053"/>
      <c r="P553" s="1053"/>
      <c r="Q553" s="1053"/>
      <c r="R553" s="1053"/>
      <c r="S553" s="1053"/>
      <c r="T553" s="1053"/>
      <c r="U553" s="1053"/>
      <c r="V553" s="1053"/>
      <c r="W553" s="1053"/>
      <c r="X553" s="1053"/>
      <c r="Y553" s="1053"/>
      <c r="Z553" s="1053"/>
      <c r="AA553" s="1053"/>
      <c r="AB553" s="1053"/>
      <c r="AC553" s="1053"/>
      <c r="AD553" s="1053"/>
      <c r="AE553" s="1053"/>
      <c r="AF553" s="1053"/>
      <c r="AG553" s="1053"/>
      <c r="AH553" s="1053"/>
      <c r="AI553" s="1053"/>
      <c r="AJ553" s="1053"/>
      <c r="AK553" s="1053"/>
      <c r="AL553" s="1053"/>
      <c r="AM553" s="1053"/>
      <c r="AN553" s="1053"/>
      <c r="AO553" s="1053"/>
      <c r="AP553" s="1053"/>
      <c r="AQ553" s="1053"/>
      <c r="AR553" s="1053"/>
      <c r="AS553" s="1053"/>
      <c r="AT553" s="1053"/>
      <c r="AU553" s="1053"/>
      <c r="AV553" s="1053"/>
      <c r="AW553" s="1053"/>
      <c r="AX553" s="1053"/>
      <c r="AY553" s="1053"/>
      <c r="AZ553" s="1053"/>
      <c r="BA553" s="1053"/>
      <c r="BB553" s="1053"/>
      <c r="BC553" s="1053"/>
      <c r="BD553" s="1053"/>
      <c r="BE553" s="1053"/>
      <c r="BF553" s="1053"/>
      <c r="BG553" s="1053"/>
      <c r="BH553" s="1053"/>
      <c r="BI553" s="1053"/>
      <c r="BJ553" s="1053"/>
      <c r="BK553" s="1053"/>
      <c r="BL553" s="1053"/>
      <c r="BM553" s="1053"/>
      <c r="BN553" s="1053"/>
      <c r="BO553" s="1053"/>
      <c r="BP553" s="1053"/>
      <c r="BQ553" s="1053"/>
      <c r="BR553" s="1053"/>
      <c r="BS553" s="1053"/>
      <c r="BT553" s="1053"/>
      <c r="BU553" s="1053"/>
      <c r="BV553" s="1053"/>
      <c r="BW553" s="1053"/>
      <c r="BX553" s="1053"/>
      <c r="BY553" s="1053"/>
      <c r="BZ553" s="1053"/>
      <c r="CA553" s="1053"/>
      <c r="CB553" s="1053"/>
      <c r="CC553" s="1053"/>
      <c r="CD553" s="1053"/>
      <c r="CE553" s="1053"/>
      <c r="CF553" s="1053"/>
      <c r="CG553" s="1053"/>
      <c r="CH553" s="1053"/>
      <c r="CI553" s="1053"/>
      <c r="CJ553" s="1053"/>
      <c r="CK553" s="1053"/>
      <c r="CL553" s="1053"/>
      <c r="CM553" s="1053"/>
      <c r="CN553" s="1053"/>
      <c r="CO553" s="1053"/>
      <c r="CP553" s="1053"/>
      <c r="CQ553" s="1053"/>
      <c r="CR553" s="1053"/>
      <c r="CS553" s="1053"/>
      <c r="CT553" s="1053"/>
      <c r="CU553" s="1053"/>
      <c r="CV553" s="1053"/>
      <c r="CW553" s="1053"/>
      <c r="CX553" s="1053"/>
      <c r="CY553" s="1053"/>
      <c r="CZ553" s="1053"/>
      <c r="DA553" s="1053"/>
      <c r="DB553" s="1053"/>
      <c r="DC553" s="1053"/>
      <c r="DD553" s="1053"/>
      <c r="DE553" s="1053"/>
      <c r="DF553" s="1053"/>
      <c r="DG553" s="1053"/>
      <c r="DH553" s="1053"/>
      <c r="DI553" s="1053"/>
      <c r="DJ553" s="1053"/>
      <c r="DK553" s="1053"/>
      <c r="DL553" s="1053"/>
      <c r="DM553" s="1053"/>
      <c r="DN553" s="1053"/>
      <c r="DO553" s="1053"/>
      <c r="DP553" s="1053"/>
      <c r="DQ553" s="1053"/>
      <c r="DR553" s="1053"/>
      <c r="DS553" s="1053"/>
      <c r="DT553" s="1053"/>
      <c r="DU553" s="1053"/>
      <c r="DV553" s="1053"/>
      <c r="DW553" s="1053"/>
      <c r="DX553" s="1053"/>
      <c r="DY553" s="1053"/>
      <c r="DZ553" s="1053"/>
      <c r="EA553" s="1053"/>
      <c r="EB553" s="1053"/>
      <c r="EC553" s="1053"/>
      <c r="ED553" s="1053"/>
      <c r="EE553" s="1053"/>
      <c r="EF553" s="1053"/>
      <c r="EG553" s="1053"/>
      <c r="EH553" s="1053"/>
      <c r="EI553" s="1053"/>
      <c r="EJ553" s="1053"/>
      <c r="EK553" s="1053"/>
      <c r="EL553" s="1053"/>
      <c r="EM553" s="1053"/>
      <c r="EN553" s="1053"/>
      <c r="EO553" s="1053"/>
      <c r="EP553" s="1053"/>
      <c r="EQ553" s="1053"/>
      <c r="ER553" s="1053"/>
      <c r="ES553" s="1053"/>
      <c r="ET553" s="1053"/>
      <c r="EU553" s="1053"/>
      <c r="EV553" s="1053"/>
      <c r="EW553" s="1053"/>
      <c r="EX553" s="1053"/>
      <c r="EY553" s="1053"/>
      <c r="EZ553" s="1053"/>
      <c r="FA553" s="1053"/>
      <c r="FB553" s="1053"/>
      <c r="FC553" s="1053"/>
      <c r="FD553" s="1053"/>
      <c r="FE553" s="1053"/>
      <c r="FF553" s="1053"/>
      <c r="FG553" s="1053"/>
      <c r="FH553" s="1053"/>
      <c r="FI553" s="1053"/>
      <c r="FJ553" s="1053"/>
      <c r="FK553" s="1053"/>
      <c r="FL553" s="1053"/>
      <c r="FM553" s="1053"/>
      <c r="FN553" s="1053"/>
      <c r="FO553" s="1053"/>
      <c r="FP553" s="1053"/>
      <c r="FQ553" s="1053"/>
      <c r="FR553" s="1053"/>
      <c r="FS553" s="1053"/>
      <c r="FT553" s="1053"/>
      <c r="FU553" s="1053"/>
      <c r="FV553" s="1053"/>
      <c r="FW553" s="1053"/>
      <c r="FX553" s="1053"/>
      <c r="FY553" s="1053"/>
      <c r="FZ553" s="1053"/>
      <c r="GA553" s="1053"/>
      <c r="GB553" s="1053"/>
      <c r="GC553" s="1053"/>
      <c r="GD553" s="1053"/>
      <c r="GE553" s="1053"/>
      <c r="GF553" s="1053"/>
      <c r="GG553" s="1053"/>
      <c r="GH553" s="1053"/>
      <c r="GI553" s="1053"/>
      <c r="GJ553" s="1053"/>
      <c r="GK553" s="1053"/>
      <c r="GL553" s="1053"/>
      <c r="GM553" s="1053"/>
      <c r="GN553" s="1053"/>
      <c r="GO553" s="1053"/>
      <c r="GP553" s="1053"/>
      <c r="GQ553" s="1053"/>
      <c r="GR553" s="1053"/>
      <c r="GS553" s="1053"/>
      <c r="GT553" s="1053"/>
      <c r="GU553" s="1053"/>
      <c r="GV553" s="1053"/>
      <c r="GW553" s="1053"/>
      <c r="GX553" s="1053"/>
      <c r="GY553" s="1053"/>
      <c r="GZ553" s="1053"/>
      <c r="HA553" s="1053"/>
      <c r="HB553" s="1053"/>
      <c r="HC553" s="1053"/>
      <c r="HD553" s="1053"/>
      <c r="HE553" s="1053"/>
      <c r="HF553" s="1053"/>
      <c r="HG553" s="1053"/>
      <c r="HH553" s="1053"/>
      <c r="HI553" s="1053"/>
      <c r="HJ553" s="1053"/>
      <c r="HK553" s="1053"/>
      <c r="HL553" s="1053"/>
      <c r="HM553" s="1053"/>
      <c r="HN553" s="1053"/>
      <c r="HO553" s="1053"/>
      <c r="HP553" s="1053"/>
      <c r="HQ553" s="1053"/>
      <c r="HR553" s="1053"/>
      <c r="HS553" s="1053"/>
      <c r="HT553" s="1053"/>
      <c r="HU553" s="1053"/>
      <c r="HV553" s="1053"/>
      <c r="HW553" s="1053"/>
      <c r="HX553" s="1053"/>
      <c r="HY553" s="1053"/>
      <c r="HZ553" s="1053"/>
      <c r="IA553" s="1053"/>
      <c r="IB553" s="1053"/>
      <c r="IC553" s="1053"/>
      <c r="ID553" s="1053"/>
      <c r="IE553" s="1053"/>
      <c r="IF553" s="1053"/>
      <c r="IG553" s="1053"/>
      <c r="IH553" s="1053"/>
      <c r="II553" s="1053"/>
      <c r="IJ553" s="1053"/>
      <c r="IK553" s="1053"/>
      <c r="IL553" s="1053"/>
      <c r="IM553" s="1053"/>
      <c r="IN553" s="1053"/>
    </row>
    <row r="554" spans="1:248" s="1072" customFormat="1">
      <c r="A554" s="1054"/>
      <c r="G554" s="1053"/>
      <c r="H554" s="1053"/>
      <c r="I554" s="1053"/>
      <c r="J554" s="1053"/>
      <c r="K554" s="1053"/>
      <c r="L554" s="1053"/>
      <c r="M554" s="1053"/>
      <c r="N554" s="1053"/>
      <c r="O554" s="1053"/>
      <c r="P554" s="1053"/>
      <c r="Q554" s="1053"/>
      <c r="R554" s="1053"/>
      <c r="S554" s="1053"/>
      <c r="T554" s="1053"/>
      <c r="U554" s="1053"/>
      <c r="V554" s="1053"/>
      <c r="W554" s="1053"/>
      <c r="X554" s="1053"/>
      <c r="Y554" s="1053"/>
      <c r="Z554" s="1053"/>
      <c r="AA554" s="1053"/>
      <c r="AB554" s="1053"/>
      <c r="AC554" s="1053"/>
      <c r="AD554" s="1053"/>
      <c r="AE554" s="1053"/>
      <c r="AF554" s="1053"/>
      <c r="AG554" s="1053"/>
      <c r="AH554" s="1053"/>
      <c r="AI554" s="1053"/>
      <c r="AJ554" s="1053"/>
      <c r="AK554" s="1053"/>
      <c r="AL554" s="1053"/>
      <c r="AM554" s="1053"/>
      <c r="AN554" s="1053"/>
      <c r="AO554" s="1053"/>
      <c r="AP554" s="1053"/>
      <c r="AQ554" s="1053"/>
      <c r="AR554" s="1053"/>
      <c r="AS554" s="1053"/>
      <c r="AT554" s="1053"/>
      <c r="AU554" s="1053"/>
      <c r="AV554" s="1053"/>
      <c r="AW554" s="1053"/>
      <c r="AX554" s="1053"/>
      <c r="AY554" s="1053"/>
      <c r="AZ554" s="1053"/>
      <c r="BA554" s="1053"/>
      <c r="BB554" s="1053"/>
      <c r="BC554" s="1053"/>
      <c r="BD554" s="1053"/>
      <c r="BE554" s="1053"/>
      <c r="BF554" s="1053"/>
      <c r="BG554" s="1053"/>
      <c r="BH554" s="1053"/>
      <c r="BI554" s="1053"/>
      <c r="BJ554" s="1053"/>
      <c r="BK554" s="1053"/>
      <c r="BL554" s="1053"/>
      <c r="BM554" s="1053"/>
      <c r="BN554" s="1053"/>
      <c r="BO554" s="1053"/>
      <c r="BP554" s="1053"/>
      <c r="BQ554" s="1053"/>
      <c r="BR554" s="1053"/>
      <c r="BS554" s="1053"/>
      <c r="BT554" s="1053"/>
      <c r="BU554" s="1053"/>
      <c r="BV554" s="1053"/>
      <c r="BW554" s="1053"/>
      <c r="BX554" s="1053"/>
      <c r="BY554" s="1053"/>
      <c r="BZ554" s="1053"/>
      <c r="CA554" s="1053"/>
      <c r="CB554" s="1053"/>
      <c r="CC554" s="1053"/>
      <c r="CD554" s="1053"/>
      <c r="CE554" s="1053"/>
      <c r="CF554" s="1053"/>
      <c r="CG554" s="1053"/>
      <c r="CH554" s="1053"/>
      <c r="CI554" s="1053"/>
      <c r="CJ554" s="1053"/>
      <c r="CK554" s="1053"/>
      <c r="CL554" s="1053"/>
      <c r="CM554" s="1053"/>
      <c r="CN554" s="1053"/>
      <c r="CO554" s="1053"/>
      <c r="CP554" s="1053"/>
      <c r="CQ554" s="1053"/>
      <c r="CR554" s="1053"/>
      <c r="CS554" s="1053"/>
      <c r="CT554" s="1053"/>
      <c r="CU554" s="1053"/>
      <c r="CV554" s="1053"/>
      <c r="CW554" s="1053"/>
      <c r="CX554" s="1053"/>
      <c r="CY554" s="1053"/>
      <c r="CZ554" s="1053"/>
      <c r="DA554" s="1053"/>
      <c r="DB554" s="1053"/>
      <c r="DC554" s="1053"/>
      <c r="DD554" s="1053"/>
      <c r="DE554" s="1053"/>
      <c r="DF554" s="1053"/>
      <c r="DG554" s="1053"/>
      <c r="DH554" s="1053"/>
      <c r="DI554" s="1053"/>
      <c r="DJ554" s="1053"/>
      <c r="DK554" s="1053"/>
      <c r="DL554" s="1053"/>
      <c r="DM554" s="1053"/>
      <c r="DN554" s="1053"/>
      <c r="DO554" s="1053"/>
      <c r="DP554" s="1053"/>
      <c r="DQ554" s="1053"/>
      <c r="DR554" s="1053"/>
      <c r="DS554" s="1053"/>
      <c r="DT554" s="1053"/>
      <c r="DU554" s="1053"/>
      <c r="DV554" s="1053"/>
      <c r="DW554" s="1053"/>
      <c r="DX554" s="1053"/>
      <c r="DY554" s="1053"/>
      <c r="DZ554" s="1053"/>
      <c r="EA554" s="1053"/>
      <c r="EB554" s="1053"/>
      <c r="EC554" s="1053"/>
      <c r="ED554" s="1053"/>
      <c r="EE554" s="1053"/>
      <c r="EF554" s="1053"/>
      <c r="EG554" s="1053"/>
      <c r="EH554" s="1053"/>
      <c r="EI554" s="1053"/>
      <c r="EJ554" s="1053"/>
      <c r="EK554" s="1053"/>
      <c r="EL554" s="1053"/>
      <c r="EM554" s="1053"/>
      <c r="EN554" s="1053"/>
      <c r="EO554" s="1053"/>
      <c r="EP554" s="1053"/>
      <c r="EQ554" s="1053"/>
      <c r="ER554" s="1053"/>
      <c r="ES554" s="1053"/>
      <c r="ET554" s="1053"/>
      <c r="EU554" s="1053"/>
      <c r="EV554" s="1053"/>
      <c r="EW554" s="1053"/>
      <c r="EX554" s="1053"/>
      <c r="EY554" s="1053"/>
      <c r="EZ554" s="1053"/>
      <c r="FA554" s="1053"/>
      <c r="FB554" s="1053"/>
      <c r="FC554" s="1053"/>
      <c r="FD554" s="1053"/>
      <c r="FE554" s="1053"/>
      <c r="FF554" s="1053"/>
      <c r="FG554" s="1053"/>
      <c r="FH554" s="1053"/>
      <c r="FI554" s="1053"/>
      <c r="FJ554" s="1053"/>
      <c r="FK554" s="1053"/>
      <c r="FL554" s="1053"/>
      <c r="FM554" s="1053"/>
      <c r="FN554" s="1053"/>
      <c r="FO554" s="1053"/>
      <c r="FP554" s="1053"/>
      <c r="FQ554" s="1053"/>
      <c r="FR554" s="1053"/>
      <c r="FS554" s="1053"/>
      <c r="FT554" s="1053"/>
      <c r="FU554" s="1053"/>
      <c r="FV554" s="1053"/>
      <c r="FW554" s="1053"/>
      <c r="FX554" s="1053"/>
      <c r="FY554" s="1053"/>
      <c r="FZ554" s="1053"/>
      <c r="GA554" s="1053"/>
      <c r="GB554" s="1053"/>
      <c r="GC554" s="1053"/>
      <c r="GD554" s="1053"/>
      <c r="GE554" s="1053"/>
      <c r="GF554" s="1053"/>
      <c r="GG554" s="1053"/>
      <c r="GH554" s="1053"/>
      <c r="GI554" s="1053"/>
      <c r="GJ554" s="1053"/>
      <c r="GK554" s="1053"/>
      <c r="GL554" s="1053"/>
      <c r="GM554" s="1053"/>
      <c r="GN554" s="1053"/>
      <c r="GO554" s="1053"/>
      <c r="GP554" s="1053"/>
      <c r="GQ554" s="1053"/>
      <c r="GR554" s="1053"/>
      <c r="GS554" s="1053"/>
      <c r="GT554" s="1053"/>
      <c r="GU554" s="1053"/>
      <c r="GV554" s="1053"/>
      <c r="GW554" s="1053"/>
      <c r="GX554" s="1053"/>
      <c r="GY554" s="1053"/>
      <c r="GZ554" s="1053"/>
      <c r="HA554" s="1053"/>
      <c r="HB554" s="1053"/>
      <c r="HC554" s="1053"/>
      <c r="HD554" s="1053"/>
      <c r="HE554" s="1053"/>
      <c r="HF554" s="1053"/>
      <c r="HG554" s="1053"/>
      <c r="HH554" s="1053"/>
      <c r="HI554" s="1053"/>
      <c r="HJ554" s="1053"/>
      <c r="HK554" s="1053"/>
      <c r="HL554" s="1053"/>
      <c r="HM554" s="1053"/>
      <c r="HN554" s="1053"/>
      <c r="HO554" s="1053"/>
      <c r="HP554" s="1053"/>
      <c r="HQ554" s="1053"/>
      <c r="HR554" s="1053"/>
      <c r="HS554" s="1053"/>
      <c r="HT554" s="1053"/>
      <c r="HU554" s="1053"/>
      <c r="HV554" s="1053"/>
      <c r="HW554" s="1053"/>
      <c r="HX554" s="1053"/>
      <c r="HY554" s="1053"/>
      <c r="HZ554" s="1053"/>
      <c r="IA554" s="1053"/>
      <c r="IB554" s="1053"/>
      <c r="IC554" s="1053"/>
      <c r="ID554" s="1053"/>
      <c r="IE554" s="1053"/>
      <c r="IF554" s="1053"/>
      <c r="IG554" s="1053"/>
      <c r="IH554" s="1053"/>
      <c r="II554" s="1053"/>
      <c r="IJ554" s="1053"/>
      <c r="IK554" s="1053"/>
      <c r="IL554" s="1053"/>
      <c r="IM554" s="1053"/>
      <c r="IN554" s="1053"/>
    </row>
    <row r="556" spans="1:248" s="1072" customFormat="1">
      <c r="A556" s="1054"/>
      <c r="G556" s="1053"/>
      <c r="H556" s="1053"/>
      <c r="I556" s="1053"/>
      <c r="J556" s="1053"/>
      <c r="K556" s="1053"/>
      <c r="L556" s="1053"/>
      <c r="M556" s="1053"/>
      <c r="N556" s="1053"/>
      <c r="O556" s="1053"/>
      <c r="P556" s="1053"/>
      <c r="Q556" s="1053"/>
      <c r="R556" s="1053"/>
      <c r="S556" s="1053"/>
      <c r="T556" s="1053"/>
      <c r="U556" s="1053"/>
      <c r="V556" s="1053"/>
      <c r="W556" s="1053"/>
      <c r="X556" s="1053"/>
      <c r="Y556" s="1053"/>
      <c r="Z556" s="1053"/>
      <c r="AA556" s="1053"/>
      <c r="AB556" s="1053"/>
      <c r="AC556" s="1053"/>
      <c r="AD556" s="1053"/>
      <c r="AE556" s="1053"/>
      <c r="AF556" s="1053"/>
      <c r="AG556" s="1053"/>
      <c r="AH556" s="1053"/>
      <c r="AI556" s="1053"/>
      <c r="AJ556" s="1053"/>
      <c r="AK556" s="1053"/>
      <c r="AL556" s="1053"/>
      <c r="AM556" s="1053"/>
      <c r="AN556" s="1053"/>
      <c r="AO556" s="1053"/>
      <c r="AP556" s="1053"/>
      <c r="AQ556" s="1053"/>
      <c r="AR556" s="1053"/>
      <c r="AS556" s="1053"/>
      <c r="AT556" s="1053"/>
      <c r="AU556" s="1053"/>
      <c r="AV556" s="1053"/>
      <c r="AW556" s="1053"/>
      <c r="AX556" s="1053"/>
      <c r="AY556" s="1053"/>
      <c r="AZ556" s="1053"/>
      <c r="BA556" s="1053"/>
      <c r="BB556" s="1053"/>
      <c r="BC556" s="1053"/>
      <c r="BD556" s="1053"/>
      <c r="BE556" s="1053"/>
      <c r="BF556" s="1053"/>
      <c r="BG556" s="1053"/>
      <c r="BH556" s="1053"/>
      <c r="BI556" s="1053"/>
      <c r="BJ556" s="1053"/>
      <c r="BK556" s="1053"/>
      <c r="BL556" s="1053"/>
      <c r="BM556" s="1053"/>
      <c r="BN556" s="1053"/>
      <c r="BO556" s="1053"/>
      <c r="BP556" s="1053"/>
      <c r="BQ556" s="1053"/>
      <c r="BR556" s="1053"/>
      <c r="BS556" s="1053"/>
      <c r="BT556" s="1053"/>
      <c r="BU556" s="1053"/>
      <c r="BV556" s="1053"/>
      <c r="BW556" s="1053"/>
      <c r="BX556" s="1053"/>
      <c r="BY556" s="1053"/>
      <c r="BZ556" s="1053"/>
      <c r="CA556" s="1053"/>
      <c r="CB556" s="1053"/>
      <c r="CC556" s="1053"/>
      <c r="CD556" s="1053"/>
      <c r="CE556" s="1053"/>
      <c r="CF556" s="1053"/>
      <c r="CG556" s="1053"/>
      <c r="CH556" s="1053"/>
      <c r="CI556" s="1053"/>
      <c r="CJ556" s="1053"/>
      <c r="CK556" s="1053"/>
      <c r="CL556" s="1053"/>
      <c r="CM556" s="1053"/>
      <c r="CN556" s="1053"/>
      <c r="CO556" s="1053"/>
      <c r="CP556" s="1053"/>
      <c r="CQ556" s="1053"/>
      <c r="CR556" s="1053"/>
      <c r="CS556" s="1053"/>
      <c r="CT556" s="1053"/>
      <c r="CU556" s="1053"/>
      <c r="CV556" s="1053"/>
      <c r="CW556" s="1053"/>
      <c r="CX556" s="1053"/>
      <c r="CY556" s="1053"/>
      <c r="CZ556" s="1053"/>
      <c r="DA556" s="1053"/>
      <c r="DB556" s="1053"/>
      <c r="DC556" s="1053"/>
      <c r="DD556" s="1053"/>
      <c r="DE556" s="1053"/>
      <c r="DF556" s="1053"/>
      <c r="DG556" s="1053"/>
      <c r="DH556" s="1053"/>
      <c r="DI556" s="1053"/>
      <c r="DJ556" s="1053"/>
      <c r="DK556" s="1053"/>
      <c r="DL556" s="1053"/>
      <c r="DM556" s="1053"/>
      <c r="DN556" s="1053"/>
      <c r="DO556" s="1053"/>
      <c r="DP556" s="1053"/>
      <c r="DQ556" s="1053"/>
      <c r="DR556" s="1053"/>
      <c r="DS556" s="1053"/>
      <c r="DT556" s="1053"/>
      <c r="DU556" s="1053"/>
      <c r="DV556" s="1053"/>
      <c r="DW556" s="1053"/>
      <c r="DX556" s="1053"/>
      <c r="DY556" s="1053"/>
      <c r="DZ556" s="1053"/>
      <c r="EA556" s="1053"/>
      <c r="EB556" s="1053"/>
      <c r="EC556" s="1053"/>
      <c r="ED556" s="1053"/>
      <c r="EE556" s="1053"/>
      <c r="EF556" s="1053"/>
      <c r="EG556" s="1053"/>
      <c r="EH556" s="1053"/>
      <c r="EI556" s="1053"/>
      <c r="EJ556" s="1053"/>
      <c r="EK556" s="1053"/>
      <c r="EL556" s="1053"/>
      <c r="EM556" s="1053"/>
      <c r="EN556" s="1053"/>
      <c r="EO556" s="1053"/>
      <c r="EP556" s="1053"/>
      <c r="EQ556" s="1053"/>
      <c r="ER556" s="1053"/>
      <c r="ES556" s="1053"/>
      <c r="ET556" s="1053"/>
      <c r="EU556" s="1053"/>
      <c r="EV556" s="1053"/>
      <c r="EW556" s="1053"/>
      <c r="EX556" s="1053"/>
      <c r="EY556" s="1053"/>
      <c r="EZ556" s="1053"/>
      <c r="FA556" s="1053"/>
      <c r="FB556" s="1053"/>
      <c r="FC556" s="1053"/>
      <c r="FD556" s="1053"/>
      <c r="FE556" s="1053"/>
      <c r="FF556" s="1053"/>
      <c r="FG556" s="1053"/>
      <c r="FH556" s="1053"/>
      <c r="FI556" s="1053"/>
      <c r="FJ556" s="1053"/>
      <c r="FK556" s="1053"/>
      <c r="FL556" s="1053"/>
      <c r="FM556" s="1053"/>
      <c r="FN556" s="1053"/>
      <c r="FO556" s="1053"/>
      <c r="FP556" s="1053"/>
      <c r="FQ556" s="1053"/>
      <c r="FR556" s="1053"/>
      <c r="FS556" s="1053"/>
      <c r="FT556" s="1053"/>
      <c r="FU556" s="1053"/>
      <c r="FV556" s="1053"/>
      <c r="FW556" s="1053"/>
      <c r="FX556" s="1053"/>
      <c r="FY556" s="1053"/>
      <c r="FZ556" s="1053"/>
      <c r="GA556" s="1053"/>
      <c r="GB556" s="1053"/>
      <c r="GC556" s="1053"/>
      <c r="GD556" s="1053"/>
      <c r="GE556" s="1053"/>
      <c r="GF556" s="1053"/>
      <c r="GG556" s="1053"/>
      <c r="GH556" s="1053"/>
      <c r="GI556" s="1053"/>
      <c r="GJ556" s="1053"/>
      <c r="GK556" s="1053"/>
      <c r="GL556" s="1053"/>
      <c r="GM556" s="1053"/>
      <c r="GN556" s="1053"/>
      <c r="GO556" s="1053"/>
      <c r="GP556" s="1053"/>
      <c r="GQ556" s="1053"/>
      <c r="GR556" s="1053"/>
      <c r="GS556" s="1053"/>
      <c r="GT556" s="1053"/>
      <c r="GU556" s="1053"/>
      <c r="GV556" s="1053"/>
      <c r="GW556" s="1053"/>
      <c r="GX556" s="1053"/>
      <c r="GY556" s="1053"/>
      <c r="GZ556" s="1053"/>
      <c r="HA556" s="1053"/>
      <c r="HB556" s="1053"/>
      <c r="HC556" s="1053"/>
      <c r="HD556" s="1053"/>
      <c r="HE556" s="1053"/>
      <c r="HF556" s="1053"/>
      <c r="HG556" s="1053"/>
      <c r="HH556" s="1053"/>
      <c r="HI556" s="1053"/>
      <c r="HJ556" s="1053"/>
      <c r="HK556" s="1053"/>
      <c r="HL556" s="1053"/>
      <c r="HM556" s="1053"/>
      <c r="HN556" s="1053"/>
      <c r="HO556" s="1053"/>
      <c r="HP556" s="1053"/>
      <c r="HQ556" s="1053"/>
      <c r="HR556" s="1053"/>
      <c r="HS556" s="1053"/>
      <c r="HT556" s="1053"/>
      <c r="HU556" s="1053"/>
      <c r="HV556" s="1053"/>
      <c r="HW556" s="1053"/>
      <c r="HX556" s="1053"/>
      <c r="HY556" s="1053"/>
      <c r="HZ556" s="1053"/>
      <c r="IA556" s="1053"/>
      <c r="IB556" s="1053"/>
      <c r="IC556" s="1053"/>
      <c r="ID556" s="1053"/>
      <c r="IE556" s="1053"/>
      <c r="IF556" s="1053"/>
      <c r="IG556" s="1053"/>
      <c r="IH556" s="1053"/>
      <c r="II556" s="1053"/>
      <c r="IJ556" s="1053"/>
      <c r="IK556" s="1053"/>
      <c r="IL556" s="1053"/>
      <c r="IM556" s="1053"/>
      <c r="IN556" s="1053"/>
    </row>
    <row r="557" spans="1:248" s="1072" customFormat="1">
      <c r="A557" s="1054"/>
      <c r="G557" s="1053"/>
      <c r="H557" s="1053"/>
      <c r="I557" s="1053"/>
      <c r="J557" s="1053"/>
      <c r="K557" s="1053"/>
      <c r="L557" s="1053"/>
      <c r="M557" s="1053"/>
      <c r="N557" s="1053"/>
      <c r="O557" s="1053"/>
      <c r="P557" s="1053"/>
      <c r="Q557" s="1053"/>
      <c r="R557" s="1053"/>
      <c r="S557" s="1053"/>
      <c r="T557" s="1053"/>
      <c r="U557" s="1053"/>
      <c r="V557" s="1053"/>
      <c r="W557" s="1053"/>
      <c r="X557" s="1053"/>
      <c r="Y557" s="1053"/>
      <c r="Z557" s="1053"/>
      <c r="AA557" s="1053"/>
      <c r="AB557" s="1053"/>
      <c r="AC557" s="1053"/>
      <c r="AD557" s="1053"/>
      <c r="AE557" s="1053"/>
      <c r="AF557" s="1053"/>
      <c r="AG557" s="1053"/>
      <c r="AH557" s="1053"/>
      <c r="AI557" s="1053"/>
      <c r="AJ557" s="1053"/>
      <c r="AK557" s="1053"/>
      <c r="AL557" s="1053"/>
      <c r="AM557" s="1053"/>
      <c r="AN557" s="1053"/>
      <c r="AO557" s="1053"/>
      <c r="AP557" s="1053"/>
      <c r="AQ557" s="1053"/>
      <c r="AR557" s="1053"/>
      <c r="AS557" s="1053"/>
      <c r="AT557" s="1053"/>
      <c r="AU557" s="1053"/>
      <c r="AV557" s="1053"/>
      <c r="AW557" s="1053"/>
      <c r="AX557" s="1053"/>
      <c r="AY557" s="1053"/>
      <c r="AZ557" s="1053"/>
      <c r="BA557" s="1053"/>
      <c r="BB557" s="1053"/>
      <c r="BC557" s="1053"/>
      <c r="BD557" s="1053"/>
      <c r="BE557" s="1053"/>
      <c r="BF557" s="1053"/>
      <c r="BG557" s="1053"/>
      <c r="BH557" s="1053"/>
      <c r="BI557" s="1053"/>
      <c r="BJ557" s="1053"/>
      <c r="BK557" s="1053"/>
      <c r="BL557" s="1053"/>
      <c r="BM557" s="1053"/>
      <c r="BN557" s="1053"/>
      <c r="BO557" s="1053"/>
      <c r="BP557" s="1053"/>
      <c r="BQ557" s="1053"/>
      <c r="BR557" s="1053"/>
      <c r="BS557" s="1053"/>
      <c r="BT557" s="1053"/>
      <c r="BU557" s="1053"/>
      <c r="BV557" s="1053"/>
      <c r="BW557" s="1053"/>
      <c r="BX557" s="1053"/>
      <c r="BY557" s="1053"/>
      <c r="BZ557" s="1053"/>
      <c r="CA557" s="1053"/>
      <c r="CB557" s="1053"/>
      <c r="CC557" s="1053"/>
      <c r="CD557" s="1053"/>
      <c r="CE557" s="1053"/>
      <c r="CF557" s="1053"/>
      <c r="CG557" s="1053"/>
      <c r="CH557" s="1053"/>
      <c r="CI557" s="1053"/>
      <c r="CJ557" s="1053"/>
      <c r="CK557" s="1053"/>
      <c r="CL557" s="1053"/>
      <c r="CM557" s="1053"/>
      <c r="CN557" s="1053"/>
      <c r="CO557" s="1053"/>
      <c r="CP557" s="1053"/>
      <c r="CQ557" s="1053"/>
      <c r="CR557" s="1053"/>
      <c r="CS557" s="1053"/>
      <c r="CT557" s="1053"/>
      <c r="CU557" s="1053"/>
      <c r="CV557" s="1053"/>
      <c r="CW557" s="1053"/>
      <c r="CX557" s="1053"/>
      <c r="CY557" s="1053"/>
      <c r="CZ557" s="1053"/>
      <c r="DA557" s="1053"/>
      <c r="DB557" s="1053"/>
      <c r="DC557" s="1053"/>
      <c r="DD557" s="1053"/>
      <c r="DE557" s="1053"/>
      <c r="DF557" s="1053"/>
      <c r="DG557" s="1053"/>
      <c r="DH557" s="1053"/>
      <c r="DI557" s="1053"/>
      <c r="DJ557" s="1053"/>
      <c r="DK557" s="1053"/>
      <c r="DL557" s="1053"/>
      <c r="DM557" s="1053"/>
      <c r="DN557" s="1053"/>
      <c r="DO557" s="1053"/>
      <c r="DP557" s="1053"/>
      <c r="DQ557" s="1053"/>
      <c r="DR557" s="1053"/>
      <c r="DS557" s="1053"/>
      <c r="DT557" s="1053"/>
      <c r="DU557" s="1053"/>
      <c r="DV557" s="1053"/>
      <c r="DW557" s="1053"/>
      <c r="DX557" s="1053"/>
      <c r="DY557" s="1053"/>
      <c r="DZ557" s="1053"/>
      <c r="EA557" s="1053"/>
      <c r="EB557" s="1053"/>
      <c r="EC557" s="1053"/>
      <c r="ED557" s="1053"/>
      <c r="EE557" s="1053"/>
      <c r="EF557" s="1053"/>
      <c r="EG557" s="1053"/>
      <c r="EH557" s="1053"/>
      <c r="EI557" s="1053"/>
      <c r="EJ557" s="1053"/>
      <c r="EK557" s="1053"/>
      <c r="EL557" s="1053"/>
      <c r="EM557" s="1053"/>
      <c r="EN557" s="1053"/>
      <c r="EO557" s="1053"/>
      <c r="EP557" s="1053"/>
      <c r="EQ557" s="1053"/>
      <c r="ER557" s="1053"/>
      <c r="ES557" s="1053"/>
      <c r="ET557" s="1053"/>
      <c r="EU557" s="1053"/>
      <c r="EV557" s="1053"/>
      <c r="EW557" s="1053"/>
      <c r="EX557" s="1053"/>
      <c r="EY557" s="1053"/>
      <c r="EZ557" s="1053"/>
      <c r="FA557" s="1053"/>
      <c r="FB557" s="1053"/>
      <c r="FC557" s="1053"/>
      <c r="FD557" s="1053"/>
      <c r="FE557" s="1053"/>
      <c r="FF557" s="1053"/>
      <c r="FG557" s="1053"/>
      <c r="FH557" s="1053"/>
      <c r="FI557" s="1053"/>
      <c r="FJ557" s="1053"/>
      <c r="FK557" s="1053"/>
      <c r="FL557" s="1053"/>
      <c r="FM557" s="1053"/>
      <c r="FN557" s="1053"/>
      <c r="FO557" s="1053"/>
      <c r="FP557" s="1053"/>
      <c r="FQ557" s="1053"/>
      <c r="FR557" s="1053"/>
      <c r="FS557" s="1053"/>
      <c r="FT557" s="1053"/>
      <c r="FU557" s="1053"/>
      <c r="FV557" s="1053"/>
      <c r="FW557" s="1053"/>
      <c r="FX557" s="1053"/>
      <c r="FY557" s="1053"/>
      <c r="FZ557" s="1053"/>
      <c r="GA557" s="1053"/>
      <c r="GB557" s="1053"/>
      <c r="GC557" s="1053"/>
      <c r="GD557" s="1053"/>
      <c r="GE557" s="1053"/>
      <c r="GF557" s="1053"/>
      <c r="GG557" s="1053"/>
      <c r="GH557" s="1053"/>
      <c r="GI557" s="1053"/>
      <c r="GJ557" s="1053"/>
      <c r="GK557" s="1053"/>
      <c r="GL557" s="1053"/>
      <c r="GM557" s="1053"/>
      <c r="GN557" s="1053"/>
      <c r="GO557" s="1053"/>
      <c r="GP557" s="1053"/>
      <c r="GQ557" s="1053"/>
      <c r="GR557" s="1053"/>
      <c r="GS557" s="1053"/>
      <c r="GT557" s="1053"/>
      <c r="GU557" s="1053"/>
      <c r="GV557" s="1053"/>
      <c r="GW557" s="1053"/>
      <c r="GX557" s="1053"/>
      <c r="GY557" s="1053"/>
      <c r="GZ557" s="1053"/>
      <c r="HA557" s="1053"/>
      <c r="HB557" s="1053"/>
      <c r="HC557" s="1053"/>
      <c r="HD557" s="1053"/>
      <c r="HE557" s="1053"/>
      <c r="HF557" s="1053"/>
      <c r="HG557" s="1053"/>
      <c r="HH557" s="1053"/>
      <c r="HI557" s="1053"/>
      <c r="HJ557" s="1053"/>
      <c r="HK557" s="1053"/>
      <c r="HL557" s="1053"/>
      <c r="HM557" s="1053"/>
      <c r="HN557" s="1053"/>
      <c r="HO557" s="1053"/>
      <c r="HP557" s="1053"/>
      <c r="HQ557" s="1053"/>
      <c r="HR557" s="1053"/>
      <c r="HS557" s="1053"/>
      <c r="HT557" s="1053"/>
      <c r="HU557" s="1053"/>
      <c r="HV557" s="1053"/>
      <c r="HW557" s="1053"/>
      <c r="HX557" s="1053"/>
      <c r="HY557" s="1053"/>
      <c r="HZ557" s="1053"/>
      <c r="IA557" s="1053"/>
      <c r="IB557" s="1053"/>
      <c r="IC557" s="1053"/>
      <c r="ID557" s="1053"/>
      <c r="IE557" s="1053"/>
      <c r="IF557" s="1053"/>
      <c r="IG557" s="1053"/>
      <c r="IH557" s="1053"/>
      <c r="II557" s="1053"/>
      <c r="IJ557" s="1053"/>
      <c r="IK557" s="1053"/>
      <c r="IL557" s="1053"/>
      <c r="IM557" s="1053"/>
      <c r="IN557" s="1053"/>
    </row>
    <row r="558" spans="1:248" s="1072" customFormat="1">
      <c r="A558" s="1054"/>
      <c r="G558" s="1053"/>
      <c r="H558" s="1053"/>
      <c r="I558" s="1053"/>
      <c r="J558" s="1053"/>
      <c r="K558" s="1053"/>
      <c r="L558" s="1053"/>
      <c r="M558" s="1053"/>
      <c r="N558" s="1053"/>
      <c r="O558" s="1053"/>
      <c r="P558" s="1053"/>
      <c r="Q558" s="1053"/>
      <c r="R558" s="1053"/>
      <c r="S558" s="1053"/>
      <c r="T558" s="1053"/>
      <c r="U558" s="1053"/>
      <c r="V558" s="1053"/>
      <c r="W558" s="1053"/>
      <c r="X558" s="1053"/>
      <c r="Y558" s="1053"/>
      <c r="Z558" s="1053"/>
      <c r="AA558" s="1053"/>
      <c r="AB558" s="1053"/>
      <c r="AC558" s="1053"/>
      <c r="AD558" s="1053"/>
      <c r="AE558" s="1053"/>
      <c r="AF558" s="1053"/>
      <c r="AG558" s="1053"/>
      <c r="AH558" s="1053"/>
      <c r="AI558" s="1053"/>
      <c r="AJ558" s="1053"/>
      <c r="AK558" s="1053"/>
      <c r="AL558" s="1053"/>
      <c r="AM558" s="1053"/>
      <c r="AN558" s="1053"/>
      <c r="AO558" s="1053"/>
      <c r="AP558" s="1053"/>
      <c r="AQ558" s="1053"/>
      <c r="AR558" s="1053"/>
      <c r="AS558" s="1053"/>
      <c r="AT558" s="1053"/>
      <c r="AU558" s="1053"/>
      <c r="AV558" s="1053"/>
      <c r="AW558" s="1053"/>
      <c r="AX558" s="1053"/>
      <c r="AY558" s="1053"/>
      <c r="AZ558" s="1053"/>
      <c r="BA558" s="1053"/>
      <c r="BB558" s="1053"/>
      <c r="BC558" s="1053"/>
      <c r="BD558" s="1053"/>
      <c r="BE558" s="1053"/>
      <c r="BF558" s="1053"/>
      <c r="BG558" s="1053"/>
      <c r="BH558" s="1053"/>
      <c r="BI558" s="1053"/>
      <c r="BJ558" s="1053"/>
      <c r="BK558" s="1053"/>
      <c r="BL558" s="1053"/>
      <c r="BM558" s="1053"/>
      <c r="BN558" s="1053"/>
      <c r="BO558" s="1053"/>
      <c r="BP558" s="1053"/>
      <c r="BQ558" s="1053"/>
      <c r="BR558" s="1053"/>
      <c r="BS558" s="1053"/>
      <c r="BT558" s="1053"/>
      <c r="BU558" s="1053"/>
      <c r="BV558" s="1053"/>
      <c r="BW558" s="1053"/>
      <c r="BX558" s="1053"/>
      <c r="BY558" s="1053"/>
      <c r="BZ558" s="1053"/>
      <c r="CA558" s="1053"/>
      <c r="CB558" s="1053"/>
      <c r="CC558" s="1053"/>
      <c r="CD558" s="1053"/>
      <c r="CE558" s="1053"/>
      <c r="CF558" s="1053"/>
      <c r="CG558" s="1053"/>
      <c r="CH558" s="1053"/>
      <c r="CI558" s="1053"/>
      <c r="CJ558" s="1053"/>
      <c r="CK558" s="1053"/>
      <c r="CL558" s="1053"/>
      <c r="CM558" s="1053"/>
      <c r="CN558" s="1053"/>
      <c r="CO558" s="1053"/>
      <c r="CP558" s="1053"/>
      <c r="CQ558" s="1053"/>
      <c r="CR558" s="1053"/>
      <c r="CS558" s="1053"/>
      <c r="CT558" s="1053"/>
      <c r="CU558" s="1053"/>
      <c r="CV558" s="1053"/>
      <c r="CW558" s="1053"/>
      <c r="CX558" s="1053"/>
      <c r="CY558" s="1053"/>
      <c r="CZ558" s="1053"/>
      <c r="DA558" s="1053"/>
      <c r="DB558" s="1053"/>
      <c r="DC558" s="1053"/>
      <c r="DD558" s="1053"/>
      <c r="DE558" s="1053"/>
      <c r="DF558" s="1053"/>
      <c r="DG558" s="1053"/>
      <c r="DH558" s="1053"/>
      <c r="DI558" s="1053"/>
      <c r="DJ558" s="1053"/>
      <c r="DK558" s="1053"/>
      <c r="DL558" s="1053"/>
      <c r="DM558" s="1053"/>
      <c r="DN558" s="1053"/>
      <c r="DO558" s="1053"/>
      <c r="DP558" s="1053"/>
      <c r="DQ558" s="1053"/>
      <c r="DR558" s="1053"/>
      <c r="DS558" s="1053"/>
      <c r="DT558" s="1053"/>
      <c r="DU558" s="1053"/>
      <c r="DV558" s="1053"/>
      <c r="DW558" s="1053"/>
      <c r="DX558" s="1053"/>
      <c r="DY558" s="1053"/>
      <c r="DZ558" s="1053"/>
      <c r="EA558" s="1053"/>
      <c r="EB558" s="1053"/>
      <c r="EC558" s="1053"/>
      <c r="ED558" s="1053"/>
      <c r="EE558" s="1053"/>
      <c r="EF558" s="1053"/>
      <c r="EG558" s="1053"/>
      <c r="EH558" s="1053"/>
      <c r="EI558" s="1053"/>
      <c r="EJ558" s="1053"/>
      <c r="EK558" s="1053"/>
      <c r="EL558" s="1053"/>
      <c r="EM558" s="1053"/>
      <c r="EN558" s="1053"/>
      <c r="EO558" s="1053"/>
      <c r="EP558" s="1053"/>
      <c r="EQ558" s="1053"/>
      <c r="ER558" s="1053"/>
      <c r="ES558" s="1053"/>
      <c r="ET558" s="1053"/>
      <c r="EU558" s="1053"/>
      <c r="EV558" s="1053"/>
      <c r="EW558" s="1053"/>
      <c r="EX558" s="1053"/>
      <c r="EY558" s="1053"/>
      <c r="EZ558" s="1053"/>
      <c r="FA558" s="1053"/>
      <c r="FB558" s="1053"/>
      <c r="FC558" s="1053"/>
      <c r="FD558" s="1053"/>
      <c r="FE558" s="1053"/>
      <c r="FF558" s="1053"/>
      <c r="FG558" s="1053"/>
      <c r="FH558" s="1053"/>
      <c r="FI558" s="1053"/>
      <c r="FJ558" s="1053"/>
      <c r="FK558" s="1053"/>
      <c r="FL558" s="1053"/>
      <c r="FM558" s="1053"/>
      <c r="FN558" s="1053"/>
      <c r="FO558" s="1053"/>
      <c r="FP558" s="1053"/>
      <c r="FQ558" s="1053"/>
      <c r="FR558" s="1053"/>
      <c r="FS558" s="1053"/>
      <c r="FT558" s="1053"/>
      <c r="FU558" s="1053"/>
      <c r="FV558" s="1053"/>
      <c r="FW558" s="1053"/>
      <c r="FX558" s="1053"/>
      <c r="FY558" s="1053"/>
      <c r="FZ558" s="1053"/>
      <c r="GA558" s="1053"/>
      <c r="GB558" s="1053"/>
      <c r="GC558" s="1053"/>
      <c r="GD558" s="1053"/>
      <c r="GE558" s="1053"/>
      <c r="GF558" s="1053"/>
      <c r="GG558" s="1053"/>
      <c r="GH558" s="1053"/>
      <c r="GI558" s="1053"/>
      <c r="GJ558" s="1053"/>
      <c r="GK558" s="1053"/>
      <c r="GL558" s="1053"/>
      <c r="GM558" s="1053"/>
      <c r="GN558" s="1053"/>
      <c r="GO558" s="1053"/>
      <c r="GP558" s="1053"/>
      <c r="GQ558" s="1053"/>
      <c r="GR558" s="1053"/>
      <c r="GS558" s="1053"/>
      <c r="GT558" s="1053"/>
      <c r="GU558" s="1053"/>
      <c r="GV558" s="1053"/>
      <c r="GW558" s="1053"/>
      <c r="GX558" s="1053"/>
      <c r="GY558" s="1053"/>
      <c r="GZ558" s="1053"/>
      <c r="HA558" s="1053"/>
      <c r="HB558" s="1053"/>
      <c r="HC558" s="1053"/>
      <c r="HD558" s="1053"/>
      <c r="HE558" s="1053"/>
      <c r="HF558" s="1053"/>
      <c r="HG558" s="1053"/>
      <c r="HH558" s="1053"/>
      <c r="HI558" s="1053"/>
      <c r="HJ558" s="1053"/>
      <c r="HK558" s="1053"/>
      <c r="HL558" s="1053"/>
      <c r="HM558" s="1053"/>
      <c r="HN558" s="1053"/>
      <c r="HO558" s="1053"/>
      <c r="HP558" s="1053"/>
      <c r="HQ558" s="1053"/>
      <c r="HR558" s="1053"/>
      <c r="HS558" s="1053"/>
      <c r="HT558" s="1053"/>
      <c r="HU558" s="1053"/>
      <c r="HV558" s="1053"/>
      <c r="HW558" s="1053"/>
      <c r="HX558" s="1053"/>
      <c r="HY558" s="1053"/>
      <c r="HZ558" s="1053"/>
      <c r="IA558" s="1053"/>
      <c r="IB558" s="1053"/>
      <c r="IC558" s="1053"/>
      <c r="ID558" s="1053"/>
      <c r="IE558" s="1053"/>
      <c r="IF558" s="1053"/>
      <c r="IG558" s="1053"/>
      <c r="IH558" s="1053"/>
      <c r="II558" s="1053"/>
      <c r="IJ558" s="1053"/>
      <c r="IK558" s="1053"/>
      <c r="IL558" s="1053"/>
      <c r="IM558" s="1053"/>
      <c r="IN558" s="1053"/>
    </row>
    <row r="565" spans="1:248" s="1072" customFormat="1">
      <c r="A565" s="1054"/>
      <c r="G565" s="1053"/>
      <c r="H565" s="1053"/>
      <c r="I565" s="1053"/>
      <c r="J565" s="1053"/>
      <c r="K565" s="1053"/>
      <c r="L565" s="1053"/>
      <c r="M565" s="1053"/>
      <c r="N565" s="1053"/>
      <c r="O565" s="1053"/>
      <c r="P565" s="1053"/>
      <c r="Q565" s="1053"/>
      <c r="R565" s="1053"/>
      <c r="S565" s="1053"/>
      <c r="T565" s="1053"/>
      <c r="U565" s="1053"/>
      <c r="V565" s="1053"/>
      <c r="W565" s="1053"/>
      <c r="X565" s="1053"/>
      <c r="Y565" s="1053"/>
      <c r="Z565" s="1053"/>
      <c r="AA565" s="1053"/>
      <c r="AB565" s="1053"/>
      <c r="AC565" s="1053"/>
      <c r="AD565" s="1053"/>
      <c r="AE565" s="1053"/>
      <c r="AF565" s="1053"/>
      <c r="AG565" s="1053"/>
      <c r="AH565" s="1053"/>
      <c r="AI565" s="1053"/>
      <c r="AJ565" s="1053"/>
      <c r="AK565" s="1053"/>
      <c r="AL565" s="1053"/>
      <c r="AM565" s="1053"/>
      <c r="AN565" s="1053"/>
      <c r="AO565" s="1053"/>
      <c r="AP565" s="1053"/>
      <c r="AQ565" s="1053"/>
      <c r="AR565" s="1053"/>
      <c r="AS565" s="1053"/>
      <c r="AT565" s="1053"/>
      <c r="AU565" s="1053"/>
      <c r="AV565" s="1053"/>
      <c r="AW565" s="1053"/>
      <c r="AX565" s="1053"/>
      <c r="AY565" s="1053"/>
      <c r="AZ565" s="1053"/>
      <c r="BA565" s="1053"/>
      <c r="BB565" s="1053"/>
      <c r="BC565" s="1053"/>
      <c r="BD565" s="1053"/>
      <c r="BE565" s="1053"/>
      <c r="BF565" s="1053"/>
      <c r="BG565" s="1053"/>
      <c r="BH565" s="1053"/>
      <c r="BI565" s="1053"/>
      <c r="BJ565" s="1053"/>
      <c r="BK565" s="1053"/>
      <c r="BL565" s="1053"/>
      <c r="BM565" s="1053"/>
      <c r="BN565" s="1053"/>
      <c r="BO565" s="1053"/>
      <c r="BP565" s="1053"/>
      <c r="BQ565" s="1053"/>
      <c r="BR565" s="1053"/>
      <c r="BS565" s="1053"/>
      <c r="BT565" s="1053"/>
      <c r="BU565" s="1053"/>
      <c r="BV565" s="1053"/>
      <c r="BW565" s="1053"/>
      <c r="BX565" s="1053"/>
      <c r="BY565" s="1053"/>
      <c r="BZ565" s="1053"/>
      <c r="CA565" s="1053"/>
      <c r="CB565" s="1053"/>
      <c r="CC565" s="1053"/>
      <c r="CD565" s="1053"/>
      <c r="CE565" s="1053"/>
      <c r="CF565" s="1053"/>
      <c r="CG565" s="1053"/>
      <c r="CH565" s="1053"/>
      <c r="CI565" s="1053"/>
      <c r="CJ565" s="1053"/>
      <c r="CK565" s="1053"/>
      <c r="CL565" s="1053"/>
      <c r="CM565" s="1053"/>
      <c r="CN565" s="1053"/>
      <c r="CO565" s="1053"/>
      <c r="CP565" s="1053"/>
      <c r="CQ565" s="1053"/>
      <c r="CR565" s="1053"/>
      <c r="CS565" s="1053"/>
      <c r="CT565" s="1053"/>
      <c r="CU565" s="1053"/>
      <c r="CV565" s="1053"/>
      <c r="CW565" s="1053"/>
      <c r="CX565" s="1053"/>
      <c r="CY565" s="1053"/>
      <c r="CZ565" s="1053"/>
      <c r="DA565" s="1053"/>
      <c r="DB565" s="1053"/>
      <c r="DC565" s="1053"/>
      <c r="DD565" s="1053"/>
      <c r="DE565" s="1053"/>
      <c r="DF565" s="1053"/>
      <c r="DG565" s="1053"/>
      <c r="DH565" s="1053"/>
      <c r="DI565" s="1053"/>
      <c r="DJ565" s="1053"/>
      <c r="DK565" s="1053"/>
      <c r="DL565" s="1053"/>
      <c r="DM565" s="1053"/>
      <c r="DN565" s="1053"/>
      <c r="DO565" s="1053"/>
      <c r="DP565" s="1053"/>
      <c r="DQ565" s="1053"/>
      <c r="DR565" s="1053"/>
      <c r="DS565" s="1053"/>
      <c r="DT565" s="1053"/>
      <c r="DU565" s="1053"/>
      <c r="DV565" s="1053"/>
      <c r="DW565" s="1053"/>
      <c r="DX565" s="1053"/>
      <c r="DY565" s="1053"/>
      <c r="DZ565" s="1053"/>
      <c r="EA565" s="1053"/>
      <c r="EB565" s="1053"/>
      <c r="EC565" s="1053"/>
      <c r="ED565" s="1053"/>
      <c r="EE565" s="1053"/>
      <c r="EF565" s="1053"/>
      <c r="EG565" s="1053"/>
      <c r="EH565" s="1053"/>
      <c r="EI565" s="1053"/>
      <c r="EJ565" s="1053"/>
      <c r="EK565" s="1053"/>
      <c r="EL565" s="1053"/>
      <c r="EM565" s="1053"/>
      <c r="EN565" s="1053"/>
      <c r="EO565" s="1053"/>
      <c r="EP565" s="1053"/>
      <c r="EQ565" s="1053"/>
      <c r="ER565" s="1053"/>
      <c r="ES565" s="1053"/>
      <c r="ET565" s="1053"/>
      <c r="EU565" s="1053"/>
      <c r="EV565" s="1053"/>
      <c r="EW565" s="1053"/>
      <c r="EX565" s="1053"/>
      <c r="EY565" s="1053"/>
      <c r="EZ565" s="1053"/>
      <c r="FA565" s="1053"/>
      <c r="FB565" s="1053"/>
      <c r="FC565" s="1053"/>
      <c r="FD565" s="1053"/>
      <c r="FE565" s="1053"/>
      <c r="FF565" s="1053"/>
      <c r="FG565" s="1053"/>
      <c r="FH565" s="1053"/>
      <c r="FI565" s="1053"/>
      <c r="FJ565" s="1053"/>
      <c r="FK565" s="1053"/>
      <c r="FL565" s="1053"/>
      <c r="FM565" s="1053"/>
      <c r="FN565" s="1053"/>
      <c r="FO565" s="1053"/>
      <c r="FP565" s="1053"/>
      <c r="FQ565" s="1053"/>
      <c r="FR565" s="1053"/>
      <c r="FS565" s="1053"/>
      <c r="FT565" s="1053"/>
      <c r="FU565" s="1053"/>
      <c r="FV565" s="1053"/>
      <c r="FW565" s="1053"/>
      <c r="FX565" s="1053"/>
      <c r="FY565" s="1053"/>
      <c r="FZ565" s="1053"/>
      <c r="GA565" s="1053"/>
      <c r="GB565" s="1053"/>
      <c r="GC565" s="1053"/>
      <c r="GD565" s="1053"/>
      <c r="GE565" s="1053"/>
      <c r="GF565" s="1053"/>
      <c r="GG565" s="1053"/>
      <c r="GH565" s="1053"/>
      <c r="GI565" s="1053"/>
      <c r="GJ565" s="1053"/>
      <c r="GK565" s="1053"/>
      <c r="GL565" s="1053"/>
      <c r="GM565" s="1053"/>
      <c r="GN565" s="1053"/>
      <c r="GO565" s="1053"/>
      <c r="GP565" s="1053"/>
      <c r="GQ565" s="1053"/>
      <c r="GR565" s="1053"/>
      <c r="GS565" s="1053"/>
      <c r="GT565" s="1053"/>
      <c r="GU565" s="1053"/>
      <c r="GV565" s="1053"/>
      <c r="GW565" s="1053"/>
      <c r="GX565" s="1053"/>
      <c r="GY565" s="1053"/>
      <c r="GZ565" s="1053"/>
      <c r="HA565" s="1053"/>
      <c r="HB565" s="1053"/>
      <c r="HC565" s="1053"/>
      <c r="HD565" s="1053"/>
      <c r="HE565" s="1053"/>
      <c r="HF565" s="1053"/>
      <c r="HG565" s="1053"/>
      <c r="HH565" s="1053"/>
      <c r="HI565" s="1053"/>
      <c r="HJ565" s="1053"/>
      <c r="HK565" s="1053"/>
      <c r="HL565" s="1053"/>
      <c r="HM565" s="1053"/>
      <c r="HN565" s="1053"/>
      <c r="HO565" s="1053"/>
      <c r="HP565" s="1053"/>
      <c r="HQ565" s="1053"/>
      <c r="HR565" s="1053"/>
      <c r="HS565" s="1053"/>
      <c r="HT565" s="1053"/>
      <c r="HU565" s="1053"/>
      <c r="HV565" s="1053"/>
      <c r="HW565" s="1053"/>
      <c r="HX565" s="1053"/>
      <c r="HY565" s="1053"/>
      <c r="HZ565" s="1053"/>
      <c r="IA565" s="1053"/>
      <c r="IB565" s="1053"/>
      <c r="IC565" s="1053"/>
      <c r="ID565" s="1053"/>
      <c r="IE565" s="1053"/>
      <c r="IF565" s="1053"/>
      <c r="IG565" s="1053"/>
      <c r="IH565" s="1053"/>
      <c r="II565" s="1053"/>
      <c r="IJ565" s="1053"/>
      <c r="IK565" s="1053"/>
      <c r="IL565" s="1053"/>
      <c r="IM565" s="1053"/>
      <c r="IN565" s="1053"/>
    </row>
    <row r="574" spans="1:248" s="1079" customFormat="1">
      <c r="A574" s="1054"/>
      <c r="B574" s="1072"/>
      <c r="C574" s="1072"/>
      <c r="D574" s="1072"/>
      <c r="E574" s="1072"/>
      <c r="F574" s="1072"/>
      <c r="G574" s="1053"/>
      <c r="H574" s="1053"/>
      <c r="I574" s="1053"/>
      <c r="J574" s="1053"/>
      <c r="K574" s="1053"/>
      <c r="L574" s="1053"/>
      <c r="M574" s="1053"/>
      <c r="N574" s="1053"/>
      <c r="O574" s="1053"/>
      <c r="P574" s="1053"/>
      <c r="Q574" s="1053"/>
      <c r="R574" s="1053"/>
      <c r="S574" s="1053"/>
      <c r="T574" s="1053"/>
      <c r="U574" s="1053"/>
      <c r="V574" s="1053"/>
      <c r="W574" s="1053"/>
      <c r="X574" s="1053"/>
      <c r="Y574" s="1053"/>
      <c r="Z574" s="1053"/>
      <c r="AA574" s="1053"/>
      <c r="AB574" s="1053"/>
      <c r="AC574" s="1053"/>
      <c r="AD574" s="1053"/>
      <c r="AE574" s="1053"/>
      <c r="AF574" s="1053"/>
      <c r="AG574" s="1053"/>
      <c r="AH574" s="1053"/>
      <c r="AI574" s="1053"/>
      <c r="AJ574" s="1053"/>
      <c r="AK574" s="1053"/>
      <c r="AL574" s="1053"/>
      <c r="AM574" s="1053"/>
      <c r="AN574" s="1053"/>
      <c r="AO574" s="1053"/>
      <c r="AP574" s="1053"/>
      <c r="AQ574" s="1053"/>
      <c r="AR574" s="1053"/>
      <c r="AS574" s="1053"/>
      <c r="AT574" s="1053"/>
      <c r="AU574" s="1053"/>
      <c r="AV574" s="1053"/>
      <c r="AW574" s="1053"/>
      <c r="AX574" s="1053"/>
      <c r="AY574" s="1053"/>
      <c r="AZ574" s="1053"/>
      <c r="BA574" s="1053"/>
      <c r="BB574" s="1053"/>
      <c r="BC574" s="1053"/>
      <c r="BD574" s="1053"/>
      <c r="BE574" s="1053"/>
      <c r="BF574" s="1053"/>
      <c r="BG574" s="1053"/>
      <c r="BH574" s="1053"/>
      <c r="BI574" s="1053"/>
      <c r="BJ574" s="1053"/>
      <c r="BK574" s="1053"/>
      <c r="BL574" s="1053"/>
      <c r="BM574" s="1053"/>
      <c r="BN574" s="1053"/>
      <c r="BO574" s="1053"/>
      <c r="BP574" s="1053"/>
      <c r="BQ574" s="1053"/>
      <c r="BR574" s="1053"/>
      <c r="BS574" s="1053"/>
      <c r="BT574" s="1053"/>
      <c r="BU574" s="1053"/>
      <c r="BV574" s="1053"/>
      <c r="BW574" s="1053"/>
      <c r="BX574" s="1053"/>
      <c r="BY574" s="1053"/>
      <c r="BZ574" s="1053"/>
      <c r="CA574" s="1053"/>
      <c r="CB574" s="1053"/>
      <c r="CC574" s="1053"/>
      <c r="CD574" s="1053"/>
      <c r="CE574" s="1053"/>
      <c r="CF574" s="1053"/>
      <c r="CG574" s="1053"/>
      <c r="CH574" s="1053"/>
      <c r="CI574" s="1053"/>
      <c r="CJ574" s="1053"/>
      <c r="CK574" s="1053"/>
      <c r="CL574" s="1053"/>
      <c r="CM574" s="1053"/>
      <c r="CN574" s="1053"/>
      <c r="CO574" s="1053"/>
      <c r="CP574" s="1053"/>
      <c r="CQ574" s="1053"/>
      <c r="CR574" s="1053"/>
      <c r="CS574" s="1053"/>
      <c r="CT574" s="1053"/>
      <c r="CU574" s="1053"/>
      <c r="CV574" s="1053"/>
      <c r="CW574" s="1053"/>
      <c r="CX574" s="1053"/>
      <c r="CY574" s="1053"/>
      <c r="CZ574" s="1053"/>
      <c r="DA574" s="1053"/>
      <c r="DB574" s="1053"/>
      <c r="DC574" s="1053"/>
      <c r="DD574" s="1053"/>
      <c r="DE574" s="1053"/>
      <c r="DF574" s="1053"/>
      <c r="DG574" s="1053"/>
      <c r="DH574" s="1053"/>
      <c r="DI574" s="1053"/>
      <c r="DJ574" s="1053"/>
      <c r="DK574" s="1053"/>
      <c r="DL574" s="1053"/>
      <c r="DM574" s="1053"/>
      <c r="DN574" s="1053"/>
      <c r="DO574" s="1053"/>
      <c r="DP574" s="1053"/>
      <c r="DQ574" s="1053"/>
      <c r="DR574" s="1053"/>
      <c r="DS574" s="1053"/>
      <c r="DT574" s="1053"/>
      <c r="DU574" s="1053"/>
      <c r="DV574" s="1053"/>
      <c r="DW574" s="1053"/>
      <c r="DX574" s="1053"/>
      <c r="DY574" s="1053"/>
      <c r="DZ574" s="1053"/>
      <c r="EA574" s="1053"/>
      <c r="EB574" s="1053"/>
      <c r="EC574" s="1053"/>
      <c r="ED574" s="1053"/>
      <c r="EE574" s="1053"/>
      <c r="EF574" s="1053"/>
      <c r="EG574" s="1053"/>
      <c r="EH574" s="1053"/>
      <c r="EI574" s="1053"/>
      <c r="EJ574" s="1053"/>
      <c r="EK574" s="1053"/>
      <c r="EL574" s="1053"/>
      <c r="EM574" s="1053"/>
      <c r="EN574" s="1053"/>
      <c r="EO574" s="1053"/>
      <c r="EP574" s="1053"/>
      <c r="EQ574" s="1053"/>
      <c r="ER574" s="1053"/>
      <c r="ES574" s="1053"/>
      <c r="ET574" s="1053"/>
      <c r="EU574" s="1053"/>
      <c r="EV574" s="1053"/>
      <c r="EW574" s="1053"/>
      <c r="EX574" s="1053"/>
      <c r="EY574" s="1053"/>
      <c r="EZ574" s="1053"/>
      <c r="FA574" s="1053"/>
      <c r="FB574" s="1053"/>
      <c r="FC574" s="1053"/>
      <c r="FD574" s="1053"/>
      <c r="FE574" s="1053"/>
      <c r="FF574" s="1053"/>
      <c r="FG574" s="1053"/>
      <c r="FH574" s="1053"/>
      <c r="FI574" s="1053"/>
      <c r="FJ574" s="1053"/>
      <c r="FK574" s="1053"/>
      <c r="FL574" s="1053"/>
      <c r="FM574" s="1053"/>
      <c r="FN574" s="1053"/>
      <c r="FO574" s="1053"/>
      <c r="FP574" s="1053"/>
      <c r="FQ574" s="1053"/>
      <c r="FR574" s="1053"/>
      <c r="FS574" s="1053"/>
      <c r="FT574" s="1053"/>
      <c r="FU574" s="1053"/>
      <c r="FV574" s="1053"/>
      <c r="FW574" s="1053"/>
      <c r="FX574" s="1053"/>
      <c r="FY574" s="1053"/>
      <c r="FZ574" s="1053"/>
      <c r="GA574" s="1053"/>
      <c r="GB574" s="1053"/>
      <c r="GC574" s="1053"/>
      <c r="GD574" s="1053"/>
      <c r="GE574" s="1053"/>
      <c r="GF574" s="1053"/>
      <c r="GG574" s="1053"/>
      <c r="GH574" s="1053"/>
      <c r="GI574" s="1053"/>
      <c r="GJ574" s="1053"/>
      <c r="GK574" s="1053"/>
      <c r="GL574" s="1053"/>
      <c r="GM574" s="1053"/>
      <c r="GN574" s="1053"/>
      <c r="GO574" s="1053"/>
      <c r="GP574" s="1053"/>
      <c r="GQ574" s="1053"/>
      <c r="GR574" s="1053"/>
      <c r="GS574" s="1053"/>
      <c r="GT574" s="1053"/>
      <c r="GU574" s="1053"/>
      <c r="GV574" s="1053"/>
      <c r="GW574" s="1053"/>
      <c r="GX574" s="1053"/>
      <c r="GY574" s="1053"/>
      <c r="GZ574" s="1053"/>
      <c r="HA574" s="1053"/>
      <c r="HB574" s="1053"/>
      <c r="HC574" s="1053"/>
      <c r="HD574" s="1053"/>
      <c r="HE574" s="1053"/>
      <c r="HF574" s="1053"/>
      <c r="HG574" s="1053"/>
      <c r="HH574" s="1053"/>
      <c r="HI574" s="1053"/>
      <c r="HJ574" s="1053"/>
      <c r="HK574" s="1053"/>
      <c r="HL574" s="1053"/>
      <c r="HM574" s="1053"/>
      <c r="HN574" s="1053"/>
      <c r="HO574" s="1053"/>
      <c r="HP574" s="1053"/>
      <c r="HQ574" s="1053"/>
      <c r="HR574" s="1053"/>
      <c r="HS574" s="1053"/>
      <c r="HT574" s="1053"/>
      <c r="HU574" s="1053"/>
      <c r="HV574" s="1053"/>
      <c r="HW574" s="1053"/>
      <c r="HX574" s="1053"/>
      <c r="HY574" s="1053"/>
      <c r="HZ574" s="1053"/>
      <c r="IA574" s="1053"/>
      <c r="IB574" s="1053"/>
      <c r="IC574" s="1053"/>
      <c r="ID574" s="1053"/>
      <c r="IE574" s="1053"/>
      <c r="IF574" s="1053"/>
      <c r="IG574" s="1053"/>
      <c r="IH574" s="1053"/>
      <c r="II574" s="1053"/>
      <c r="IJ574" s="1053"/>
      <c r="IK574" s="1053"/>
      <c r="IL574" s="1053"/>
      <c r="IM574" s="1053"/>
      <c r="IN574" s="1053"/>
    </row>
  </sheetData>
  <mergeCells count="5">
    <mergeCell ref="H28:L28"/>
    <mergeCell ref="B6:B7"/>
    <mergeCell ref="E6:E7"/>
    <mergeCell ref="A4:E4"/>
    <mergeCell ref="J6:M6"/>
  </mergeCells>
  <pageMargins left="0.75" right="0.75" top="1" bottom="1" header="0.5" footer="0.5"/>
  <pageSetup scale="59" fitToWidth="2" fitToHeight="7" orientation="portrait" r:id="rId1"/>
  <headerFooter alignWithMargins="0">
    <oddFooter>&amp;C&amp;P</oddFooter>
  </headerFooter>
  <rowBreaks count="1" manualBreakCount="1">
    <brk id="84" max="4" man="1"/>
  </rowBreaks>
  <colBreaks count="1" manualBreakCount="1">
    <brk id="7" max="57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workbookViewId="0">
      <selection activeCell="C64" sqref="C64"/>
    </sheetView>
  </sheetViews>
  <sheetFormatPr defaultRowHeight="15"/>
  <cols>
    <col min="1" max="1" width="36.28515625" style="284" bestFit="1" customWidth="1"/>
    <col min="2" max="2" width="19" style="284" bestFit="1" customWidth="1"/>
    <col min="3" max="3" width="16" style="284" bestFit="1" customWidth="1"/>
    <col min="4" max="4" width="13.140625" style="284" customWidth="1"/>
    <col min="5" max="5" width="7" style="284" bestFit="1" customWidth="1"/>
    <col min="6" max="6" width="11.42578125" style="284" bestFit="1" customWidth="1"/>
    <col min="7" max="7" width="10" style="284" bestFit="1" customWidth="1"/>
    <col min="8" max="8" width="8" style="284" bestFit="1" customWidth="1"/>
    <col min="9" max="9" width="15.85546875" style="284" bestFit="1" customWidth="1"/>
    <col min="10" max="10" width="12" style="284" bestFit="1" customWidth="1"/>
    <col min="11" max="16384" width="9.140625" style="284"/>
  </cols>
  <sheetData>
    <row r="1" spans="1:8">
      <c r="A1" s="283" t="s">
        <v>112</v>
      </c>
    </row>
    <row r="2" spans="1:8">
      <c r="A2" s="283" t="s">
        <v>2062</v>
      </c>
    </row>
    <row r="3" spans="1:8">
      <c r="A3" s="283" t="s">
        <v>2063</v>
      </c>
    </row>
    <row r="4" spans="1:8">
      <c r="A4" s="401"/>
    </row>
    <row r="5" spans="1:8">
      <c r="A5" s="1138" t="s">
        <v>2064</v>
      </c>
      <c r="B5" s="1138"/>
      <c r="C5" s="1138"/>
      <c r="D5" s="1138"/>
      <c r="E5" s="1138"/>
      <c r="F5" s="1138"/>
      <c r="G5" s="1138"/>
      <c r="H5" s="1138"/>
    </row>
    <row r="6" spans="1:8">
      <c r="A6" s="284" t="s">
        <v>2065</v>
      </c>
      <c r="B6" s="1016" t="s">
        <v>2066</v>
      </c>
      <c r="C6" s="1016" t="s">
        <v>2067</v>
      </c>
      <c r="D6" s="1016" t="s">
        <v>2068</v>
      </c>
      <c r="E6" s="1017" t="s">
        <v>2069</v>
      </c>
      <c r="F6" s="1017" t="s">
        <v>2070</v>
      </c>
      <c r="G6" s="1017" t="s">
        <v>2071</v>
      </c>
      <c r="H6" s="1016" t="s">
        <v>2072</v>
      </c>
    </row>
    <row r="7" spans="1:8">
      <c r="A7" s="284" t="s">
        <v>2073</v>
      </c>
      <c r="B7" s="1018">
        <f>52*5/12</f>
        <v>21.666666666666668</v>
      </c>
      <c r="C7" s="1019">
        <f>$B$7*2</f>
        <v>43.333333333333336</v>
      </c>
      <c r="D7" s="1019">
        <f>$B$7*3</f>
        <v>65</v>
      </c>
      <c r="E7" s="1019">
        <f>$B$7*4</f>
        <v>86.666666666666671</v>
      </c>
      <c r="F7" s="1019">
        <f>$B$7*5</f>
        <v>108.33333333333334</v>
      </c>
      <c r="G7" s="1019">
        <f>$B$7*6</f>
        <v>130</v>
      </c>
      <c r="H7" s="1019">
        <f>$B$7*7</f>
        <v>151.66666666666669</v>
      </c>
    </row>
    <row r="8" spans="1:8">
      <c r="A8" s="284" t="s">
        <v>2074</v>
      </c>
      <c r="B8" s="1018">
        <f>52*4/12</f>
        <v>17.333333333333332</v>
      </c>
      <c r="C8" s="1019">
        <f>$B$8*2</f>
        <v>34.666666666666664</v>
      </c>
      <c r="D8" s="1019">
        <f>$B$8*3</f>
        <v>52</v>
      </c>
      <c r="E8" s="1019">
        <f>$B$8*4</f>
        <v>69.333333333333329</v>
      </c>
      <c r="F8" s="1019">
        <f>$B$8*5</f>
        <v>86.666666666666657</v>
      </c>
      <c r="G8" s="1019">
        <f>$B$8*6</f>
        <v>104</v>
      </c>
      <c r="H8" s="1019">
        <f>$B$8*7</f>
        <v>121.33333333333333</v>
      </c>
    </row>
    <row r="9" spans="1:8">
      <c r="A9" s="284" t="s">
        <v>2075</v>
      </c>
      <c r="B9" s="1018">
        <f>52*3/12</f>
        <v>13</v>
      </c>
      <c r="C9" s="1019">
        <f>$B$9*2</f>
        <v>26</v>
      </c>
      <c r="D9" s="1019">
        <f>$B$9*3</f>
        <v>39</v>
      </c>
      <c r="E9" s="1019">
        <f>$B$9*4</f>
        <v>52</v>
      </c>
      <c r="F9" s="1019">
        <f>$B$9*5</f>
        <v>65</v>
      </c>
      <c r="G9" s="1019">
        <f>$B$9*6</f>
        <v>78</v>
      </c>
      <c r="H9" s="1019">
        <f>$B$9*7</f>
        <v>91</v>
      </c>
    </row>
    <row r="10" spans="1:8">
      <c r="A10" s="284" t="s">
        <v>2076</v>
      </c>
      <c r="B10" s="1018">
        <f>52*2/12</f>
        <v>8.6666666666666661</v>
      </c>
      <c r="C10" s="1020">
        <f>$B$10*2</f>
        <v>17.333333333333332</v>
      </c>
      <c r="D10" s="1020">
        <f>$B$10*3</f>
        <v>26</v>
      </c>
      <c r="E10" s="1020">
        <f>$B$10*4</f>
        <v>34.666666666666664</v>
      </c>
      <c r="F10" s="1020">
        <f>$B$10*5</f>
        <v>43.333333333333329</v>
      </c>
      <c r="G10" s="1020">
        <f>$B$10*6</f>
        <v>52</v>
      </c>
      <c r="H10" s="1020">
        <f>$B$10*7</f>
        <v>60.666666666666664</v>
      </c>
    </row>
    <row r="11" spans="1:8">
      <c r="A11" s="284" t="s">
        <v>2077</v>
      </c>
      <c r="B11" s="1018">
        <f>52/12</f>
        <v>4.333333333333333</v>
      </c>
      <c r="C11" s="1020">
        <f>$B$11*2</f>
        <v>8.6666666666666661</v>
      </c>
      <c r="D11" s="1020">
        <f>$B$11*3</f>
        <v>13</v>
      </c>
      <c r="E11" s="1020">
        <f>$B$11*4</f>
        <v>17.333333333333332</v>
      </c>
      <c r="F11" s="1020">
        <f>$B$11*5</f>
        <v>21.666666666666664</v>
      </c>
      <c r="G11" s="1020">
        <f>$B$11*6</f>
        <v>26</v>
      </c>
      <c r="H11" s="1020">
        <f>$B$11*7</f>
        <v>30.333333333333332</v>
      </c>
    </row>
    <row r="12" spans="1:8">
      <c r="A12" s="284" t="s">
        <v>2078</v>
      </c>
      <c r="B12" s="1018">
        <f>26/12</f>
        <v>2.1666666666666665</v>
      </c>
      <c r="C12" s="1020">
        <f>$B$12*2</f>
        <v>4.333333333333333</v>
      </c>
      <c r="D12" s="1020">
        <f>$B$12*3</f>
        <v>6.5</v>
      </c>
      <c r="E12" s="1020">
        <f>$B$12*4</f>
        <v>8.6666666666666661</v>
      </c>
      <c r="F12" s="1020">
        <f>$B$12*5</f>
        <v>10.833333333333332</v>
      </c>
      <c r="G12" s="1020">
        <f>$B$12*6</f>
        <v>13</v>
      </c>
      <c r="H12" s="1020">
        <f>$B$12*7</f>
        <v>15.166666666666666</v>
      </c>
    </row>
    <row r="13" spans="1:8">
      <c r="A13" s="284" t="s">
        <v>2079</v>
      </c>
      <c r="B13" s="1018">
        <f>12/12</f>
        <v>1</v>
      </c>
      <c r="C13" s="1020">
        <f>$B$13*2</f>
        <v>2</v>
      </c>
      <c r="D13" s="1020">
        <f>$B$13*3</f>
        <v>3</v>
      </c>
      <c r="E13" s="1020">
        <f>$B$13*4</f>
        <v>4</v>
      </c>
      <c r="F13" s="1020">
        <f>$B$13*5</f>
        <v>5</v>
      </c>
      <c r="G13" s="1020">
        <f>$B$13*6</f>
        <v>6</v>
      </c>
      <c r="H13" s="1020">
        <f>$B$13*7</f>
        <v>7</v>
      </c>
    </row>
    <row r="14" spans="1:8">
      <c r="B14" s="1018"/>
      <c r="C14" s="1020"/>
      <c r="D14" s="1020"/>
      <c r="E14" s="1020"/>
      <c r="F14" s="1020"/>
      <c r="G14" s="1020"/>
      <c r="H14" s="1020"/>
    </row>
    <row r="15" spans="1:8">
      <c r="A15" s="1138" t="s">
        <v>2080</v>
      </c>
      <c r="B15" s="1138"/>
      <c r="C15" s="1020"/>
      <c r="D15" s="1020"/>
      <c r="E15" s="1020"/>
      <c r="F15" s="1020"/>
      <c r="G15" s="1020"/>
      <c r="H15" s="1020"/>
    </row>
    <row r="16" spans="1:8">
      <c r="A16" s="283" t="s">
        <v>2081</v>
      </c>
      <c r="B16" s="1021" t="s">
        <v>2082</v>
      </c>
      <c r="C16" s="1020"/>
      <c r="D16" s="1020"/>
      <c r="E16" s="1020"/>
      <c r="F16" s="1020"/>
      <c r="G16" s="1020"/>
      <c r="H16" s="1020"/>
    </row>
    <row r="17" spans="1:8">
      <c r="A17" s="1022" t="s">
        <v>2083</v>
      </c>
      <c r="B17" s="1023">
        <v>20</v>
      </c>
      <c r="C17" s="1020"/>
      <c r="D17" s="1020"/>
      <c r="E17" s="1020"/>
      <c r="F17" s="1020"/>
      <c r="G17" s="1020"/>
      <c r="H17" s="1020"/>
    </row>
    <row r="18" spans="1:8">
      <c r="A18" s="1022" t="s">
        <v>2084</v>
      </c>
      <c r="B18" s="1023">
        <v>34</v>
      </c>
      <c r="C18" s="1020"/>
      <c r="D18" s="1020"/>
      <c r="E18" s="1020"/>
      <c r="F18" s="1020"/>
      <c r="G18" s="1020"/>
      <c r="H18" s="1020"/>
    </row>
    <row r="19" spans="1:8">
      <c r="A19" s="1022" t="s">
        <v>2085</v>
      </c>
      <c r="B19" s="1023">
        <v>51</v>
      </c>
      <c r="C19" s="1020"/>
      <c r="D19" s="1020"/>
      <c r="E19" s="1020"/>
      <c r="F19" s="1020"/>
      <c r="G19" s="1020"/>
      <c r="H19" s="1020"/>
    </row>
    <row r="20" spans="1:8">
      <c r="A20" s="1022" t="s">
        <v>2086</v>
      </c>
      <c r="B20" s="1023">
        <v>77</v>
      </c>
      <c r="C20" s="1020"/>
      <c r="D20" s="1020"/>
      <c r="E20" s="1020"/>
      <c r="F20" s="284" t="s">
        <v>2087</v>
      </c>
      <c r="G20" s="1023">
        <v>2000</v>
      </c>
      <c r="H20" s="1020"/>
    </row>
    <row r="21" spans="1:8">
      <c r="A21" s="1022" t="s">
        <v>2088</v>
      </c>
      <c r="B21" s="1023">
        <v>97</v>
      </c>
      <c r="C21" s="1020"/>
      <c r="D21" s="1020"/>
      <c r="E21" s="1020"/>
      <c r="F21" s="284" t="s">
        <v>2089</v>
      </c>
      <c r="G21" s="1024" t="s">
        <v>2090</v>
      </c>
      <c r="H21" s="1020"/>
    </row>
    <row r="22" spans="1:8">
      <c r="A22" s="1022" t="s">
        <v>2091</v>
      </c>
      <c r="B22" s="1023">
        <v>117</v>
      </c>
      <c r="C22" s="1020"/>
      <c r="D22" s="1020"/>
      <c r="E22" s="1020"/>
      <c r="H22" s="1020"/>
    </row>
    <row r="23" spans="1:8">
      <c r="A23" s="1022" t="s">
        <v>2092</v>
      </c>
      <c r="B23" s="1023">
        <v>157</v>
      </c>
      <c r="C23" s="1020"/>
      <c r="D23" s="1020"/>
      <c r="E23" s="1020"/>
      <c r="F23" s="1025"/>
      <c r="G23" s="1026"/>
      <c r="H23" s="1020"/>
    </row>
    <row r="24" spans="1:8">
      <c r="A24" s="1022" t="s">
        <v>2093</v>
      </c>
      <c r="B24" s="1023">
        <v>47</v>
      </c>
      <c r="C24" s="1020"/>
      <c r="D24" s="1020"/>
      <c r="E24" s="1020"/>
      <c r="F24" s="1020"/>
      <c r="G24" s="1020"/>
      <c r="H24" s="1020"/>
    </row>
    <row r="25" spans="1:8">
      <c r="A25" s="1022" t="s">
        <v>2094</v>
      </c>
      <c r="B25" s="1023">
        <v>68</v>
      </c>
      <c r="C25" s="1020"/>
      <c r="D25" s="1020"/>
      <c r="E25" s="1020"/>
      <c r="F25" s="1020"/>
      <c r="G25" s="1020"/>
      <c r="H25" s="1020"/>
    </row>
    <row r="26" spans="1:8">
      <c r="A26" s="1022" t="s">
        <v>2095</v>
      </c>
      <c r="B26" s="1023">
        <v>34</v>
      </c>
      <c r="C26" s="1020"/>
      <c r="D26" s="1020"/>
      <c r="E26" s="1020"/>
      <c r="F26" s="1020"/>
      <c r="G26" s="1020"/>
      <c r="H26" s="1020"/>
    </row>
    <row r="27" spans="1:8">
      <c r="A27" s="1022" t="s">
        <v>2096</v>
      </c>
      <c r="B27" s="1023">
        <v>34</v>
      </c>
      <c r="C27" s="1020"/>
      <c r="D27" s="1020"/>
      <c r="E27" s="1020"/>
      <c r="F27" s="1020"/>
      <c r="G27" s="1020"/>
      <c r="H27" s="1020"/>
    </row>
    <row r="28" spans="1:8">
      <c r="A28" s="283" t="s">
        <v>2097</v>
      </c>
      <c r="B28" s="1023"/>
      <c r="C28" s="1020"/>
      <c r="D28" s="1020"/>
      <c r="E28" s="1020"/>
      <c r="F28" s="1020"/>
      <c r="G28" s="1020"/>
      <c r="H28" s="1020"/>
    </row>
    <row r="29" spans="1:8">
      <c r="A29" s="1022" t="s">
        <v>1938</v>
      </c>
      <c r="B29" s="1023">
        <v>29</v>
      </c>
      <c r="C29" s="1020"/>
      <c r="D29" s="1020"/>
      <c r="E29" s="1020"/>
      <c r="F29" s="1020"/>
      <c r="G29" s="1020"/>
      <c r="H29" s="1020"/>
    </row>
    <row r="30" spans="1:8">
      <c r="A30" s="1022" t="s">
        <v>2098</v>
      </c>
      <c r="B30" s="1023">
        <v>175</v>
      </c>
      <c r="C30" s="1020"/>
      <c r="D30" s="1020"/>
      <c r="E30" s="1020"/>
      <c r="F30" s="1020"/>
      <c r="G30" s="1020"/>
      <c r="H30" s="1020"/>
    </row>
    <row r="31" spans="1:8">
      <c r="A31" s="1022" t="s">
        <v>2099</v>
      </c>
      <c r="B31" s="1023">
        <v>250</v>
      </c>
      <c r="C31" s="1020"/>
      <c r="D31" s="1020"/>
      <c r="E31" s="1020"/>
      <c r="F31" s="1020"/>
      <c r="G31" s="1020"/>
      <c r="H31" s="1020"/>
    </row>
    <row r="32" spans="1:8">
      <c r="A32" s="1022" t="s">
        <v>2100</v>
      </c>
      <c r="B32" s="1023">
        <v>324</v>
      </c>
      <c r="C32" s="1020"/>
      <c r="D32" s="1020"/>
      <c r="E32" s="1020"/>
      <c r="F32" s="1020"/>
      <c r="G32" s="1020"/>
      <c r="H32" s="1020"/>
    </row>
    <row r="33" spans="1:8">
      <c r="A33" s="1022" t="s">
        <v>2101</v>
      </c>
      <c r="B33" s="1023">
        <v>473</v>
      </c>
      <c r="C33" s="1020"/>
      <c r="D33" s="1020"/>
      <c r="E33" s="1020"/>
      <c r="F33" s="1020"/>
      <c r="G33" s="1020"/>
      <c r="H33" s="1020"/>
    </row>
    <row r="34" spans="1:8">
      <c r="A34" s="1022" t="s">
        <v>2102</v>
      </c>
      <c r="B34" s="1023">
        <v>613</v>
      </c>
      <c r="C34" s="1020"/>
      <c r="D34" s="1020"/>
      <c r="E34" s="1020"/>
      <c r="F34" s="1020"/>
      <c r="G34" s="1020"/>
      <c r="H34" s="1020"/>
    </row>
    <row r="35" spans="1:8">
      <c r="A35" s="1022" t="s">
        <v>2103</v>
      </c>
      <c r="B35" s="1023">
        <v>840</v>
      </c>
      <c r="C35" s="1020"/>
      <c r="D35" s="1020"/>
      <c r="E35" s="1020"/>
      <c r="F35" s="1020"/>
      <c r="G35" s="1020"/>
      <c r="H35" s="1020"/>
    </row>
    <row r="36" spans="1:8">
      <c r="A36" s="1022" t="s">
        <v>2104</v>
      </c>
      <c r="B36" s="1023">
        <v>980</v>
      </c>
      <c r="C36" s="1020"/>
      <c r="D36" s="1020"/>
      <c r="E36" s="1020"/>
      <c r="F36" s="1020"/>
      <c r="G36" s="1020"/>
      <c r="H36" s="1020"/>
    </row>
    <row r="37" spans="1:8">
      <c r="A37" s="1022" t="s">
        <v>2105</v>
      </c>
      <c r="B37" s="1023">
        <v>1301</v>
      </c>
      <c r="C37" s="1020"/>
      <c r="D37" s="1020"/>
      <c r="E37" s="1020"/>
      <c r="F37" s="1020"/>
      <c r="G37" s="1020"/>
      <c r="H37" s="1020"/>
    </row>
    <row r="38" spans="1:8">
      <c r="A38" s="1022" t="s">
        <v>2106</v>
      </c>
      <c r="B38" s="1023">
        <v>1686</v>
      </c>
      <c r="C38" s="1020"/>
      <c r="D38" s="1020"/>
      <c r="E38" s="1020"/>
      <c r="F38" s="1020"/>
      <c r="G38" s="1020"/>
      <c r="H38" s="1020"/>
    </row>
    <row r="39" spans="1:8">
      <c r="A39" s="1022" t="s">
        <v>2107</v>
      </c>
      <c r="B39" s="1023">
        <v>2046</v>
      </c>
      <c r="C39" s="1020"/>
      <c r="D39" s="1020"/>
      <c r="E39" s="1020"/>
      <c r="F39" s="1020"/>
      <c r="G39" s="1020"/>
      <c r="H39" s="1020"/>
    </row>
    <row r="40" spans="1:8">
      <c r="A40" s="1022" t="s">
        <v>2108</v>
      </c>
      <c r="B40" s="1023">
        <v>2310</v>
      </c>
      <c r="C40" s="1020"/>
      <c r="D40" s="1020"/>
      <c r="E40" s="1020"/>
      <c r="F40" s="1020"/>
      <c r="G40" s="1020"/>
      <c r="H40" s="1020"/>
    </row>
    <row r="41" spans="1:8">
      <c r="A41" s="1022" t="s">
        <v>2109</v>
      </c>
      <c r="B41" s="1023">
        <v>125</v>
      </c>
      <c r="C41" s="1020"/>
      <c r="D41" s="1020"/>
      <c r="E41" s="1020"/>
      <c r="F41" s="1020"/>
      <c r="G41" s="1020"/>
      <c r="H41" s="1020"/>
    </row>
    <row r="42" spans="1:8">
      <c r="B42" s="1139" t="s">
        <v>2110</v>
      </c>
      <c r="C42" s="1139"/>
    </row>
  </sheetData>
  <mergeCells count="3">
    <mergeCell ref="A5:H5"/>
    <mergeCell ref="A15:B15"/>
    <mergeCell ref="B42:C42"/>
  </mergeCells>
  <pageMargins left="0.28000000000000003" right="0.52" top="0.75" bottom="0.75" header="0.3" footer="0.3"/>
  <pageSetup scale="81" orientation="portrait" r:id="rId1"/>
  <headerFooter>
    <oddHeader>&amp;C&amp;"-,Bold"&amp;12Empire Disposal Inc&amp;"-,Regular"
Disposal Fee Reference</oddHeader>
    <oddFooter>&amp;L&amp;F - &amp;A&amp;C&amp;D&amp;R&amp;P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AE47"/>
  <sheetViews>
    <sheetView topLeftCell="F1" zoomScale="90" zoomScaleNormal="90" workbookViewId="0">
      <selection activeCell="AI64" sqref="AI64"/>
    </sheetView>
  </sheetViews>
  <sheetFormatPr defaultColWidth="11.42578125" defaultRowHeight="12"/>
  <cols>
    <col min="1" max="1" width="19.42578125" style="297" customWidth="1"/>
    <col min="2" max="2" width="13.7109375" style="297" bestFit="1" customWidth="1"/>
    <col min="3" max="3" width="11.85546875" style="297" bestFit="1" customWidth="1"/>
    <col min="4" max="4" width="13.7109375" style="297" bestFit="1" customWidth="1"/>
    <col min="5" max="5" width="11.5703125" style="297" bestFit="1" customWidth="1"/>
    <col min="6" max="6" width="13.28515625" style="297" bestFit="1" customWidth="1"/>
    <col min="7" max="7" width="13.42578125" style="297" bestFit="1" customWidth="1"/>
    <col min="8" max="8" width="13.28515625" style="297" bestFit="1" customWidth="1"/>
    <col min="9" max="9" width="1.85546875" style="297" customWidth="1"/>
    <col min="10" max="10" width="6.140625" style="297" customWidth="1"/>
    <col min="11" max="11" width="12.5703125" style="297" bestFit="1" customWidth="1"/>
    <col min="12" max="12" width="10" style="297" bestFit="1" customWidth="1"/>
    <col min="13" max="13" width="13.28515625" style="297" bestFit="1" customWidth="1"/>
    <col min="14" max="14" width="13.140625" style="297" customWidth="1"/>
    <col min="15" max="15" width="5.85546875" style="297" bestFit="1" customWidth="1"/>
    <col min="16" max="16" width="3.140625" style="297" customWidth="1"/>
    <col min="17" max="17" width="11.42578125" style="297" customWidth="1"/>
    <col min="18" max="19" width="12.42578125" style="297" customWidth="1"/>
    <col min="20" max="20" width="11.42578125" style="297"/>
    <col min="21" max="21" width="5.85546875" style="297" bestFit="1" customWidth="1"/>
    <col min="22" max="22" width="4.5703125" style="297" customWidth="1"/>
    <col min="23" max="24" width="11.5703125" style="297" bestFit="1" customWidth="1"/>
    <col min="25" max="25" width="11.42578125" style="297"/>
    <col min="26" max="26" width="6.140625" style="399" customWidth="1"/>
    <col min="27" max="27" width="3.42578125" style="297" customWidth="1"/>
    <col min="28" max="29" width="11.5703125" style="297" bestFit="1" customWidth="1"/>
    <col min="30" max="30" width="11.42578125" style="297"/>
    <col min="31" max="31" width="6.28515625" style="297" customWidth="1"/>
    <col min="32" max="255" width="11.42578125" style="297"/>
    <col min="256" max="256" width="16.28515625" style="297" customWidth="1"/>
    <col min="257" max="260" width="11.42578125" style="297" customWidth="1"/>
    <col min="261" max="261" width="12" style="297" customWidth="1"/>
    <col min="262" max="263" width="11.42578125" style="297" customWidth="1"/>
    <col min="264" max="264" width="1.85546875" style="297" customWidth="1"/>
    <col min="265" max="265" width="12.140625" style="297" customWidth="1"/>
    <col min="266" max="266" width="12.7109375" style="297" customWidth="1"/>
    <col min="267" max="269" width="11.42578125" style="297" customWidth="1"/>
    <col min="270" max="270" width="1.85546875" style="297" customWidth="1"/>
    <col min="271" max="271" width="13.5703125" style="297" customWidth="1"/>
    <col min="272" max="272" width="11.42578125" style="297" customWidth="1"/>
    <col min="273" max="274" width="12.42578125" style="297" customWidth="1"/>
    <col min="275" max="511" width="11.42578125" style="297"/>
    <col min="512" max="512" width="16.28515625" style="297" customWidth="1"/>
    <col min="513" max="516" width="11.42578125" style="297" customWidth="1"/>
    <col min="517" max="517" width="12" style="297" customWidth="1"/>
    <col min="518" max="519" width="11.42578125" style="297" customWidth="1"/>
    <col min="520" max="520" width="1.85546875" style="297" customWidth="1"/>
    <col min="521" max="521" width="12.140625" style="297" customWidth="1"/>
    <col min="522" max="522" width="12.7109375" style="297" customWidth="1"/>
    <col min="523" max="525" width="11.42578125" style="297" customWidth="1"/>
    <col min="526" max="526" width="1.85546875" style="297" customWidth="1"/>
    <col min="527" max="527" width="13.5703125" style="297" customWidth="1"/>
    <col min="528" max="528" width="11.42578125" style="297" customWidth="1"/>
    <col min="529" max="530" width="12.42578125" style="297" customWidth="1"/>
    <col min="531" max="767" width="11.42578125" style="297"/>
    <col min="768" max="768" width="16.28515625" style="297" customWidth="1"/>
    <col min="769" max="772" width="11.42578125" style="297" customWidth="1"/>
    <col min="773" max="773" width="12" style="297" customWidth="1"/>
    <col min="774" max="775" width="11.42578125" style="297" customWidth="1"/>
    <col min="776" max="776" width="1.85546875" style="297" customWidth="1"/>
    <col min="777" max="777" width="12.140625" style="297" customWidth="1"/>
    <col min="778" max="778" width="12.7109375" style="297" customWidth="1"/>
    <col min="779" max="781" width="11.42578125" style="297" customWidth="1"/>
    <col min="782" max="782" width="1.85546875" style="297" customWidth="1"/>
    <col min="783" max="783" width="13.5703125" style="297" customWidth="1"/>
    <col min="784" max="784" width="11.42578125" style="297" customWidth="1"/>
    <col min="785" max="786" width="12.42578125" style="297" customWidth="1"/>
    <col min="787" max="1023" width="11.42578125" style="297"/>
    <col min="1024" max="1024" width="16.28515625" style="297" customWidth="1"/>
    <col min="1025" max="1028" width="11.42578125" style="297" customWidth="1"/>
    <col min="1029" max="1029" width="12" style="297" customWidth="1"/>
    <col min="1030" max="1031" width="11.42578125" style="297" customWidth="1"/>
    <col min="1032" max="1032" width="1.85546875" style="297" customWidth="1"/>
    <col min="1033" max="1033" width="12.140625" style="297" customWidth="1"/>
    <col min="1034" max="1034" width="12.7109375" style="297" customWidth="1"/>
    <col min="1035" max="1037" width="11.42578125" style="297" customWidth="1"/>
    <col min="1038" max="1038" width="1.85546875" style="297" customWidth="1"/>
    <col min="1039" max="1039" width="13.5703125" style="297" customWidth="1"/>
    <col min="1040" max="1040" width="11.42578125" style="297" customWidth="1"/>
    <col min="1041" max="1042" width="12.42578125" style="297" customWidth="1"/>
    <col min="1043" max="1279" width="11.42578125" style="297"/>
    <col min="1280" max="1280" width="16.28515625" style="297" customWidth="1"/>
    <col min="1281" max="1284" width="11.42578125" style="297" customWidth="1"/>
    <col min="1285" max="1285" width="12" style="297" customWidth="1"/>
    <col min="1286" max="1287" width="11.42578125" style="297" customWidth="1"/>
    <col min="1288" max="1288" width="1.85546875" style="297" customWidth="1"/>
    <col min="1289" max="1289" width="12.140625" style="297" customWidth="1"/>
    <col min="1290" max="1290" width="12.7109375" style="297" customWidth="1"/>
    <col min="1291" max="1293" width="11.42578125" style="297" customWidth="1"/>
    <col min="1294" max="1294" width="1.85546875" style="297" customWidth="1"/>
    <col min="1295" max="1295" width="13.5703125" style="297" customWidth="1"/>
    <col min="1296" max="1296" width="11.42578125" style="297" customWidth="1"/>
    <col min="1297" max="1298" width="12.42578125" style="297" customWidth="1"/>
    <col min="1299" max="1535" width="11.42578125" style="297"/>
    <col min="1536" max="1536" width="16.28515625" style="297" customWidth="1"/>
    <col min="1537" max="1540" width="11.42578125" style="297" customWidth="1"/>
    <col min="1541" max="1541" width="12" style="297" customWidth="1"/>
    <col min="1542" max="1543" width="11.42578125" style="297" customWidth="1"/>
    <col min="1544" max="1544" width="1.85546875" style="297" customWidth="1"/>
    <col min="1545" max="1545" width="12.140625" style="297" customWidth="1"/>
    <col min="1546" max="1546" width="12.7109375" style="297" customWidth="1"/>
    <col min="1547" max="1549" width="11.42578125" style="297" customWidth="1"/>
    <col min="1550" max="1550" width="1.85546875" style="297" customWidth="1"/>
    <col min="1551" max="1551" width="13.5703125" style="297" customWidth="1"/>
    <col min="1552" max="1552" width="11.42578125" style="297" customWidth="1"/>
    <col min="1553" max="1554" width="12.42578125" style="297" customWidth="1"/>
    <col min="1555" max="1791" width="11.42578125" style="297"/>
    <col min="1792" max="1792" width="16.28515625" style="297" customWidth="1"/>
    <col min="1793" max="1796" width="11.42578125" style="297" customWidth="1"/>
    <col min="1797" max="1797" width="12" style="297" customWidth="1"/>
    <col min="1798" max="1799" width="11.42578125" style="297" customWidth="1"/>
    <col min="1800" max="1800" width="1.85546875" style="297" customWidth="1"/>
    <col min="1801" max="1801" width="12.140625" style="297" customWidth="1"/>
    <col min="1802" max="1802" width="12.7109375" style="297" customWidth="1"/>
    <col min="1803" max="1805" width="11.42578125" style="297" customWidth="1"/>
    <col min="1806" max="1806" width="1.85546875" style="297" customWidth="1"/>
    <col min="1807" max="1807" width="13.5703125" style="297" customWidth="1"/>
    <col min="1808" max="1808" width="11.42578125" style="297" customWidth="1"/>
    <col min="1809" max="1810" width="12.42578125" style="297" customWidth="1"/>
    <col min="1811" max="2047" width="11.42578125" style="297"/>
    <col min="2048" max="2048" width="16.28515625" style="297" customWidth="1"/>
    <col min="2049" max="2052" width="11.42578125" style="297" customWidth="1"/>
    <col min="2053" max="2053" width="12" style="297" customWidth="1"/>
    <col min="2054" max="2055" width="11.42578125" style="297" customWidth="1"/>
    <col min="2056" max="2056" width="1.85546875" style="297" customWidth="1"/>
    <col min="2057" max="2057" width="12.140625" style="297" customWidth="1"/>
    <col min="2058" max="2058" width="12.7109375" style="297" customWidth="1"/>
    <col min="2059" max="2061" width="11.42578125" style="297" customWidth="1"/>
    <col min="2062" max="2062" width="1.85546875" style="297" customWidth="1"/>
    <col min="2063" max="2063" width="13.5703125" style="297" customWidth="1"/>
    <col min="2064" max="2064" width="11.42578125" style="297" customWidth="1"/>
    <col min="2065" max="2066" width="12.42578125" style="297" customWidth="1"/>
    <col min="2067" max="2303" width="11.42578125" style="297"/>
    <col min="2304" max="2304" width="16.28515625" style="297" customWidth="1"/>
    <col min="2305" max="2308" width="11.42578125" style="297" customWidth="1"/>
    <col min="2309" max="2309" width="12" style="297" customWidth="1"/>
    <col min="2310" max="2311" width="11.42578125" style="297" customWidth="1"/>
    <col min="2312" max="2312" width="1.85546875" style="297" customWidth="1"/>
    <col min="2313" max="2313" width="12.140625" style="297" customWidth="1"/>
    <col min="2314" max="2314" width="12.7109375" style="297" customWidth="1"/>
    <col min="2315" max="2317" width="11.42578125" style="297" customWidth="1"/>
    <col min="2318" max="2318" width="1.85546875" style="297" customWidth="1"/>
    <col min="2319" max="2319" width="13.5703125" style="297" customWidth="1"/>
    <col min="2320" max="2320" width="11.42578125" style="297" customWidth="1"/>
    <col min="2321" max="2322" width="12.42578125" style="297" customWidth="1"/>
    <col min="2323" max="2559" width="11.42578125" style="297"/>
    <col min="2560" max="2560" width="16.28515625" style="297" customWidth="1"/>
    <col min="2561" max="2564" width="11.42578125" style="297" customWidth="1"/>
    <col min="2565" max="2565" width="12" style="297" customWidth="1"/>
    <col min="2566" max="2567" width="11.42578125" style="297" customWidth="1"/>
    <col min="2568" max="2568" width="1.85546875" style="297" customWidth="1"/>
    <col min="2569" max="2569" width="12.140625" style="297" customWidth="1"/>
    <col min="2570" max="2570" width="12.7109375" style="297" customWidth="1"/>
    <col min="2571" max="2573" width="11.42578125" style="297" customWidth="1"/>
    <col min="2574" max="2574" width="1.85546875" style="297" customWidth="1"/>
    <col min="2575" max="2575" width="13.5703125" style="297" customWidth="1"/>
    <col min="2576" max="2576" width="11.42578125" style="297" customWidth="1"/>
    <col min="2577" max="2578" width="12.42578125" style="297" customWidth="1"/>
    <col min="2579" max="2815" width="11.42578125" style="297"/>
    <col min="2816" max="2816" width="16.28515625" style="297" customWidth="1"/>
    <col min="2817" max="2820" width="11.42578125" style="297" customWidth="1"/>
    <col min="2821" max="2821" width="12" style="297" customWidth="1"/>
    <col min="2822" max="2823" width="11.42578125" style="297" customWidth="1"/>
    <col min="2824" max="2824" width="1.85546875" style="297" customWidth="1"/>
    <col min="2825" max="2825" width="12.140625" style="297" customWidth="1"/>
    <col min="2826" max="2826" width="12.7109375" style="297" customWidth="1"/>
    <col min="2827" max="2829" width="11.42578125" style="297" customWidth="1"/>
    <col min="2830" max="2830" width="1.85546875" style="297" customWidth="1"/>
    <col min="2831" max="2831" width="13.5703125" style="297" customWidth="1"/>
    <col min="2832" max="2832" width="11.42578125" style="297" customWidth="1"/>
    <col min="2833" max="2834" width="12.42578125" style="297" customWidth="1"/>
    <col min="2835" max="3071" width="11.42578125" style="297"/>
    <col min="3072" max="3072" width="16.28515625" style="297" customWidth="1"/>
    <col min="3073" max="3076" width="11.42578125" style="297" customWidth="1"/>
    <col min="3077" max="3077" width="12" style="297" customWidth="1"/>
    <col min="3078" max="3079" width="11.42578125" style="297" customWidth="1"/>
    <col min="3080" max="3080" width="1.85546875" style="297" customWidth="1"/>
    <col min="3081" max="3081" width="12.140625" style="297" customWidth="1"/>
    <col min="3082" max="3082" width="12.7109375" style="297" customWidth="1"/>
    <col min="3083" max="3085" width="11.42578125" style="297" customWidth="1"/>
    <col min="3086" max="3086" width="1.85546875" style="297" customWidth="1"/>
    <col min="3087" max="3087" width="13.5703125" style="297" customWidth="1"/>
    <col min="3088" max="3088" width="11.42578125" style="297" customWidth="1"/>
    <col min="3089" max="3090" width="12.42578125" style="297" customWidth="1"/>
    <col min="3091" max="3327" width="11.42578125" style="297"/>
    <col min="3328" max="3328" width="16.28515625" style="297" customWidth="1"/>
    <col min="3329" max="3332" width="11.42578125" style="297" customWidth="1"/>
    <col min="3333" max="3333" width="12" style="297" customWidth="1"/>
    <col min="3334" max="3335" width="11.42578125" style="297" customWidth="1"/>
    <col min="3336" max="3336" width="1.85546875" style="297" customWidth="1"/>
    <col min="3337" max="3337" width="12.140625" style="297" customWidth="1"/>
    <col min="3338" max="3338" width="12.7109375" style="297" customWidth="1"/>
    <col min="3339" max="3341" width="11.42578125" style="297" customWidth="1"/>
    <col min="3342" max="3342" width="1.85546875" style="297" customWidth="1"/>
    <col min="3343" max="3343" width="13.5703125" style="297" customWidth="1"/>
    <col min="3344" max="3344" width="11.42578125" style="297" customWidth="1"/>
    <col min="3345" max="3346" width="12.42578125" style="297" customWidth="1"/>
    <col min="3347" max="3583" width="11.42578125" style="297"/>
    <col min="3584" max="3584" width="16.28515625" style="297" customWidth="1"/>
    <col min="3585" max="3588" width="11.42578125" style="297" customWidth="1"/>
    <col min="3589" max="3589" width="12" style="297" customWidth="1"/>
    <col min="3590" max="3591" width="11.42578125" style="297" customWidth="1"/>
    <col min="3592" max="3592" width="1.85546875" style="297" customWidth="1"/>
    <col min="3593" max="3593" width="12.140625" style="297" customWidth="1"/>
    <col min="3594" max="3594" width="12.7109375" style="297" customWidth="1"/>
    <col min="3595" max="3597" width="11.42578125" style="297" customWidth="1"/>
    <col min="3598" max="3598" width="1.85546875" style="297" customWidth="1"/>
    <col min="3599" max="3599" width="13.5703125" style="297" customWidth="1"/>
    <col min="3600" max="3600" width="11.42578125" style="297" customWidth="1"/>
    <col min="3601" max="3602" width="12.42578125" style="297" customWidth="1"/>
    <col min="3603" max="3839" width="11.42578125" style="297"/>
    <col min="3840" max="3840" width="16.28515625" style="297" customWidth="1"/>
    <col min="3841" max="3844" width="11.42578125" style="297" customWidth="1"/>
    <col min="3845" max="3845" width="12" style="297" customWidth="1"/>
    <col min="3846" max="3847" width="11.42578125" style="297" customWidth="1"/>
    <col min="3848" max="3848" width="1.85546875" style="297" customWidth="1"/>
    <col min="3849" max="3849" width="12.140625" style="297" customWidth="1"/>
    <col min="3850" max="3850" width="12.7109375" style="297" customWidth="1"/>
    <col min="3851" max="3853" width="11.42578125" style="297" customWidth="1"/>
    <col min="3854" max="3854" width="1.85546875" style="297" customWidth="1"/>
    <col min="3855" max="3855" width="13.5703125" style="297" customWidth="1"/>
    <col min="3856" max="3856" width="11.42578125" style="297" customWidth="1"/>
    <col min="3857" max="3858" width="12.42578125" style="297" customWidth="1"/>
    <col min="3859" max="4095" width="11.42578125" style="297"/>
    <col min="4096" max="4096" width="16.28515625" style="297" customWidth="1"/>
    <col min="4097" max="4100" width="11.42578125" style="297" customWidth="1"/>
    <col min="4101" max="4101" width="12" style="297" customWidth="1"/>
    <col min="4102" max="4103" width="11.42578125" style="297" customWidth="1"/>
    <col min="4104" max="4104" width="1.85546875" style="297" customWidth="1"/>
    <col min="4105" max="4105" width="12.140625" style="297" customWidth="1"/>
    <col min="4106" max="4106" width="12.7109375" style="297" customWidth="1"/>
    <col min="4107" max="4109" width="11.42578125" style="297" customWidth="1"/>
    <col min="4110" max="4110" width="1.85546875" style="297" customWidth="1"/>
    <col min="4111" max="4111" width="13.5703125" style="297" customWidth="1"/>
    <col min="4112" max="4112" width="11.42578125" style="297" customWidth="1"/>
    <col min="4113" max="4114" width="12.42578125" style="297" customWidth="1"/>
    <col min="4115" max="4351" width="11.42578125" style="297"/>
    <col min="4352" max="4352" width="16.28515625" style="297" customWidth="1"/>
    <col min="4353" max="4356" width="11.42578125" style="297" customWidth="1"/>
    <col min="4357" max="4357" width="12" style="297" customWidth="1"/>
    <col min="4358" max="4359" width="11.42578125" style="297" customWidth="1"/>
    <col min="4360" max="4360" width="1.85546875" style="297" customWidth="1"/>
    <col min="4361" max="4361" width="12.140625" style="297" customWidth="1"/>
    <col min="4362" max="4362" width="12.7109375" style="297" customWidth="1"/>
    <col min="4363" max="4365" width="11.42578125" style="297" customWidth="1"/>
    <col min="4366" max="4366" width="1.85546875" style="297" customWidth="1"/>
    <col min="4367" max="4367" width="13.5703125" style="297" customWidth="1"/>
    <col min="4368" max="4368" width="11.42578125" style="297" customWidth="1"/>
    <col min="4369" max="4370" width="12.42578125" style="297" customWidth="1"/>
    <col min="4371" max="4607" width="11.42578125" style="297"/>
    <col min="4608" max="4608" width="16.28515625" style="297" customWidth="1"/>
    <col min="4609" max="4612" width="11.42578125" style="297" customWidth="1"/>
    <col min="4613" max="4613" width="12" style="297" customWidth="1"/>
    <col min="4614" max="4615" width="11.42578125" style="297" customWidth="1"/>
    <col min="4616" max="4616" width="1.85546875" style="297" customWidth="1"/>
    <col min="4617" max="4617" width="12.140625" style="297" customWidth="1"/>
    <col min="4618" max="4618" width="12.7109375" style="297" customWidth="1"/>
    <col min="4619" max="4621" width="11.42578125" style="297" customWidth="1"/>
    <col min="4622" max="4622" width="1.85546875" style="297" customWidth="1"/>
    <col min="4623" max="4623" width="13.5703125" style="297" customWidth="1"/>
    <col min="4624" max="4624" width="11.42578125" style="297" customWidth="1"/>
    <col min="4625" max="4626" width="12.42578125" style="297" customWidth="1"/>
    <col min="4627" max="4863" width="11.42578125" style="297"/>
    <col min="4864" max="4864" width="16.28515625" style="297" customWidth="1"/>
    <col min="4865" max="4868" width="11.42578125" style="297" customWidth="1"/>
    <col min="4869" max="4869" width="12" style="297" customWidth="1"/>
    <col min="4870" max="4871" width="11.42578125" style="297" customWidth="1"/>
    <col min="4872" max="4872" width="1.85546875" style="297" customWidth="1"/>
    <col min="4873" max="4873" width="12.140625" style="297" customWidth="1"/>
    <col min="4874" max="4874" width="12.7109375" style="297" customWidth="1"/>
    <col min="4875" max="4877" width="11.42578125" style="297" customWidth="1"/>
    <col min="4878" max="4878" width="1.85546875" style="297" customWidth="1"/>
    <col min="4879" max="4879" width="13.5703125" style="297" customWidth="1"/>
    <col min="4880" max="4880" width="11.42578125" style="297" customWidth="1"/>
    <col min="4881" max="4882" width="12.42578125" style="297" customWidth="1"/>
    <col min="4883" max="5119" width="11.42578125" style="297"/>
    <col min="5120" max="5120" width="16.28515625" style="297" customWidth="1"/>
    <col min="5121" max="5124" width="11.42578125" style="297" customWidth="1"/>
    <col min="5125" max="5125" width="12" style="297" customWidth="1"/>
    <col min="5126" max="5127" width="11.42578125" style="297" customWidth="1"/>
    <col min="5128" max="5128" width="1.85546875" style="297" customWidth="1"/>
    <col min="5129" max="5129" width="12.140625" style="297" customWidth="1"/>
    <col min="5130" max="5130" width="12.7109375" style="297" customWidth="1"/>
    <col min="5131" max="5133" width="11.42578125" style="297" customWidth="1"/>
    <col min="5134" max="5134" width="1.85546875" style="297" customWidth="1"/>
    <col min="5135" max="5135" width="13.5703125" style="297" customWidth="1"/>
    <col min="5136" max="5136" width="11.42578125" style="297" customWidth="1"/>
    <col min="5137" max="5138" width="12.42578125" style="297" customWidth="1"/>
    <col min="5139" max="5375" width="11.42578125" style="297"/>
    <col min="5376" max="5376" width="16.28515625" style="297" customWidth="1"/>
    <col min="5377" max="5380" width="11.42578125" style="297" customWidth="1"/>
    <col min="5381" max="5381" width="12" style="297" customWidth="1"/>
    <col min="5382" max="5383" width="11.42578125" style="297" customWidth="1"/>
    <col min="5384" max="5384" width="1.85546875" style="297" customWidth="1"/>
    <col min="5385" max="5385" width="12.140625" style="297" customWidth="1"/>
    <col min="5386" max="5386" width="12.7109375" style="297" customWidth="1"/>
    <col min="5387" max="5389" width="11.42578125" style="297" customWidth="1"/>
    <col min="5390" max="5390" width="1.85546875" style="297" customWidth="1"/>
    <col min="5391" max="5391" width="13.5703125" style="297" customWidth="1"/>
    <col min="5392" max="5392" width="11.42578125" style="297" customWidth="1"/>
    <col min="5393" max="5394" width="12.42578125" style="297" customWidth="1"/>
    <col min="5395" max="5631" width="11.42578125" style="297"/>
    <col min="5632" max="5632" width="16.28515625" style="297" customWidth="1"/>
    <col min="5633" max="5636" width="11.42578125" style="297" customWidth="1"/>
    <col min="5637" max="5637" width="12" style="297" customWidth="1"/>
    <col min="5638" max="5639" width="11.42578125" style="297" customWidth="1"/>
    <col min="5640" max="5640" width="1.85546875" style="297" customWidth="1"/>
    <col min="5641" max="5641" width="12.140625" style="297" customWidth="1"/>
    <col min="5642" max="5642" width="12.7109375" style="297" customWidth="1"/>
    <col min="5643" max="5645" width="11.42578125" style="297" customWidth="1"/>
    <col min="5646" max="5646" width="1.85546875" style="297" customWidth="1"/>
    <col min="5647" max="5647" width="13.5703125" style="297" customWidth="1"/>
    <col min="5648" max="5648" width="11.42578125" style="297" customWidth="1"/>
    <col min="5649" max="5650" width="12.42578125" style="297" customWidth="1"/>
    <col min="5651" max="5887" width="11.42578125" style="297"/>
    <col min="5888" max="5888" width="16.28515625" style="297" customWidth="1"/>
    <col min="5889" max="5892" width="11.42578125" style="297" customWidth="1"/>
    <col min="5893" max="5893" width="12" style="297" customWidth="1"/>
    <col min="5894" max="5895" width="11.42578125" style="297" customWidth="1"/>
    <col min="5896" max="5896" width="1.85546875" style="297" customWidth="1"/>
    <col min="5897" max="5897" width="12.140625" style="297" customWidth="1"/>
    <col min="5898" max="5898" width="12.7109375" style="297" customWidth="1"/>
    <col min="5899" max="5901" width="11.42578125" style="297" customWidth="1"/>
    <col min="5902" max="5902" width="1.85546875" style="297" customWidth="1"/>
    <col min="5903" max="5903" width="13.5703125" style="297" customWidth="1"/>
    <col min="5904" max="5904" width="11.42578125" style="297" customWidth="1"/>
    <col min="5905" max="5906" width="12.42578125" style="297" customWidth="1"/>
    <col min="5907" max="6143" width="11.42578125" style="297"/>
    <col min="6144" max="6144" width="16.28515625" style="297" customWidth="1"/>
    <col min="6145" max="6148" width="11.42578125" style="297" customWidth="1"/>
    <col min="6149" max="6149" width="12" style="297" customWidth="1"/>
    <col min="6150" max="6151" width="11.42578125" style="297" customWidth="1"/>
    <col min="6152" max="6152" width="1.85546875" style="297" customWidth="1"/>
    <col min="6153" max="6153" width="12.140625" style="297" customWidth="1"/>
    <col min="6154" max="6154" width="12.7109375" style="297" customWidth="1"/>
    <col min="6155" max="6157" width="11.42578125" style="297" customWidth="1"/>
    <col min="6158" max="6158" width="1.85546875" style="297" customWidth="1"/>
    <col min="6159" max="6159" width="13.5703125" style="297" customWidth="1"/>
    <col min="6160" max="6160" width="11.42578125" style="297" customWidth="1"/>
    <col min="6161" max="6162" width="12.42578125" style="297" customWidth="1"/>
    <col min="6163" max="6399" width="11.42578125" style="297"/>
    <col min="6400" max="6400" width="16.28515625" style="297" customWidth="1"/>
    <col min="6401" max="6404" width="11.42578125" style="297" customWidth="1"/>
    <col min="6405" max="6405" width="12" style="297" customWidth="1"/>
    <col min="6406" max="6407" width="11.42578125" style="297" customWidth="1"/>
    <col min="6408" max="6408" width="1.85546875" style="297" customWidth="1"/>
    <col min="6409" max="6409" width="12.140625" style="297" customWidth="1"/>
    <col min="6410" max="6410" width="12.7109375" style="297" customWidth="1"/>
    <col min="6411" max="6413" width="11.42578125" style="297" customWidth="1"/>
    <col min="6414" max="6414" width="1.85546875" style="297" customWidth="1"/>
    <col min="6415" max="6415" width="13.5703125" style="297" customWidth="1"/>
    <col min="6416" max="6416" width="11.42578125" style="297" customWidth="1"/>
    <col min="6417" max="6418" width="12.42578125" style="297" customWidth="1"/>
    <col min="6419" max="6655" width="11.42578125" style="297"/>
    <col min="6656" max="6656" width="16.28515625" style="297" customWidth="1"/>
    <col min="6657" max="6660" width="11.42578125" style="297" customWidth="1"/>
    <col min="6661" max="6661" width="12" style="297" customWidth="1"/>
    <col min="6662" max="6663" width="11.42578125" style="297" customWidth="1"/>
    <col min="6664" max="6664" width="1.85546875" style="297" customWidth="1"/>
    <col min="6665" max="6665" width="12.140625" style="297" customWidth="1"/>
    <col min="6666" max="6666" width="12.7109375" style="297" customWidth="1"/>
    <col min="6667" max="6669" width="11.42578125" style="297" customWidth="1"/>
    <col min="6670" max="6670" width="1.85546875" style="297" customWidth="1"/>
    <col min="6671" max="6671" width="13.5703125" style="297" customWidth="1"/>
    <col min="6672" max="6672" width="11.42578125" style="297" customWidth="1"/>
    <col min="6673" max="6674" width="12.42578125" style="297" customWidth="1"/>
    <col min="6675" max="6911" width="11.42578125" style="297"/>
    <col min="6912" max="6912" width="16.28515625" style="297" customWidth="1"/>
    <col min="6913" max="6916" width="11.42578125" style="297" customWidth="1"/>
    <col min="6917" max="6917" width="12" style="297" customWidth="1"/>
    <col min="6918" max="6919" width="11.42578125" style="297" customWidth="1"/>
    <col min="6920" max="6920" width="1.85546875" style="297" customWidth="1"/>
    <col min="6921" max="6921" width="12.140625" style="297" customWidth="1"/>
    <col min="6922" max="6922" width="12.7109375" style="297" customWidth="1"/>
    <col min="6923" max="6925" width="11.42578125" style="297" customWidth="1"/>
    <col min="6926" max="6926" width="1.85546875" style="297" customWidth="1"/>
    <col min="6927" max="6927" width="13.5703125" style="297" customWidth="1"/>
    <col min="6928" max="6928" width="11.42578125" style="297" customWidth="1"/>
    <col min="6929" max="6930" width="12.42578125" style="297" customWidth="1"/>
    <col min="6931" max="7167" width="11.42578125" style="297"/>
    <col min="7168" max="7168" width="16.28515625" style="297" customWidth="1"/>
    <col min="7169" max="7172" width="11.42578125" style="297" customWidth="1"/>
    <col min="7173" max="7173" width="12" style="297" customWidth="1"/>
    <col min="7174" max="7175" width="11.42578125" style="297" customWidth="1"/>
    <col min="7176" max="7176" width="1.85546875" style="297" customWidth="1"/>
    <col min="7177" max="7177" width="12.140625" style="297" customWidth="1"/>
    <col min="7178" max="7178" width="12.7109375" style="297" customWidth="1"/>
    <col min="7179" max="7181" width="11.42578125" style="297" customWidth="1"/>
    <col min="7182" max="7182" width="1.85546875" style="297" customWidth="1"/>
    <col min="7183" max="7183" width="13.5703125" style="297" customWidth="1"/>
    <col min="7184" max="7184" width="11.42578125" style="297" customWidth="1"/>
    <col min="7185" max="7186" width="12.42578125" style="297" customWidth="1"/>
    <col min="7187" max="7423" width="11.42578125" style="297"/>
    <col min="7424" max="7424" width="16.28515625" style="297" customWidth="1"/>
    <col min="7425" max="7428" width="11.42578125" style="297" customWidth="1"/>
    <col min="7429" max="7429" width="12" style="297" customWidth="1"/>
    <col min="7430" max="7431" width="11.42578125" style="297" customWidth="1"/>
    <col min="7432" max="7432" width="1.85546875" style="297" customWidth="1"/>
    <col min="7433" max="7433" width="12.140625" style="297" customWidth="1"/>
    <col min="7434" max="7434" width="12.7109375" style="297" customWidth="1"/>
    <col min="7435" max="7437" width="11.42578125" style="297" customWidth="1"/>
    <col min="7438" max="7438" width="1.85546875" style="297" customWidth="1"/>
    <col min="7439" max="7439" width="13.5703125" style="297" customWidth="1"/>
    <col min="7440" max="7440" width="11.42578125" style="297" customWidth="1"/>
    <col min="7441" max="7442" width="12.42578125" style="297" customWidth="1"/>
    <col min="7443" max="7679" width="11.42578125" style="297"/>
    <col min="7680" max="7680" width="16.28515625" style="297" customWidth="1"/>
    <col min="7681" max="7684" width="11.42578125" style="297" customWidth="1"/>
    <col min="7685" max="7685" width="12" style="297" customWidth="1"/>
    <col min="7686" max="7687" width="11.42578125" style="297" customWidth="1"/>
    <col min="7688" max="7688" width="1.85546875" style="297" customWidth="1"/>
    <col min="7689" max="7689" width="12.140625" style="297" customWidth="1"/>
    <col min="7690" max="7690" width="12.7109375" style="297" customWidth="1"/>
    <col min="7691" max="7693" width="11.42578125" style="297" customWidth="1"/>
    <col min="7694" max="7694" width="1.85546875" style="297" customWidth="1"/>
    <col min="7695" max="7695" width="13.5703125" style="297" customWidth="1"/>
    <col min="7696" max="7696" width="11.42578125" style="297" customWidth="1"/>
    <col min="7697" max="7698" width="12.42578125" style="297" customWidth="1"/>
    <col min="7699" max="7935" width="11.42578125" style="297"/>
    <col min="7936" max="7936" width="16.28515625" style="297" customWidth="1"/>
    <col min="7937" max="7940" width="11.42578125" style="297" customWidth="1"/>
    <col min="7941" max="7941" width="12" style="297" customWidth="1"/>
    <col min="7942" max="7943" width="11.42578125" style="297" customWidth="1"/>
    <col min="7944" max="7944" width="1.85546875" style="297" customWidth="1"/>
    <col min="7945" max="7945" width="12.140625" style="297" customWidth="1"/>
    <col min="7946" max="7946" width="12.7109375" style="297" customWidth="1"/>
    <col min="7947" max="7949" width="11.42578125" style="297" customWidth="1"/>
    <col min="7950" max="7950" width="1.85546875" style="297" customWidth="1"/>
    <col min="7951" max="7951" width="13.5703125" style="297" customWidth="1"/>
    <col min="7952" max="7952" width="11.42578125" style="297" customWidth="1"/>
    <col min="7953" max="7954" width="12.42578125" style="297" customWidth="1"/>
    <col min="7955" max="8191" width="11.42578125" style="297"/>
    <col min="8192" max="8192" width="16.28515625" style="297" customWidth="1"/>
    <col min="8193" max="8196" width="11.42578125" style="297" customWidth="1"/>
    <col min="8197" max="8197" width="12" style="297" customWidth="1"/>
    <col min="8198" max="8199" width="11.42578125" style="297" customWidth="1"/>
    <col min="8200" max="8200" width="1.85546875" style="297" customWidth="1"/>
    <col min="8201" max="8201" width="12.140625" style="297" customWidth="1"/>
    <col min="8202" max="8202" width="12.7109375" style="297" customWidth="1"/>
    <col min="8203" max="8205" width="11.42578125" style="297" customWidth="1"/>
    <col min="8206" max="8206" width="1.85546875" style="297" customWidth="1"/>
    <col min="8207" max="8207" width="13.5703125" style="297" customWidth="1"/>
    <col min="8208" max="8208" width="11.42578125" style="297" customWidth="1"/>
    <col min="8209" max="8210" width="12.42578125" style="297" customWidth="1"/>
    <col min="8211" max="8447" width="11.42578125" style="297"/>
    <col min="8448" max="8448" width="16.28515625" style="297" customWidth="1"/>
    <col min="8449" max="8452" width="11.42578125" style="297" customWidth="1"/>
    <col min="8453" max="8453" width="12" style="297" customWidth="1"/>
    <col min="8454" max="8455" width="11.42578125" style="297" customWidth="1"/>
    <col min="8456" max="8456" width="1.85546875" style="297" customWidth="1"/>
    <col min="8457" max="8457" width="12.140625" style="297" customWidth="1"/>
    <col min="8458" max="8458" width="12.7109375" style="297" customWidth="1"/>
    <col min="8459" max="8461" width="11.42578125" style="297" customWidth="1"/>
    <col min="8462" max="8462" width="1.85546875" style="297" customWidth="1"/>
    <col min="8463" max="8463" width="13.5703125" style="297" customWidth="1"/>
    <col min="8464" max="8464" width="11.42578125" style="297" customWidth="1"/>
    <col min="8465" max="8466" width="12.42578125" style="297" customWidth="1"/>
    <col min="8467" max="8703" width="11.42578125" style="297"/>
    <col min="8704" max="8704" width="16.28515625" style="297" customWidth="1"/>
    <col min="8705" max="8708" width="11.42578125" style="297" customWidth="1"/>
    <col min="8709" max="8709" width="12" style="297" customWidth="1"/>
    <col min="8710" max="8711" width="11.42578125" style="297" customWidth="1"/>
    <col min="8712" max="8712" width="1.85546875" style="297" customWidth="1"/>
    <col min="8713" max="8713" width="12.140625" style="297" customWidth="1"/>
    <col min="8714" max="8714" width="12.7109375" style="297" customWidth="1"/>
    <col min="8715" max="8717" width="11.42578125" style="297" customWidth="1"/>
    <col min="8718" max="8718" width="1.85546875" style="297" customWidth="1"/>
    <col min="8719" max="8719" width="13.5703125" style="297" customWidth="1"/>
    <col min="8720" max="8720" width="11.42578125" style="297" customWidth="1"/>
    <col min="8721" max="8722" width="12.42578125" style="297" customWidth="1"/>
    <col min="8723" max="8959" width="11.42578125" style="297"/>
    <col min="8960" max="8960" width="16.28515625" style="297" customWidth="1"/>
    <col min="8961" max="8964" width="11.42578125" style="297" customWidth="1"/>
    <col min="8965" max="8965" width="12" style="297" customWidth="1"/>
    <col min="8966" max="8967" width="11.42578125" style="297" customWidth="1"/>
    <col min="8968" max="8968" width="1.85546875" style="297" customWidth="1"/>
    <col min="8969" max="8969" width="12.140625" style="297" customWidth="1"/>
    <col min="8970" max="8970" width="12.7109375" style="297" customWidth="1"/>
    <col min="8971" max="8973" width="11.42578125" style="297" customWidth="1"/>
    <col min="8974" max="8974" width="1.85546875" style="297" customWidth="1"/>
    <col min="8975" max="8975" width="13.5703125" style="297" customWidth="1"/>
    <col min="8976" max="8976" width="11.42578125" style="297" customWidth="1"/>
    <col min="8977" max="8978" width="12.42578125" style="297" customWidth="1"/>
    <col min="8979" max="9215" width="11.42578125" style="297"/>
    <col min="9216" max="9216" width="16.28515625" style="297" customWidth="1"/>
    <col min="9217" max="9220" width="11.42578125" style="297" customWidth="1"/>
    <col min="9221" max="9221" width="12" style="297" customWidth="1"/>
    <col min="9222" max="9223" width="11.42578125" style="297" customWidth="1"/>
    <col min="9224" max="9224" width="1.85546875" style="297" customWidth="1"/>
    <col min="9225" max="9225" width="12.140625" style="297" customWidth="1"/>
    <col min="9226" max="9226" width="12.7109375" style="297" customWidth="1"/>
    <col min="9227" max="9229" width="11.42578125" style="297" customWidth="1"/>
    <col min="9230" max="9230" width="1.85546875" style="297" customWidth="1"/>
    <col min="9231" max="9231" width="13.5703125" style="297" customWidth="1"/>
    <col min="9232" max="9232" width="11.42578125" style="297" customWidth="1"/>
    <col min="9233" max="9234" width="12.42578125" style="297" customWidth="1"/>
    <col min="9235" max="9471" width="11.42578125" style="297"/>
    <col min="9472" max="9472" width="16.28515625" style="297" customWidth="1"/>
    <col min="9473" max="9476" width="11.42578125" style="297" customWidth="1"/>
    <col min="9477" max="9477" width="12" style="297" customWidth="1"/>
    <col min="9478" max="9479" width="11.42578125" style="297" customWidth="1"/>
    <col min="9480" max="9480" width="1.85546875" style="297" customWidth="1"/>
    <col min="9481" max="9481" width="12.140625" style="297" customWidth="1"/>
    <col min="9482" max="9482" width="12.7109375" style="297" customWidth="1"/>
    <col min="9483" max="9485" width="11.42578125" style="297" customWidth="1"/>
    <col min="9486" max="9486" width="1.85546875" style="297" customWidth="1"/>
    <col min="9487" max="9487" width="13.5703125" style="297" customWidth="1"/>
    <col min="9488" max="9488" width="11.42578125" style="297" customWidth="1"/>
    <col min="9489" max="9490" width="12.42578125" style="297" customWidth="1"/>
    <col min="9491" max="9727" width="11.42578125" style="297"/>
    <col min="9728" max="9728" width="16.28515625" style="297" customWidth="1"/>
    <col min="9729" max="9732" width="11.42578125" style="297" customWidth="1"/>
    <col min="9733" max="9733" width="12" style="297" customWidth="1"/>
    <col min="9734" max="9735" width="11.42578125" style="297" customWidth="1"/>
    <col min="9736" max="9736" width="1.85546875" style="297" customWidth="1"/>
    <col min="9737" max="9737" width="12.140625" style="297" customWidth="1"/>
    <col min="9738" max="9738" width="12.7109375" style="297" customWidth="1"/>
    <col min="9739" max="9741" width="11.42578125" style="297" customWidth="1"/>
    <col min="9742" max="9742" width="1.85546875" style="297" customWidth="1"/>
    <col min="9743" max="9743" width="13.5703125" style="297" customWidth="1"/>
    <col min="9744" max="9744" width="11.42578125" style="297" customWidth="1"/>
    <col min="9745" max="9746" width="12.42578125" style="297" customWidth="1"/>
    <col min="9747" max="9983" width="11.42578125" style="297"/>
    <col min="9984" max="9984" width="16.28515625" style="297" customWidth="1"/>
    <col min="9985" max="9988" width="11.42578125" style="297" customWidth="1"/>
    <col min="9989" max="9989" width="12" style="297" customWidth="1"/>
    <col min="9990" max="9991" width="11.42578125" style="297" customWidth="1"/>
    <col min="9992" max="9992" width="1.85546875" style="297" customWidth="1"/>
    <col min="9993" max="9993" width="12.140625" style="297" customWidth="1"/>
    <col min="9994" max="9994" width="12.7109375" style="297" customWidth="1"/>
    <col min="9995" max="9997" width="11.42578125" style="297" customWidth="1"/>
    <col min="9998" max="9998" width="1.85546875" style="297" customWidth="1"/>
    <col min="9999" max="9999" width="13.5703125" style="297" customWidth="1"/>
    <col min="10000" max="10000" width="11.42578125" style="297" customWidth="1"/>
    <col min="10001" max="10002" width="12.42578125" style="297" customWidth="1"/>
    <col min="10003" max="10239" width="11.42578125" style="297"/>
    <col min="10240" max="10240" width="16.28515625" style="297" customWidth="1"/>
    <col min="10241" max="10244" width="11.42578125" style="297" customWidth="1"/>
    <col min="10245" max="10245" width="12" style="297" customWidth="1"/>
    <col min="10246" max="10247" width="11.42578125" style="297" customWidth="1"/>
    <col min="10248" max="10248" width="1.85546875" style="297" customWidth="1"/>
    <col min="10249" max="10249" width="12.140625" style="297" customWidth="1"/>
    <col min="10250" max="10250" width="12.7109375" style="297" customWidth="1"/>
    <col min="10251" max="10253" width="11.42578125" style="297" customWidth="1"/>
    <col min="10254" max="10254" width="1.85546875" style="297" customWidth="1"/>
    <col min="10255" max="10255" width="13.5703125" style="297" customWidth="1"/>
    <col min="10256" max="10256" width="11.42578125" style="297" customWidth="1"/>
    <col min="10257" max="10258" width="12.42578125" style="297" customWidth="1"/>
    <col min="10259" max="10495" width="11.42578125" style="297"/>
    <col min="10496" max="10496" width="16.28515625" style="297" customWidth="1"/>
    <col min="10497" max="10500" width="11.42578125" style="297" customWidth="1"/>
    <col min="10501" max="10501" width="12" style="297" customWidth="1"/>
    <col min="10502" max="10503" width="11.42578125" style="297" customWidth="1"/>
    <col min="10504" max="10504" width="1.85546875" style="297" customWidth="1"/>
    <col min="10505" max="10505" width="12.140625" style="297" customWidth="1"/>
    <col min="10506" max="10506" width="12.7109375" style="297" customWidth="1"/>
    <col min="10507" max="10509" width="11.42578125" style="297" customWidth="1"/>
    <col min="10510" max="10510" width="1.85546875" style="297" customWidth="1"/>
    <col min="10511" max="10511" width="13.5703125" style="297" customWidth="1"/>
    <col min="10512" max="10512" width="11.42578125" style="297" customWidth="1"/>
    <col min="10513" max="10514" width="12.42578125" style="297" customWidth="1"/>
    <col min="10515" max="10751" width="11.42578125" style="297"/>
    <col min="10752" max="10752" width="16.28515625" style="297" customWidth="1"/>
    <col min="10753" max="10756" width="11.42578125" style="297" customWidth="1"/>
    <col min="10757" max="10757" width="12" style="297" customWidth="1"/>
    <col min="10758" max="10759" width="11.42578125" style="297" customWidth="1"/>
    <col min="10760" max="10760" width="1.85546875" style="297" customWidth="1"/>
    <col min="10761" max="10761" width="12.140625" style="297" customWidth="1"/>
    <col min="10762" max="10762" width="12.7109375" style="297" customWidth="1"/>
    <col min="10763" max="10765" width="11.42578125" style="297" customWidth="1"/>
    <col min="10766" max="10766" width="1.85546875" style="297" customWidth="1"/>
    <col min="10767" max="10767" width="13.5703125" style="297" customWidth="1"/>
    <col min="10768" max="10768" width="11.42578125" style="297" customWidth="1"/>
    <col min="10769" max="10770" width="12.42578125" style="297" customWidth="1"/>
    <col min="10771" max="11007" width="11.42578125" style="297"/>
    <col min="11008" max="11008" width="16.28515625" style="297" customWidth="1"/>
    <col min="11009" max="11012" width="11.42578125" style="297" customWidth="1"/>
    <col min="11013" max="11013" width="12" style="297" customWidth="1"/>
    <col min="11014" max="11015" width="11.42578125" style="297" customWidth="1"/>
    <col min="11016" max="11016" width="1.85546875" style="297" customWidth="1"/>
    <col min="11017" max="11017" width="12.140625" style="297" customWidth="1"/>
    <col min="11018" max="11018" width="12.7109375" style="297" customWidth="1"/>
    <col min="11019" max="11021" width="11.42578125" style="297" customWidth="1"/>
    <col min="11022" max="11022" width="1.85546875" style="297" customWidth="1"/>
    <col min="11023" max="11023" width="13.5703125" style="297" customWidth="1"/>
    <col min="11024" max="11024" width="11.42578125" style="297" customWidth="1"/>
    <col min="11025" max="11026" width="12.42578125" style="297" customWidth="1"/>
    <col min="11027" max="11263" width="11.42578125" style="297"/>
    <col min="11264" max="11264" width="16.28515625" style="297" customWidth="1"/>
    <col min="11265" max="11268" width="11.42578125" style="297" customWidth="1"/>
    <col min="11269" max="11269" width="12" style="297" customWidth="1"/>
    <col min="11270" max="11271" width="11.42578125" style="297" customWidth="1"/>
    <col min="11272" max="11272" width="1.85546875" style="297" customWidth="1"/>
    <col min="11273" max="11273" width="12.140625" style="297" customWidth="1"/>
    <col min="11274" max="11274" width="12.7109375" style="297" customWidth="1"/>
    <col min="11275" max="11277" width="11.42578125" style="297" customWidth="1"/>
    <col min="11278" max="11278" width="1.85546875" style="297" customWidth="1"/>
    <col min="11279" max="11279" width="13.5703125" style="297" customWidth="1"/>
    <col min="11280" max="11280" width="11.42578125" style="297" customWidth="1"/>
    <col min="11281" max="11282" width="12.42578125" style="297" customWidth="1"/>
    <col min="11283" max="11519" width="11.42578125" style="297"/>
    <col min="11520" max="11520" width="16.28515625" style="297" customWidth="1"/>
    <col min="11521" max="11524" width="11.42578125" style="297" customWidth="1"/>
    <col min="11525" max="11525" width="12" style="297" customWidth="1"/>
    <col min="11526" max="11527" width="11.42578125" style="297" customWidth="1"/>
    <col min="11528" max="11528" width="1.85546875" style="297" customWidth="1"/>
    <col min="11529" max="11529" width="12.140625" style="297" customWidth="1"/>
    <col min="11530" max="11530" width="12.7109375" style="297" customWidth="1"/>
    <col min="11531" max="11533" width="11.42578125" style="297" customWidth="1"/>
    <col min="11534" max="11534" width="1.85546875" style="297" customWidth="1"/>
    <col min="11535" max="11535" width="13.5703125" style="297" customWidth="1"/>
    <col min="11536" max="11536" width="11.42578125" style="297" customWidth="1"/>
    <col min="11537" max="11538" width="12.42578125" style="297" customWidth="1"/>
    <col min="11539" max="11775" width="11.42578125" style="297"/>
    <col min="11776" max="11776" width="16.28515625" style="297" customWidth="1"/>
    <col min="11777" max="11780" width="11.42578125" style="297" customWidth="1"/>
    <col min="11781" max="11781" width="12" style="297" customWidth="1"/>
    <col min="11782" max="11783" width="11.42578125" style="297" customWidth="1"/>
    <col min="11784" max="11784" width="1.85546875" style="297" customWidth="1"/>
    <col min="11785" max="11785" width="12.140625" style="297" customWidth="1"/>
    <col min="11786" max="11786" width="12.7109375" style="297" customWidth="1"/>
    <col min="11787" max="11789" width="11.42578125" style="297" customWidth="1"/>
    <col min="11790" max="11790" width="1.85546875" style="297" customWidth="1"/>
    <col min="11791" max="11791" width="13.5703125" style="297" customWidth="1"/>
    <col min="11792" max="11792" width="11.42578125" style="297" customWidth="1"/>
    <col min="11793" max="11794" width="12.42578125" style="297" customWidth="1"/>
    <col min="11795" max="12031" width="11.42578125" style="297"/>
    <col min="12032" max="12032" width="16.28515625" style="297" customWidth="1"/>
    <col min="12033" max="12036" width="11.42578125" style="297" customWidth="1"/>
    <col min="12037" max="12037" width="12" style="297" customWidth="1"/>
    <col min="12038" max="12039" width="11.42578125" style="297" customWidth="1"/>
    <col min="12040" max="12040" width="1.85546875" style="297" customWidth="1"/>
    <col min="12041" max="12041" width="12.140625" style="297" customWidth="1"/>
    <col min="12042" max="12042" width="12.7109375" style="297" customWidth="1"/>
    <col min="12043" max="12045" width="11.42578125" style="297" customWidth="1"/>
    <col min="12046" max="12046" width="1.85546875" style="297" customWidth="1"/>
    <col min="12047" max="12047" width="13.5703125" style="297" customWidth="1"/>
    <col min="12048" max="12048" width="11.42578125" style="297" customWidth="1"/>
    <col min="12049" max="12050" width="12.42578125" style="297" customWidth="1"/>
    <col min="12051" max="12287" width="11.42578125" style="297"/>
    <col min="12288" max="12288" width="16.28515625" style="297" customWidth="1"/>
    <col min="12289" max="12292" width="11.42578125" style="297" customWidth="1"/>
    <col min="12293" max="12293" width="12" style="297" customWidth="1"/>
    <col min="12294" max="12295" width="11.42578125" style="297" customWidth="1"/>
    <col min="12296" max="12296" width="1.85546875" style="297" customWidth="1"/>
    <col min="12297" max="12297" width="12.140625" style="297" customWidth="1"/>
    <col min="12298" max="12298" width="12.7109375" style="297" customWidth="1"/>
    <col min="12299" max="12301" width="11.42578125" style="297" customWidth="1"/>
    <col min="12302" max="12302" width="1.85546875" style="297" customWidth="1"/>
    <col min="12303" max="12303" width="13.5703125" style="297" customWidth="1"/>
    <col min="12304" max="12304" width="11.42578125" style="297" customWidth="1"/>
    <col min="12305" max="12306" width="12.42578125" style="297" customWidth="1"/>
    <col min="12307" max="12543" width="11.42578125" style="297"/>
    <col min="12544" max="12544" width="16.28515625" style="297" customWidth="1"/>
    <col min="12545" max="12548" width="11.42578125" style="297" customWidth="1"/>
    <col min="12549" max="12549" width="12" style="297" customWidth="1"/>
    <col min="12550" max="12551" width="11.42578125" style="297" customWidth="1"/>
    <col min="12552" max="12552" width="1.85546875" style="297" customWidth="1"/>
    <col min="12553" max="12553" width="12.140625" style="297" customWidth="1"/>
    <col min="12554" max="12554" width="12.7109375" style="297" customWidth="1"/>
    <col min="12555" max="12557" width="11.42578125" style="297" customWidth="1"/>
    <col min="12558" max="12558" width="1.85546875" style="297" customWidth="1"/>
    <col min="12559" max="12559" width="13.5703125" style="297" customWidth="1"/>
    <col min="12560" max="12560" width="11.42578125" style="297" customWidth="1"/>
    <col min="12561" max="12562" width="12.42578125" style="297" customWidth="1"/>
    <col min="12563" max="12799" width="11.42578125" style="297"/>
    <col min="12800" max="12800" width="16.28515625" style="297" customWidth="1"/>
    <col min="12801" max="12804" width="11.42578125" style="297" customWidth="1"/>
    <col min="12805" max="12805" width="12" style="297" customWidth="1"/>
    <col min="12806" max="12807" width="11.42578125" style="297" customWidth="1"/>
    <col min="12808" max="12808" width="1.85546875" style="297" customWidth="1"/>
    <col min="12809" max="12809" width="12.140625" style="297" customWidth="1"/>
    <col min="12810" max="12810" width="12.7109375" style="297" customWidth="1"/>
    <col min="12811" max="12813" width="11.42578125" style="297" customWidth="1"/>
    <col min="12814" max="12814" width="1.85546875" style="297" customWidth="1"/>
    <col min="12815" max="12815" width="13.5703125" style="297" customWidth="1"/>
    <col min="12816" max="12816" width="11.42578125" style="297" customWidth="1"/>
    <col min="12817" max="12818" width="12.42578125" style="297" customWidth="1"/>
    <col min="12819" max="13055" width="11.42578125" style="297"/>
    <col min="13056" max="13056" width="16.28515625" style="297" customWidth="1"/>
    <col min="13057" max="13060" width="11.42578125" style="297" customWidth="1"/>
    <col min="13061" max="13061" width="12" style="297" customWidth="1"/>
    <col min="13062" max="13063" width="11.42578125" style="297" customWidth="1"/>
    <col min="13064" max="13064" width="1.85546875" style="297" customWidth="1"/>
    <col min="13065" max="13065" width="12.140625" style="297" customWidth="1"/>
    <col min="13066" max="13066" width="12.7109375" style="297" customWidth="1"/>
    <col min="13067" max="13069" width="11.42578125" style="297" customWidth="1"/>
    <col min="13070" max="13070" width="1.85546875" style="297" customWidth="1"/>
    <col min="13071" max="13071" width="13.5703125" style="297" customWidth="1"/>
    <col min="13072" max="13072" width="11.42578125" style="297" customWidth="1"/>
    <col min="13073" max="13074" width="12.42578125" style="297" customWidth="1"/>
    <col min="13075" max="13311" width="11.42578125" style="297"/>
    <col min="13312" max="13312" width="16.28515625" style="297" customWidth="1"/>
    <col min="13313" max="13316" width="11.42578125" style="297" customWidth="1"/>
    <col min="13317" max="13317" width="12" style="297" customWidth="1"/>
    <col min="13318" max="13319" width="11.42578125" style="297" customWidth="1"/>
    <col min="13320" max="13320" width="1.85546875" style="297" customWidth="1"/>
    <col min="13321" max="13321" width="12.140625" style="297" customWidth="1"/>
    <col min="13322" max="13322" width="12.7109375" style="297" customWidth="1"/>
    <col min="13323" max="13325" width="11.42578125" style="297" customWidth="1"/>
    <col min="13326" max="13326" width="1.85546875" style="297" customWidth="1"/>
    <col min="13327" max="13327" width="13.5703125" style="297" customWidth="1"/>
    <col min="13328" max="13328" width="11.42578125" style="297" customWidth="1"/>
    <col min="13329" max="13330" width="12.42578125" style="297" customWidth="1"/>
    <col min="13331" max="13567" width="11.42578125" style="297"/>
    <col min="13568" max="13568" width="16.28515625" style="297" customWidth="1"/>
    <col min="13569" max="13572" width="11.42578125" style="297" customWidth="1"/>
    <col min="13573" max="13573" width="12" style="297" customWidth="1"/>
    <col min="13574" max="13575" width="11.42578125" style="297" customWidth="1"/>
    <col min="13576" max="13576" width="1.85546875" style="297" customWidth="1"/>
    <col min="13577" max="13577" width="12.140625" style="297" customWidth="1"/>
    <col min="13578" max="13578" width="12.7109375" style="297" customWidth="1"/>
    <col min="13579" max="13581" width="11.42578125" style="297" customWidth="1"/>
    <col min="13582" max="13582" width="1.85546875" style="297" customWidth="1"/>
    <col min="13583" max="13583" width="13.5703125" style="297" customWidth="1"/>
    <col min="13584" max="13584" width="11.42578125" style="297" customWidth="1"/>
    <col min="13585" max="13586" width="12.42578125" style="297" customWidth="1"/>
    <col min="13587" max="13823" width="11.42578125" style="297"/>
    <col min="13824" max="13824" width="16.28515625" style="297" customWidth="1"/>
    <col min="13825" max="13828" width="11.42578125" style="297" customWidth="1"/>
    <col min="13829" max="13829" width="12" style="297" customWidth="1"/>
    <col min="13830" max="13831" width="11.42578125" style="297" customWidth="1"/>
    <col min="13832" max="13832" width="1.85546875" style="297" customWidth="1"/>
    <col min="13833" max="13833" width="12.140625" style="297" customWidth="1"/>
    <col min="13834" max="13834" width="12.7109375" style="297" customWidth="1"/>
    <col min="13835" max="13837" width="11.42578125" style="297" customWidth="1"/>
    <col min="13838" max="13838" width="1.85546875" style="297" customWidth="1"/>
    <col min="13839" max="13839" width="13.5703125" style="297" customWidth="1"/>
    <col min="13840" max="13840" width="11.42578125" style="297" customWidth="1"/>
    <col min="13841" max="13842" width="12.42578125" style="297" customWidth="1"/>
    <col min="13843" max="14079" width="11.42578125" style="297"/>
    <col min="14080" max="14080" width="16.28515625" style="297" customWidth="1"/>
    <col min="14081" max="14084" width="11.42578125" style="297" customWidth="1"/>
    <col min="14085" max="14085" width="12" style="297" customWidth="1"/>
    <col min="14086" max="14087" width="11.42578125" style="297" customWidth="1"/>
    <col min="14088" max="14088" width="1.85546875" style="297" customWidth="1"/>
    <col min="14089" max="14089" width="12.140625" style="297" customWidth="1"/>
    <col min="14090" max="14090" width="12.7109375" style="297" customWidth="1"/>
    <col min="14091" max="14093" width="11.42578125" style="297" customWidth="1"/>
    <col min="14094" max="14094" width="1.85546875" style="297" customWidth="1"/>
    <col min="14095" max="14095" width="13.5703125" style="297" customWidth="1"/>
    <col min="14096" max="14096" width="11.42578125" style="297" customWidth="1"/>
    <col min="14097" max="14098" width="12.42578125" style="297" customWidth="1"/>
    <col min="14099" max="14335" width="11.42578125" style="297"/>
    <col min="14336" max="14336" width="16.28515625" style="297" customWidth="1"/>
    <col min="14337" max="14340" width="11.42578125" style="297" customWidth="1"/>
    <col min="14341" max="14341" width="12" style="297" customWidth="1"/>
    <col min="14342" max="14343" width="11.42578125" style="297" customWidth="1"/>
    <col min="14344" max="14344" width="1.85546875" style="297" customWidth="1"/>
    <col min="14345" max="14345" width="12.140625" style="297" customWidth="1"/>
    <col min="14346" max="14346" width="12.7109375" style="297" customWidth="1"/>
    <col min="14347" max="14349" width="11.42578125" style="297" customWidth="1"/>
    <col min="14350" max="14350" width="1.85546875" style="297" customWidth="1"/>
    <col min="14351" max="14351" width="13.5703125" style="297" customWidth="1"/>
    <col min="14352" max="14352" width="11.42578125" style="297" customWidth="1"/>
    <col min="14353" max="14354" width="12.42578125" style="297" customWidth="1"/>
    <col min="14355" max="14591" width="11.42578125" style="297"/>
    <col min="14592" max="14592" width="16.28515625" style="297" customWidth="1"/>
    <col min="14593" max="14596" width="11.42578125" style="297" customWidth="1"/>
    <col min="14597" max="14597" width="12" style="297" customWidth="1"/>
    <col min="14598" max="14599" width="11.42578125" style="297" customWidth="1"/>
    <col min="14600" max="14600" width="1.85546875" style="297" customWidth="1"/>
    <col min="14601" max="14601" width="12.140625" style="297" customWidth="1"/>
    <col min="14602" max="14602" width="12.7109375" style="297" customWidth="1"/>
    <col min="14603" max="14605" width="11.42578125" style="297" customWidth="1"/>
    <col min="14606" max="14606" width="1.85546875" style="297" customWidth="1"/>
    <col min="14607" max="14607" width="13.5703125" style="297" customWidth="1"/>
    <col min="14608" max="14608" width="11.42578125" style="297" customWidth="1"/>
    <col min="14609" max="14610" width="12.42578125" style="297" customWidth="1"/>
    <col min="14611" max="14847" width="11.42578125" style="297"/>
    <col min="14848" max="14848" width="16.28515625" style="297" customWidth="1"/>
    <col min="14849" max="14852" width="11.42578125" style="297" customWidth="1"/>
    <col min="14853" max="14853" width="12" style="297" customWidth="1"/>
    <col min="14854" max="14855" width="11.42578125" style="297" customWidth="1"/>
    <col min="14856" max="14856" width="1.85546875" style="297" customWidth="1"/>
    <col min="14857" max="14857" width="12.140625" style="297" customWidth="1"/>
    <col min="14858" max="14858" width="12.7109375" style="297" customWidth="1"/>
    <col min="14859" max="14861" width="11.42578125" style="297" customWidth="1"/>
    <col min="14862" max="14862" width="1.85546875" style="297" customWidth="1"/>
    <col min="14863" max="14863" width="13.5703125" style="297" customWidth="1"/>
    <col min="14864" max="14864" width="11.42578125" style="297" customWidth="1"/>
    <col min="14865" max="14866" width="12.42578125" style="297" customWidth="1"/>
    <col min="14867" max="15103" width="11.42578125" style="297"/>
    <col min="15104" max="15104" width="16.28515625" style="297" customWidth="1"/>
    <col min="15105" max="15108" width="11.42578125" style="297" customWidth="1"/>
    <col min="15109" max="15109" width="12" style="297" customWidth="1"/>
    <col min="15110" max="15111" width="11.42578125" style="297" customWidth="1"/>
    <col min="15112" max="15112" width="1.85546875" style="297" customWidth="1"/>
    <col min="15113" max="15113" width="12.140625" style="297" customWidth="1"/>
    <col min="15114" max="15114" width="12.7109375" style="297" customWidth="1"/>
    <col min="15115" max="15117" width="11.42578125" style="297" customWidth="1"/>
    <col min="15118" max="15118" width="1.85546875" style="297" customWidth="1"/>
    <col min="15119" max="15119" width="13.5703125" style="297" customWidth="1"/>
    <col min="15120" max="15120" width="11.42578125" style="297" customWidth="1"/>
    <col min="15121" max="15122" width="12.42578125" style="297" customWidth="1"/>
    <col min="15123" max="15359" width="11.42578125" style="297"/>
    <col min="15360" max="15360" width="16.28515625" style="297" customWidth="1"/>
    <col min="15361" max="15364" width="11.42578125" style="297" customWidth="1"/>
    <col min="15365" max="15365" width="12" style="297" customWidth="1"/>
    <col min="15366" max="15367" width="11.42578125" style="297" customWidth="1"/>
    <col min="15368" max="15368" width="1.85546875" style="297" customWidth="1"/>
    <col min="15369" max="15369" width="12.140625" style="297" customWidth="1"/>
    <col min="15370" max="15370" width="12.7109375" style="297" customWidth="1"/>
    <col min="15371" max="15373" width="11.42578125" style="297" customWidth="1"/>
    <col min="15374" max="15374" width="1.85546875" style="297" customWidth="1"/>
    <col min="15375" max="15375" width="13.5703125" style="297" customWidth="1"/>
    <col min="15376" max="15376" width="11.42578125" style="297" customWidth="1"/>
    <col min="15377" max="15378" width="12.42578125" style="297" customWidth="1"/>
    <col min="15379" max="15615" width="11.42578125" style="297"/>
    <col min="15616" max="15616" width="16.28515625" style="297" customWidth="1"/>
    <col min="15617" max="15620" width="11.42578125" style="297" customWidth="1"/>
    <col min="15621" max="15621" width="12" style="297" customWidth="1"/>
    <col min="15622" max="15623" width="11.42578125" style="297" customWidth="1"/>
    <col min="15624" max="15624" width="1.85546875" style="297" customWidth="1"/>
    <col min="15625" max="15625" width="12.140625" style="297" customWidth="1"/>
    <col min="15626" max="15626" width="12.7109375" style="297" customWidth="1"/>
    <col min="15627" max="15629" width="11.42578125" style="297" customWidth="1"/>
    <col min="15630" max="15630" width="1.85546875" style="297" customWidth="1"/>
    <col min="15631" max="15631" width="13.5703125" style="297" customWidth="1"/>
    <col min="15632" max="15632" width="11.42578125" style="297" customWidth="1"/>
    <col min="15633" max="15634" width="12.42578125" style="297" customWidth="1"/>
    <col min="15635" max="15871" width="11.42578125" style="297"/>
    <col min="15872" max="15872" width="16.28515625" style="297" customWidth="1"/>
    <col min="15873" max="15876" width="11.42578125" style="297" customWidth="1"/>
    <col min="15877" max="15877" width="12" style="297" customWidth="1"/>
    <col min="15878" max="15879" width="11.42578125" style="297" customWidth="1"/>
    <col min="15880" max="15880" width="1.85546875" style="297" customWidth="1"/>
    <col min="15881" max="15881" width="12.140625" style="297" customWidth="1"/>
    <col min="15882" max="15882" width="12.7109375" style="297" customWidth="1"/>
    <col min="15883" max="15885" width="11.42578125" style="297" customWidth="1"/>
    <col min="15886" max="15886" width="1.85546875" style="297" customWidth="1"/>
    <col min="15887" max="15887" width="13.5703125" style="297" customWidth="1"/>
    <col min="15888" max="15888" width="11.42578125" style="297" customWidth="1"/>
    <col min="15889" max="15890" width="12.42578125" style="297" customWidth="1"/>
    <col min="15891" max="16127" width="11.42578125" style="297"/>
    <col min="16128" max="16128" width="16.28515625" style="297" customWidth="1"/>
    <col min="16129" max="16132" width="11.42578125" style="297" customWidth="1"/>
    <col min="16133" max="16133" width="12" style="297" customWidth="1"/>
    <col min="16134" max="16135" width="11.42578125" style="297" customWidth="1"/>
    <col min="16136" max="16136" width="1.85546875" style="297" customWidth="1"/>
    <col min="16137" max="16137" width="12.140625" style="297" customWidth="1"/>
    <col min="16138" max="16138" width="12.7109375" style="297" customWidth="1"/>
    <col min="16139" max="16141" width="11.42578125" style="297" customWidth="1"/>
    <col min="16142" max="16142" width="1.85546875" style="297" customWidth="1"/>
    <col min="16143" max="16143" width="13.5703125" style="297" customWidth="1"/>
    <col min="16144" max="16144" width="11.42578125" style="297" customWidth="1"/>
    <col min="16145" max="16146" width="12.42578125" style="297" customWidth="1"/>
    <col min="16147" max="16384" width="11.42578125" style="297"/>
  </cols>
  <sheetData>
    <row r="1" spans="1:31">
      <c r="A1" s="851" t="s">
        <v>639</v>
      </c>
      <c r="B1" s="852"/>
      <c r="C1" s="852"/>
      <c r="D1" s="852"/>
      <c r="E1" s="852"/>
      <c r="F1" s="852"/>
      <c r="G1" s="852"/>
      <c r="H1" s="852"/>
      <c r="K1" s="863"/>
      <c r="L1" s="863"/>
      <c r="M1" s="863"/>
      <c r="N1" s="863"/>
      <c r="O1" s="863"/>
      <c r="P1" s="863"/>
      <c r="Q1" s="863"/>
      <c r="R1" s="863"/>
      <c r="S1" s="863"/>
      <c r="T1" s="863"/>
      <c r="U1" s="863"/>
      <c r="W1" s="874"/>
      <c r="X1" s="874"/>
      <c r="Y1" s="874"/>
      <c r="Z1" s="875"/>
      <c r="AA1" s="874"/>
      <c r="AB1" s="874"/>
      <c r="AC1" s="874"/>
      <c r="AD1" s="874"/>
      <c r="AE1" s="875"/>
    </row>
    <row r="2" spans="1:31">
      <c r="A2" s="851" t="s">
        <v>640</v>
      </c>
      <c r="B2" s="852"/>
      <c r="C2" s="853"/>
      <c r="D2" s="852"/>
      <c r="E2" s="852"/>
      <c r="F2" s="852"/>
      <c r="G2" s="852"/>
      <c r="H2" s="852"/>
      <c r="K2" s="863"/>
      <c r="L2" s="863"/>
      <c r="M2" s="863"/>
      <c r="N2" s="863"/>
      <c r="O2" s="863"/>
      <c r="P2" s="863"/>
      <c r="Q2" s="863"/>
      <c r="R2" s="863"/>
      <c r="S2" s="863"/>
      <c r="T2" s="863"/>
      <c r="U2" s="863"/>
      <c r="W2" s="874"/>
      <c r="X2" s="874"/>
      <c r="Y2" s="874"/>
      <c r="Z2" s="875"/>
      <c r="AA2" s="874"/>
      <c r="AB2" s="874"/>
      <c r="AC2" s="874"/>
      <c r="AD2" s="874"/>
      <c r="AE2" s="875"/>
    </row>
    <row r="3" spans="1:31">
      <c r="A3" s="852"/>
      <c r="B3" s="852"/>
      <c r="C3" s="852"/>
      <c r="D3" s="852"/>
      <c r="E3" s="852"/>
      <c r="F3" s="854" t="s">
        <v>641</v>
      </c>
      <c r="G3" s="854" t="s">
        <v>642</v>
      </c>
      <c r="H3" s="854" t="s">
        <v>250</v>
      </c>
      <c r="I3" s="299"/>
      <c r="J3" s="299"/>
      <c r="K3" s="863"/>
      <c r="L3" s="863"/>
      <c r="M3" s="863"/>
      <c r="N3" s="863"/>
      <c r="O3" s="863"/>
      <c r="P3" s="863"/>
      <c r="Q3" s="864"/>
      <c r="R3" s="863"/>
      <c r="S3" s="863"/>
      <c r="T3" s="863"/>
      <c r="U3" s="863"/>
      <c r="W3" s="874"/>
      <c r="X3" s="874"/>
      <c r="Y3" s="874"/>
      <c r="Z3" s="875"/>
      <c r="AA3" s="874"/>
      <c r="AB3" s="874"/>
      <c r="AC3" s="874"/>
      <c r="AD3" s="874"/>
      <c r="AE3" s="875"/>
    </row>
    <row r="4" spans="1:31">
      <c r="A4" s="855" t="s">
        <v>643</v>
      </c>
      <c r="B4" s="854" t="s">
        <v>644</v>
      </c>
      <c r="C4" s="854" t="s">
        <v>645</v>
      </c>
      <c r="D4" s="854" t="s">
        <v>646</v>
      </c>
      <c r="E4" s="854" t="s">
        <v>647</v>
      </c>
      <c r="F4" s="854" t="s">
        <v>648</v>
      </c>
      <c r="G4" s="854" t="s">
        <v>648</v>
      </c>
      <c r="H4" s="854" t="s">
        <v>649</v>
      </c>
      <c r="I4" s="299"/>
      <c r="J4" s="299"/>
      <c r="K4" s="1140" t="s">
        <v>1666</v>
      </c>
      <c r="L4" s="1140"/>
      <c r="M4" s="1140"/>
      <c r="N4" s="863"/>
      <c r="O4" s="863"/>
      <c r="P4" s="863"/>
      <c r="Q4" s="1140" t="s">
        <v>1667</v>
      </c>
      <c r="R4" s="1140"/>
      <c r="S4" s="1140"/>
      <c r="T4" s="863"/>
      <c r="U4" s="863"/>
      <c r="W4" s="1141" t="s">
        <v>1668</v>
      </c>
      <c r="X4" s="1141"/>
      <c r="Y4" s="1141"/>
      <c r="Z4" s="1141"/>
      <c r="AA4" s="874"/>
      <c r="AB4" s="1141" t="s">
        <v>1669</v>
      </c>
      <c r="AC4" s="1141"/>
      <c r="AD4" s="1141"/>
      <c r="AE4" s="1141"/>
    </row>
    <row r="5" spans="1:31">
      <c r="A5" s="854"/>
      <c r="B5" s="854"/>
      <c r="C5" s="854"/>
      <c r="D5" s="854" t="s">
        <v>644</v>
      </c>
      <c r="E5" s="854" t="s">
        <v>646</v>
      </c>
      <c r="F5" s="856">
        <v>42186</v>
      </c>
      <c r="G5" s="856">
        <v>42551</v>
      </c>
      <c r="H5" s="856">
        <f>G5</f>
        <v>42551</v>
      </c>
      <c r="I5" s="300"/>
      <c r="J5" s="393"/>
      <c r="K5" s="865" t="s">
        <v>524</v>
      </c>
      <c r="L5" s="865" t="s">
        <v>908</v>
      </c>
      <c r="M5" s="865" t="s">
        <v>525</v>
      </c>
      <c r="N5" s="865" t="s">
        <v>526</v>
      </c>
      <c r="O5" s="863"/>
      <c r="P5" s="866"/>
      <c r="Q5" s="865" t="s">
        <v>524</v>
      </c>
      <c r="R5" s="865" t="s">
        <v>908</v>
      </c>
      <c r="S5" s="865" t="s">
        <v>525</v>
      </c>
      <c r="T5" s="865" t="s">
        <v>526</v>
      </c>
      <c r="U5" s="863"/>
      <c r="W5" s="876" t="s">
        <v>1664</v>
      </c>
      <c r="X5" s="876" t="s">
        <v>558</v>
      </c>
      <c r="Y5" s="876" t="s">
        <v>526</v>
      </c>
      <c r="Z5" s="875"/>
      <c r="AA5" s="874"/>
      <c r="AB5" s="876" t="s">
        <v>1664</v>
      </c>
      <c r="AC5" s="876" t="s">
        <v>558</v>
      </c>
      <c r="AD5" s="876" t="s">
        <v>526</v>
      </c>
      <c r="AE5" s="875"/>
    </row>
    <row r="6" spans="1:31">
      <c r="A6" s="851" t="s">
        <v>650</v>
      </c>
      <c r="B6" s="853"/>
      <c r="C6" s="852"/>
      <c r="D6" s="852"/>
      <c r="E6" s="852"/>
      <c r="F6" s="852"/>
      <c r="G6" s="852"/>
      <c r="H6" s="852"/>
      <c r="J6" s="393"/>
      <c r="K6" s="866"/>
      <c r="L6" s="866"/>
      <c r="M6" s="866"/>
      <c r="N6" s="863"/>
      <c r="O6" s="863"/>
      <c r="P6" s="866"/>
      <c r="Q6" s="866"/>
      <c r="R6" s="866"/>
      <c r="S6" s="866"/>
      <c r="T6" s="863"/>
      <c r="U6" s="863"/>
      <c r="W6" s="877"/>
      <c r="X6" s="877"/>
      <c r="Y6" s="874"/>
      <c r="Z6" s="875"/>
      <c r="AA6" s="874"/>
      <c r="AB6" s="877"/>
      <c r="AC6" s="877"/>
      <c r="AD6" s="874"/>
      <c r="AE6" s="875"/>
    </row>
    <row r="7" spans="1:31">
      <c r="A7" s="852" t="s">
        <v>651</v>
      </c>
      <c r="B7" s="857">
        <f>'2120 Depr'!M32</f>
        <v>1819980.22</v>
      </c>
      <c r="C7" s="857">
        <f>B7-D7</f>
        <v>380382.03399999999</v>
      </c>
      <c r="D7" s="857">
        <f>'2120 Depr'!O32</f>
        <v>1439598.186</v>
      </c>
      <c r="E7" s="857">
        <f>'2120 Depr'!Q32</f>
        <v>128739.59202380397</v>
      </c>
      <c r="F7" s="857">
        <f>'2120 Depr'!Z32</f>
        <v>716653.90707936452</v>
      </c>
      <c r="G7" s="857">
        <f>'2120 Depr'!AA32</f>
        <v>845393.49910316826</v>
      </c>
      <c r="H7" s="857">
        <f>'2120 Depr'!AB32</f>
        <v>677408.99190873362</v>
      </c>
      <c r="J7" s="393"/>
      <c r="K7" s="867">
        <f>E7*Ratios!$H$43</f>
        <v>116645.266996723</v>
      </c>
      <c r="L7" s="867"/>
      <c r="M7" s="867">
        <f>E7-K7</f>
        <v>12094.325027080966</v>
      </c>
      <c r="N7" s="863" t="s">
        <v>21</v>
      </c>
      <c r="O7" s="868">
        <f>E7-K7-M7</f>
        <v>0</v>
      </c>
      <c r="P7" s="866"/>
      <c r="Q7" s="867">
        <f>$H7*Ratios!$H$43</f>
        <v>613770.41425271123</v>
      </c>
      <c r="R7" s="867"/>
      <c r="S7" s="867">
        <f>$H7-Q7</f>
        <v>63638.577656022389</v>
      </c>
      <c r="T7" s="863" t="s">
        <v>21</v>
      </c>
      <c r="U7" s="868">
        <f>H7-Q7-S7</f>
        <v>0</v>
      </c>
      <c r="W7" s="878">
        <f>K7</f>
        <v>116645.266996723</v>
      </c>
      <c r="X7" s="878"/>
      <c r="Y7" s="874" t="s">
        <v>13</v>
      </c>
      <c r="Z7" s="875">
        <f>K7-W7-X7</f>
        <v>0</v>
      </c>
      <c r="AA7" s="874"/>
      <c r="AB7" s="878">
        <f>Q7</f>
        <v>613770.41425271123</v>
      </c>
      <c r="AC7" s="878"/>
      <c r="AD7" s="874" t="s">
        <v>13</v>
      </c>
      <c r="AE7" s="875">
        <f>Q7-AB7-AC7</f>
        <v>0</v>
      </c>
    </row>
    <row r="8" spans="1:31">
      <c r="A8" s="851"/>
      <c r="B8" s="853"/>
      <c r="C8" s="852"/>
      <c r="D8" s="852"/>
      <c r="E8" s="852"/>
      <c r="F8" s="852"/>
      <c r="G8" s="852"/>
      <c r="H8" s="852"/>
      <c r="J8" s="393"/>
      <c r="K8" s="867"/>
      <c r="L8" s="867"/>
      <c r="M8" s="867"/>
      <c r="N8" s="863"/>
      <c r="O8" s="863"/>
      <c r="P8" s="866"/>
      <c r="Q8" s="867"/>
      <c r="R8" s="867"/>
      <c r="S8" s="867"/>
      <c r="T8" s="863"/>
      <c r="U8" s="863"/>
      <c r="W8" s="878"/>
      <c r="X8" s="878"/>
      <c r="Y8" s="874"/>
      <c r="Z8" s="875"/>
      <c r="AA8" s="874"/>
      <c r="AB8" s="878"/>
      <c r="AC8" s="878"/>
      <c r="AD8" s="874"/>
      <c r="AE8" s="875"/>
    </row>
    <row r="9" spans="1:31">
      <c r="A9" s="852" t="s">
        <v>652</v>
      </c>
      <c r="B9" s="857">
        <f>'2120 Depr'!M47</f>
        <v>129403.48999999999</v>
      </c>
      <c r="C9" s="857">
        <f>B9-D9</f>
        <v>20349.970299999986</v>
      </c>
      <c r="D9" s="857">
        <f>'2120 Depr'!O47</f>
        <v>109053.5197</v>
      </c>
      <c r="E9" s="857">
        <f>'2120 Depr'!Q47</f>
        <v>1540.3093333333336</v>
      </c>
      <c r="F9" s="857">
        <f>'2120 Depr'!Z47</f>
        <v>100953.8817</v>
      </c>
      <c r="G9" s="857">
        <f>'2120 Depr'!AA47</f>
        <v>102494.19103333332</v>
      </c>
      <c r="H9" s="857">
        <f>'2120 Depr'!AB47</f>
        <v>25016.613633333331</v>
      </c>
      <c r="I9" s="298"/>
      <c r="J9" s="298"/>
      <c r="K9" s="867">
        <f>E9*Ratios!$H$47</f>
        <v>1332.6271760299628</v>
      </c>
      <c r="L9" s="869"/>
      <c r="M9" s="867">
        <f>E9-K9</f>
        <v>207.68215730337079</v>
      </c>
      <c r="N9" s="863" t="s">
        <v>21</v>
      </c>
      <c r="O9" s="868">
        <f>E9-K9-M9</f>
        <v>0</v>
      </c>
      <c r="P9" s="864"/>
      <c r="Q9" s="867">
        <f>$H9*Ratios!$H$47</f>
        <v>21643.587076029959</v>
      </c>
      <c r="R9" s="867"/>
      <c r="S9" s="867">
        <f>$H9-Q9</f>
        <v>3373.0265573033721</v>
      </c>
      <c r="T9" s="863" t="s">
        <v>21</v>
      </c>
      <c r="U9" s="868">
        <f>H9-Q9-S9</f>
        <v>0</v>
      </c>
      <c r="W9" s="878">
        <f>K9</f>
        <v>1332.6271760299628</v>
      </c>
      <c r="X9" s="878"/>
      <c r="Y9" s="874" t="s">
        <v>13</v>
      </c>
      <c r="Z9" s="875">
        <f>K9-W9-X9</f>
        <v>0</v>
      </c>
      <c r="AA9" s="874"/>
      <c r="AB9" s="878">
        <f>Q9</f>
        <v>21643.587076029959</v>
      </c>
      <c r="AC9" s="878"/>
      <c r="AD9" s="874" t="s">
        <v>13</v>
      </c>
      <c r="AE9" s="875">
        <f>Q9-AB9-AC9</f>
        <v>0</v>
      </c>
    </row>
    <row r="10" spans="1:31">
      <c r="A10" s="852"/>
      <c r="B10" s="857"/>
      <c r="C10" s="857"/>
      <c r="D10" s="857"/>
      <c r="E10" s="857"/>
      <c r="F10" s="857"/>
      <c r="G10" s="857"/>
      <c r="H10" s="857"/>
      <c r="I10" s="298"/>
      <c r="J10" s="393"/>
      <c r="K10" s="869"/>
      <c r="L10" s="869"/>
      <c r="M10" s="869"/>
      <c r="N10" s="863"/>
      <c r="O10" s="863"/>
      <c r="P10" s="864"/>
      <c r="Q10" s="869"/>
      <c r="R10" s="869"/>
      <c r="S10" s="869"/>
      <c r="T10" s="863"/>
      <c r="U10" s="863"/>
      <c r="W10" s="875"/>
      <c r="X10" s="875"/>
      <c r="Y10" s="874"/>
      <c r="Z10" s="875"/>
      <c r="AA10" s="874"/>
      <c r="AB10" s="875"/>
      <c r="AC10" s="875"/>
      <c r="AD10" s="874"/>
      <c r="AE10" s="875"/>
    </row>
    <row r="11" spans="1:31">
      <c r="A11" s="852" t="s">
        <v>653</v>
      </c>
      <c r="B11" s="857">
        <f>'2120 Depr'!M54</f>
        <v>105608.48999999999</v>
      </c>
      <c r="C11" s="857">
        <f>B11-D11</f>
        <v>27700.801699999996</v>
      </c>
      <c r="D11" s="857">
        <f>'2120 Depr'!O54</f>
        <v>77907.688299999994</v>
      </c>
      <c r="E11" s="857">
        <f>'2120 Depr'!Q54</f>
        <v>0</v>
      </c>
      <c r="F11" s="857">
        <f>'2120 Depr'!Z54</f>
        <v>77907.688299999994</v>
      </c>
      <c r="G11" s="857">
        <f>'2120 Depr'!AA54</f>
        <v>77907.688299999994</v>
      </c>
      <c r="H11" s="857">
        <f>'2120 Depr'!AB54</f>
        <v>27700.801700000004</v>
      </c>
      <c r="I11" s="298"/>
      <c r="J11" s="298"/>
      <c r="K11" s="867">
        <f>E11*Ratios!$H$43</f>
        <v>0</v>
      </c>
      <c r="L11" s="869"/>
      <c r="M11" s="867">
        <f>E11-K11</f>
        <v>0</v>
      </c>
      <c r="N11" s="863" t="s">
        <v>21</v>
      </c>
      <c r="O11" s="868">
        <f>E11-K11-M11</f>
        <v>0</v>
      </c>
      <c r="P11" s="864"/>
      <c r="Q11" s="867">
        <f>$H11*Ratios!$H$43</f>
        <v>25098.474832220498</v>
      </c>
      <c r="R11" s="867"/>
      <c r="S11" s="867">
        <f>$H11-Q11</f>
        <v>2602.3268677795058</v>
      </c>
      <c r="T11" s="863" t="s">
        <v>21</v>
      </c>
      <c r="U11" s="868">
        <f>H11-Q11-S11</f>
        <v>0</v>
      </c>
      <c r="W11" s="878">
        <f>$H12*Ratios!$H$43</f>
        <v>0</v>
      </c>
      <c r="X11" s="878">
        <f>K11</f>
        <v>0</v>
      </c>
      <c r="Y11" s="874" t="s">
        <v>13</v>
      </c>
      <c r="Z11" s="875">
        <f>K11-W11-X11</f>
        <v>0</v>
      </c>
      <c r="AA11" s="874"/>
      <c r="AB11" s="878">
        <f>$H12*Ratios!$H$43</f>
        <v>0</v>
      </c>
      <c r="AC11" s="878">
        <f>Q11</f>
        <v>25098.474832220498</v>
      </c>
      <c r="AD11" s="874" t="s">
        <v>13</v>
      </c>
      <c r="AE11" s="875">
        <f>Q11-AB11-AC11</f>
        <v>0</v>
      </c>
    </row>
    <row r="12" spans="1:31">
      <c r="A12" s="852"/>
      <c r="B12" s="857"/>
      <c r="C12" s="857"/>
      <c r="D12" s="857"/>
      <c r="E12" s="857"/>
      <c r="F12" s="857"/>
      <c r="G12" s="857"/>
      <c r="H12" s="857"/>
      <c r="I12" s="298"/>
      <c r="J12" s="393"/>
      <c r="K12" s="869"/>
      <c r="L12" s="869"/>
      <c r="M12" s="869"/>
      <c r="N12" s="863"/>
      <c r="O12" s="863"/>
      <c r="P12" s="864"/>
      <c r="Q12" s="869"/>
      <c r="R12" s="869"/>
      <c r="S12" s="869"/>
      <c r="T12" s="863"/>
      <c r="U12" s="863"/>
      <c r="W12" s="875"/>
      <c r="X12" s="875"/>
      <c r="Y12" s="874"/>
      <c r="Z12" s="875"/>
      <c r="AA12" s="874"/>
      <c r="AB12" s="875"/>
      <c r="AC12" s="875"/>
      <c r="AD12" s="874"/>
      <c r="AE12" s="875"/>
    </row>
    <row r="13" spans="1:31">
      <c r="A13" s="852" t="s">
        <v>233</v>
      </c>
      <c r="B13" s="857">
        <f>'2120 Depr'!M57</f>
        <v>42000</v>
      </c>
      <c r="C13" s="857"/>
      <c r="D13" s="857">
        <f>'2120 Depr'!O57</f>
        <v>33600</v>
      </c>
      <c r="E13" s="857">
        <f>'2120 Depr'!Q57</f>
        <v>0</v>
      </c>
      <c r="F13" s="857">
        <f>'2120 Depr'!Z57</f>
        <v>33600</v>
      </c>
      <c r="G13" s="857">
        <f>'2120 Depr'!AA57</f>
        <v>33600</v>
      </c>
      <c r="H13" s="857">
        <f>'2120 Depr'!AB57</f>
        <v>8400</v>
      </c>
      <c r="I13" s="298"/>
      <c r="J13" s="298"/>
      <c r="K13" s="869"/>
      <c r="L13" s="869">
        <f>E13</f>
        <v>0</v>
      </c>
      <c r="M13" s="869"/>
      <c r="N13" s="864" t="s">
        <v>13</v>
      </c>
      <c r="O13" s="868">
        <f>E13-K13-M13</f>
        <v>0</v>
      </c>
      <c r="P13" s="864"/>
      <c r="Q13" s="869"/>
      <c r="R13" s="869">
        <f>H13</f>
        <v>8400</v>
      </c>
      <c r="S13" s="869"/>
      <c r="T13" s="864" t="s">
        <v>13</v>
      </c>
      <c r="U13" s="868">
        <f>H13-Q13-S13-R13</f>
        <v>0</v>
      </c>
      <c r="W13" s="875"/>
      <c r="X13" s="875"/>
      <c r="Y13" s="879" t="s">
        <v>13</v>
      </c>
      <c r="Z13" s="875">
        <f>K13-W13-X13</f>
        <v>0</v>
      </c>
      <c r="AA13" s="874"/>
      <c r="AB13" s="875"/>
      <c r="AC13" s="875"/>
      <c r="AD13" s="879" t="s">
        <v>13</v>
      </c>
      <c r="AE13" s="875"/>
    </row>
    <row r="14" spans="1:31">
      <c r="A14" s="852"/>
      <c r="B14" s="857"/>
      <c r="C14" s="857"/>
      <c r="D14" s="857"/>
      <c r="E14" s="857"/>
      <c r="F14" s="857"/>
      <c r="G14" s="857"/>
      <c r="H14" s="857"/>
      <c r="I14" s="298"/>
      <c r="K14" s="867"/>
      <c r="L14" s="869"/>
      <c r="M14" s="869"/>
      <c r="N14" s="863"/>
      <c r="O14" s="863"/>
      <c r="P14" s="864"/>
      <c r="Q14" s="867"/>
      <c r="R14" s="869"/>
      <c r="S14" s="869"/>
      <c r="T14" s="863"/>
      <c r="U14" s="863"/>
      <c r="W14" s="878"/>
      <c r="X14" s="875"/>
      <c r="Y14" s="874"/>
      <c r="Z14" s="875"/>
      <c r="AA14" s="874"/>
      <c r="AB14" s="878"/>
      <c r="AC14" s="875"/>
      <c r="AD14" s="874"/>
      <c r="AE14" s="875"/>
    </row>
    <row r="15" spans="1:31">
      <c r="A15" s="858" t="s">
        <v>654</v>
      </c>
      <c r="B15" s="859">
        <f t="shared" ref="B15:H15" si="0">SUM(B7:B14)</f>
        <v>2096992.2</v>
      </c>
      <c r="C15" s="859">
        <f t="shared" si="0"/>
        <v>428432.80599999998</v>
      </c>
      <c r="D15" s="859">
        <f t="shared" si="0"/>
        <v>1660159.3940000001</v>
      </c>
      <c r="E15" s="859">
        <f t="shared" si="0"/>
        <v>130279.90135713731</v>
      </c>
      <c r="F15" s="859">
        <f t="shared" si="0"/>
        <v>929115.47707936459</v>
      </c>
      <c r="G15" s="859">
        <f t="shared" si="0"/>
        <v>1059395.3784365016</v>
      </c>
      <c r="H15" s="859">
        <f t="shared" si="0"/>
        <v>738526.40724206693</v>
      </c>
      <c r="I15" s="298"/>
      <c r="K15" s="870">
        <f>SUM(K7:K14)</f>
        <v>117977.89417275296</v>
      </c>
      <c r="L15" s="870">
        <f>SUM(L7:L14)</f>
        <v>0</v>
      </c>
      <c r="M15" s="870">
        <f>SUM(M7:M14)</f>
        <v>12302.007184384336</v>
      </c>
      <c r="N15" s="863" t="s">
        <v>13</v>
      </c>
      <c r="O15" s="868">
        <f>E15-K15-L15-M15</f>
        <v>0</v>
      </c>
      <c r="P15" s="864"/>
      <c r="Q15" s="870">
        <f>SUM(Q7:Q14)</f>
        <v>660512.47616096167</v>
      </c>
      <c r="R15" s="870">
        <f>SUM(R7:R14)</f>
        <v>8400</v>
      </c>
      <c r="S15" s="870">
        <f>SUM(S7:S14)</f>
        <v>69613.931081105256</v>
      </c>
      <c r="T15" s="863" t="s">
        <v>13</v>
      </c>
      <c r="U15" s="868">
        <f>H15-Q15-S15-R15</f>
        <v>0</v>
      </c>
      <c r="W15" s="880">
        <f>SUM(W7:W14)</f>
        <v>117977.89417275296</v>
      </c>
      <c r="X15" s="880">
        <f>SUM(X7:X14)</f>
        <v>0</v>
      </c>
      <c r="Y15" s="874" t="s">
        <v>13</v>
      </c>
      <c r="Z15" s="875">
        <f>K15-W15-X15</f>
        <v>0</v>
      </c>
      <c r="AA15" s="874"/>
      <c r="AB15" s="880">
        <f>SUM(AB7:AB14)</f>
        <v>635414.0013287412</v>
      </c>
      <c r="AC15" s="880">
        <f>SUM(AC7:AC14)</f>
        <v>25098.474832220498</v>
      </c>
      <c r="AD15" s="874" t="s">
        <v>13</v>
      </c>
      <c r="AE15" s="875">
        <f>Q15-AB15-AC15</f>
        <v>-2.9103830456733704E-11</v>
      </c>
    </row>
    <row r="16" spans="1:31">
      <c r="A16" s="852"/>
      <c r="B16" s="857" t="s">
        <v>655</v>
      </c>
      <c r="C16" s="857"/>
      <c r="D16" s="857"/>
      <c r="E16" s="857"/>
      <c r="F16" s="857"/>
      <c r="G16" s="857"/>
      <c r="H16" s="857"/>
      <c r="I16" s="298"/>
      <c r="K16" s="869"/>
      <c r="L16" s="869"/>
      <c r="M16" s="869"/>
      <c r="N16" s="863"/>
      <c r="O16" s="863"/>
      <c r="P16" s="864"/>
      <c r="Q16" s="869"/>
      <c r="R16" s="869"/>
      <c r="S16" s="869"/>
      <c r="T16" s="863"/>
      <c r="U16" s="863"/>
      <c r="W16" s="875"/>
      <c r="X16" s="875"/>
      <c r="Y16" s="874"/>
      <c r="Z16" s="875"/>
      <c r="AA16" s="874"/>
      <c r="AB16" s="875"/>
      <c r="AC16" s="875"/>
      <c r="AD16" s="874"/>
      <c r="AE16" s="875"/>
    </row>
    <row r="17" spans="1:31">
      <c r="A17" s="851" t="s">
        <v>656</v>
      </c>
      <c r="B17" s="857"/>
      <c r="C17" s="857"/>
      <c r="D17" s="857"/>
      <c r="E17" s="857"/>
      <c r="F17" s="857"/>
      <c r="G17" s="857"/>
      <c r="H17" s="857"/>
      <c r="I17" s="303"/>
      <c r="J17" s="303"/>
      <c r="K17" s="869"/>
      <c r="L17" s="869"/>
      <c r="M17" s="869"/>
      <c r="N17" s="871"/>
      <c r="O17" s="868"/>
      <c r="P17" s="871"/>
      <c r="Q17" s="869"/>
      <c r="R17" s="869"/>
      <c r="S17" s="869"/>
      <c r="T17" s="871"/>
      <c r="U17" s="868"/>
      <c r="V17" s="303"/>
      <c r="W17" s="875"/>
      <c r="X17" s="875"/>
      <c r="Y17" s="881"/>
      <c r="Z17" s="875"/>
      <c r="AA17" s="874"/>
      <c r="AB17" s="875"/>
      <c r="AC17" s="875"/>
      <c r="AD17" s="881"/>
      <c r="AE17" s="875"/>
    </row>
    <row r="18" spans="1:31">
      <c r="A18" s="852" t="s">
        <v>557</v>
      </c>
      <c r="B18" s="857">
        <f>'2120 Depr'!M201</f>
        <v>357212.18500000006</v>
      </c>
      <c r="C18" s="857"/>
      <c r="D18" s="857">
        <f>'2120 Depr'!O201</f>
        <v>357212.18500000006</v>
      </c>
      <c r="E18" s="857">
        <f>'2120 Depr'!Q201</f>
        <v>8883.9323333332995</v>
      </c>
      <c r="F18" s="857">
        <f>'2120 Depr'!Z201</f>
        <v>301395.69233333349</v>
      </c>
      <c r="G18" s="857">
        <f>'2120 Depr'!AA201</f>
        <v>310279.62466666696</v>
      </c>
      <c r="H18" s="857">
        <f>'2120 Depr'!AB201</f>
        <v>36364.456499999949</v>
      </c>
      <c r="I18" s="298"/>
      <c r="K18" s="869">
        <f>E18*Ratios!$H$57</f>
        <v>7941.3201801623045</v>
      </c>
      <c r="L18" s="869"/>
      <c r="M18" s="869">
        <f>E18-K18</f>
        <v>942.61215317099504</v>
      </c>
      <c r="N18" s="864" t="s">
        <v>914</v>
      </c>
      <c r="O18" s="868">
        <f>E18-K18-L18-M18</f>
        <v>0</v>
      </c>
      <c r="P18" s="864"/>
      <c r="Q18" s="869">
        <f>H18*Ratios!$H$57</f>
        <v>32506.077422556344</v>
      </c>
      <c r="R18" s="869"/>
      <c r="S18" s="869">
        <f>H18-Q18</f>
        <v>3858.3790774436056</v>
      </c>
      <c r="T18" s="864" t="s">
        <v>914</v>
      </c>
      <c r="U18" s="868">
        <f>H18-Q18-R18-S18</f>
        <v>0</v>
      </c>
      <c r="W18" s="875">
        <f>K18</f>
        <v>7941.3201801623045</v>
      </c>
      <c r="X18" s="875"/>
      <c r="Y18" s="874" t="s">
        <v>13</v>
      </c>
      <c r="Z18" s="875">
        <f>K18-W18-X18</f>
        <v>0</v>
      </c>
      <c r="AA18" s="874"/>
      <c r="AB18" s="878">
        <f>Q18</f>
        <v>32506.077422556344</v>
      </c>
      <c r="AC18" s="875"/>
      <c r="AD18" s="874" t="s">
        <v>13</v>
      </c>
      <c r="AE18" s="875">
        <f>Q18-AB18-AC18</f>
        <v>0</v>
      </c>
    </row>
    <row r="19" spans="1:31">
      <c r="A19" s="852"/>
      <c r="B19" s="857"/>
      <c r="C19" s="857"/>
      <c r="D19" s="857"/>
      <c r="E19" s="857"/>
      <c r="F19" s="857"/>
      <c r="G19" s="857"/>
      <c r="H19" s="857"/>
      <c r="I19" s="298"/>
      <c r="K19" s="869"/>
      <c r="L19" s="869"/>
      <c r="M19" s="869"/>
      <c r="N19" s="863"/>
      <c r="O19" s="863"/>
      <c r="P19" s="864"/>
      <c r="Q19" s="869"/>
      <c r="R19" s="869"/>
      <c r="S19" s="869"/>
      <c r="T19" s="863"/>
      <c r="U19" s="863"/>
      <c r="W19" s="875"/>
      <c r="X19" s="875"/>
      <c r="Y19" s="874"/>
      <c r="Z19" s="875"/>
      <c r="AA19" s="874"/>
      <c r="AB19" s="875"/>
      <c r="AC19" s="875"/>
      <c r="AD19" s="874"/>
      <c r="AE19" s="875"/>
    </row>
    <row r="20" spans="1:31">
      <c r="A20" s="852" t="s">
        <v>912</v>
      </c>
      <c r="B20" s="857">
        <f>'2120 Depr'!M216</f>
        <v>162032.45000000001</v>
      </c>
      <c r="C20" s="857"/>
      <c r="D20" s="857">
        <f>'2120 Depr'!O216</f>
        <v>162032.45000000001</v>
      </c>
      <c r="E20" s="857">
        <f>'2120 Depr'!Q216</f>
        <v>11528.851833333321</v>
      </c>
      <c r="F20" s="857">
        <f>'2120 Depr'!Z216</f>
        <v>105922.55666666657</v>
      </c>
      <c r="G20" s="857">
        <f>'2120 Depr'!AA216</f>
        <v>117451.40849999989</v>
      </c>
      <c r="H20" s="857">
        <f>'2120 Depr'!AB216</f>
        <v>47524.947416666764</v>
      </c>
      <c r="I20" s="298"/>
      <c r="J20" s="298"/>
      <c r="K20" s="869">
        <f>E20*Ratios!$H$55</f>
        <v>9424.4629339614748</v>
      </c>
      <c r="L20" s="869"/>
      <c r="M20" s="869">
        <f>E20-K20</f>
        <v>2104.3888993718465</v>
      </c>
      <c r="N20" s="864" t="s">
        <v>914</v>
      </c>
      <c r="O20" s="868">
        <f>E20-K20-L20-M20</f>
        <v>0</v>
      </c>
      <c r="P20" s="864"/>
      <c r="Q20" s="869">
        <f>H20*Ratios!$H$55</f>
        <v>38850.105096488536</v>
      </c>
      <c r="R20" s="869"/>
      <c r="S20" s="869">
        <f>H20-Q20</f>
        <v>8674.842320178228</v>
      </c>
      <c r="T20" s="864" t="s">
        <v>914</v>
      </c>
      <c r="U20" s="868">
        <f>H20-Q20-R20-S20</f>
        <v>0</v>
      </c>
      <c r="W20" s="875">
        <f>K20</f>
        <v>9424.4629339614748</v>
      </c>
      <c r="X20" s="875"/>
      <c r="Y20" s="874" t="s">
        <v>13</v>
      </c>
      <c r="Z20" s="875">
        <f>K20-W20-X20</f>
        <v>0</v>
      </c>
      <c r="AA20" s="874"/>
      <c r="AB20" s="878">
        <f>Q20</f>
        <v>38850.105096488536</v>
      </c>
      <c r="AC20" s="875"/>
      <c r="AD20" s="874" t="s">
        <v>13</v>
      </c>
      <c r="AE20" s="875">
        <f>Q20-AB20-AC20</f>
        <v>0</v>
      </c>
    </row>
    <row r="21" spans="1:31">
      <c r="A21" s="852"/>
      <c r="B21" s="857"/>
      <c r="C21" s="857"/>
      <c r="D21" s="857"/>
      <c r="E21" s="857"/>
      <c r="F21" s="857"/>
      <c r="G21" s="857"/>
      <c r="H21" s="857"/>
      <c r="I21" s="298"/>
      <c r="J21" s="394"/>
      <c r="K21" s="869"/>
      <c r="L21" s="869"/>
      <c r="M21" s="869"/>
      <c r="N21" s="864"/>
      <c r="O21" s="863"/>
      <c r="P21" s="864"/>
      <c r="Q21" s="869"/>
      <c r="R21" s="869"/>
      <c r="S21" s="869"/>
      <c r="T21" s="864"/>
      <c r="U21" s="863"/>
      <c r="W21" s="875"/>
      <c r="X21" s="875"/>
      <c r="Y21" s="879"/>
      <c r="Z21" s="875"/>
      <c r="AA21" s="874"/>
      <c r="AB21" s="875"/>
      <c r="AC21" s="875"/>
      <c r="AD21" s="879"/>
      <c r="AE21" s="875"/>
    </row>
    <row r="22" spans="1:31">
      <c r="A22" s="852" t="s">
        <v>916</v>
      </c>
      <c r="B22" s="857">
        <f>'2120 Depr'!M227</f>
        <v>69257</v>
      </c>
      <c r="C22" s="857"/>
      <c r="D22" s="857">
        <f>'2120 Depr'!O227</f>
        <v>69257</v>
      </c>
      <c r="E22" s="857">
        <f>'2120 Depr'!Q227</f>
        <v>6032.2064999999111</v>
      </c>
      <c r="F22" s="857">
        <f>'2120 Depr'!Z227</f>
        <v>35388.249250000117</v>
      </c>
      <c r="G22" s="857">
        <f>'2120 Depr'!AA227</f>
        <v>41420.455750000023</v>
      </c>
      <c r="H22" s="857">
        <f>'2120 Depr'!AB227</f>
        <v>28166.882499999931</v>
      </c>
      <c r="I22" s="298"/>
      <c r="J22" s="394"/>
      <c r="K22" s="869">
        <f>E24*Ratios!$H$62</f>
        <v>3094.2233683270538</v>
      </c>
      <c r="L22" s="869"/>
      <c r="M22" s="869">
        <f>E22-K22</f>
        <v>2937.9831316728573</v>
      </c>
      <c r="N22" s="864" t="s">
        <v>914</v>
      </c>
      <c r="O22" s="868">
        <f>E22-K22-L22-M22</f>
        <v>0</v>
      </c>
      <c r="P22" s="864"/>
      <c r="Q22" s="869">
        <f>H22*Ratios!$H$62</f>
        <v>23071.110320490647</v>
      </c>
      <c r="R22" s="869"/>
      <c r="S22" s="869">
        <f>H22-Q22</f>
        <v>5095.7721795092839</v>
      </c>
      <c r="T22" s="864" t="s">
        <v>914</v>
      </c>
      <c r="U22" s="868">
        <f>H22-Q22-R22-S22</f>
        <v>0</v>
      </c>
      <c r="W22" s="875">
        <f>K22*Ratios!$N$55</f>
        <v>3066.5365306756512</v>
      </c>
      <c r="X22" s="875">
        <f>K22-W22</f>
        <v>27.686837651402584</v>
      </c>
      <c r="Y22" s="879" t="s">
        <v>914</v>
      </c>
      <c r="Z22" s="875">
        <f>K22-W22-X22</f>
        <v>0</v>
      </c>
      <c r="AA22" s="874"/>
      <c r="AB22" s="875">
        <f>Q22*Ratios!$N$55</f>
        <v>22864.672061242934</v>
      </c>
      <c r="AC22" s="875">
        <f>Q22-AB22</f>
        <v>206.43825924771227</v>
      </c>
      <c r="AD22" s="879" t="s">
        <v>914</v>
      </c>
      <c r="AE22" s="875">
        <f>Q22-AB22-AC22</f>
        <v>0</v>
      </c>
    </row>
    <row r="23" spans="1:31">
      <c r="A23" s="852"/>
      <c r="B23" s="852"/>
      <c r="C23" s="852"/>
      <c r="D23" s="852"/>
      <c r="E23" s="852"/>
      <c r="F23" s="852"/>
      <c r="G23" s="852"/>
      <c r="H23" s="852"/>
      <c r="I23" s="298"/>
      <c r="J23" s="393"/>
      <c r="K23" s="869"/>
      <c r="L23" s="869"/>
      <c r="M23" s="869"/>
      <c r="N23" s="864"/>
      <c r="O23" s="863"/>
      <c r="P23" s="864"/>
      <c r="Q23" s="869"/>
      <c r="R23" s="869"/>
      <c r="S23" s="869"/>
      <c r="T23" s="864"/>
      <c r="U23" s="863"/>
      <c r="W23" s="875"/>
      <c r="X23" s="875"/>
      <c r="Y23" s="879"/>
      <c r="Z23" s="875"/>
      <c r="AA23" s="874"/>
      <c r="AB23" s="875"/>
      <c r="AC23" s="875"/>
      <c r="AD23" s="879"/>
      <c r="AE23" s="875"/>
    </row>
    <row r="24" spans="1:31">
      <c r="A24" s="852" t="s">
        <v>657</v>
      </c>
      <c r="B24" s="857">
        <f>'2120 Depr'!M247</f>
        <v>103623.62000000001</v>
      </c>
      <c r="C24" s="857">
        <f>B24-D24</f>
        <v>0</v>
      </c>
      <c r="D24" s="857">
        <f>'2120 Depr'!O247</f>
        <v>103623.62000000001</v>
      </c>
      <c r="E24" s="857">
        <f>'2120 Depr'!Q247</f>
        <v>3777.652</v>
      </c>
      <c r="F24" s="857">
        <f>'2120 Depr'!Z247</f>
        <v>83980.730333333049</v>
      </c>
      <c r="G24" s="857">
        <f>'2120 Depr'!AA247</f>
        <v>87758.382333333051</v>
      </c>
      <c r="H24" s="857">
        <f>'2120 Depr'!AB247</f>
        <v>17754.063666666952</v>
      </c>
      <c r="I24" s="298"/>
      <c r="J24" s="298"/>
      <c r="K24" s="868">
        <f>E24*Ratios!$H$59</f>
        <v>2518.4346666666665</v>
      </c>
      <c r="L24" s="863"/>
      <c r="M24" s="869">
        <f>E24-K24</f>
        <v>1259.2173333333335</v>
      </c>
      <c r="N24" s="864" t="s">
        <v>914</v>
      </c>
      <c r="O24" s="868">
        <f>E24-K24-L24-M24</f>
        <v>0</v>
      </c>
      <c r="P24" s="864"/>
      <c r="Q24" s="868">
        <f>H24*Ratios!$H$59</f>
        <v>11836.042444444634</v>
      </c>
      <c r="R24" s="863"/>
      <c r="S24" s="869">
        <f>H24-Q24</f>
        <v>5918.0212222223181</v>
      </c>
      <c r="T24" s="864" t="s">
        <v>914</v>
      </c>
      <c r="U24" s="868">
        <f>H24-Q24-R24-S24</f>
        <v>0</v>
      </c>
      <c r="W24" s="875">
        <f>K24</f>
        <v>2518.4346666666665</v>
      </c>
      <c r="X24" s="874"/>
      <c r="Y24" s="874" t="s">
        <v>13</v>
      </c>
      <c r="Z24" s="875">
        <f>K24-W24-X24</f>
        <v>0</v>
      </c>
      <c r="AA24" s="874"/>
      <c r="AB24" s="875">
        <f>Q24</f>
        <v>11836.042444444634</v>
      </c>
      <c r="AC24" s="874"/>
      <c r="AD24" s="874" t="s">
        <v>13</v>
      </c>
      <c r="AE24" s="875">
        <f>Q24-AB24-AC24</f>
        <v>0</v>
      </c>
    </row>
    <row r="25" spans="1:31">
      <c r="A25" s="852"/>
      <c r="B25" s="857"/>
      <c r="C25" s="857"/>
      <c r="D25" s="857"/>
      <c r="E25" s="857"/>
      <c r="F25" s="857"/>
      <c r="G25" s="857"/>
      <c r="H25" s="857"/>
      <c r="I25" s="298"/>
      <c r="J25" s="298"/>
      <c r="K25" s="863"/>
      <c r="L25" s="863"/>
      <c r="M25" s="863"/>
      <c r="N25" s="864"/>
      <c r="O25" s="863"/>
      <c r="P25" s="864"/>
      <c r="Q25" s="863"/>
      <c r="R25" s="863"/>
      <c r="S25" s="863"/>
      <c r="T25" s="864"/>
      <c r="U25" s="863"/>
      <c r="W25" s="874"/>
      <c r="X25" s="874"/>
      <c r="Y25" s="879"/>
      <c r="Z25" s="875"/>
      <c r="AA25" s="874"/>
      <c r="AB25" s="874"/>
      <c r="AC25" s="874"/>
      <c r="AD25" s="879"/>
      <c r="AE25" s="875"/>
    </row>
    <row r="26" spans="1:31">
      <c r="A26" s="858" t="s">
        <v>658</v>
      </c>
      <c r="B26" s="859">
        <f t="shared" ref="B26:H26" si="1">SUM(B18:B25)</f>
        <v>692125.255</v>
      </c>
      <c r="C26" s="859">
        <f t="shared" si="1"/>
        <v>0</v>
      </c>
      <c r="D26" s="859">
        <f t="shared" si="1"/>
        <v>692125.255</v>
      </c>
      <c r="E26" s="859">
        <f t="shared" si="1"/>
        <v>30222.642666666536</v>
      </c>
      <c r="F26" s="859">
        <f t="shared" si="1"/>
        <v>526687.2285833332</v>
      </c>
      <c r="G26" s="859">
        <f t="shared" si="1"/>
        <v>556909.87124999997</v>
      </c>
      <c r="H26" s="859">
        <f t="shared" si="1"/>
        <v>129810.35008333361</v>
      </c>
      <c r="I26" s="303"/>
      <c r="J26" s="303"/>
      <c r="K26" s="870">
        <f>SUM(K18:K25)</f>
        <v>22978.441149117501</v>
      </c>
      <c r="L26" s="870">
        <f>SUM(L18:L25)</f>
        <v>0</v>
      </c>
      <c r="M26" s="870">
        <f>SUM(M18:M25)</f>
        <v>7244.2015175490324</v>
      </c>
      <c r="N26" s="871"/>
      <c r="O26" s="868">
        <f>E26-K26-L26-M26</f>
        <v>0</v>
      </c>
      <c r="P26" s="871"/>
      <c r="Q26" s="870">
        <f>SUM(Q18:Q25)</f>
        <v>106263.33528398015</v>
      </c>
      <c r="R26" s="870">
        <f>SUM(R18:R25)</f>
        <v>0</v>
      </c>
      <c r="S26" s="870">
        <f>SUM(S18:S25)</f>
        <v>23547.014799353434</v>
      </c>
      <c r="T26" s="871"/>
      <c r="U26" s="868">
        <f>H26-Q26-R26-S26</f>
        <v>2.9103830456733704E-11</v>
      </c>
      <c r="W26" s="880">
        <f>SUM(W18:W25)</f>
        <v>22950.754311466098</v>
      </c>
      <c r="X26" s="880">
        <f>SUM(X18:X25)</f>
        <v>27.686837651402584</v>
      </c>
      <c r="Y26" s="881"/>
      <c r="Z26" s="875">
        <f>K26-W26-X26</f>
        <v>4.5474735088646412E-13</v>
      </c>
      <c r="AA26" s="874"/>
      <c r="AB26" s="880">
        <f>SUM(AB18:AB25)</f>
        <v>106056.89702473245</v>
      </c>
      <c r="AC26" s="880">
        <f>SUM(AC18:AC25)</f>
        <v>206.43825924771227</v>
      </c>
      <c r="AD26" s="881"/>
      <c r="AE26" s="875">
        <f>Q26-AB26-AC26</f>
        <v>-7.2759576141834259E-12</v>
      </c>
    </row>
    <row r="27" spans="1:31">
      <c r="A27" s="852"/>
      <c r="B27" s="857"/>
      <c r="C27" s="857"/>
      <c r="D27" s="857"/>
      <c r="E27" s="857"/>
      <c r="F27" s="857"/>
      <c r="G27" s="857"/>
      <c r="H27" s="857"/>
      <c r="I27" s="298"/>
      <c r="J27" s="393"/>
      <c r="K27" s="867"/>
      <c r="L27" s="869"/>
      <c r="M27" s="869"/>
      <c r="N27" s="864"/>
      <c r="O27" s="863"/>
      <c r="P27" s="866"/>
      <c r="Q27" s="867"/>
      <c r="R27" s="869"/>
      <c r="S27" s="869"/>
      <c r="T27" s="864"/>
      <c r="U27" s="863"/>
      <c r="W27" s="878"/>
      <c r="X27" s="875"/>
      <c r="Y27" s="879"/>
      <c r="Z27" s="875"/>
      <c r="AA27" s="874"/>
      <c r="AB27" s="878"/>
      <c r="AC27" s="875"/>
      <c r="AD27" s="879"/>
      <c r="AE27" s="875"/>
    </row>
    <row r="28" spans="1:31">
      <c r="A28" s="852" t="s">
        <v>659</v>
      </c>
      <c r="B28" s="857">
        <f>'2120 Depr'!M253</f>
        <v>33940</v>
      </c>
      <c r="C28" s="857">
        <f>B28-D28</f>
        <v>6788</v>
      </c>
      <c r="D28" s="857">
        <f>'2120 Depr'!O253</f>
        <v>27152</v>
      </c>
      <c r="E28" s="857">
        <f>'2120 Depr'!Q253</f>
        <v>0</v>
      </c>
      <c r="F28" s="857">
        <f>'2120 Depr'!Z253</f>
        <v>27152</v>
      </c>
      <c r="G28" s="857">
        <f>'2120 Depr'!AA253</f>
        <v>27152</v>
      </c>
      <c r="H28" s="857">
        <f>'2120 Depr'!AB253</f>
        <v>6788</v>
      </c>
      <c r="I28" s="298"/>
      <c r="J28" s="298"/>
      <c r="K28" s="869">
        <f>$E28*Ratios!$C$49</f>
        <v>0</v>
      </c>
      <c r="L28" s="869">
        <f>$E28*Ratios!$D$49</f>
        <v>0</v>
      </c>
      <c r="M28" s="869">
        <f>$E28*Ratios!$E$49</f>
        <v>0</v>
      </c>
      <c r="N28" s="863" t="s">
        <v>21</v>
      </c>
      <c r="O28" s="868">
        <f>E28-K28-L28-M28</f>
        <v>0</v>
      </c>
      <c r="P28" s="864"/>
      <c r="Q28" s="869">
        <f>$H28*Ratios!$C$49</f>
        <v>6024.6519572953739</v>
      </c>
      <c r="R28" s="869">
        <f>$H28*Ratios!$D$49</f>
        <v>24.156583629893237</v>
      </c>
      <c r="S28" s="869">
        <f>$H28*Ratios!$E$49</f>
        <v>739.19145907473307</v>
      </c>
      <c r="T28" s="863" t="s">
        <v>21</v>
      </c>
      <c r="U28" s="868">
        <f>H28-Q28-R28-S28</f>
        <v>0</v>
      </c>
      <c r="W28" s="875">
        <f>K28*Ratios!$N$43</f>
        <v>0</v>
      </c>
      <c r="X28" s="875">
        <f>K29-W28</f>
        <v>0</v>
      </c>
      <c r="Y28" s="874" t="s">
        <v>21</v>
      </c>
      <c r="Z28" s="875">
        <f>K28-W28-X28</f>
        <v>0</v>
      </c>
      <c r="AA28" s="874"/>
      <c r="AB28" s="875">
        <f>Q28*Ratios!$N$43</f>
        <v>6010.1580071174385</v>
      </c>
      <c r="AC28" s="875">
        <f>Q28-AB28</f>
        <v>14.493950177935403</v>
      </c>
      <c r="AD28" s="874" t="s">
        <v>21</v>
      </c>
      <c r="AE28" s="875">
        <f>Q28-AB28-AC28</f>
        <v>0</v>
      </c>
    </row>
    <row r="29" spans="1:31">
      <c r="A29" s="852"/>
      <c r="B29" s="857"/>
      <c r="C29" s="857"/>
      <c r="D29" s="857"/>
      <c r="E29" s="857"/>
      <c r="F29" s="857"/>
      <c r="G29" s="857"/>
      <c r="H29" s="857"/>
      <c r="I29" s="298"/>
      <c r="J29" s="393"/>
      <c r="K29" s="867"/>
      <c r="L29" s="867"/>
      <c r="M29" s="867"/>
      <c r="N29" s="864"/>
      <c r="O29" s="863"/>
      <c r="P29" s="866"/>
      <c r="Q29" s="867"/>
      <c r="R29" s="867"/>
      <c r="S29" s="867"/>
      <c r="T29" s="864"/>
      <c r="U29" s="863"/>
      <c r="W29" s="878"/>
      <c r="X29" s="878"/>
      <c r="Y29" s="879"/>
      <c r="Z29" s="875"/>
      <c r="AA29" s="874"/>
      <c r="AB29" s="878"/>
      <c r="AC29" s="878"/>
      <c r="AD29" s="879"/>
      <c r="AE29" s="875"/>
    </row>
    <row r="30" spans="1:31">
      <c r="A30" s="852" t="s">
        <v>660</v>
      </c>
      <c r="B30" s="857">
        <f>'2120 Depr'!M275</f>
        <v>125227.91</v>
      </c>
      <c r="C30" s="857">
        <f>B30-D30</f>
        <v>22955.504300000001</v>
      </c>
      <c r="D30" s="857">
        <f>'2120 Depr'!O275</f>
        <v>102272.4057</v>
      </c>
      <c r="E30" s="857">
        <f>'2120 Depr'!Q275</f>
        <v>6649.2521399999987</v>
      </c>
      <c r="F30" s="857">
        <f>'2120 Depr'!Z275</f>
        <v>88904.093976666583</v>
      </c>
      <c r="G30" s="857">
        <f>'2120 Depr'!AA275</f>
        <v>95553.34611666658</v>
      </c>
      <c r="H30" s="857">
        <f>'2120 Depr'!AB275</f>
        <v>32999.189953333422</v>
      </c>
      <c r="I30" s="298"/>
      <c r="J30" s="298"/>
      <c r="K30" s="869">
        <f>$E30*Ratios!$C$49</f>
        <v>5901.5070594875433</v>
      </c>
      <c r="L30" s="869">
        <f>$E30*Ratios!$D$49</f>
        <v>23.662819003558713</v>
      </c>
      <c r="M30" s="869">
        <f>$E30*Ratios!$E$49</f>
        <v>724.08226150889664</v>
      </c>
      <c r="N30" s="863" t="s">
        <v>21</v>
      </c>
      <c r="O30" s="868">
        <f>E30-K30-L30-M30</f>
        <v>0</v>
      </c>
      <c r="P30" s="864"/>
      <c r="Q30" s="869">
        <f>$H30*Ratios!$C$49</f>
        <v>29288.249019079558</v>
      </c>
      <c r="R30" s="869">
        <f>$H30*Ratios!$D$49</f>
        <v>117.43483969157801</v>
      </c>
      <c r="S30" s="869">
        <f>$H30*Ratios!$E$49</f>
        <v>3593.5060945622872</v>
      </c>
      <c r="T30" s="863" t="s">
        <v>21</v>
      </c>
      <c r="U30" s="868">
        <f>H30-Q30-R30-S30</f>
        <v>0</v>
      </c>
      <c r="W30" s="875">
        <f>K30*Ratios!$N$43</f>
        <v>5887.3093680854081</v>
      </c>
      <c r="X30" s="875">
        <f>K30-W30</f>
        <v>14.197691402135206</v>
      </c>
      <c r="Y30" s="874" t="s">
        <v>21</v>
      </c>
      <c r="Z30" s="875">
        <f>K30-W30-X30</f>
        <v>0</v>
      </c>
      <c r="AA30" s="874"/>
      <c r="AB30" s="875">
        <f>Q30*Ratios!$N$43</f>
        <v>29217.788115264611</v>
      </c>
      <c r="AC30" s="875">
        <f>Q30-AB30</f>
        <v>70.460903814946505</v>
      </c>
      <c r="AD30" s="874" t="s">
        <v>21</v>
      </c>
      <c r="AE30" s="875">
        <f>Q30-AB30-AC30</f>
        <v>0</v>
      </c>
    </row>
    <row r="31" spans="1:31">
      <c r="A31" s="852"/>
      <c r="B31" s="857"/>
      <c r="C31" s="857"/>
      <c r="D31" s="857"/>
      <c r="E31" s="857"/>
      <c r="F31" s="857"/>
      <c r="G31" s="857"/>
      <c r="H31" s="857"/>
      <c r="I31" s="298"/>
      <c r="J31" s="395"/>
      <c r="K31" s="867"/>
      <c r="L31" s="867"/>
      <c r="M31" s="867"/>
      <c r="N31" s="864"/>
      <c r="O31" s="863"/>
      <c r="P31" s="872"/>
      <c r="Q31" s="867"/>
      <c r="R31" s="867"/>
      <c r="S31" s="867"/>
      <c r="T31" s="864"/>
      <c r="U31" s="863"/>
      <c r="W31" s="878"/>
      <c r="X31" s="878"/>
      <c r="Y31" s="879"/>
      <c r="Z31" s="875"/>
      <c r="AA31" s="874"/>
      <c r="AB31" s="878"/>
      <c r="AC31" s="878"/>
      <c r="AD31" s="879"/>
      <c r="AE31" s="875"/>
    </row>
    <row r="32" spans="1:31">
      <c r="A32" s="852" t="s">
        <v>661</v>
      </c>
      <c r="B32" s="857">
        <f>'2120 Depr'!M289</f>
        <v>21258.86</v>
      </c>
      <c r="C32" s="857">
        <f>B32-D32</f>
        <v>0</v>
      </c>
      <c r="D32" s="857">
        <f>'2120 Depr'!O289</f>
        <v>21258.86</v>
      </c>
      <c r="E32" s="857">
        <f>'2120 Depr'!Q289</f>
        <v>1983.9053333333743</v>
      </c>
      <c r="F32" s="857">
        <f>'2120 Depr'!Z289</f>
        <v>14213.617666666602</v>
      </c>
      <c r="G32" s="857">
        <f>'2120 Depr'!AA289</f>
        <v>16197.522999999977</v>
      </c>
      <c r="H32" s="857">
        <f>'2120 Depr'!AB289</f>
        <v>4724.1046666667098</v>
      </c>
      <c r="I32" s="298"/>
      <c r="J32" s="298"/>
      <c r="K32" s="869">
        <f>$E32*Ratios!$C$17</f>
        <v>1674.6320183002251</v>
      </c>
      <c r="L32" s="869">
        <f>$E32*Ratios!$D$17</f>
        <v>0.9457936121783771</v>
      </c>
      <c r="M32" s="869">
        <f>$E32*Ratios!$F$17</f>
        <v>308.32752142097053</v>
      </c>
      <c r="N32" s="864" t="s">
        <v>919</v>
      </c>
      <c r="O32" s="868">
        <f>E32-K32-L32-M32</f>
        <v>0</v>
      </c>
      <c r="P32" s="864"/>
      <c r="Q32" s="869">
        <f>$H32*Ratios!$C$17</f>
        <v>3987.6584833356069</v>
      </c>
      <c r="R32" s="869">
        <f>$H32*Ratios!$D$17</f>
        <v>2.252137711373666</v>
      </c>
      <c r="S32" s="869">
        <f>$H32*Ratios!$F$17</f>
        <v>734.19404561972885</v>
      </c>
      <c r="T32" s="864" t="s">
        <v>919</v>
      </c>
      <c r="U32" s="868">
        <f>H32-Q32-R32-S32</f>
        <v>0</v>
      </c>
      <c r="W32" s="875">
        <f>K32*Ratios!$J$9</f>
        <v>1664.9113617306141</v>
      </c>
      <c r="X32" s="875">
        <f>K32-W32</f>
        <v>9.7206565696110374</v>
      </c>
      <c r="Y32" s="879" t="s">
        <v>919</v>
      </c>
      <c r="Z32" s="875">
        <f>K32-W32-X32</f>
        <v>0</v>
      </c>
      <c r="AA32" s="874"/>
      <c r="AB32" s="875">
        <f>Q32*Ratios!$J$9</f>
        <v>3964.5115124131553</v>
      </c>
      <c r="AC32" s="875">
        <f>Q32-AB32</f>
        <v>23.146970922451601</v>
      </c>
      <c r="AD32" s="879" t="s">
        <v>919</v>
      </c>
      <c r="AE32" s="875">
        <f>Q32-AB32-AC32</f>
        <v>0</v>
      </c>
    </row>
    <row r="33" spans="1:31">
      <c r="A33" s="852"/>
      <c r="B33" s="857"/>
      <c r="C33" s="857"/>
      <c r="D33" s="857"/>
      <c r="E33" s="857"/>
      <c r="F33" s="857"/>
      <c r="G33" s="857"/>
      <c r="H33" s="857"/>
      <c r="I33" s="298"/>
      <c r="J33" s="298"/>
      <c r="K33" s="869"/>
      <c r="L33" s="869"/>
      <c r="M33" s="869"/>
      <c r="N33" s="864"/>
      <c r="O33" s="863"/>
      <c r="P33" s="864"/>
      <c r="Q33" s="869"/>
      <c r="R33" s="869"/>
      <c r="S33" s="869"/>
      <c r="T33" s="864"/>
      <c r="U33" s="863"/>
      <c r="W33" s="875"/>
      <c r="X33" s="875"/>
      <c r="Y33" s="879"/>
      <c r="Z33" s="875"/>
      <c r="AA33" s="874"/>
      <c r="AB33" s="875"/>
      <c r="AC33" s="875"/>
      <c r="AD33" s="879"/>
      <c r="AE33" s="875"/>
    </row>
    <row r="34" spans="1:31">
      <c r="A34" s="858" t="s">
        <v>662</v>
      </c>
      <c r="B34" s="859">
        <f t="shared" ref="B34:H34" si="2">SUM(B28:B33)</f>
        <v>180426.77000000002</v>
      </c>
      <c r="C34" s="859">
        <f t="shared" si="2"/>
        <v>29743.504300000001</v>
      </c>
      <c r="D34" s="859">
        <f t="shared" si="2"/>
        <v>150683.26569999999</v>
      </c>
      <c r="E34" s="859">
        <f t="shared" si="2"/>
        <v>8633.1574733333728</v>
      </c>
      <c r="F34" s="859">
        <f t="shared" si="2"/>
        <v>130269.71164333318</v>
      </c>
      <c r="G34" s="859">
        <f t="shared" si="2"/>
        <v>138902.86911666655</v>
      </c>
      <c r="H34" s="859">
        <f t="shared" si="2"/>
        <v>44511.294620000132</v>
      </c>
      <c r="I34" s="303"/>
      <c r="J34" s="303"/>
      <c r="K34" s="870">
        <f>SUM(K28:K33)</f>
        <v>7576.1390777877687</v>
      </c>
      <c r="L34" s="870">
        <f>SUM(L28:L33)</f>
        <v>24.608612615737091</v>
      </c>
      <c r="M34" s="870">
        <f>SUM(M28:M33)</f>
        <v>1032.4097829298671</v>
      </c>
      <c r="N34" s="871"/>
      <c r="O34" s="868">
        <f>E34-K34-L34-M34</f>
        <v>0</v>
      </c>
      <c r="P34" s="871"/>
      <c r="Q34" s="870">
        <f>SUM(Q28:Q33)</f>
        <v>39300.559459710545</v>
      </c>
      <c r="R34" s="870">
        <f>SUM(R28:R33)</f>
        <v>143.84356103284492</v>
      </c>
      <c r="S34" s="870">
        <f>SUM(S28:S33)</f>
        <v>5066.891599256749</v>
      </c>
      <c r="T34" s="871"/>
      <c r="U34" s="868">
        <f>H34-Q34-R34-S34</f>
        <v>-7.2759576141834259E-12</v>
      </c>
      <c r="W34" s="880">
        <f>SUM(W28:W33)</f>
        <v>7552.220729816022</v>
      </c>
      <c r="X34" s="880">
        <f>SUM(X28:X33)</f>
        <v>23.918347971746243</v>
      </c>
      <c r="Y34" s="881"/>
      <c r="Z34" s="875">
        <f>K34-W34-X34</f>
        <v>4.5474735088646412E-13</v>
      </c>
      <c r="AA34" s="874"/>
      <c r="AB34" s="880">
        <f>SUM(AB28:AB33)</f>
        <v>39192.457634795202</v>
      </c>
      <c r="AC34" s="880">
        <f>SUM(AC28:AC33)</f>
        <v>108.10182491533351</v>
      </c>
      <c r="AD34" s="881"/>
      <c r="AE34" s="875">
        <f>Q34-AB34-AC34</f>
        <v>8.6401996668428183E-12</v>
      </c>
    </row>
    <row r="35" spans="1:31">
      <c r="A35" s="852"/>
      <c r="B35" s="857"/>
      <c r="C35" s="857"/>
      <c r="D35" s="857"/>
      <c r="E35" s="857"/>
      <c r="F35" s="857"/>
      <c r="G35" s="857"/>
      <c r="H35" s="857"/>
      <c r="J35" s="395"/>
      <c r="K35" s="867"/>
      <c r="L35" s="867"/>
      <c r="M35" s="867"/>
      <c r="N35" s="864"/>
      <c r="O35" s="863"/>
      <c r="P35" s="872"/>
      <c r="Q35" s="867"/>
      <c r="R35" s="867"/>
      <c r="S35" s="867"/>
      <c r="T35" s="864"/>
      <c r="U35" s="863"/>
      <c r="W35" s="878"/>
      <c r="X35" s="878"/>
      <c r="Y35" s="879"/>
      <c r="Z35" s="875"/>
      <c r="AA35" s="874"/>
      <c r="AB35" s="878"/>
      <c r="AC35" s="878"/>
      <c r="AD35" s="879"/>
      <c r="AE35" s="875"/>
    </row>
    <row r="36" spans="1:31">
      <c r="A36" s="852" t="s">
        <v>663</v>
      </c>
      <c r="B36" s="857">
        <f>'2120 Depr'!M303</f>
        <v>264637.24</v>
      </c>
      <c r="C36" s="857"/>
      <c r="D36" s="857">
        <f>'2120 Depr'!O303</f>
        <v>264637.24</v>
      </c>
      <c r="E36" s="857">
        <f>'2120 Depr'!Q303</f>
        <v>18270.283800000001</v>
      </c>
      <c r="F36" s="857">
        <f>'2120 Depr'!Z303</f>
        <v>113053.72035555592</v>
      </c>
      <c r="G36" s="857">
        <f>'2120 Depr'!AA303</f>
        <v>131324.00415555594</v>
      </c>
      <c r="H36" s="857">
        <f>'2120 Depr'!AB303</f>
        <v>129423.17274444408</v>
      </c>
      <c r="I36" s="298"/>
      <c r="J36" s="298"/>
      <c r="K36" s="869">
        <f>$E36*Ratios!$C$49</f>
        <v>16215.689607544486</v>
      </c>
      <c r="L36" s="869">
        <f>$E36*Ratios!$D$49</f>
        <v>65.018803558718858</v>
      </c>
      <c r="M36" s="869">
        <f>$E36*Ratios!$E$49</f>
        <v>1989.5753888967974</v>
      </c>
      <c r="N36" s="863" t="s">
        <v>21</v>
      </c>
      <c r="O36" s="868">
        <f>E36-K36-L36-M36</f>
        <v>0</v>
      </c>
      <c r="P36" s="864"/>
      <c r="Q36" s="869">
        <f>$H36*Ratios!$C$49</f>
        <v>114868.82306926815</v>
      </c>
      <c r="R36" s="869">
        <f>$H36*Ratios!$D$49</f>
        <v>460.58068592328851</v>
      </c>
      <c r="S36" s="869">
        <f>$H36*Ratios!$E$49</f>
        <v>14093.76898925263</v>
      </c>
      <c r="T36" s="863" t="s">
        <v>21</v>
      </c>
      <c r="U36" s="868">
        <f>H36-Q36-R36-S36</f>
        <v>0</v>
      </c>
      <c r="W36" s="875">
        <f>K36*Ratios!$N$43</f>
        <v>16176.678325409255</v>
      </c>
      <c r="X36" s="875">
        <f>K36-W36</f>
        <v>39.011282135230431</v>
      </c>
      <c r="Y36" s="874" t="s">
        <v>21</v>
      </c>
      <c r="Z36" s="875">
        <f>K36-W36-X36</f>
        <v>0</v>
      </c>
      <c r="AA36" s="874"/>
      <c r="AB36" s="875">
        <f>Q36*Ratios!$N$43</f>
        <v>114592.47465771419</v>
      </c>
      <c r="AC36" s="875">
        <f>Q36-AB36</f>
        <v>276.34841155396134</v>
      </c>
      <c r="AD36" s="874" t="s">
        <v>21</v>
      </c>
      <c r="AE36" s="875">
        <f>Q36-AB36-AC36</f>
        <v>0</v>
      </c>
    </row>
    <row r="37" spans="1:31">
      <c r="A37" s="852"/>
      <c r="B37" s="857"/>
      <c r="C37" s="857"/>
      <c r="D37" s="857"/>
      <c r="E37" s="857"/>
      <c r="F37" s="857"/>
      <c r="G37" s="857"/>
      <c r="H37" s="857"/>
      <c r="I37" s="298"/>
      <c r="J37" s="396"/>
      <c r="K37" s="867"/>
      <c r="L37" s="867"/>
      <c r="M37" s="867"/>
      <c r="N37" s="864"/>
      <c r="O37" s="863"/>
      <c r="P37" s="872"/>
      <c r="Q37" s="867"/>
      <c r="R37" s="867"/>
      <c r="S37" s="867"/>
      <c r="T37" s="864"/>
      <c r="U37" s="863"/>
      <c r="W37" s="878"/>
      <c r="X37" s="878"/>
      <c r="Y37" s="879"/>
      <c r="Z37" s="875"/>
      <c r="AA37" s="874"/>
      <c r="AB37" s="878"/>
      <c r="AC37" s="878"/>
      <c r="AD37" s="879"/>
      <c r="AE37" s="875"/>
    </row>
    <row r="38" spans="1:31">
      <c r="A38" s="852" t="s">
        <v>664</v>
      </c>
      <c r="B38" s="857">
        <v>20000</v>
      </c>
      <c r="C38" s="857"/>
      <c r="D38" s="857">
        <v>20000</v>
      </c>
      <c r="E38" s="857"/>
      <c r="F38" s="857"/>
      <c r="G38" s="857"/>
      <c r="H38" s="857">
        <v>20000</v>
      </c>
      <c r="I38" s="298"/>
      <c r="J38" s="397"/>
      <c r="K38" s="869"/>
      <c r="L38" s="869"/>
      <c r="M38" s="869"/>
      <c r="N38" s="863"/>
      <c r="O38" s="863"/>
      <c r="P38" s="864"/>
      <c r="Q38" s="869">
        <f>$H38*Ratios!$C$49</f>
        <v>17750.889679715303</v>
      </c>
      <c r="R38" s="869">
        <f>$H38*Ratios!$D$49</f>
        <v>71.17437722419929</v>
      </c>
      <c r="S38" s="869">
        <f>$H38*Ratios!$E$49</f>
        <v>2177.9359430604982</v>
      </c>
      <c r="T38" s="863" t="s">
        <v>21</v>
      </c>
      <c r="U38" s="868">
        <f>H38-Q38-R38-S38</f>
        <v>0</v>
      </c>
      <c r="W38" s="875">
        <f>K38*Ratios!$N$43</f>
        <v>0</v>
      </c>
      <c r="X38" s="875">
        <f>K39-W38</f>
        <v>0</v>
      </c>
      <c r="Y38" s="874" t="s">
        <v>21</v>
      </c>
      <c r="Z38" s="875">
        <f>K38-W38-X38</f>
        <v>0</v>
      </c>
      <c r="AA38" s="874"/>
      <c r="AB38" s="875">
        <f>Q38*Ratios!$N$43</f>
        <v>17708.185053380785</v>
      </c>
      <c r="AC38" s="875">
        <f>Q38-AB38</f>
        <v>42.704626334518252</v>
      </c>
      <c r="AD38" s="874" t="s">
        <v>21</v>
      </c>
      <c r="AE38" s="875">
        <f>Q38-AB38-AC38</f>
        <v>0</v>
      </c>
    </row>
    <row r="39" spans="1:31">
      <c r="A39" s="852"/>
      <c r="B39" s="857"/>
      <c r="C39" s="857"/>
      <c r="D39" s="857"/>
      <c r="E39" s="857"/>
      <c r="F39" s="857"/>
      <c r="G39" s="857"/>
      <c r="H39" s="857"/>
      <c r="I39" s="298"/>
      <c r="J39" s="298"/>
      <c r="K39" s="869"/>
      <c r="L39" s="869"/>
      <c r="M39" s="869"/>
      <c r="N39" s="864"/>
      <c r="O39" s="863"/>
      <c r="P39" s="864"/>
      <c r="Q39" s="869"/>
      <c r="R39" s="869"/>
      <c r="S39" s="869"/>
      <c r="T39" s="864"/>
      <c r="U39" s="863"/>
      <c r="W39" s="875"/>
      <c r="X39" s="875"/>
      <c r="Y39" s="879"/>
      <c r="Z39" s="875"/>
      <c r="AA39" s="874"/>
      <c r="AB39" s="875"/>
      <c r="AC39" s="875"/>
      <c r="AD39" s="879"/>
      <c r="AE39" s="875"/>
    </row>
    <row r="40" spans="1:31">
      <c r="A40" s="852" t="s">
        <v>665</v>
      </c>
      <c r="B40" s="857">
        <v>5000</v>
      </c>
      <c r="C40" s="857"/>
      <c r="D40" s="857">
        <v>5000</v>
      </c>
      <c r="E40" s="857"/>
      <c r="F40" s="857"/>
      <c r="G40" s="857"/>
      <c r="H40" s="857">
        <v>5000</v>
      </c>
      <c r="I40" s="298"/>
      <c r="J40" s="397"/>
      <c r="K40" s="869"/>
      <c r="L40" s="869"/>
      <c r="M40" s="869"/>
      <c r="N40" s="864"/>
      <c r="O40" s="863"/>
      <c r="P40" s="864"/>
      <c r="Q40" s="869">
        <f>H40*Ratios!$C$61</f>
        <v>4121.6981841851584</v>
      </c>
      <c r="R40" s="869"/>
      <c r="S40" s="869">
        <f>$H40*Ratios!$E$61</f>
        <v>878.30181581484135</v>
      </c>
      <c r="T40" s="864" t="s">
        <v>914</v>
      </c>
      <c r="U40" s="868">
        <f>H40-Q40-R40-S40</f>
        <v>0</v>
      </c>
      <c r="W40" s="875">
        <f>K40*Ratios!N73</f>
        <v>0</v>
      </c>
      <c r="X40" s="875">
        <f>K40-W40</f>
        <v>0</v>
      </c>
      <c r="Y40" s="879" t="s">
        <v>914</v>
      </c>
      <c r="Z40" s="875">
        <f>K40-W40-X40</f>
        <v>0</v>
      </c>
      <c r="AA40" s="874"/>
      <c r="AB40" s="875">
        <f>Q40*Ratios!$N$55</f>
        <v>4084.8175925505229</v>
      </c>
      <c r="AC40" s="875">
        <f>Q40-AB40</f>
        <v>36.880591634635493</v>
      </c>
      <c r="AD40" s="879" t="s">
        <v>914</v>
      </c>
      <c r="AE40" s="875">
        <f>Q40-AB40-AC40</f>
        <v>0</v>
      </c>
    </row>
    <row r="41" spans="1:31">
      <c r="A41" s="852" t="s">
        <v>666</v>
      </c>
      <c r="B41" s="857"/>
      <c r="C41" s="857"/>
      <c r="D41" s="857"/>
      <c r="E41" s="857"/>
      <c r="F41" s="857"/>
      <c r="G41" s="857"/>
      <c r="H41" s="857"/>
      <c r="I41" s="298"/>
      <c r="J41" s="298"/>
      <c r="K41" s="869"/>
      <c r="L41" s="869"/>
      <c r="M41" s="869"/>
      <c r="N41" s="864"/>
      <c r="O41" s="863"/>
      <c r="P41" s="864"/>
      <c r="Q41" s="869"/>
      <c r="R41" s="869"/>
      <c r="S41" s="869"/>
      <c r="T41" s="864"/>
      <c r="U41" s="863"/>
      <c r="W41" s="875"/>
      <c r="X41" s="875"/>
      <c r="Y41" s="879"/>
      <c r="Z41" s="875"/>
      <c r="AA41" s="874"/>
      <c r="AB41" s="875"/>
      <c r="AC41" s="875"/>
      <c r="AD41" s="879"/>
      <c r="AE41" s="875"/>
    </row>
    <row r="42" spans="1:31" s="296" customFormat="1">
      <c r="A42" s="858" t="s">
        <v>667</v>
      </c>
      <c r="B42" s="859">
        <f t="shared" ref="B42:H42" si="3">SUM(B36:B41)</f>
        <v>289637.24</v>
      </c>
      <c r="C42" s="859">
        <f t="shared" si="3"/>
        <v>0</v>
      </c>
      <c r="D42" s="859">
        <f t="shared" si="3"/>
        <v>289637.24</v>
      </c>
      <c r="E42" s="859">
        <f t="shared" si="3"/>
        <v>18270.283800000001</v>
      </c>
      <c r="F42" s="859">
        <f t="shared" si="3"/>
        <v>113053.72035555592</v>
      </c>
      <c r="G42" s="859">
        <f t="shared" si="3"/>
        <v>131324.00415555594</v>
      </c>
      <c r="H42" s="859">
        <f t="shared" si="3"/>
        <v>154423.17274444408</v>
      </c>
      <c r="I42" s="303"/>
      <c r="J42" s="303"/>
      <c r="K42" s="870">
        <f>SUM(K36:K41)</f>
        <v>16215.689607544486</v>
      </c>
      <c r="L42" s="870">
        <f>SUM(L36:L41)</f>
        <v>65.018803558718858</v>
      </c>
      <c r="M42" s="870">
        <f>SUM(M36:M41)</f>
        <v>1989.5753888967974</v>
      </c>
      <c r="N42" s="871"/>
      <c r="O42" s="871"/>
      <c r="P42" s="871"/>
      <c r="Q42" s="870">
        <f>SUM(Q36:Q41)</f>
        <v>136741.41093316863</v>
      </c>
      <c r="R42" s="870">
        <f>SUM(R36:R41)</f>
        <v>531.75506314748782</v>
      </c>
      <c r="S42" s="870">
        <f>SUM(S36:S41)</f>
        <v>17150.006748127969</v>
      </c>
      <c r="T42" s="871"/>
      <c r="U42" s="871"/>
      <c r="W42" s="880">
        <f>SUM(W36:W41)</f>
        <v>16176.678325409255</v>
      </c>
      <c r="X42" s="880">
        <f>SUM(X36:X41)</f>
        <v>39.011282135230431</v>
      </c>
      <c r="Y42" s="881"/>
      <c r="Z42" s="882"/>
      <c r="AA42" s="883"/>
      <c r="AB42" s="880">
        <f>SUM(AB36:AB41)</f>
        <v>136385.47730364552</v>
      </c>
      <c r="AC42" s="880">
        <f>SUM(AC36:AC41)</f>
        <v>355.93362952311509</v>
      </c>
      <c r="AD42" s="881"/>
      <c r="AE42" s="875">
        <f>Q42-AB42-AC42</f>
        <v>3.637978807091713E-12</v>
      </c>
    </row>
    <row r="43" spans="1:31">
      <c r="A43" s="852"/>
      <c r="B43" s="857"/>
      <c r="C43" s="857"/>
      <c r="D43" s="857"/>
      <c r="E43" s="857"/>
      <c r="F43" s="857"/>
      <c r="G43" s="857"/>
      <c r="H43" s="857"/>
      <c r="J43" s="298"/>
      <c r="K43" s="869"/>
      <c r="L43" s="869"/>
      <c r="M43" s="869"/>
      <c r="N43" s="864"/>
      <c r="O43" s="863"/>
      <c r="P43" s="863"/>
      <c r="Q43" s="869"/>
      <c r="R43" s="869"/>
      <c r="S43" s="869"/>
      <c r="T43" s="864"/>
      <c r="U43" s="863"/>
      <c r="W43" s="875"/>
      <c r="X43" s="875"/>
      <c r="Y43" s="879"/>
      <c r="Z43" s="875"/>
      <c r="AA43" s="874"/>
      <c r="AB43" s="875"/>
      <c r="AC43" s="875"/>
      <c r="AD43" s="879"/>
      <c r="AE43" s="875"/>
    </row>
    <row r="44" spans="1:31" s="296" customFormat="1" ht="12.75" thickBot="1">
      <c r="A44" s="860" t="s">
        <v>3</v>
      </c>
      <c r="B44" s="861">
        <f t="shared" ref="B44:H44" si="4">B15+B26+B34+B42</f>
        <v>3259181.4649999999</v>
      </c>
      <c r="C44" s="861">
        <f t="shared" si="4"/>
        <v>458176.31030000001</v>
      </c>
      <c r="D44" s="861">
        <f t="shared" si="4"/>
        <v>2792605.1546999998</v>
      </c>
      <c r="E44" s="861">
        <f t="shared" si="4"/>
        <v>187405.98529713723</v>
      </c>
      <c r="F44" s="861">
        <f t="shared" si="4"/>
        <v>1699126.1376615867</v>
      </c>
      <c r="G44" s="861">
        <f t="shared" si="4"/>
        <v>1886532.1229587239</v>
      </c>
      <c r="H44" s="861">
        <f t="shared" si="4"/>
        <v>1067271.2246898448</v>
      </c>
      <c r="I44" s="303"/>
      <c r="J44" s="303"/>
      <c r="K44" s="873">
        <f t="shared" ref="K44:M44" si="5">K15+K26+K34+K42</f>
        <v>164748.16400720272</v>
      </c>
      <c r="L44" s="873">
        <f t="shared" si="5"/>
        <v>89.627416174455945</v>
      </c>
      <c r="M44" s="873">
        <f t="shared" si="5"/>
        <v>22568.193873760036</v>
      </c>
      <c r="N44" s="871"/>
      <c r="O44" s="868">
        <f>E44-K44-L44-M44</f>
        <v>0</v>
      </c>
      <c r="P44" s="871"/>
      <c r="Q44" s="873">
        <f t="shared" ref="Q44:S44" si="6">Q15+Q26+Q34+Q42</f>
        <v>942817.78183782089</v>
      </c>
      <c r="R44" s="873">
        <f t="shared" si="6"/>
        <v>9075.598624180333</v>
      </c>
      <c r="S44" s="873">
        <f t="shared" si="6"/>
        <v>115377.84422784341</v>
      </c>
      <c r="T44" s="871"/>
      <c r="U44" s="868">
        <f>H44-Q44-R44-S44</f>
        <v>1.3096723705530167E-10</v>
      </c>
      <c r="W44" s="884">
        <f t="shared" ref="W44:X44" si="7">W15+W26+W34+W42</f>
        <v>164657.54753944435</v>
      </c>
      <c r="X44" s="884">
        <f t="shared" si="7"/>
        <v>90.616467758379258</v>
      </c>
      <c r="Y44" s="881"/>
      <c r="Z44" s="875">
        <f>K44-W44-X44</f>
        <v>-6.3664629124104977E-12</v>
      </c>
      <c r="AA44" s="883"/>
      <c r="AB44" s="884">
        <f t="shared" ref="AB44:AC44" si="8">AB15+AB26+AB34+AB42</f>
        <v>917048.83329191431</v>
      </c>
      <c r="AC44" s="884">
        <f t="shared" si="8"/>
        <v>25768.94854590666</v>
      </c>
      <c r="AD44" s="881"/>
      <c r="AE44" s="875">
        <f>Q44-AB44-AC44</f>
        <v>-8.3673512563109398E-11</v>
      </c>
    </row>
    <row r="45" spans="1:31" ht="12.75" thickTop="1">
      <c r="A45" s="852"/>
      <c r="B45" s="862"/>
      <c r="C45" s="862"/>
      <c r="D45" s="862"/>
      <c r="E45" s="862"/>
      <c r="F45" s="862"/>
      <c r="G45" s="862"/>
      <c r="H45" s="862">
        <f>H44-'2120 Depr'!AB306</f>
        <v>25000</v>
      </c>
      <c r="J45" s="298"/>
      <c r="K45" s="869"/>
      <c r="L45" s="869"/>
      <c r="M45" s="869"/>
      <c r="N45" s="864"/>
      <c r="O45" s="863"/>
      <c r="P45" s="863"/>
      <c r="Q45" s="863"/>
      <c r="R45" s="863"/>
      <c r="S45" s="864"/>
      <c r="T45" s="863"/>
      <c r="U45" s="863"/>
      <c r="W45" s="874"/>
      <c r="X45" s="874"/>
      <c r="Y45" s="874"/>
      <c r="Z45" s="875"/>
      <c r="AA45" s="874"/>
      <c r="AB45" s="874"/>
      <c r="AC45" s="874"/>
      <c r="AD45" s="874"/>
      <c r="AE45" s="874"/>
    </row>
    <row r="46" spans="1:31">
      <c r="A46" s="852"/>
      <c r="B46" s="853"/>
      <c r="C46" s="853"/>
      <c r="D46" s="853"/>
      <c r="E46" s="853"/>
      <c r="F46" s="853"/>
      <c r="G46" s="853"/>
      <c r="H46" s="853"/>
      <c r="J46" s="298"/>
      <c r="K46" s="864"/>
      <c r="L46" s="864"/>
      <c r="M46" s="871"/>
      <c r="N46" s="864"/>
      <c r="O46" s="863"/>
      <c r="P46" s="863"/>
      <c r="Q46" s="863"/>
      <c r="R46" s="863"/>
      <c r="S46" s="871"/>
      <c r="T46" s="864"/>
      <c r="U46" s="863"/>
      <c r="W46" s="874"/>
      <c r="X46" s="874"/>
      <c r="Y46" s="874"/>
      <c r="Z46" s="875"/>
      <c r="AA46" s="874"/>
      <c r="AB46" s="874"/>
      <c r="AC46" s="874"/>
      <c r="AD46" s="874"/>
      <c r="AE46" s="874"/>
    </row>
    <row r="47" spans="1:31">
      <c r="H47" s="298"/>
      <c r="J47" s="298"/>
      <c r="K47" s="298"/>
      <c r="L47" s="298"/>
      <c r="M47" s="298"/>
      <c r="N47" s="298"/>
    </row>
  </sheetData>
  <mergeCells count="4">
    <mergeCell ref="K4:M4"/>
    <mergeCell ref="Q4:S4"/>
    <mergeCell ref="W4:Z4"/>
    <mergeCell ref="AB4:AE4"/>
  </mergeCells>
  <pageMargins left="0.75" right="0.75" top="1" bottom="1" header="0.5" footer="0.5"/>
  <pageSetup scale="68" fitToWidth="3" orientation="portrait" horizontalDpi="300" verticalDpi="300" r:id="rId1"/>
  <headerFooter alignWithMargins="0"/>
  <colBreaks count="1" manualBreakCount="1">
    <brk id="10" max="4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tabColor theme="9" tint="0.59999389629810485"/>
    <pageSetUpPr fitToPage="1"/>
  </sheetPr>
  <dimension ref="A1:IU331"/>
  <sheetViews>
    <sheetView workbookViewId="0">
      <selection activeCell="AJ31" sqref="AJ31"/>
    </sheetView>
  </sheetViews>
  <sheetFormatPr defaultColWidth="10.7109375" defaultRowHeight="11.25"/>
  <cols>
    <col min="1" max="1" width="10.28515625" style="302" customWidth="1"/>
    <col min="2" max="2" width="8.7109375" style="306" bestFit="1" customWidth="1"/>
    <col min="3" max="3" width="29.140625" style="302" bestFit="1" customWidth="1"/>
    <col min="4" max="4" width="7.28515625" style="302" bestFit="1" customWidth="1"/>
    <col min="5" max="5" width="3.42578125" style="302" bestFit="1" customWidth="1"/>
    <col min="6" max="6" width="7" style="301" bestFit="1" customWidth="1"/>
    <col min="7" max="7" width="1.5703125" style="302" bestFit="1" customWidth="1"/>
    <col min="8" max="8" width="7" style="302" bestFit="1" customWidth="1"/>
    <col min="9" max="9" width="5.5703125" style="302" bestFit="1" customWidth="1"/>
    <col min="10" max="10" width="5" style="386" bestFit="1" customWidth="1"/>
    <col min="11" max="11" width="5.7109375" style="302" hidden="1" customWidth="1"/>
    <col min="12" max="12" width="3.85546875" style="302" hidden="1" customWidth="1"/>
    <col min="13" max="13" width="9" style="388" bestFit="1" customWidth="1"/>
    <col min="14" max="14" width="6.85546875" style="302" hidden="1" customWidth="1"/>
    <col min="15" max="15" width="9" style="302" bestFit="1" customWidth="1"/>
    <col min="16" max="16" width="11.42578125" style="302" customWidth="1"/>
    <col min="17" max="17" width="9.85546875" style="302" hidden="1" customWidth="1"/>
    <col min="18" max="18" width="6.85546875" style="302" hidden="1" customWidth="1"/>
    <col min="19" max="19" width="9.85546875" style="302" hidden="1" customWidth="1"/>
    <col min="20" max="20" width="5.140625" style="302" hidden="1" customWidth="1"/>
    <col min="21" max="21" width="9.85546875" style="302" bestFit="1" customWidth="1"/>
    <col min="22" max="22" width="1.5703125" style="302" customWidth="1"/>
    <col min="23" max="24" width="10.85546875" style="302" hidden="1" customWidth="1"/>
    <col min="25" max="25" width="6" style="302" hidden="1" customWidth="1"/>
    <col min="26" max="26" width="8.28515625" style="302" bestFit="1" customWidth="1"/>
    <col min="27" max="27" width="9" style="302" bestFit="1" customWidth="1"/>
    <col min="28" max="28" width="10" style="302" bestFit="1" customWidth="1"/>
    <col min="29" max="30" width="7" style="302" hidden="1" customWidth="1"/>
    <col min="31" max="31" width="8.42578125" style="302" hidden="1" customWidth="1"/>
    <col min="32" max="32" width="7" style="302" hidden="1" customWidth="1"/>
    <col min="33" max="33" width="4.5703125" style="302" hidden="1" customWidth="1"/>
    <col min="34" max="72" width="10.7109375" style="302" customWidth="1"/>
    <col min="73" max="73" width="1.85546875" style="302" bestFit="1" customWidth="1"/>
    <col min="74" max="74" width="35.7109375" style="302" bestFit="1" customWidth="1"/>
    <col min="75" max="76" width="10.7109375" style="302" customWidth="1"/>
    <col min="77" max="77" width="2.7109375" style="302" bestFit="1" customWidth="1"/>
    <col min="78" max="78" width="12.140625" style="302" bestFit="1" customWidth="1"/>
    <col min="79" max="254" width="10.7109375" style="302"/>
    <col min="255" max="255" width="7.85546875" style="302" bestFit="1" customWidth="1"/>
    <col min="256" max="256" width="5.28515625" style="302" customWidth="1"/>
    <col min="257" max="257" width="6.42578125" style="302" customWidth="1"/>
    <col min="258" max="258" width="22" style="302" customWidth="1"/>
    <col min="259" max="259" width="7.5703125" style="302" bestFit="1" customWidth="1"/>
    <col min="260" max="260" width="4.42578125" style="302" customWidth="1"/>
    <col min="261" max="261" width="7.42578125" style="302" bestFit="1" customWidth="1"/>
    <col min="262" max="262" width="2.85546875" style="302" bestFit="1" customWidth="1"/>
    <col min="263" max="263" width="7" style="302" bestFit="1" customWidth="1"/>
    <col min="264" max="264" width="5.7109375" style="302" bestFit="1" customWidth="1"/>
    <col min="265" max="265" width="7.85546875" style="302" bestFit="1" customWidth="1"/>
    <col min="266" max="267" width="0" style="302" hidden="1" customWidth="1"/>
    <col min="268" max="268" width="12.5703125" style="302" customWidth="1"/>
    <col min="269" max="269" width="0" style="302" hidden="1" customWidth="1"/>
    <col min="270" max="270" width="11" style="302" customWidth="1"/>
    <col min="271" max="271" width="9.140625" style="302" customWidth="1"/>
    <col min="272" max="272" width="9.85546875" style="302" customWidth="1"/>
    <col min="273" max="276" width="0" style="302" hidden="1" customWidth="1"/>
    <col min="277" max="277" width="1.5703125" style="302" customWidth="1"/>
    <col min="278" max="280" width="0" style="302" hidden="1" customWidth="1"/>
    <col min="281" max="281" width="10.42578125" style="302" customWidth="1"/>
    <col min="282" max="283" width="11" style="302" customWidth="1"/>
    <col min="284" max="284" width="9.42578125" style="302" customWidth="1"/>
    <col min="285" max="285" width="10" style="302" customWidth="1"/>
    <col min="286" max="286" width="11" style="302" customWidth="1"/>
    <col min="287" max="287" width="9.5703125" style="302" customWidth="1"/>
    <col min="288" max="288" width="10.140625" style="302" customWidth="1"/>
    <col min="289" max="328" width="10.7109375" style="302" customWidth="1"/>
    <col min="329" max="329" width="1.85546875" style="302" bestFit="1" customWidth="1"/>
    <col min="330" max="330" width="34.5703125" style="302" bestFit="1" customWidth="1"/>
    <col min="331" max="332" width="10.7109375" style="302" customWidth="1"/>
    <col min="333" max="333" width="2.7109375" style="302" bestFit="1" customWidth="1"/>
    <col min="334" max="334" width="11.5703125" style="302" bestFit="1" customWidth="1"/>
    <col min="335" max="511" width="10.7109375" style="302"/>
    <col min="512" max="512" width="5.28515625" style="302" customWidth="1"/>
    <col min="513" max="513" width="6.42578125" style="302" customWidth="1"/>
    <col min="514" max="514" width="22" style="302" customWidth="1"/>
    <col min="515" max="515" width="7.5703125" style="302" bestFit="1" customWidth="1"/>
    <col min="516" max="516" width="4.42578125" style="302" customWidth="1"/>
    <col min="517" max="517" width="7.42578125" style="302" bestFit="1" customWidth="1"/>
    <col min="518" max="518" width="2.85546875" style="302" bestFit="1" customWidth="1"/>
    <col min="519" max="519" width="7" style="302" bestFit="1" customWidth="1"/>
    <col min="520" max="520" width="5.7109375" style="302" bestFit="1" customWidth="1"/>
    <col min="521" max="521" width="7.85546875" style="302" bestFit="1" customWidth="1"/>
    <col min="522" max="523" width="0" style="302" hidden="1" customWidth="1"/>
    <col min="524" max="524" width="12.5703125" style="302" customWidth="1"/>
    <col min="525" max="525" width="0" style="302" hidden="1" customWidth="1"/>
    <col min="526" max="526" width="11" style="302" customWidth="1"/>
    <col min="527" max="527" width="9.140625" style="302" customWidth="1"/>
    <col min="528" max="528" width="9.85546875" style="302" customWidth="1"/>
    <col min="529" max="532" width="0" style="302" hidden="1" customWidth="1"/>
    <col min="533" max="533" width="1.5703125" style="302" customWidth="1"/>
    <col min="534" max="536" width="0" style="302" hidden="1" customWidth="1"/>
    <col min="537" max="537" width="10.42578125" style="302" customWidth="1"/>
    <col min="538" max="539" width="11" style="302" customWidth="1"/>
    <col min="540" max="540" width="9.42578125" style="302" customWidth="1"/>
    <col min="541" max="541" width="10" style="302" customWidth="1"/>
    <col min="542" max="542" width="11" style="302" customWidth="1"/>
    <col min="543" max="543" width="9.5703125" style="302" customWidth="1"/>
    <col min="544" max="544" width="10.140625" style="302" customWidth="1"/>
    <col min="545" max="584" width="10.7109375" style="302" customWidth="1"/>
    <col min="585" max="585" width="1.85546875" style="302" bestFit="1" customWidth="1"/>
    <col min="586" max="586" width="34.5703125" style="302" bestFit="1" customWidth="1"/>
    <col min="587" max="588" width="10.7109375" style="302" customWidth="1"/>
    <col min="589" max="589" width="2.7109375" style="302" bestFit="1" customWidth="1"/>
    <col min="590" max="590" width="11.5703125" style="302" bestFit="1" customWidth="1"/>
    <col min="591" max="767" width="10.7109375" style="302"/>
    <col min="768" max="768" width="5.28515625" style="302" customWidth="1"/>
    <col min="769" max="769" width="6.42578125" style="302" customWidth="1"/>
    <col min="770" max="770" width="22" style="302" customWidth="1"/>
    <col min="771" max="771" width="7.5703125" style="302" bestFit="1" customWidth="1"/>
    <col min="772" max="772" width="4.42578125" style="302" customWidth="1"/>
    <col min="773" max="773" width="7.42578125" style="302" bestFit="1" customWidth="1"/>
    <col min="774" max="774" width="2.85546875" style="302" bestFit="1" customWidth="1"/>
    <col min="775" max="775" width="7" style="302" bestFit="1" customWidth="1"/>
    <col min="776" max="776" width="5.7109375" style="302" bestFit="1" customWidth="1"/>
    <col min="777" max="777" width="7.85546875" style="302" bestFit="1" customWidth="1"/>
    <col min="778" max="779" width="0" style="302" hidden="1" customWidth="1"/>
    <col min="780" max="780" width="12.5703125" style="302" customWidth="1"/>
    <col min="781" max="781" width="0" style="302" hidden="1" customWidth="1"/>
    <col min="782" max="782" width="11" style="302" customWidth="1"/>
    <col min="783" max="783" width="9.140625" style="302" customWidth="1"/>
    <col min="784" max="784" width="9.85546875" style="302" customWidth="1"/>
    <col min="785" max="788" width="0" style="302" hidden="1" customWidth="1"/>
    <col min="789" max="789" width="1.5703125" style="302" customWidth="1"/>
    <col min="790" max="792" width="0" style="302" hidden="1" customWidth="1"/>
    <col min="793" max="793" width="10.42578125" style="302" customWidth="1"/>
    <col min="794" max="795" width="11" style="302" customWidth="1"/>
    <col min="796" max="796" width="9.42578125" style="302" customWidth="1"/>
    <col min="797" max="797" width="10" style="302" customWidth="1"/>
    <col min="798" max="798" width="11" style="302" customWidth="1"/>
    <col min="799" max="799" width="9.5703125" style="302" customWidth="1"/>
    <col min="800" max="800" width="10.140625" style="302" customWidth="1"/>
    <col min="801" max="840" width="10.7109375" style="302" customWidth="1"/>
    <col min="841" max="841" width="1.85546875" style="302" bestFit="1" customWidth="1"/>
    <col min="842" max="842" width="34.5703125" style="302" bestFit="1" customWidth="1"/>
    <col min="843" max="844" width="10.7109375" style="302" customWidth="1"/>
    <col min="845" max="845" width="2.7109375" style="302" bestFit="1" customWidth="1"/>
    <col min="846" max="846" width="11.5703125" style="302" bestFit="1" customWidth="1"/>
    <col min="847" max="1023" width="10.7109375" style="302"/>
    <col min="1024" max="1024" width="5.28515625" style="302" customWidth="1"/>
    <col min="1025" max="1025" width="6.42578125" style="302" customWidth="1"/>
    <col min="1026" max="1026" width="22" style="302" customWidth="1"/>
    <col min="1027" max="1027" width="7.5703125" style="302" bestFit="1" customWidth="1"/>
    <col min="1028" max="1028" width="4.42578125" style="302" customWidth="1"/>
    <col min="1029" max="1029" width="7.42578125" style="302" bestFit="1" customWidth="1"/>
    <col min="1030" max="1030" width="2.85546875" style="302" bestFit="1" customWidth="1"/>
    <col min="1031" max="1031" width="7" style="302" bestFit="1" customWidth="1"/>
    <col min="1032" max="1032" width="5.7109375" style="302" bestFit="1" customWidth="1"/>
    <col min="1033" max="1033" width="7.85546875" style="302" bestFit="1" customWidth="1"/>
    <col min="1034" max="1035" width="0" style="302" hidden="1" customWidth="1"/>
    <col min="1036" max="1036" width="12.5703125" style="302" customWidth="1"/>
    <col min="1037" max="1037" width="0" style="302" hidden="1" customWidth="1"/>
    <col min="1038" max="1038" width="11" style="302" customWidth="1"/>
    <col min="1039" max="1039" width="9.140625" style="302" customWidth="1"/>
    <col min="1040" max="1040" width="9.85546875" style="302" customWidth="1"/>
    <col min="1041" max="1044" width="0" style="302" hidden="1" customWidth="1"/>
    <col min="1045" max="1045" width="1.5703125" style="302" customWidth="1"/>
    <col min="1046" max="1048" width="0" style="302" hidden="1" customWidth="1"/>
    <col min="1049" max="1049" width="10.42578125" style="302" customWidth="1"/>
    <col min="1050" max="1051" width="11" style="302" customWidth="1"/>
    <col min="1052" max="1052" width="9.42578125" style="302" customWidth="1"/>
    <col min="1053" max="1053" width="10" style="302" customWidth="1"/>
    <col min="1054" max="1054" width="11" style="302" customWidth="1"/>
    <col min="1055" max="1055" width="9.5703125" style="302" customWidth="1"/>
    <col min="1056" max="1056" width="10.140625" style="302" customWidth="1"/>
    <col min="1057" max="1096" width="10.7109375" style="302" customWidth="1"/>
    <col min="1097" max="1097" width="1.85546875" style="302" bestFit="1" customWidth="1"/>
    <col min="1098" max="1098" width="34.5703125" style="302" bestFit="1" customWidth="1"/>
    <col min="1099" max="1100" width="10.7109375" style="302" customWidth="1"/>
    <col min="1101" max="1101" width="2.7109375" style="302" bestFit="1" customWidth="1"/>
    <col min="1102" max="1102" width="11.5703125" style="302" bestFit="1" customWidth="1"/>
    <col min="1103" max="1279" width="10.7109375" style="302"/>
    <col min="1280" max="1280" width="5.28515625" style="302" customWidth="1"/>
    <col min="1281" max="1281" width="6.42578125" style="302" customWidth="1"/>
    <col min="1282" max="1282" width="22" style="302" customWidth="1"/>
    <col min="1283" max="1283" width="7.5703125" style="302" bestFit="1" customWidth="1"/>
    <col min="1284" max="1284" width="4.42578125" style="302" customWidth="1"/>
    <col min="1285" max="1285" width="7.42578125" style="302" bestFit="1" customWidth="1"/>
    <col min="1286" max="1286" width="2.85546875" style="302" bestFit="1" customWidth="1"/>
    <col min="1287" max="1287" width="7" style="302" bestFit="1" customWidth="1"/>
    <col min="1288" max="1288" width="5.7109375" style="302" bestFit="1" customWidth="1"/>
    <col min="1289" max="1289" width="7.85546875" style="302" bestFit="1" customWidth="1"/>
    <col min="1290" max="1291" width="0" style="302" hidden="1" customWidth="1"/>
    <col min="1292" max="1292" width="12.5703125" style="302" customWidth="1"/>
    <col min="1293" max="1293" width="0" style="302" hidden="1" customWidth="1"/>
    <col min="1294" max="1294" width="11" style="302" customWidth="1"/>
    <col min="1295" max="1295" width="9.140625" style="302" customWidth="1"/>
    <col min="1296" max="1296" width="9.85546875" style="302" customWidth="1"/>
    <col min="1297" max="1300" width="0" style="302" hidden="1" customWidth="1"/>
    <col min="1301" max="1301" width="1.5703125" style="302" customWidth="1"/>
    <col min="1302" max="1304" width="0" style="302" hidden="1" customWidth="1"/>
    <col min="1305" max="1305" width="10.42578125" style="302" customWidth="1"/>
    <col min="1306" max="1307" width="11" style="302" customWidth="1"/>
    <col min="1308" max="1308" width="9.42578125" style="302" customWidth="1"/>
    <col min="1309" max="1309" width="10" style="302" customWidth="1"/>
    <col min="1310" max="1310" width="11" style="302" customWidth="1"/>
    <col min="1311" max="1311" width="9.5703125" style="302" customWidth="1"/>
    <col min="1312" max="1312" width="10.140625" style="302" customWidth="1"/>
    <col min="1313" max="1352" width="10.7109375" style="302" customWidth="1"/>
    <col min="1353" max="1353" width="1.85546875" style="302" bestFit="1" customWidth="1"/>
    <col min="1354" max="1354" width="34.5703125" style="302" bestFit="1" customWidth="1"/>
    <col min="1355" max="1356" width="10.7109375" style="302" customWidth="1"/>
    <col min="1357" max="1357" width="2.7109375" style="302" bestFit="1" customWidth="1"/>
    <col min="1358" max="1358" width="11.5703125" style="302" bestFit="1" customWidth="1"/>
    <col min="1359" max="1535" width="10.7109375" style="302"/>
    <col min="1536" max="1536" width="5.28515625" style="302" customWidth="1"/>
    <col min="1537" max="1537" width="6.42578125" style="302" customWidth="1"/>
    <col min="1538" max="1538" width="22" style="302" customWidth="1"/>
    <col min="1539" max="1539" width="7.5703125" style="302" bestFit="1" customWidth="1"/>
    <col min="1540" max="1540" width="4.42578125" style="302" customWidth="1"/>
    <col min="1541" max="1541" width="7.42578125" style="302" bestFit="1" customWidth="1"/>
    <col min="1542" max="1542" width="2.85546875" style="302" bestFit="1" customWidth="1"/>
    <col min="1543" max="1543" width="7" style="302" bestFit="1" customWidth="1"/>
    <col min="1544" max="1544" width="5.7109375" style="302" bestFit="1" customWidth="1"/>
    <col min="1545" max="1545" width="7.85546875" style="302" bestFit="1" customWidth="1"/>
    <col min="1546" max="1547" width="0" style="302" hidden="1" customWidth="1"/>
    <col min="1548" max="1548" width="12.5703125" style="302" customWidth="1"/>
    <col min="1549" max="1549" width="0" style="302" hidden="1" customWidth="1"/>
    <col min="1550" max="1550" width="11" style="302" customWidth="1"/>
    <col min="1551" max="1551" width="9.140625" style="302" customWidth="1"/>
    <col min="1552" max="1552" width="9.85546875" style="302" customWidth="1"/>
    <col min="1553" max="1556" width="0" style="302" hidden="1" customWidth="1"/>
    <col min="1557" max="1557" width="1.5703125" style="302" customWidth="1"/>
    <col min="1558" max="1560" width="0" style="302" hidden="1" customWidth="1"/>
    <col min="1561" max="1561" width="10.42578125" style="302" customWidth="1"/>
    <col min="1562" max="1563" width="11" style="302" customWidth="1"/>
    <col min="1564" max="1564" width="9.42578125" style="302" customWidth="1"/>
    <col min="1565" max="1565" width="10" style="302" customWidth="1"/>
    <col min="1566" max="1566" width="11" style="302" customWidth="1"/>
    <col min="1567" max="1567" width="9.5703125" style="302" customWidth="1"/>
    <col min="1568" max="1568" width="10.140625" style="302" customWidth="1"/>
    <col min="1569" max="1608" width="10.7109375" style="302" customWidth="1"/>
    <col min="1609" max="1609" width="1.85546875" style="302" bestFit="1" customWidth="1"/>
    <col min="1610" max="1610" width="34.5703125" style="302" bestFit="1" customWidth="1"/>
    <col min="1611" max="1612" width="10.7109375" style="302" customWidth="1"/>
    <col min="1613" max="1613" width="2.7109375" style="302" bestFit="1" customWidth="1"/>
    <col min="1614" max="1614" width="11.5703125" style="302" bestFit="1" customWidth="1"/>
    <col min="1615" max="1791" width="10.7109375" style="302"/>
    <col min="1792" max="1792" width="5.28515625" style="302" customWidth="1"/>
    <col min="1793" max="1793" width="6.42578125" style="302" customWidth="1"/>
    <col min="1794" max="1794" width="22" style="302" customWidth="1"/>
    <col min="1795" max="1795" width="7.5703125" style="302" bestFit="1" customWidth="1"/>
    <col min="1796" max="1796" width="4.42578125" style="302" customWidth="1"/>
    <col min="1797" max="1797" width="7.42578125" style="302" bestFit="1" customWidth="1"/>
    <col min="1798" max="1798" width="2.85546875" style="302" bestFit="1" customWidth="1"/>
    <col min="1799" max="1799" width="7" style="302" bestFit="1" customWidth="1"/>
    <col min="1800" max="1800" width="5.7109375" style="302" bestFit="1" customWidth="1"/>
    <col min="1801" max="1801" width="7.85546875" style="302" bestFit="1" customWidth="1"/>
    <col min="1802" max="1803" width="0" style="302" hidden="1" customWidth="1"/>
    <col min="1804" max="1804" width="12.5703125" style="302" customWidth="1"/>
    <col min="1805" max="1805" width="0" style="302" hidden="1" customWidth="1"/>
    <col min="1806" max="1806" width="11" style="302" customWidth="1"/>
    <col min="1807" max="1807" width="9.140625" style="302" customWidth="1"/>
    <col min="1808" max="1808" width="9.85546875" style="302" customWidth="1"/>
    <col min="1809" max="1812" width="0" style="302" hidden="1" customWidth="1"/>
    <col min="1813" max="1813" width="1.5703125" style="302" customWidth="1"/>
    <col min="1814" max="1816" width="0" style="302" hidden="1" customWidth="1"/>
    <col min="1817" max="1817" width="10.42578125" style="302" customWidth="1"/>
    <col min="1818" max="1819" width="11" style="302" customWidth="1"/>
    <col min="1820" max="1820" width="9.42578125" style="302" customWidth="1"/>
    <col min="1821" max="1821" width="10" style="302" customWidth="1"/>
    <col min="1822" max="1822" width="11" style="302" customWidth="1"/>
    <col min="1823" max="1823" width="9.5703125" style="302" customWidth="1"/>
    <col min="1824" max="1824" width="10.140625" style="302" customWidth="1"/>
    <col min="1825" max="1864" width="10.7109375" style="302" customWidth="1"/>
    <col min="1865" max="1865" width="1.85546875" style="302" bestFit="1" customWidth="1"/>
    <col min="1866" max="1866" width="34.5703125" style="302" bestFit="1" customWidth="1"/>
    <col min="1867" max="1868" width="10.7109375" style="302" customWidth="1"/>
    <col min="1869" max="1869" width="2.7109375" style="302" bestFit="1" customWidth="1"/>
    <col min="1870" max="1870" width="11.5703125" style="302" bestFit="1" customWidth="1"/>
    <col min="1871" max="2047" width="10.7109375" style="302"/>
    <col min="2048" max="2048" width="5.28515625" style="302" customWidth="1"/>
    <col min="2049" max="2049" width="6.42578125" style="302" customWidth="1"/>
    <col min="2050" max="2050" width="22" style="302" customWidth="1"/>
    <col min="2051" max="2051" width="7.5703125" style="302" bestFit="1" customWidth="1"/>
    <col min="2052" max="2052" width="4.42578125" style="302" customWidth="1"/>
    <col min="2053" max="2053" width="7.42578125" style="302" bestFit="1" customWidth="1"/>
    <col min="2054" max="2054" width="2.85546875" style="302" bestFit="1" customWidth="1"/>
    <col min="2055" max="2055" width="7" style="302" bestFit="1" customWidth="1"/>
    <col min="2056" max="2056" width="5.7109375" style="302" bestFit="1" customWidth="1"/>
    <col min="2057" max="2057" width="7.85546875" style="302" bestFit="1" customWidth="1"/>
    <col min="2058" max="2059" width="0" style="302" hidden="1" customWidth="1"/>
    <col min="2060" max="2060" width="12.5703125" style="302" customWidth="1"/>
    <col min="2061" max="2061" width="0" style="302" hidden="1" customWidth="1"/>
    <col min="2062" max="2062" width="11" style="302" customWidth="1"/>
    <col min="2063" max="2063" width="9.140625" style="302" customWidth="1"/>
    <col min="2064" max="2064" width="9.85546875" style="302" customWidth="1"/>
    <col min="2065" max="2068" width="0" style="302" hidden="1" customWidth="1"/>
    <col min="2069" max="2069" width="1.5703125" style="302" customWidth="1"/>
    <col min="2070" max="2072" width="0" style="302" hidden="1" customWidth="1"/>
    <col min="2073" max="2073" width="10.42578125" style="302" customWidth="1"/>
    <col min="2074" max="2075" width="11" style="302" customWidth="1"/>
    <col min="2076" max="2076" width="9.42578125" style="302" customWidth="1"/>
    <col min="2077" max="2077" width="10" style="302" customWidth="1"/>
    <col min="2078" max="2078" width="11" style="302" customWidth="1"/>
    <col min="2079" max="2079" width="9.5703125" style="302" customWidth="1"/>
    <col min="2080" max="2080" width="10.140625" style="302" customWidth="1"/>
    <col min="2081" max="2120" width="10.7109375" style="302" customWidth="1"/>
    <col min="2121" max="2121" width="1.85546875" style="302" bestFit="1" customWidth="1"/>
    <col min="2122" max="2122" width="34.5703125" style="302" bestFit="1" customWidth="1"/>
    <col min="2123" max="2124" width="10.7109375" style="302" customWidth="1"/>
    <col min="2125" max="2125" width="2.7109375" style="302" bestFit="1" customWidth="1"/>
    <col min="2126" max="2126" width="11.5703125" style="302" bestFit="1" customWidth="1"/>
    <col min="2127" max="2303" width="10.7109375" style="302"/>
    <col min="2304" max="2304" width="5.28515625" style="302" customWidth="1"/>
    <col min="2305" max="2305" width="6.42578125" style="302" customWidth="1"/>
    <col min="2306" max="2306" width="22" style="302" customWidth="1"/>
    <col min="2307" max="2307" width="7.5703125" style="302" bestFit="1" customWidth="1"/>
    <col min="2308" max="2308" width="4.42578125" style="302" customWidth="1"/>
    <col min="2309" max="2309" width="7.42578125" style="302" bestFit="1" customWidth="1"/>
    <col min="2310" max="2310" width="2.85546875" style="302" bestFit="1" customWidth="1"/>
    <col min="2311" max="2311" width="7" style="302" bestFit="1" customWidth="1"/>
    <col min="2312" max="2312" width="5.7109375" style="302" bestFit="1" customWidth="1"/>
    <col min="2313" max="2313" width="7.85546875" style="302" bestFit="1" customWidth="1"/>
    <col min="2314" max="2315" width="0" style="302" hidden="1" customWidth="1"/>
    <col min="2316" max="2316" width="12.5703125" style="302" customWidth="1"/>
    <col min="2317" max="2317" width="0" style="302" hidden="1" customWidth="1"/>
    <col min="2318" max="2318" width="11" style="302" customWidth="1"/>
    <col min="2319" max="2319" width="9.140625" style="302" customWidth="1"/>
    <col min="2320" max="2320" width="9.85546875" style="302" customWidth="1"/>
    <col min="2321" max="2324" width="0" style="302" hidden="1" customWidth="1"/>
    <col min="2325" max="2325" width="1.5703125" style="302" customWidth="1"/>
    <col min="2326" max="2328" width="0" style="302" hidden="1" customWidth="1"/>
    <col min="2329" max="2329" width="10.42578125" style="302" customWidth="1"/>
    <col min="2330" max="2331" width="11" style="302" customWidth="1"/>
    <col min="2332" max="2332" width="9.42578125" style="302" customWidth="1"/>
    <col min="2333" max="2333" width="10" style="302" customWidth="1"/>
    <col min="2334" max="2334" width="11" style="302" customWidth="1"/>
    <col min="2335" max="2335" width="9.5703125" style="302" customWidth="1"/>
    <col min="2336" max="2336" width="10.140625" style="302" customWidth="1"/>
    <col min="2337" max="2376" width="10.7109375" style="302" customWidth="1"/>
    <col min="2377" max="2377" width="1.85546875" style="302" bestFit="1" customWidth="1"/>
    <col min="2378" max="2378" width="34.5703125" style="302" bestFit="1" customWidth="1"/>
    <col min="2379" max="2380" width="10.7109375" style="302" customWidth="1"/>
    <col min="2381" max="2381" width="2.7109375" style="302" bestFit="1" customWidth="1"/>
    <col min="2382" max="2382" width="11.5703125" style="302" bestFit="1" customWidth="1"/>
    <col min="2383" max="2559" width="10.7109375" style="302"/>
    <col min="2560" max="2560" width="5.28515625" style="302" customWidth="1"/>
    <col min="2561" max="2561" width="6.42578125" style="302" customWidth="1"/>
    <col min="2562" max="2562" width="22" style="302" customWidth="1"/>
    <col min="2563" max="2563" width="7.5703125" style="302" bestFit="1" customWidth="1"/>
    <col min="2564" max="2564" width="4.42578125" style="302" customWidth="1"/>
    <col min="2565" max="2565" width="7.42578125" style="302" bestFit="1" customWidth="1"/>
    <col min="2566" max="2566" width="2.85546875" style="302" bestFit="1" customWidth="1"/>
    <col min="2567" max="2567" width="7" style="302" bestFit="1" customWidth="1"/>
    <col min="2568" max="2568" width="5.7109375" style="302" bestFit="1" customWidth="1"/>
    <col min="2569" max="2569" width="7.85546875" style="302" bestFit="1" customWidth="1"/>
    <col min="2570" max="2571" width="0" style="302" hidden="1" customWidth="1"/>
    <col min="2572" max="2572" width="12.5703125" style="302" customWidth="1"/>
    <col min="2573" max="2573" width="0" style="302" hidden="1" customWidth="1"/>
    <col min="2574" max="2574" width="11" style="302" customWidth="1"/>
    <col min="2575" max="2575" width="9.140625" style="302" customWidth="1"/>
    <col min="2576" max="2576" width="9.85546875" style="302" customWidth="1"/>
    <col min="2577" max="2580" width="0" style="302" hidden="1" customWidth="1"/>
    <col min="2581" max="2581" width="1.5703125" style="302" customWidth="1"/>
    <col min="2582" max="2584" width="0" style="302" hidden="1" customWidth="1"/>
    <col min="2585" max="2585" width="10.42578125" style="302" customWidth="1"/>
    <col min="2586" max="2587" width="11" style="302" customWidth="1"/>
    <col min="2588" max="2588" width="9.42578125" style="302" customWidth="1"/>
    <col min="2589" max="2589" width="10" style="302" customWidth="1"/>
    <col min="2590" max="2590" width="11" style="302" customWidth="1"/>
    <col min="2591" max="2591" width="9.5703125" style="302" customWidth="1"/>
    <col min="2592" max="2592" width="10.140625" style="302" customWidth="1"/>
    <col min="2593" max="2632" width="10.7109375" style="302" customWidth="1"/>
    <col min="2633" max="2633" width="1.85546875" style="302" bestFit="1" customWidth="1"/>
    <col min="2634" max="2634" width="34.5703125" style="302" bestFit="1" customWidth="1"/>
    <col min="2635" max="2636" width="10.7109375" style="302" customWidth="1"/>
    <col min="2637" max="2637" width="2.7109375" style="302" bestFit="1" customWidth="1"/>
    <col min="2638" max="2638" width="11.5703125" style="302" bestFit="1" customWidth="1"/>
    <col min="2639" max="2815" width="10.7109375" style="302"/>
    <col min="2816" max="2816" width="5.28515625" style="302" customWidth="1"/>
    <col min="2817" max="2817" width="6.42578125" style="302" customWidth="1"/>
    <col min="2818" max="2818" width="22" style="302" customWidth="1"/>
    <col min="2819" max="2819" width="7.5703125" style="302" bestFit="1" customWidth="1"/>
    <col min="2820" max="2820" width="4.42578125" style="302" customWidth="1"/>
    <col min="2821" max="2821" width="7.42578125" style="302" bestFit="1" customWidth="1"/>
    <col min="2822" max="2822" width="2.85546875" style="302" bestFit="1" customWidth="1"/>
    <col min="2823" max="2823" width="7" style="302" bestFit="1" customWidth="1"/>
    <col min="2824" max="2824" width="5.7109375" style="302" bestFit="1" customWidth="1"/>
    <col min="2825" max="2825" width="7.85546875" style="302" bestFit="1" customWidth="1"/>
    <col min="2826" max="2827" width="0" style="302" hidden="1" customWidth="1"/>
    <col min="2828" max="2828" width="12.5703125" style="302" customWidth="1"/>
    <col min="2829" max="2829" width="0" style="302" hidden="1" customWidth="1"/>
    <col min="2830" max="2830" width="11" style="302" customWidth="1"/>
    <col min="2831" max="2831" width="9.140625" style="302" customWidth="1"/>
    <col min="2832" max="2832" width="9.85546875" style="302" customWidth="1"/>
    <col min="2833" max="2836" width="0" style="302" hidden="1" customWidth="1"/>
    <col min="2837" max="2837" width="1.5703125" style="302" customWidth="1"/>
    <col min="2838" max="2840" width="0" style="302" hidden="1" customWidth="1"/>
    <col min="2841" max="2841" width="10.42578125" style="302" customWidth="1"/>
    <col min="2842" max="2843" width="11" style="302" customWidth="1"/>
    <col min="2844" max="2844" width="9.42578125" style="302" customWidth="1"/>
    <col min="2845" max="2845" width="10" style="302" customWidth="1"/>
    <col min="2846" max="2846" width="11" style="302" customWidth="1"/>
    <col min="2847" max="2847" width="9.5703125" style="302" customWidth="1"/>
    <col min="2848" max="2848" width="10.140625" style="302" customWidth="1"/>
    <col min="2849" max="2888" width="10.7109375" style="302" customWidth="1"/>
    <col min="2889" max="2889" width="1.85546875" style="302" bestFit="1" customWidth="1"/>
    <col min="2890" max="2890" width="34.5703125" style="302" bestFit="1" customWidth="1"/>
    <col min="2891" max="2892" width="10.7109375" style="302" customWidth="1"/>
    <col min="2893" max="2893" width="2.7109375" style="302" bestFit="1" customWidth="1"/>
    <col min="2894" max="2894" width="11.5703125" style="302" bestFit="1" customWidth="1"/>
    <col min="2895" max="3071" width="10.7109375" style="302"/>
    <col min="3072" max="3072" width="5.28515625" style="302" customWidth="1"/>
    <col min="3073" max="3073" width="6.42578125" style="302" customWidth="1"/>
    <col min="3074" max="3074" width="22" style="302" customWidth="1"/>
    <col min="3075" max="3075" width="7.5703125" style="302" bestFit="1" customWidth="1"/>
    <col min="3076" max="3076" width="4.42578125" style="302" customWidth="1"/>
    <col min="3077" max="3077" width="7.42578125" style="302" bestFit="1" customWidth="1"/>
    <col min="3078" max="3078" width="2.85546875" style="302" bestFit="1" customWidth="1"/>
    <col min="3079" max="3079" width="7" style="302" bestFit="1" customWidth="1"/>
    <col min="3080" max="3080" width="5.7109375" style="302" bestFit="1" customWidth="1"/>
    <col min="3081" max="3081" width="7.85546875" style="302" bestFit="1" customWidth="1"/>
    <col min="3082" max="3083" width="0" style="302" hidden="1" customWidth="1"/>
    <col min="3084" max="3084" width="12.5703125" style="302" customWidth="1"/>
    <col min="3085" max="3085" width="0" style="302" hidden="1" customWidth="1"/>
    <col min="3086" max="3086" width="11" style="302" customWidth="1"/>
    <col min="3087" max="3087" width="9.140625" style="302" customWidth="1"/>
    <col min="3088" max="3088" width="9.85546875" style="302" customWidth="1"/>
    <col min="3089" max="3092" width="0" style="302" hidden="1" customWidth="1"/>
    <col min="3093" max="3093" width="1.5703125" style="302" customWidth="1"/>
    <col min="3094" max="3096" width="0" style="302" hidden="1" customWidth="1"/>
    <col min="3097" max="3097" width="10.42578125" style="302" customWidth="1"/>
    <col min="3098" max="3099" width="11" style="302" customWidth="1"/>
    <col min="3100" max="3100" width="9.42578125" style="302" customWidth="1"/>
    <col min="3101" max="3101" width="10" style="302" customWidth="1"/>
    <col min="3102" max="3102" width="11" style="302" customWidth="1"/>
    <col min="3103" max="3103" width="9.5703125" style="302" customWidth="1"/>
    <col min="3104" max="3104" width="10.140625" style="302" customWidth="1"/>
    <col min="3105" max="3144" width="10.7109375" style="302" customWidth="1"/>
    <col min="3145" max="3145" width="1.85546875" style="302" bestFit="1" customWidth="1"/>
    <col min="3146" max="3146" width="34.5703125" style="302" bestFit="1" customWidth="1"/>
    <col min="3147" max="3148" width="10.7109375" style="302" customWidth="1"/>
    <col min="3149" max="3149" width="2.7109375" style="302" bestFit="1" customWidth="1"/>
    <col min="3150" max="3150" width="11.5703125" style="302" bestFit="1" customWidth="1"/>
    <col min="3151" max="3327" width="10.7109375" style="302"/>
    <col min="3328" max="3328" width="5.28515625" style="302" customWidth="1"/>
    <col min="3329" max="3329" width="6.42578125" style="302" customWidth="1"/>
    <col min="3330" max="3330" width="22" style="302" customWidth="1"/>
    <col min="3331" max="3331" width="7.5703125" style="302" bestFit="1" customWidth="1"/>
    <col min="3332" max="3332" width="4.42578125" style="302" customWidth="1"/>
    <col min="3333" max="3333" width="7.42578125" style="302" bestFit="1" customWidth="1"/>
    <col min="3334" max="3334" width="2.85546875" style="302" bestFit="1" customWidth="1"/>
    <col min="3335" max="3335" width="7" style="302" bestFit="1" customWidth="1"/>
    <col min="3336" max="3336" width="5.7109375" style="302" bestFit="1" customWidth="1"/>
    <col min="3337" max="3337" width="7.85546875" style="302" bestFit="1" customWidth="1"/>
    <col min="3338" max="3339" width="0" style="302" hidden="1" customWidth="1"/>
    <col min="3340" max="3340" width="12.5703125" style="302" customWidth="1"/>
    <col min="3341" max="3341" width="0" style="302" hidden="1" customWidth="1"/>
    <col min="3342" max="3342" width="11" style="302" customWidth="1"/>
    <col min="3343" max="3343" width="9.140625" style="302" customWidth="1"/>
    <col min="3344" max="3344" width="9.85546875" style="302" customWidth="1"/>
    <col min="3345" max="3348" width="0" style="302" hidden="1" customWidth="1"/>
    <col min="3349" max="3349" width="1.5703125" style="302" customWidth="1"/>
    <col min="3350" max="3352" width="0" style="302" hidden="1" customWidth="1"/>
    <col min="3353" max="3353" width="10.42578125" style="302" customWidth="1"/>
    <col min="3354" max="3355" width="11" style="302" customWidth="1"/>
    <col min="3356" max="3356" width="9.42578125" style="302" customWidth="1"/>
    <col min="3357" max="3357" width="10" style="302" customWidth="1"/>
    <col min="3358" max="3358" width="11" style="302" customWidth="1"/>
    <col min="3359" max="3359" width="9.5703125" style="302" customWidth="1"/>
    <col min="3360" max="3360" width="10.140625" style="302" customWidth="1"/>
    <col min="3361" max="3400" width="10.7109375" style="302" customWidth="1"/>
    <col min="3401" max="3401" width="1.85546875" style="302" bestFit="1" customWidth="1"/>
    <col min="3402" max="3402" width="34.5703125" style="302" bestFit="1" customWidth="1"/>
    <col min="3403" max="3404" width="10.7109375" style="302" customWidth="1"/>
    <col min="3405" max="3405" width="2.7109375" style="302" bestFit="1" customWidth="1"/>
    <col min="3406" max="3406" width="11.5703125" style="302" bestFit="1" customWidth="1"/>
    <col min="3407" max="3583" width="10.7109375" style="302"/>
    <col min="3584" max="3584" width="5.28515625" style="302" customWidth="1"/>
    <col min="3585" max="3585" width="6.42578125" style="302" customWidth="1"/>
    <col min="3586" max="3586" width="22" style="302" customWidth="1"/>
    <col min="3587" max="3587" width="7.5703125" style="302" bestFit="1" customWidth="1"/>
    <col min="3588" max="3588" width="4.42578125" style="302" customWidth="1"/>
    <col min="3589" max="3589" width="7.42578125" style="302" bestFit="1" customWidth="1"/>
    <col min="3590" max="3590" width="2.85546875" style="302" bestFit="1" customWidth="1"/>
    <col min="3591" max="3591" width="7" style="302" bestFit="1" customWidth="1"/>
    <col min="3592" max="3592" width="5.7109375" style="302" bestFit="1" customWidth="1"/>
    <col min="3593" max="3593" width="7.85546875" style="302" bestFit="1" customWidth="1"/>
    <col min="3594" max="3595" width="0" style="302" hidden="1" customWidth="1"/>
    <col min="3596" max="3596" width="12.5703125" style="302" customWidth="1"/>
    <col min="3597" max="3597" width="0" style="302" hidden="1" customWidth="1"/>
    <col min="3598" max="3598" width="11" style="302" customWidth="1"/>
    <col min="3599" max="3599" width="9.140625" style="302" customWidth="1"/>
    <col min="3600" max="3600" width="9.85546875" style="302" customWidth="1"/>
    <col min="3601" max="3604" width="0" style="302" hidden="1" customWidth="1"/>
    <col min="3605" max="3605" width="1.5703125" style="302" customWidth="1"/>
    <col min="3606" max="3608" width="0" style="302" hidden="1" customWidth="1"/>
    <col min="3609" max="3609" width="10.42578125" style="302" customWidth="1"/>
    <col min="3610" max="3611" width="11" style="302" customWidth="1"/>
    <col min="3612" max="3612" width="9.42578125" style="302" customWidth="1"/>
    <col min="3613" max="3613" width="10" style="302" customWidth="1"/>
    <col min="3614" max="3614" width="11" style="302" customWidth="1"/>
    <col min="3615" max="3615" width="9.5703125" style="302" customWidth="1"/>
    <col min="3616" max="3616" width="10.140625" style="302" customWidth="1"/>
    <col min="3617" max="3656" width="10.7109375" style="302" customWidth="1"/>
    <col min="3657" max="3657" width="1.85546875" style="302" bestFit="1" customWidth="1"/>
    <col min="3658" max="3658" width="34.5703125" style="302" bestFit="1" customWidth="1"/>
    <col min="3659" max="3660" width="10.7109375" style="302" customWidth="1"/>
    <col min="3661" max="3661" width="2.7109375" style="302" bestFit="1" customWidth="1"/>
    <col min="3662" max="3662" width="11.5703125" style="302" bestFit="1" customWidth="1"/>
    <col min="3663" max="3839" width="10.7109375" style="302"/>
    <col min="3840" max="3840" width="5.28515625" style="302" customWidth="1"/>
    <col min="3841" max="3841" width="6.42578125" style="302" customWidth="1"/>
    <col min="3842" max="3842" width="22" style="302" customWidth="1"/>
    <col min="3843" max="3843" width="7.5703125" style="302" bestFit="1" customWidth="1"/>
    <col min="3844" max="3844" width="4.42578125" style="302" customWidth="1"/>
    <col min="3845" max="3845" width="7.42578125" style="302" bestFit="1" customWidth="1"/>
    <col min="3846" max="3846" width="2.85546875" style="302" bestFit="1" customWidth="1"/>
    <col min="3847" max="3847" width="7" style="302" bestFit="1" customWidth="1"/>
    <col min="3848" max="3848" width="5.7109375" style="302" bestFit="1" customWidth="1"/>
    <col min="3849" max="3849" width="7.85546875" style="302" bestFit="1" customWidth="1"/>
    <col min="3850" max="3851" width="0" style="302" hidden="1" customWidth="1"/>
    <col min="3852" max="3852" width="12.5703125" style="302" customWidth="1"/>
    <col min="3853" max="3853" width="0" style="302" hidden="1" customWidth="1"/>
    <col min="3854" max="3854" width="11" style="302" customWidth="1"/>
    <col min="3855" max="3855" width="9.140625" style="302" customWidth="1"/>
    <col min="3856" max="3856" width="9.85546875" style="302" customWidth="1"/>
    <col min="3857" max="3860" width="0" style="302" hidden="1" customWidth="1"/>
    <col min="3861" max="3861" width="1.5703125" style="302" customWidth="1"/>
    <col min="3862" max="3864" width="0" style="302" hidden="1" customWidth="1"/>
    <col min="3865" max="3865" width="10.42578125" style="302" customWidth="1"/>
    <col min="3866" max="3867" width="11" style="302" customWidth="1"/>
    <col min="3868" max="3868" width="9.42578125" style="302" customWidth="1"/>
    <col min="3869" max="3869" width="10" style="302" customWidth="1"/>
    <col min="3870" max="3870" width="11" style="302" customWidth="1"/>
    <col min="3871" max="3871" width="9.5703125" style="302" customWidth="1"/>
    <col min="3872" max="3872" width="10.140625" style="302" customWidth="1"/>
    <col min="3873" max="3912" width="10.7109375" style="302" customWidth="1"/>
    <col min="3913" max="3913" width="1.85546875" style="302" bestFit="1" customWidth="1"/>
    <col min="3914" max="3914" width="34.5703125" style="302" bestFit="1" customWidth="1"/>
    <col min="3915" max="3916" width="10.7109375" style="302" customWidth="1"/>
    <col min="3917" max="3917" width="2.7109375" style="302" bestFit="1" customWidth="1"/>
    <col min="3918" max="3918" width="11.5703125" style="302" bestFit="1" customWidth="1"/>
    <col min="3919" max="4095" width="10.7109375" style="302"/>
    <col min="4096" max="4096" width="5.28515625" style="302" customWidth="1"/>
    <col min="4097" max="4097" width="6.42578125" style="302" customWidth="1"/>
    <col min="4098" max="4098" width="22" style="302" customWidth="1"/>
    <col min="4099" max="4099" width="7.5703125" style="302" bestFit="1" customWidth="1"/>
    <col min="4100" max="4100" width="4.42578125" style="302" customWidth="1"/>
    <col min="4101" max="4101" width="7.42578125" style="302" bestFit="1" customWidth="1"/>
    <col min="4102" max="4102" width="2.85546875" style="302" bestFit="1" customWidth="1"/>
    <col min="4103" max="4103" width="7" style="302" bestFit="1" customWidth="1"/>
    <col min="4104" max="4104" width="5.7109375" style="302" bestFit="1" customWidth="1"/>
    <col min="4105" max="4105" width="7.85546875" style="302" bestFit="1" customWidth="1"/>
    <col min="4106" max="4107" width="0" style="302" hidden="1" customWidth="1"/>
    <col min="4108" max="4108" width="12.5703125" style="302" customWidth="1"/>
    <col min="4109" max="4109" width="0" style="302" hidden="1" customWidth="1"/>
    <col min="4110" max="4110" width="11" style="302" customWidth="1"/>
    <col min="4111" max="4111" width="9.140625" style="302" customWidth="1"/>
    <col min="4112" max="4112" width="9.85546875" style="302" customWidth="1"/>
    <col min="4113" max="4116" width="0" style="302" hidden="1" customWidth="1"/>
    <col min="4117" max="4117" width="1.5703125" style="302" customWidth="1"/>
    <col min="4118" max="4120" width="0" style="302" hidden="1" customWidth="1"/>
    <col min="4121" max="4121" width="10.42578125" style="302" customWidth="1"/>
    <col min="4122" max="4123" width="11" style="302" customWidth="1"/>
    <col min="4124" max="4124" width="9.42578125" style="302" customWidth="1"/>
    <col min="4125" max="4125" width="10" style="302" customWidth="1"/>
    <col min="4126" max="4126" width="11" style="302" customWidth="1"/>
    <col min="4127" max="4127" width="9.5703125" style="302" customWidth="1"/>
    <col min="4128" max="4128" width="10.140625" style="302" customWidth="1"/>
    <col min="4129" max="4168" width="10.7109375" style="302" customWidth="1"/>
    <col min="4169" max="4169" width="1.85546875" style="302" bestFit="1" customWidth="1"/>
    <col min="4170" max="4170" width="34.5703125" style="302" bestFit="1" customWidth="1"/>
    <col min="4171" max="4172" width="10.7109375" style="302" customWidth="1"/>
    <col min="4173" max="4173" width="2.7109375" style="302" bestFit="1" customWidth="1"/>
    <col min="4174" max="4174" width="11.5703125" style="302" bestFit="1" customWidth="1"/>
    <col min="4175" max="4351" width="10.7109375" style="302"/>
    <col min="4352" max="4352" width="5.28515625" style="302" customWidth="1"/>
    <col min="4353" max="4353" width="6.42578125" style="302" customWidth="1"/>
    <col min="4354" max="4354" width="22" style="302" customWidth="1"/>
    <col min="4355" max="4355" width="7.5703125" style="302" bestFit="1" customWidth="1"/>
    <col min="4356" max="4356" width="4.42578125" style="302" customWidth="1"/>
    <col min="4357" max="4357" width="7.42578125" style="302" bestFit="1" customWidth="1"/>
    <col min="4358" max="4358" width="2.85546875" style="302" bestFit="1" customWidth="1"/>
    <col min="4359" max="4359" width="7" style="302" bestFit="1" customWidth="1"/>
    <col min="4360" max="4360" width="5.7109375" style="302" bestFit="1" customWidth="1"/>
    <col min="4361" max="4361" width="7.85546875" style="302" bestFit="1" customWidth="1"/>
    <col min="4362" max="4363" width="0" style="302" hidden="1" customWidth="1"/>
    <col min="4364" max="4364" width="12.5703125" style="302" customWidth="1"/>
    <col min="4365" max="4365" width="0" style="302" hidden="1" customWidth="1"/>
    <col min="4366" max="4366" width="11" style="302" customWidth="1"/>
    <col min="4367" max="4367" width="9.140625" style="302" customWidth="1"/>
    <col min="4368" max="4368" width="9.85546875" style="302" customWidth="1"/>
    <col min="4369" max="4372" width="0" style="302" hidden="1" customWidth="1"/>
    <col min="4373" max="4373" width="1.5703125" style="302" customWidth="1"/>
    <col min="4374" max="4376" width="0" style="302" hidden="1" customWidth="1"/>
    <col min="4377" max="4377" width="10.42578125" style="302" customWidth="1"/>
    <col min="4378" max="4379" width="11" style="302" customWidth="1"/>
    <col min="4380" max="4380" width="9.42578125" style="302" customWidth="1"/>
    <col min="4381" max="4381" width="10" style="302" customWidth="1"/>
    <col min="4382" max="4382" width="11" style="302" customWidth="1"/>
    <col min="4383" max="4383" width="9.5703125" style="302" customWidth="1"/>
    <col min="4384" max="4384" width="10.140625" style="302" customWidth="1"/>
    <col min="4385" max="4424" width="10.7109375" style="302" customWidth="1"/>
    <col min="4425" max="4425" width="1.85546875" style="302" bestFit="1" customWidth="1"/>
    <col min="4426" max="4426" width="34.5703125" style="302" bestFit="1" customWidth="1"/>
    <col min="4427" max="4428" width="10.7109375" style="302" customWidth="1"/>
    <col min="4429" max="4429" width="2.7109375" style="302" bestFit="1" customWidth="1"/>
    <col min="4430" max="4430" width="11.5703125" style="302" bestFit="1" customWidth="1"/>
    <col min="4431" max="4607" width="10.7109375" style="302"/>
    <col min="4608" max="4608" width="5.28515625" style="302" customWidth="1"/>
    <col min="4609" max="4609" width="6.42578125" style="302" customWidth="1"/>
    <col min="4610" max="4610" width="22" style="302" customWidth="1"/>
    <col min="4611" max="4611" width="7.5703125" style="302" bestFit="1" customWidth="1"/>
    <col min="4612" max="4612" width="4.42578125" style="302" customWidth="1"/>
    <col min="4613" max="4613" width="7.42578125" style="302" bestFit="1" customWidth="1"/>
    <col min="4614" max="4614" width="2.85546875" style="302" bestFit="1" customWidth="1"/>
    <col min="4615" max="4615" width="7" style="302" bestFit="1" customWidth="1"/>
    <col min="4616" max="4616" width="5.7109375" style="302" bestFit="1" customWidth="1"/>
    <col min="4617" max="4617" width="7.85546875" style="302" bestFit="1" customWidth="1"/>
    <col min="4618" max="4619" width="0" style="302" hidden="1" customWidth="1"/>
    <col min="4620" max="4620" width="12.5703125" style="302" customWidth="1"/>
    <col min="4621" max="4621" width="0" style="302" hidden="1" customWidth="1"/>
    <col min="4622" max="4622" width="11" style="302" customWidth="1"/>
    <col min="4623" max="4623" width="9.140625" style="302" customWidth="1"/>
    <col min="4624" max="4624" width="9.85546875" style="302" customWidth="1"/>
    <col min="4625" max="4628" width="0" style="302" hidden="1" customWidth="1"/>
    <col min="4629" max="4629" width="1.5703125" style="302" customWidth="1"/>
    <col min="4630" max="4632" width="0" style="302" hidden="1" customWidth="1"/>
    <col min="4633" max="4633" width="10.42578125" style="302" customWidth="1"/>
    <col min="4634" max="4635" width="11" style="302" customWidth="1"/>
    <col min="4636" max="4636" width="9.42578125" style="302" customWidth="1"/>
    <col min="4637" max="4637" width="10" style="302" customWidth="1"/>
    <col min="4638" max="4638" width="11" style="302" customWidth="1"/>
    <col min="4639" max="4639" width="9.5703125" style="302" customWidth="1"/>
    <col min="4640" max="4640" width="10.140625" style="302" customWidth="1"/>
    <col min="4641" max="4680" width="10.7109375" style="302" customWidth="1"/>
    <col min="4681" max="4681" width="1.85546875" style="302" bestFit="1" customWidth="1"/>
    <col min="4682" max="4682" width="34.5703125" style="302" bestFit="1" customWidth="1"/>
    <col min="4683" max="4684" width="10.7109375" style="302" customWidth="1"/>
    <col min="4685" max="4685" width="2.7109375" style="302" bestFit="1" customWidth="1"/>
    <col min="4686" max="4686" width="11.5703125" style="302" bestFit="1" customWidth="1"/>
    <col min="4687" max="4863" width="10.7109375" style="302"/>
    <col min="4864" max="4864" width="5.28515625" style="302" customWidth="1"/>
    <col min="4865" max="4865" width="6.42578125" style="302" customWidth="1"/>
    <col min="4866" max="4866" width="22" style="302" customWidth="1"/>
    <col min="4867" max="4867" width="7.5703125" style="302" bestFit="1" customWidth="1"/>
    <col min="4868" max="4868" width="4.42578125" style="302" customWidth="1"/>
    <col min="4869" max="4869" width="7.42578125" style="302" bestFit="1" customWidth="1"/>
    <col min="4870" max="4870" width="2.85546875" style="302" bestFit="1" customWidth="1"/>
    <col min="4871" max="4871" width="7" style="302" bestFit="1" customWidth="1"/>
    <col min="4872" max="4872" width="5.7109375" style="302" bestFit="1" customWidth="1"/>
    <col min="4873" max="4873" width="7.85546875" style="302" bestFit="1" customWidth="1"/>
    <col min="4874" max="4875" width="0" style="302" hidden="1" customWidth="1"/>
    <col min="4876" max="4876" width="12.5703125" style="302" customWidth="1"/>
    <col min="4877" max="4877" width="0" style="302" hidden="1" customWidth="1"/>
    <col min="4878" max="4878" width="11" style="302" customWidth="1"/>
    <col min="4879" max="4879" width="9.140625" style="302" customWidth="1"/>
    <col min="4880" max="4880" width="9.85546875" style="302" customWidth="1"/>
    <col min="4881" max="4884" width="0" style="302" hidden="1" customWidth="1"/>
    <col min="4885" max="4885" width="1.5703125" style="302" customWidth="1"/>
    <col min="4886" max="4888" width="0" style="302" hidden="1" customWidth="1"/>
    <col min="4889" max="4889" width="10.42578125" style="302" customWidth="1"/>
    <col min="4890" max="4891" width="11" style="302" customWidth="1"/>
    <col min="4892" max="4892" width="9.42578125" style="302" customWidth="1"/>
    <col min="4893" max="4893" width="10" style="302" customWidth="1"/>
    <col min="4894" max="4894" width="11" style="302" customWidth="1"/>
    <col min="4895" max="4895" width="9.5703125" style="302" customWidth="1"/>
    <col min="4896" max="4896" width="10.140625" style="302" customWidth="1"/>
    <col min="4897" max="4936" width="10.7109375" style="302" customWidth="1"/>
    <col min="4937" max="4937" width="1.85546875" style="302" bestFit="1" customWidth="1"/>
    <col min="4938" max="4938" width="34.5703125" style="302" bestFit="1" customWidth="1"/>
    <col min="4939" max="4940" width="10.7109375" style="302" customWidth="1"/>
    <col min="4941" max="4941" width="2.7109375" style="302" bestFit="1" customWidth="1"/>
    <col min="4942" max="4942" width="11.5703125" style="302" bestFit="1" customWidth="1"/>
    <col min="4943" max="5119" width="10.7109375" style="302"/>
    <col min="5120" max="5120" width="5.28515625" style="302" customWidth="1"/>
    <col min="5121" max="5121" width="6.42578125" style="302" customWidth="1"/>
    <col min="5122" max="5122" width="22" style="302" customWidth="1"/>
    <col min="5123" max="5123" width="7.5703125" style="302" bestFit="1" customWidth="1"/>
    <col min="5124" max="5124" width="4.42578125" style="302" customWidth="1"/>
    <col min="5125" max="5125" width="7.42578125" style="302" bestFit="1" customWidth="1"/>
    <col min="5126" max="5126" width="2.85546875" style="302" bestFit="1" customWidth="1"/>
    <col min="5127" max="5127" width="7" style="302" bestFit="1" customWidth="1"/>
    <col min="5128" max="5128" width="5.7109375" style="302" bestFit="1" customWidth="1"/>
    <col min="5129" max="5129" width="7.85546875" style="302" bestFit="1" customWidth="1"/>
    <col min="5130" max="5131" width="0" style="302" hidden="1" customWidth="1"/>
    <col min="5132" max="5132" width="12.5703125" style="302" customWidth="1"/>
    <col min="5133" max="5133" width="0" style="302" hidden="1" customWidth="1"/>
    <col min="5134" max="5134" width="11" style="302" customWidth="1"/>
    <col min="5135" max="5135" width="9.140625" style="302" customWidth="1"/>
    <col min="5136" max="5136" width="9.85546875" style="302" customWidth="1"/>
    <col min="5137" max="5140" width="0" style="302" hidden="1" customWidth="1"/>
    <col min="5141" max="5141" width="1.5703125" style="302" customWidth="1"/>
    <col min="5142" max="5144" width="0" style="302" hidden="1" customWidth="1"/>
    <col min="5145" max="5145" width="10.42578125" style="302" customWidth="1"/>
    <col min="5146" max="5147" width="11" style="302" customWidth="1"/>
    <col min="5148" max="5148" width="9.42578125" style="302" customWidth="1"/>
    <col min="5149" max="5149" width="10" style="302" customWidth="1"/>
    <col min="5150" max="5150" width="11" style="302" customWidth="1"/>
    <col min="5151" max="5151" width="9.5703125" style="302" customWidth="1"/>
    <col min="5152" max="5152" width="10.140625" style="302" customWidth="1"/>
    <col min="5153" max="5192" width="10.7109375" style="302" customWidth="1"/>
    <col min="5193" max="5193" width="1.85546875" style="302" bestFit="1" customWidth="1"/>
    <col min="5194" max="5194" width="34.5703125" style="302" bestFit="1" customWidth="1"/>
    <col min="5195" max="5196" width="10.7109375" style="302" customWidth="1"/>
    <col min="5197" max="5197" width="2.7109375" style="302" bestFit="1" customWidth="1"/>
    <col min="5198" max="5198" width="11.5703125" style="302" bestFit="1" customWidth="1"/>
    <col min="5199" max="5375" width="10.7109375" style="302"/>
    <col min="5376" max="5376" width="5.28515625" style="302" customWidth="1"/>
    <col min="5377" max="5377" width="6.42578125" style="302" customWidth="1"/>
    <col min="5378" max="5378" width="22" style="302" customWidth="1"/>
    <col min="5379" max="5379" width="7.5703125" style="302" bestFit="1" customWidth="1"/>
    <col min="5380" max="5380" width="4.42578125" style="302" customWidth="1"/>
    <col min="5381" max="5381" width="7.42578125" style="302" bestFit="1" customWidth="1"/>
    <col min="5382" max="5382" width="2.85546875" style="302" bestFit="1" customWidth="1"/>
    <col min="5383" max="5383" width="7" style="302" bestFit="1" customWidth="1"/>
    <col min="5384" max="5384" width="5.7109375" style="302" bestFit="1" customWidth="1"/>
    <col min="5385" max="5385" width="7.85546875" style="302" bestFit="1" customWidth="1"/>
    <col min="5386" max="5387" width="0" style="302" hidden="1" customWidth="1"/>
    <col min="5388" max="5388" width="12.5703125" style="302" customWidth="1"/>
    <col min="5389" max="5389" width="0" style="302" hidden="1" customWidth="1"/>
    <col min="5390" max="5390" width="11" style="302" customWidth="1"/>
    <col min="5391" max="5391" width="9.140625" style="302" customWidth="1"/>
    <col min="5392" max="5392" width="9.85546875" style="302" customWidth="1"/>
    <col min="5393" max="5396" width="0" style="302" hidden="1" customWidth="1"/>
    <col min="5397" max="5397" width="1.5703125" style="302" customWidth="1"/>
    <col min="5398" max="5400" width="0" style="302" hidden="1" customWidth="1"/>
    <col min="5401" max="5401" width="10.42578125" style="302" customWidth="1"/>
    <col min="5402" max="5403" width="11" style="302" customWidth="1"/>
    <col min="5404" max="5404" width="9.42578125" style="302" customWidth="1"/>
    <col min="5405" max="5405" width="10" style="302" customWidth="1"/>
    <col min="5406" max="5406" width="11" style="302" customWidth="1"/>
    <col min="5407" max="5407" width="9.5703125" style="302" customWidth="1"/>
    <col min="5408" max="5408" width="10.140625" style="302" customWidth="1"/>
    <col min="5409" max="5448" width="10.7109375" style="302" customWidth="1"/>
    <col min="5449" max="5449" width="1.85546875" style="302" bestFit="1" customWidth="1"/>
    <col min="5450" max="5450" width="34.5703125" style="302" bestFit="1" customWidth="1"/>
    <col min="5451" max="5452" width="10.7109375" style="302" customWidth="1"/>
    <col min="5453" max="5453" width="2.7109375" style="302" bestFit="1" customWidth="1"/>
    <col min="5454" max="5454" width="11.5703125" style="302" bestFit="1" customWidth="1"/>
    <col min="5455" max="5631" width="10.7109375" style="302"/>
    <col min="5632" max="5632" width="5.28515625" style="302" customWidth="1"/>
    <col min="5633" max="5633" width="6.42578125" style="302" customWidth="1"/>
    <col min="5634" max="5634" width="22" style="302" customWidth="1"/>
    <col min="5635" max="5635" width="7.5703125" style="302" bestFit="1" customWidth="1"/>
    <col min="5636" max="5636" width="4.42578125" style="302" customWidth="1"/>
    <col min="5637" max="5637" width="7.42578125" style="302" bestFit="1" customWidth="1"/>
    <col min="5638" max="5638" width="2.85546875" style="302" bestFit="1" customWidth="1"/>
    <col min="5639" max="5639" width="7" style="302" bestFit="1" customWidth="1"/>
    <col min="5640" max="5640" width="5.7109375" style="302" bestFit="1" customWidth="1"/>
    <col min="5641" max="5641" width="7.85546875" style="302" bestFit="1" customWidth="1"/>
    <col min="5642" max="5643" width="0" style="302" hidden="1" customWidth="1"/>
    <col min="5644" max="5644" width="12.5703125" style="302" customWidth="1"/>
    <col min="5645" max="5645" width="0" style="302" hidden="1" customWidth="1"/>
    <col min="5646" max="5646" width="11" style="302" customWidth="1"/>
    <col min="5647" max="5647" width="9.140625" style="302" customWidth="1"/>
    <col min="5648" max="5648" width="9.85546875" style="302" customWidth="1"/>
    <col min="5649" max="5652" width="0" style="302" hidden="1" customWidth="1"/>
    <col min="5653" max="5653" width="1.5703125" style="302" customWidth="1"/>
    <col min="5654" max="5656" width="0" style="302" hidden="1" customWidth="1"/>
    <col min="5657" max="5657" width="10.42578125" style="302" customWidth="1"/>
    <col min="5658" max="5659" width="11" style="302" customWidth="1"/>
    <col min="5660" max="5660" width="9.42578125" style="302" customWidth="1"/>
    <col min="5661" max="5661" width="10" style="302" customWidth="1"/>
    <col min="5662" max="5662" width="11" style="302" customWidth="1"/>
    <col min="5663" max="5663" width="9.5703125" style="302" customWidth="1"/>
    <col min="5664" max="5664" width="10.140625" style="302" customWidth="1"/>
    <col min="5665" max="5704" width="10.7109375" style="302" customWidth="1"/>
    <col min="5705" max="5705" width="1.85546875" style="302" bestFit="1" customWidth="1"/>
    <col min="5706" max="5706" width="34.5703125" style="302" bestFit="1" customWidth="1"/>
    <col min="5707" max="5708" width="10.7109375" style="302" customWidth="1"/>
    <col min="5709" max="5709" width="2.7109375" style="302" bestFit="1" customWidth="1"/>
    <col min="5710" max="5710" width="11.5703125" style="302" bestFit="1" customWidth="1"/>
    <col min="5711" max="5887" width="10.7109375" style="302"/>
    <col min="5888" max="5888" width="5.28515625" style="302" customWidth="1"/>
    <col min="5889" max="5889" width="6.42578125" style="302" customWidth="1"/>
    <col min="5890" max="5890" width="22" style="302" customWidth="1"/>
    <col min="5891" max="5891" width="7.5703125" style="302" bestFit="1" customWidth="1"/>
    <col min="5892" max="5892" width="4.42578125" style="302" customWidth="1"/>
    <col min="5893" max="5893" width="7.42578125" style="302" bestFit="1" customWidth="1"/>
    <col min="5894" max="5894" width="2.85546875" style="302" bestFit="1" customWidth="1"/>
    <col min="5895" max="5895" width="7" style="302" bestFit="1" customWidth="1"/>
    <col min="5896" max="5896" width="5.7109375" style="302" bestFit="1" customWidth="1"/>
    <col min="5897" max="5897" width="7.85546875" style="302" bestFit="1" customWidth="1"/>
    <col min="5898" max="5899" width="0" style="302" hidden="1" customWidth="1"/>
    <col min="5900" max="5900" width="12.5703125" style="302" customWidth="1"/>
    <col min="5901" max="5901" width="0" style="302" hidden="1" customWidth="1"/>
    <col min="5902" max="5902" width="11" style="302" customWidth="1"/>
    <col min="5903" max="5903" width="9.140625" style="302" customWidth="1"/>
    <col min="5904" max="5904" width="9.85546875" style="302" customWidth="1"/>
    <col min="5905" max="5908" width="0" style="302" hidden="1" customWidth="1"/>
    <col min="5909" max="5909" width="1.5703125" style="302" customWidth="1"/>
    <col min="5910" max="5912" width="0" style="302" hidden="1" customWidth="1"/>
    <col min="5913" max="5913" width="10.42578125" style="302" customWidth="1"/>
    <col min="5914" max="5915" width="11" style="302" customWidth="1"/>
    <col min="5916" max="5916" width="9.42578125" style="302" customWidth="1"/>
    <col min="5917" max="5917" width="10" style="302" customWidth="1"/>
    <col min="5918" max="5918" width="11" style="302" customWidth="1"/>
    <col min="5919" max="5919" width="9.5703125" style="302" customWidth="1"/>
    <col min="5920" max="5920" width="10.140625" style="302" customWidth="1"/>
    <col min="5921" max="5960" width="10.7109375" style="302" customWidth="1"/>
    <col min="5961" max="5961" width="1.85546875" style="302" bestFit="1" customWidth="1"/>
    <col min="5962" max="5962" width="34.5703125" style="302" bestFit="1" customWidth="1"/>
    <col min="5963" max="5964" width="10.7109375" style="302" customWidth="1"/>
    <col min="5965" max="5965" width="2.7109375" style="302" bestFit="1" customWidth="1"/>
    <col min="5966" max="5966" width="11.5703125" style="302" bestFit="1" customWidth="1"/>
    <col min="5967" max="6143" width="10.7109375" style="302"/>
    <col min="6144" max="6144" width="5.28515625" style="302" customWidth="1"/>
    <col min="6145" max="6145" width="6.42578125" style="302" customWidth="1"/>
    <col min="6146" max="6146" width="22" style="302" customWidth="1"/>
    <col min="6147" max="6147" width="7.5703125" style="302" bestFit="1" customWidth="1"/>
    <col min="6148" max="6148" width="4.42578125" style="302" customWidth="1"/>
    <col min="6149" max="6149" width="7.42578125" style="302" bestFit="1" customWidth="1"/>
    <col min="6150" max="6150" width="2.85546875" style="302" bestFit="1" customWidth="1"/>
    <col min="6151" max="6151" width="7" style="302" bestFit="1" customWidth="1"/>
    <col min="6152" max="6152" width="5.7109375" style="302" bestFit="1" customWidth="1"/>
    <col min="6153" max="6153" width="7.85546875" style="302" bestFit="1" customWidth="1"/>
    <col min="6154" max="6155" width="0" style="302" hidden="1" customWidth="1"/>
    <col min="6156" max="6156" width="12.5703125" style="302" customWidth="1"/>
    <col min="6157" max="6157" width="0" style="302" hidden="1" customWidth="1"/>
    <col min="6158" max="6158" width="11" style="302" customWidth="1"/>
    <col min="6159" max="6159" width="9.140625" style="302" customWidth="1"/>
    <col min="6160" max="6160" width="9.85546875" style="302" customWidth="1"/>
    <col min="6161" max="6164" width="0" style="302" hidden="1" customWidth="1"/>
    <col min="6165" max="6165" width="1.5703125" style="302" customWidth="1"/>
    <col min="6166" max="6168" width="0" style="302" hidden="1" customWidth="1"/>
    <col min="6169" max="6169" width="10.42578125" style="302" customWidth="1"/>
    <col min="6170" max="6171" width="11" style="302" customWidth="1"/>
    <col min="6172" max="6172" width="9.42578125" style="302" customWidth="1"/>
    <col min="6173" max="6173" width="10" style="302" customWidth="1"/>
    <col min="6174" max="6174" width="11" style="302" customWidth="1"/>
    <col min="6175" max="6175" width="9.5703125" style="302" customWidth="1"/>
    <col min="6176" max="6176" width="10.140625" style="302" customWidth="1"/>
    <col min="6177" max="6216" width="10.7109375" style="302" customWidth="1"/>
    <col min="6217" max="6217" width="1.85546875" style="302" bestFit="1" customWidth="1"/>
    <col min="6218" max="6218" width="34.5703125" style="302" bestFit="1" customWidth="1"/>
    <col min="6219" max="6220" width="10.7109375" style="302" customWidth="1"/>
    <col min="6221" max="6221" width="2.7109375" style="302" bestFit="1" customWidth="1"/>
    <col min="6222" max="6222" width="11.5703125" style="302" bestFit="1" customWidth="1"/>
    <col min="6223" max="6399" width="10.7109375" style="302"/>
    <col min="6400" max="6400" width="5.28515625" style="302" customWidth="1"/>
    <col min="6401" max="6401" width="6.42578125" style="302" customWidth="1"/>
    <col min="6402" max="6402" width="22" style="302" customWidth="1"/>
    <col min="6403" max="6403" width="7.5703125" style="302" bestFit="1" customWidth="1"/>
    <col min="6404" max="6404" width="4.42578125" style="302" customWidth="1"/>
    <col min="6405" max="6405" width="7.42578125" style="302" bestFit="1" customWidth="1"/>
    <col min="6406" max="6406" width="2.85546875" style="302" bestFit="1" customWidth="1"/>
    <col min="6407" max="6407" width="7" style="302" bestFit="1" customWidth="1"/>
    <col min="6408" max="6408" width="5.7109375" style="302" bestFit="1" customWidth="1"/>
    <col min="6409" max="6409" width="7.85546875" style="302" bestFit="1" customWidth="1"/>
    <col min="6410" max="6411" width="0" style="302" hidden="1" customWidth="1"/>
    <col min="6412" max="6412" width="12.5703125" style="302" customWidth="1"/>
    <col min="6413" max="6413" width="0" style="302" hidden="1" customWidth="1"/>
    <col min="6414" max="6414" width="11" style="302" customWidth="1"/>
    <col min="6415" max="6415" width="9.140625" style="302" customWidth="1"/>
    <col min="6416" max="6416" width="9.85546875" style="302" customWidth="1"/>
    <col min="6417" max="6420" width="0" style="302" hidden="1" customWidth="1"/>
    <col min="6421" max="6421" width="1.5703125" style="302" customWidth="1"/>
    <col min="6422" max="6424" width="0" style="302" hidden="1" customWidth="1"/>
    <col min="6425" max="6425" width="10.42578125" style="302" customWidth="1"/>
    <col min="6426" max="6427" width="11" style="302" customWidth="1"/>
    <col min="6428" max="6428" width="9.42578125" style="302" customWidth="1"/>
    <col min="6429" max="6429" width="10" style="302" customWidth="1"/>
    <col min="6430" max="6430" width="11" style="302" customWidth="1"/>
    <col min="6431" max="6431" width="9.5703125" style="302" customWidth="1"/>
    <col min="6432" max="6432" width="10.140625" style="302" customWidth="1"/>
    <col min="6433" max="6472" width="10.7109375" style="302" customWidth="1"/>
    <col min="6473" max="6473" width="1.85546875" style="302" bestFit="1" customWidth="1"/>
    <col min="6474" max="6474" width="34.5703125" style="302" bestFit="1" customWidth="1"/>
    <col min="6475" max="6476" width="10.7109375" style="302" customWidth="1"/>
    <col min="6477" max="6477" width="2.7109375" style="302" bestFit="1" customWidth="1"/>
    <col min="6478" max="6478" width="11.5703125" style="302" bestFit="1" customWidth="1"/>
    <col min="6479" max="6655" width="10.7109375" style="302"/>
    <col min="6656" max="6656" width="5.28515625" style="302" customWidth="1"/>
    <col min="6657" max="6657" width="6.42578125" style="302" customWidth="1"/>
    <col min="6658" max="6658" width="22" style="302" customWidth="1"/>
    <col min="6659" max="6659" width="7.5703125" style="302" bestFit="1" customWidth="1"/>
    <col min="6660" max="6660" width="4.42578125" style="302" customWidth="1"/>
    <col min="6661" max="6661" width="7.42578125" style="302" bestFit="1" customWidth="1"/>
    <col min="6662" max="6662" width="2.85546875" style="302" bestFit="1" customWidth="1"/>
    <col min="6663" max="6663" width="7" style="302" bestFit="1" customWidth="1"/>
    <col min="6664" max="6664" width="5.7109375" style="302" bestFit="1" customWidth="1"/>
    <col min="6665" max="6665" width="7.85546875" style="302" bestFit="1" customWidth="1"/>
    <col min="6666" max="6667" width="0" style="302" hidden="1" customWidth="1"/>
    <col min="6668" max="6668" width="12.5703125" style="302" customWidth="1"/>
    <col min="6669" max="6669" width="0" style="302" hidden="1" customWidth="1"/>
    <col min="6670" max="6670" width="11" style="302" customWidth="1"/>
    <col min="6671" max="6671" width="9.140625" style="302" customWidth="1"/>
    <col min="6672" max="6672" width="9.85546875" style="302" customWidth="1"/>
    <col min="6673" max="6676" width="0" style="302" hidden="1" customWidth="1"/>
    <col min="6677" max="6677" width="1.5703125" style="302" customWidth="1"/>
    <col min="6678" max="6680" width="0" style="302" hidden="1" customWidth="1"/>
    <col min="6681" max="6681" width="10.42578125" style="302" customWidth="1"/>
    <col min="6682" max="6683" width="11" style="302" customWidth="1"/>
    <col min="6684" max="6684" width="9.42578125" style="302" customWidth="1"/>
    <col min="6685" max="6685" width="10" style="302" customWidth="1"/>
    <col min="6686" max="6686" width="11" style="302" customWidth="1"/>
    <col min="6687" max="6687" width="9.5703125" style="302" customWidth="1"/>
    <col min="6688" max="6688" width="10.140625" style="302" customWidth="1"/>
    <col min="6689" max="6728" width="10.7109375" style="302" customWidth="1"/>
    <col min="6729" max="6729" width="1.85546875" style="302" bestFit="1" customWidth="1"/>
    <col min="6730" max="6730" width="34.5703125" style="302" bestFit="1" customWidth="1"/>
    <col min="6731" max="6732" width="10.7109375" style="302" customWidth="1"/>
    <col min="6733" max="6733" width="2.7109375" style="302" bestFit="1" customWidth="1"/>
    <col min="6734" max="6734" width="11.5703125" style="302" bestFit="1" customWidth="1"/>
    <col min="6735" max="6911" width="10.7109375" style="302"/>
    <col min="6912" max="6912" width="5.28515625" style="302" customWidth="1"/>
    <col min="6913" max="6913" width="6.42578125" style="302" customWidth="1"/>
    <col min="6914" max="6914" width="22" style="302" customWidth="1"/>
    <col min="6915" max="6915" width="7.5703125" style="302" bestFit="1" customWidth="1"/>
    <col min="6916" max="6916" width="4.42578125" style="302" customWidth="1"/>
    <col min="6917" max="6917" width="7.42578125" style="302" bestFit="1" customWidth="1"/>
    <col min="6918" max="6918" width="2.85546875" style="302" bestFit="1" customWidth="1"/>
    <col min="6919" max="6919" width="7" style="302" bestFit="1" customWidth="1"/>
    <col min="6920" max="6920" width="5.7109375" style="302" bestFit="1" customWidth="1"/>
    <col min="6921" max="6921" width="7.85546875" style="302" bestFit="1" customWidth="1"/>
    <col min="6922" max="6923" width="0" style="302" hidden="1" customWidth="1"/>
    <col min="6924" max="6924" width="12.5703125" style="302" customWidth="1"/>
    <col min="6925" max="6925" width="0" style="302" hidden="1" customWidth="1"/>
    <col min="6926" max="6926" width="11" style="302" customWidth="1"/>
    <col min="6927" max="6927" width="9.140625" style="302" customWidth="1"/>
    <col min="6928" max="6928" width="9.85546875" style="302" customWidth="1"/>
    <col min="6929" max="6932" width="0" style="302" hidden="1" customWidth="1"/>
    <col min="6933" max="6933" width="1.5703125" style="302" customWidth="1"/>
    <col min="6934" max="6936" width="0" style="302" hidden="1" customWidth="1"/>
    <col min="6937" max="6937" width="10.42578125" style="302" customWidth="1"/>
    <col min="6938" max="6939" width="11" style="302" customWidth="1"/>
    <col min="6940" max="6940" width="9.42578125" style="302" customWidth="1"/>
    <col min="6941" max="6941" width="10" style="302" customWidth="1"/>
    <col min="6942" max="6942" width="11" style="302" customWidth="1"/>
    <col min="6943" max="6943" width="9.5703125" style="302" customWidth="1"/>
    <col min="6944" max="6944" width="10.140625" style="302" customWidth="1"/>
    <col min="6945" max="6984" width="10.7109375" style="302" customWidth="1"/>
    <col min="6985" max="6985" width="1.85546875" style="302" bestFit="1" customWidth="1"/>
    <col min="6986" max="6986" width="34.5703125" style="302" bestFit="1" customWidth="1"/>
    <col min="6987" max="6988" width="10.7109375" style="302" customWidth="1"/>
    <col min="6989" max="6989" width="2.7109375" style="302" bestFit="1" customWidth="1"/>
    <col min="6990" max="6990" width="11.5703125" style="302" bestFit="1" customWidth="1"/>
    <col min="6991" max="7167" width="10.7109375" style="302"/>
    <col min="7168" max="7168" width="5.28515625" style="302" customWidth="1"/>
    <col min="7169" max="7169" width="6.42578125" style="302" customWidth="1"/>
    <col min="7170" max="7170" width="22" style="302" customWidth="1"/>
    <col min="7171" max="7171" width="7.5703125" style="302" bestFit="1" customWidth="1"/>
    <col min="7172" max="7172" width="4.42578125" style="302" customWidth="1"/>
    <col min="7173" max="7173" width="7.42578125" style="302" bestFit="1" customWidth="1"/>
    <col min="7174" max="7174" width="2.85546875" style="302" bestFit="1" customWidth="1"/>
    <col min="7175" max="7175" width="7" style="302" bestFit="1" customWidth="1"/>
    <col min="7176" max="7176" width="5.7109375" style="302" bestFit="1" customWidth="1"/>
    <col min="7177" max="7177" width="7.85546875" style="302" bestFit="1" customWidth="1"/>
    <col min="7178" max="7179" width="0" style="302" hidden="1" customWidth="1"/>
    <col min="7180" max="7180" width="12.5703125" style="302" customWidth="1"/>
    <col min="7181" max="7181" width="0" style="302" hidden="1" customWidth="1"/>
    <col min="7182" max="7182" width="11" style="302" customWidth="1"/>
    <col min="7183" max="7183" width="9.140625" style="302" customWidth="1"/>
    <col min="7184" max="7184" width="9.85546875" style="302" customWidth="1"/>
    <col min="7185" max="7188" width="0" style="302" hidden="1" customWidth="1"/>
    <col min="7189" max="7189" width="1.5703125" style="302" customWidth="1"/>
    <col min="7190" max="7192" width="0" style="302" hidden="1" customWidth="1"/>
    <col min="7193" max="7193" width="10.42578125" style="302" customWidth="1"/>
    <col min="7194" max="7195" width="11" style="302" customWidth="1"/>
    <col min="7196" max="7196" width="9.42578125" style="302" customWidth="1"/>
    <col min="7197" max="7197" width="10" style="302" customWidth="1"/>
    <col min="7198" max="7198" width="11" style="302" customWidth="1"/>
    <col min="7199" max="7199" width="9.5703125" style="302" customWidth="1"/>
    <col min="7200" max="7200" width="10.140625" style="302" customWidth="1"/>
    <col min="7201" max="7240" width="10.7109375" style="302" customWidth="1"/>
    <col min="7241" max="7241" width="1.85546875" style="302" bestFit="1" customWidth="1"/>
    <col min="7242" max="7242" width="34.5703125" style="302" bestFit="1" customWidth="1"/>
    <col min="7243" max="7244" width="10.7109375" style="302" customWidth="1"/>
    <col min="7245" max="7245" width="2.7109375" style="302" bestFit="1" customWidth="1"/>
    <col min="7246" max="7246" width="11.5703125" style="302" bestFit="1" customWidth="1"/>
    <col min="7247" max="7423" width="10.7109375" style="302"/>
    <col min="7424" max="7424" width="5.28515625" style="302" customWidth="1"/>
    <col min="7425" max="7425" width="6.42578125" style="302" customWidth="1"/>
    <col min="7426" max="7426" width="22" style="302" customWidth="1"/>
    <col min="7427" max="7427" width="7.5703125" style="302" bestFit="1" customWidth="1"/>
    <col min="7428" max="7428" width="4.42578125" style="302" customWidth="1"/>
    <col min="7429" max="7429" width="7.42578125" style="302" bestFit="1" customWidth="1"/>
    <col min="7430" max="7430" width="2.85546875" style="302" bestFit="1" customWidth="1"/>
    <col min="7431" max="7431" width="7" style="302" bestFit="1" customWidth="1"/>
    <col min="7432" max="7432" width="5.7109375" style="302" bestFit="1" customWidth="1"/>
    <col min="7433" max="7433" width="7.85546875" style="302" bestFit="1" customWidth="1"/>
    <col min="7434" max="7435" width="0" style="302" hidden="1" customWidth="1"/>
    <col min="7436" max="7436" width="12.5703125" style="302" customWidth="1"/>
    <col min="7437" max="7437" width="0" style="302" hidden="1" customWidth="1"/>
    <col min="7438" max="7438" width="11" style="302" customWidth="1"/>
    <col min="7439" max="7439" width="9.140625" style="302" customWidth="1"/>
    <col min="7440" max="7440" width="9.85546875" style="302" customWidth="1"/>
    <col min="7441" max="7444" width="0" style="302" hidden="1" customWidth="1"/>
    <col min="7445" max="7445" width="1.5703125" style="302" customWidth="1"/>
    <col min="7446" max="7448" width="0" style="302" hidden="1" customWidth="1"/>
    <col min="7449" max="7449" width="10.42578125" style="302" customWidth="1"/>
    <col min="7450" max="7451" width="11" style="302" customWidth="1"/>
    <col min="7452" max="7452" width="9.42578125" style="302" customWidth="1"/>
    <col min="7453" max="7453" width="10" style="302" customWidth="1"/>
    <col min="7454" max="7454" width="11" style="302" customWidth="1"/>
    <col min="7455" max="7455" width="9.5703125" style="302" customWidth="1"/>
    <col min="7456" max="7456" width="10.140625" style="302" customWidth="1"/>
    <col min="7457" max="7496" width="10.7109375" style="302" customWidth="1"/>
    <col min="7497" max="7497" width="1.85546875" style="302" bestFit="1" customWidth="1"/>
    <col min="7498" max="7498" width="34.5703125" style="302" bestFit="1" customWidth="1"/>
    <col min="7499" max="7500" width="10.7109375" style="302" customWidth="1"/>
    <col min="7501" max="7501" width="2.7109375" style="302" bestFit="1" customWidth="1"/>
    <col min="7502" max="7502" width="11.5703125" style="302" bestFit="1" customWidth="1"/>
    <col min="7503" max="7679" width="10.7109375" style="302"/>
    <col min="7680" max="7680" width="5.28515625" style="302" customWidth="1"/>
    <col min="7681" max="7681" width="6.42578125" style="302" customWidth="1"/>
    <col min="7682" max="7682" width="22" style="302" customWidth="1"/>
    <col min="7683" max="7683" width="7.5703125" style="302" bestFit="1" customWidth="1"/>
    <col min="7684" max="7684" width="4.42578125" style="302" customWidth="1"/>
    <col min="7685" max="7685" width="7.42578125" style="302" bestFit="1" customWidth="1"/>
    <col min="7686" max="7686" width="2.85546875" style="302" bestFit="1" customWidth="1"/>
    <col min="7687" max="7687" width="7" style="302" bestFit="1" customWidth="1"/>
    <col min="7688" max="7688" width="5.7109375" style="302" bestFit="1" customWidth="1"/>
    <col min="7689" max="7689" width="7.85546875" style="302" bestFit="1" customWidth="1"/>
    <col min="7690" max="7691" width="0" style="302" hidden="1" customWidth="1"/>
    <col min="7692" max="7692" width="12.5703125" style="302" customWidth="1"/>
    <col min="7693" max="7693" width="0" style="302" hidden="1" customWidth="1"/>
    <col min="7694" max="7694" width="11" style="302" customWidth="1"/>
    <col min="7695" max="7695" width="9.140625" style="302" customWidth="1"/>
    <col min="7696" max="7696" width="9.85546875" style="302" customWidth="1"/>
    <col min="7697" max="7700" width="0" style="302" hidden="1" customWidth="1"/>
    <col min="7701" max="7701" width="1.5703125" style="302" customWidth="1"/>
    <col min="7702" max="7704" width="0" style="302" hidden="1" customWidth="1"/>
    <col min="7705" max="7705" width="10.42578125" style="302" customWidth="1"/>
    <col min="7706" max="7707" width="11" style="302" customWidth="1"/>
    <col min="7708" max="7708" width="9.42578125" style="302" customWidth="1"/>
    <col min="7709" max="7709" width="10" style="302" customWidth="1"/>
    <col min="7710" max="7710" width="11" style="302" customWidth="1"/>
    <col min="7711" max="7711" width="9.5703125" style="302" customWidth="1"/>
    <col min="7712" max="7712" width="10.140625" style="302" customWidth="1"/>
    <col min="7713" max="7752" width="10.7109375" style="302" customWidth="1"/>
    <col min="7753" max="7753" width="1.85546875" style="302" bestFit="1" customWidth="1"/>
    <col min="7754" max="7754" width="34.5703125" style="302" bestFit="1" customWidth="1"/>
    <col min="7755" max="7756" width="10.7109375" style="302" customWidth="1"/>
    <col min="7757" max="7757" width="2.7109375" style="302" bestFit="1" customWidth="1"/>
    <col min="7758" max="7758" width="11.5703125" style="302" bestFit="1" customWidth="1"/>
    <col min="7759" max="7935" width="10.7109375" style="302"/>
    <col min="7936" max="7936" width="5.28515625" style="302" customWidth="1"/>
    <col min="7937" max="7937" width="6.42578125" style="302" customWidth="1"/>
    <col min="7938" max="7938" width="22" style="302" customWidth="1"/>
    <col min="7939" max="7939" width="7.5703125" style="302" bestFit="1" customWidth="1"/>
    <col min="7940" max="7940" width="4.42578125" style="302" customWidth="1"/>
    <col min="7941" max="7941" width="7.42578125" style="302" bestFit="1" customWidth="1"/>
    <col min="7942" max="7942" width="2.85546875" style="302" bestFit="1" customWidth="1"/>
    <col min="7943" max="7943" width="7" style="302" bestFit="1" customWidth="1"/>
    <col min="7944" max="7944" width="5.7109375" style="302" bestFit="1" customWidth="1"/>
    <col min="7945" max="7945" width="7.85546875" style="302" bestFit="1" customWidth="1"/>
    <col min="7946" max="7947" width="0" style="302" hidden="1" customWidth="1"/>
    <col min="7948" max="7948" width="12.5703125" style="302" customWidth="1"/>
    <col min="7949" max="7949" width="0" style="302" hidden="1" customWidth="1"/>
    <col min="7950" max="7950" width="11" style="302" customWidth="1"/>
    <col min="7951" max="7951" width="9.140625" style="302" customWidth="1"/>
    <col min="7952" max="7952" width="9.85546875" style="302" customWidth="1"/>
    <col min="7953" max="7956" width="0" style="302" hidden="1" customWidth="1"/>
    <col min="7957" max="7957" width="1.5703125" style="302" customWidth="1"/>
    <col min="7958" max="7960" width="0" style="302" hidden="1" customWidth="1"/>
    <col min="7961" max="7961" width="10.42578125" style="302" customWidth="1"/>
    <col min="7962" max="7963" width="11" style="302" customWidth="1"/>
    <col min="7964" max="7964" width="9.42578125" style="302" customWidth="1"/>
    <col min="7965" max="7965" width="10" style="302" customWidth="1"/>
    <col min="7966" max="7966" width="11" style="302" customWidth="1"/>
    <col min="7967" max="7967" width="9.5703125" style="302" customWidth="1"/>
    <col min="7968" max="7968" width="10.140625" style="302" customWidth="1"/>
    <col min="7969" max="8008" width="10.7109375" style="302" customWidth="1"/>
    <col min="8009" max="8009" width="1.85546875" style="302" bestFit="1" customWidth="1"/>
    <col min="8010" max="8010" width="34.5703125" style="302" bestFit="1" customWidth="1"/>
    <col min="8011" max="8012" width="10.7109375" style="302" customWidth="1"/>
    <col min="8013" max="8013" width="2.7109375" style="302" bestFit="1" customWidth="1"/>
    <col min="8014" max="8014" width="11.5703125" style="302" bestFit="1" customWidth="1"/>
    <col min="8015" max="8191" width="10.7109375" style="302"/>
    <col min="8192" max="8192" width="5.28515625" style="302" customWidth="1"/>
    <col min="8193" max="8193" width="6.42578125" style="302" customWidth="1"/>
    <col min="8194" max="8194" width="22" style="302" customWidth="1"/>
    <col min="8195" max="8195" width="7.5703125" style="302" bestFit="1" customWidth="1"/>
    <col min="8196" max="8196" width="4.42578125" style="302" customWidth="1"/>
    <col min="8197" max="8197" width="7.42578125" style="302" bestFit="1" customWidth="1"/>
    <col min="8198" max="8198" width="2.85546875" style="302" bestFit="1" customWidth="1"/>
    <col min="8199" max="8199" width="7" style="302" bestFit="1" customWidth="1"/>
    <col min="8200" max="8200" width="5.7109375" style="302" bestFit="1" customWidth="1"/>
    <col min="8201" max="8201" width="7.85546875" style="302" bestFit="1" customWidth="1"/>
    <col min="8202" max="8203" width="0" style="302" hidden="1" customWidth="1"/>
    <col min="8204" max="8204" width="12.5703125" style="302" customWidth="1"/>
    <col min="8205" max="8205" width="0" style="302" hidden="1" customWidth="1"/>
    <col min="8206" max="8206" width="11" style="302" customWidth="1"/>
    <col min="8207" max="8207" width="9.140625" style="302" customWidth="1"/>
    <col min="8208" max="8208" width="9.85546875" style="302" customWidth="1"/>
    <col min="8209" max="8212" width="0" style="302" hidden="1" customWidth="1"/>
    <col min="8213" max="8213" width="1.5703125" style="302" customWidth="1"/>
    <col min="8214" max="8216" width="0" style="302" hidden="1" customWidth="1"/>
    <col min="8217" max="8217" width="10.42578125" style="302" customWidth="1"/>
    <col min="8218" max="8219" width="11" style="302" customWidth="1"/>
    <col min="8220" max="8220" width="9.42578125" style="302" customWidth="1"/>
    <col min="8221" max="8221" width="10" style="302" customWidth="1"/>
    <col min="8222" max="8222" width="11" style="302" customWidth="1"/>
    <col min="8223" max="8223" width="9.5703125" style="302" customWidth="1"/>
    <col min="8224" max="8224" width="10.140625" style="302" customWidth="1"/>
    <col min="8225" max="8264" width="10.7109375" style="302" customWidth="1"/>
    <col min="8265" max="8265" width="1.85546875" style="302" bestFit="1" customWidth="1"/>
    <col min="8266" max="8266" width="34.5703125" style="302" bestFit="1" customWidth="1"/>
    <col min="8267" max="8268" width="10.7109375" style="302" customWidth="1"/>
    <col min="8269" max="8269" width="2.7109375" style="302" bestFit="1" customWidth="1"/>
    <col min="8270" max="8270" width="11.5703125" style="302" bestFit="1" customWidth="1"/>
    <col min="8271" max="8447" width="10.7109375" style="302"/>
    <col min="8448" max="8448" width="5.28515625" style="302" customWidth="1"/>
    <col min="8449" max="8449" width="6.42578125" style="302" customWidth="1"/>
    <col min="8450" max="8450" width="22" style="302" customWidth="1"/>
    <col min="8451" max="8451" width="7.5703125" style="302" bestFit="1" customWidth="1"/>
    <col min="8452" max="8452" width="4.42578125" style="302" customWidth="1"/>
    <col min="8453" max="8453" width="7.42578125" style="302" bestFit="1" customWidth="1"/>
    <col min="8454" max="8454" width="2.85546875" style="302" bestFit="1" customWidth="1"/>
    <col min="8455" max="8455" width="7" style="302" bestFit="1" customWidth="1"/>
    <col min="8456" max="8456" width="5.7109375" style="302" bestFit="1" customWidth="1"/>
    <col min="8457" max="8457" width="7.85546875" style="302" bestFit="1" customWidth="1"/>
    <col min="8458" max="8459" width="0" style="302" hidden="1" customWidth="1"/>
    <col min="8460" max="8460" width="12.5703125" style="302" customWidth="1"/>
    <col min="8461" max="8461" width="0" style="302" hidden="1" customWidth="1"/>
    <col min="8462" max="8462" width="11" style="302" customWidth="1"/>
    <col min="8463" max="8463" width="9.140625" style="302" customWidth="1"/>
    <col min="8464" max="8464" width="9.85546875" style="302" customWidth="1"/>
    <col min="8465" max="8468" width="0" style="302" hidden="1" customWidth="1"/>
    <col min="8469" max="8469" width="1.5703125" style="302" customWidth="1"/>
    <col min="8470" max="8472" width="0" style="302" hidden="1" customWidth="1"/>
    <col min="8473" max="8473" width="10.42578125" style="302" customWidth="1"/>
    <col min="8474" max="8475" width="11" style="302" customWidth="1"/>
    <col min="8476" max="8476" width="9.42578125" style="302" customWidth="1"/>
    <col min="8477" max="8477" width="10" style="302" customWidth="1"/>
    <col min="8478" max="8478" width="11" style="302" customWidth="1"/>
    <col min="8479" max="8479" width="9.5703125" style="302" customWidth="1"/>
    <col min="8480" max="8480" width="10.140625" style="302" customWidth="1"/>
    <col min="8481" max="8520" width="10.7109375" style="302" customWidth="1"/>
    <col min="8521" max="8521" width="1.85546875" style="302" bestFit="1" customWidth="1"/>
    <col min="8522" max="8522" width="34.5703125" style="302" bestFit="1" customWidth="1"/>
    <col min="8523" max="8524" width="10.7109375" style="302" customWidth="1"/>
    <col min="8525" max="8525" width="2.7109375" style="302" bestFit="1" customWidth="1"/>
    <col min="8526" max="8526" width="11.5703125" style="302" bestFit="1" customWidth="1"/>
    <col min="8527" max="8703" width="10.7109375" style="302"/>
    <col min="8704" max="8704" width="5.28515625" style="302" customWidth="1"/>
    <col min="8705" max="8705" width="6.42578125" style="302" customWidth="1"/>
    <col min="8706" max="8706" width="22" style="302" customWidth="1"/>
    <col min="8707" max="8707" width="7.5703125" style="302" bestFit="1" customWidth="1"/>
    <col min="8708" max="8708" width="4.42578125" style="302" customWidth="1"/>
    <col min="8709" max="8709" width="7.42578125" style="302" bestFit="1" customWidth="1"/>
    <col min="8710" max="8710" width="2.85546875" style="302" bestFit="1" customWidth="1"/>
    <col min="8711" max="8711" width="7" style="302" bestFit="1" customWidth="1"/>
    <col min="8712" max="8712" width="5.7109375" style="302" bestFit="1" customWidth="1"/>
    <col min="8713" max="8713" width="7.85546875" style="302" bestFit="1" customWidth="1"/>
    <col min="8714" max="8715" width="0" style="302" hidden="1" customWidth="1"/>
    <col min="8716" max="8716" width="12.5703125" style="302" customWidth="1"/>
    <col min="8717" max="8717" width="0" style="302" hidden="1" customWidth="1"/>
    <col min="8718" max="8718" width="11" style="302" customWidth="1"/>
    <col min="8719" max="8719" width="9.140625" style="302" customWidth="1"/>
    <col min="8720" max="8720" width="9.85546875" style="302" customWidth="1"/>
    <col min="8721" max="8724" width="0" style="302" hidden="1" customWidth="1"/>
    <col min="8725" max="8725" width="1.5703125" style="302" customWidth="1"/>
    <col min="8726" max="8728" width="0" style="302" hidden="1" customWidth="1"/>
    <col min="8729" max="8729" width="10.42578125" style="302" customWidth="1"/>
    <col min="8730" max="8731" width="11" style="302" customWidth="1"/>
    <col min="8732" max="8732" width="9.42578125" style="302" customWidth="1"/>
    <col min="8733" max="8733" width="10" style="302" customWidth="1"/>
    <col min="8734" max="8734" width="11" style="302" customWidth="1"/>
    <col min="8735" max="8735" width="9.5703125" style="302" customWidth="1"/>
    <col min="8736" max="8736" width="10.140625" style="302" customWidth="1"/>
    <col min="8737" max="8776" width="10.7109375" style="302" customWidth="1"/>
    <col min="8777" max="8777" width="1.85546875" style="302" bestFit="1" customWidth="1"/>
    <col min="8778" max="8778" width="34.5703125" style="302" bestFit="1" customWidth="1"/>
    <col min="8779" max="8780" width="10.7109375" style="302" customWidth="1"/>
    <col min="8781" max="8781" width="2.7109375" style="302" bestFit="1" customWidth="1"/>
    <col min="8782" max="8782" width="11.5703125" style="302" bestFit="1" customWidth="1"/>
    <col min="8783" max="8959" width="10.7109375" style="302"/>
    <col min="8960" max="8960" width="5.28515625" style="302" customWidth="1"/>
    <col min="8961" max="8961" width="6.42578125" style="302" customWidth="1"/>
    <col min="8962" max="8962" width="22" style="302" customWidth="1"/>
    <col min="8963" max="8963" width="7.5703125" style="302" bestFit="1" customWidth="1"/>
    <col min="8964" max="8964" width="4.42578125" style="302" customWidth="1"/>
    <col min="8965" max="8965" width="7.42578125" style="302" bestFit="1" customWidth="1"/>
    <col min="8966" max="8966" width="2.85546875" style="302" bestFit="1" customWidth="1"/>
    <col min="8967" max="8967" width="7" style="302" bestFit="1" customWidth="1"/>
    <col min="8968" max="8968" width="5.7109375" style="302" bestFit="1" customWidth="1"/>
    <col min="8969" max="8969" width="7.85546875" style="302" bestFit="1" customWidth="1"/>
    <col min="8970" max="8971" width="0" style="302" hidden="1" customWidth="1"/>
    <col min="8972" max="8972" width="12.5703125" style="302" customWidth="1"/>
    <col min="8973" max="8973" width="0" style="302" hidden="1" customWidth="1"/>
    <col min="8974" max="8974" width="11" style="302" customWidth="1"/>
    <col min="8975" max="8975" width="9.140625" style="302" customWidth="1"/>
    <col min="8976" max="8976" width="9.85546875" style="302" customWidth="1"/>
    <col min="8977" max="8980" width="0" style="302" hidden="1" customWidth="1"/>
    <col min="8981" max="8981" width="1.5703125" style="302" customWidth="1"/>
    <col min="8982" max="8984" width="0" style="302" hidden="1" customWidth="1"/>
    <col min="8985" max="8985" width="10.42578125" style="302" customWidth="1"/>
    <col min="8986" max="8987" width="11" style="302" customWidth="1"/>
    <col min="8988" max="8988" width="9.42578125" style="302" customWidth="1"/>
    <col min="8989" max="8989" width="10" style="302" customWidth="1"/>
    <col min="8990" max="8990" width="11" style="302" customWidth="1"/>
    <col min="8991" max="8991" width="9.5703125" style="302" customWidth="1"/>
    <col min="8992" max="8992" width="10.140625" style="302" customWidth="1"/>
    <col min="8993" max="9032" width="10.7109375" style="302" customWidth="1"/>
    <col min="9033" max="9033" width="1.85546875" style="302" bestFit="1" customWidth="1"/>
    <col min="9034" max="9034" width="34.5703125" style="302" bestFit="1" customWidth="1"/>
    <col min="9035" max="9036" width="10.7109375" style="302" customWidth="1"/>
    <col min="9037" max="9037" width="2.7109375" style="302" bestFit="1" customWidth="1"/>
    <col min="9038" max="9038" width="11.5703125" style="302" bestFit="1" customWidth="1"/>
    <col min="9039" max="9215" width="10.7109375" style="302"/>
    <col min="9216" max="9216" width="5.28515625" style="302" customWidth="1"/>
    <col min="9217" max="9217" width="6.42578125" style="302" customWidth="1"/>
    <col min="9218" max="9218" width="22" style="302" customWidth="1"/>
    <col min="9219" max="9219" width="7.5703125" style="302" bestFit="1" customWidth="1"/>
    <col min="9220" max="9220" width="4.42578125" style="302" customWidth="1"/>
    <col min="9221" max="9221" width="7.42578125" style="302" bestFit="1" customWidth="1"/>
    <col min="9222" max="9222" width="2.85546875" style="302" bestFit="1" customWidth="1"/>
    <col min="9223" max="9223" width="7" style="302" bestFit="1" customWidth="1"/>
    <col min="9224" max="9224" width="5.7109375" style="302" bestFit="1" customWidth="1"/>
    <col min="9225" max="9225" width="7.85546875" style="302" bestFit="1" customWidth="1"/>
    <col min="9226" max="9227" width="0" style="302" hidden="1" customWidth="1"/>
    <col min="9228" max="9228" width="12.5703125" style="302" customWidth="1"/>
    <col min="9229" max="9229" width="0" style="302" hidden="1" customWidth="1"/>
    <col min="9230" max="9230" width="11" style="302" customWidth="1"/>
    <col min="9231" max="9231" width="9.140625" style="302" customWidth="1"/>
    <col min="9232" max="9232" width="9.85546875" style="302" customWidth="1"/>
    <col min="9233" max="9236" width="0" style="302" hidden="1" customWidth="1"/>
    <col min="9237" max="9237" width="1.5703125" style="302" customWidth="1"/>
    <col min="9238" max="9240" width="0" style="302" hidden="1" customWidth="1"/>
    <col min="9241" max="9241" width="10.42578125" style="302" customWidth="1"/>
    <col min="9242" max="9243" width="11" style="302" customWidth="1"/>
    <col min="9244" max="9244" width="9.42578125" style="302" customWidth="1"/>
    <col min="9245" max="9245" width="10" style="302" customWidth="1"/>
    <col min="9246" max="9246" width="11" style="302" customWidth="1"/>
    <col min="9247" max="9247" width="9.5703125" style="302" customWidth="1"/>
    <col min="9248" max="9248" width="10.140625" style="302" customWidth="1"/>
    <col min="9249" max="9288" width="10.7109375" style="302" customWidth="1"/>
    <col min="9289" max="9289" width="1.85546875" style="302" bestFit="1" customWidth="1"/>
    <col min="9290" max="9290" width="34.5703125" style="302" bestFit="1" customWidth="1"/>
    <col min="9291" max="9292" width="10.7109375" style="302" customWidth="1"/>
    <col min="9293" max="9293" width="2.7109375" style="302" bestFit="1" customWidth="1"/>
    <col min="9294" max="9294" width="11.5703125" style="302" bestFit="1" customWidth="1"/>
    <col min="9295" max="9471" width="10.7109375" style="302"/>
    <col min="9472" max="9472" width="5.28515625" style="302" customWidth="1"/>
    <col min="9473" max="9473" width="6.42578125" style="302" customWidth="1"/>
    <col min="9474" max="9474" width="22" style="302" customWidth="1"/>
    <col min="9475" max="9475" width="7.5703125" style="302" bestFit="1" customWidth="1"/>
    <col min="9476" max="9476" width="4.42578125" style="302" customWidth="1"/>
    <col min="9477" max="9477" width="7.42578125" style="302" bestFit="1" customWidth="1"/>
    <col min="9478" max="9478" width="2.85546875" style="302" bestFit="1" customWidth="1"/>
    <col min="9479" max="9479" width="7" style="302" bestFit="1" customWidth="1"/>
    <col min="9480" max="9480" width="5.7109375" style="302" bestFit="1" customWidth="1"/>
    <col min="9481" max="9481" width="7.85546875" style="302" bestFit="1" customWidth="1"/>
    <col min="9482" max="9483" width="0" style="302" hidden="1" customWidth="1"/>
    <col min="9484" max="9484" width="12.5703125" style="302" customWidth="1"/>
    <col min="9485" max="9485" width="0" style="302" hidden="1" customWidth="1"/>
    <col min="9486" max="9486" width="11" style="302" customWidth="1"/>
    <col min="9487" max="9487" width="9.140625" style="302" customWidth="1"/>
    <col min="9488" max="9488" width="9.85546875" style="302" customWidth="1"/>
    <col min="9489" max="9492" width="0" style="302" hidden="1" customWidth="1"/>
    <col min="9493" max="9493" width="1.5703125" style="302" customWidth="1"/>
    <col min="9494" max="9496" width="0" style="302" hidden="1" customWidth="1"/>
    <col min="9497" max="9497" width="10.42578125" style="302" customWidth="1"/>
    <col min="9498" max="9499" width="11" style="302" customWidth="1"/>
    <col min="9500" max="9500" width="9.42578125" style="302" customWidth="1"/>
    <col min="9501" max="9501" width="10" style="302" customWidth="1"/>
    <col min="9502" max="9502" width="11" style="302" customWidth="1"/>
    <col min="9503" max="9503" width="9.5703125" style="302" customWidth="1"/>
    <col min="9504" max="9504" width="10.140625" style="302" customWidth="1"/>
    <col min="9505" max="9544" width="10.7109375" style="302" customWidth="1"/>
    <col min="9545" max="9545" width="1.85546875" style="302" bestFit="1" customWidth="1"/>
    <col min="9546" max="9546" width="34.5703125" style="302" bestFit="1" customWidth="1"/>
    <col min="9547" max="9548" width="10.7109375" style="302" customWidth="1"/>
    <col min="9549" max="9549" width="2.7109375" style="302" bestFit="1" customWidth="1"/>
    <col min="9550" max="9550" width="11.5703125" style="302" bestFit="1" customWidth="1"/>
    <col min="9551" max="9727" width="10.7109375" style="302"/>
    <col min="9728" max="9728" width="5.28515625" style="302" customWidth="1"/>
    <col min="9729" max="9729" width="6.42578125" style="302" customWidth="1"/>
    <col min="9730" max="9730" width="22" style="302" customWidth="1"/>
    <col min="9731" max="9731" width="7.5703125" style="302" bestFit="1" customWidth="1"/>
    <col min="9732" max="9732" width="4.42578125" style="302" customWidth="1"/>
    <col min="9733" max="9733" width="7.42578125" style="302" bestFit="1" customWidth="1"/>
    <col min="9734" max="9734" width="2.85546875" style="302" bestFit="1" customWidth="1"/>
    <col min="9735" max="9735" width="7" style="302" bestFit="1" customWidth="1"/>
    <col min="9736" max="9736" width="5.7109375" style="302" bestFit="1" customWidth="1"/>
    <col min="9737" max="9737" width="7.85546875" style="302" bestFit="1" customWidth="1"/>
    <col min="9738" max="9739" width="0" style="302" hidden="1" customWidth="1"/>
    <col min="9740" max="9740" width="12.5703125" style="302" customWidth="1"/>
    <col min="9741" max="9741" width="0" style="302" hidden="1" customWidth="1"/>
    <col min="9742" max="9742" width="11" style="302" customWidth="1"/>
    <col min="9743" max="9743" width="9.140625" style="302" customWidth="1"/>
    <col min="9744" max="9744" width="9.85546875" style="302" customWidth="1"/>
    <col min="9745" max="9748" width="0" style="302" hidden="1" customWidth="1"/>
    <col min="9749" max="9749" width="1.5703125" style="302" customWidth="1"/>
    <col min="9750" max="9752" width="0" style="302" hidden="1" customWidth="1"/>
    <col min="9753" max="9753" width="10.42578125" style="302" customWidth="1"/>
    <col min="9754" max="9755" width="11" style="302" customWidth="1"/>
    <col min="9756" max="9756" width="9.42578125" style="302" customWidth="1"/>
    <col min="9757" max="9757" width="10" style="302" customWidth="1"/>
    <col min="9758" max="9758" width="11" style="302" customWidth="1"/>
    <col min="9759" max="9759" width="9.5703125" style="302" customWidth="1"/>
    <col min="9760" max="9760" width="10.140625" style="302" customWidth="1"/>
    <col min="9761" max="9800" width="10.7109375" style="302" customWidth="1"/>
    <col min="9801" max="9801" width="1.85546875" style="302" bestFit="1" customWidth="1"/>
    <col min="9802" max="9802" width="34.5703125" style="302" bestFit="1" customWidth="1"/>
    <col min="9803" max="9804" width="10.7109375" style="302" customWidth="1"/>
    <col min="9805" max="9805" width="2.7109375" style="302" bestFit="1" customWidth="1"/>
    <col min="9806" max="9806" width="11.5703125" style="302" bestFit="1" customWidth="1"/>
    <col min="9807" max="9983" width="10.7109375" style="302"/>
    <col min="9984" max="9984" width="5.28515625" style="302" customWidth="1"/>
    <col min="9985" max="9985" width="6.42578125" style="302" customWidth="1"/>
    <col min="9986" max="9986" width="22" style="302" customWidth="1"/>
    <col min="9987" max="9987" width="7.5703125" style="302" bestFit="1" customWidth="1"/>
    <col min="9988" max="9988" width="4.42578125" style="302" customWidth="1"/>
    <col min="9989" max="9989" width="7.42578125" style="302" bestFit="1" customWidth="1"/>
    <col min="9990" max="9990" width="2.85546875" style="302" bestFit="1" customWidth="1"/>
    <col min="9991" max="9991" width="7" style="302" bestFit="1" customWidth="1"/>
    <col min="9992" max="9992" width="5.7109375" style="302" bestFit="1" customWidth="1"/>
    <col min="9993" max="9993" width="7.85546875" style="302" bestFit="1" customWidth="1"/>
    <col min="9994" max="9995" width="0" style="302" hidden="1" customWidth="1"/>
    <col min="9996" max="9996" width="12.5703125" style="302" customWidth="1"/>
    <col min="9997" max="9997" width="0" style="302" hidden="1" customWidth="1"/>
    <col min="9998" max="9998" width="11" style="302" customWidth="1"/>
    <col min="9999" max="9999" width="9.140625" style="302" customWidth="1"/>
    <col min="10000" max="10000" width="9.85546875" style="302" customWidth="1"/>
    <col min="10001" max="10004" width="0" style="302" hidden="1" customWidth="1"/>
    <col min="10005" max="10005" width="1.5703125" style="302" customWidth="1"/>
    <col min="10006" max="10008" width="0" style="302" hidden="1" customWidth="1"/>
    <col min="10009" max="10009" width="10.42578125" style="302" customWidth="1"/>
    <col min="10010" max="10011" width="11" style="302" customWidth="1"/>
    <col min="10012" max="10012" width="9.42578125" style="302" customWidth="1"/>
    <col min="10013" max="10013" width="10" style="302" customWidth="1"/>
    <col min="10014" max="10014" width="11" style="302" customWidth="1"/>
    <col min="10015" max="10015" width="9.5703125" style="302" customWidth="1"/>
    <col min="10016" max="10016" width="10.140625" style="302" customWidth="1"/>
    <col min="10017" max="10056" width="10.7109375" style="302" customWidth="1"/>
    <col min="10057" max="10057" width="1.85546875" style="302" bestFit="1" customWidth="1"/>
    <col min="10058" max="10058" width="34.5703125" style="302" bestFit="1" customWidth="1"/>
    <col min="10059" max="10060" width="10.7109375" style="302" customWidth="1"/>
    <col min="10061" max="10061" width="2.7109375" style="302" bestFit="1" customWidth="1"/>
    <col min="10062" max="10062" width="11.5703125" style="302" bestFit="1" customWidth="1"/>
    <col min="10063" max="10239" width="10.7109375" style="302"/>
    <col min="10240" max="10240" width="5.28515625" style="302" customWidth="1"/>
    <col min="10241" max="10241" width="6.42578125" style="302" customWidth="1"/>
    <col min="10242" max="10242" width="22" style="302" customWidth="1"/>
    <col min="10243" max="10243" width="7.5703125" style="302" bestFit="1" customWidth="1"/>
    <col min="10244" max="10244" width="4.42578125" style="302" customWidth="1"/>
    <col min="10245" max="10245" width="7.42578125" style="302" bestFit="1" customWidth="1"/>
    <col min="10246" max="10246" width="2.85546875" style="302" bestFit="1" customWidth="1"/>
    <col min="10247" max="10247" width="7" style="302" bestFit="1" customWidth="1"/>
    <col min="10248" max="10248" width="5.7109375" style="302" bestFit="1" customWidth="1"/>
    <col min="10249" max="10249" width="7.85546875" style="302" bestFit="1" customWidth="1"/>
    <col min="10250" max="10251" width="0" style="302" hidden="1" customWidth="1"/>
    <col min="10252" max="10252" width="12.5703125" style="302" customWidth="1"/>
    <col min="10253" max="10253" width="0" style="302" hidden="1" customWidth="1"/>
    <col min="10254" max="10254" width="11" style="302" customWidth="1"/>
    <col min="10255" max="10255" width="9.140625" style="302" customWidth="1"/>
    <col min="10256" max="10256" width="9.85546875" style="302" customWidth="1"/>
    <col min="10257" max="10260" width="0" style="302" hidden="1" customWidth="1"/>
    <col min="10261" max="10261" width="1.5703125" style="302" customWidth="1"/>
    <col min="10262" max="10264" width="0" style="302" hidden="1" customWidth="1"/>
    <col min="10265" max="10265" width="10.42578125" style="302" customWidth="1"/>
    <col min="10266" max="10267" width="11" style="302" customWidth="1"/>
    <col min="10268" max="10268" width="9.42578125" style="302" customWidth="1"/>
    <col min="10269" max="10269" width="10" style="302" customWidth="1"/>
    <col min="10270" max="10270" width="11" style="302" customWidth="1"/>
    <col min="10271" max="10271" width="9.5703125" style="302" customWidth="1"/>
    <col min="10272" max="10272" width="10.140625" style="302" customWidth="1"/>
    <col min="10273" max="10312" width="10.7109375" style="302" customWidth="1"/>
    <col min="10313" max="10313" width="1.85546875" style="302" bestFit="1" customWidth="1"/>
    <col min="10314" max="10314" width="34.5703125" style="302" bestFit="1" customWidth="1"/>
    <col min="10315" max="10316" width="10.7109375" style="302" customWidth="1"/>
    <col min="10317" max="10317" width="2.7109375" style="302" bestFit="1" customWidth="1"/>
    <col min="10318" max="10318" width="11.5703125" style="302" bestFit="1" customWidth="1"/>
    <col min="10319" max="10495" width="10.7109375" style="302"/>
    <col min="10496" max="10496" width="5.28515625" style="302" customWidth="1"/>
    <col min="10497" max="10497" width="6.42578125" style="302" customWidth="1"/>
    <col min="10498" max="10498" width="22" style="302" customWidth="1"/>
    <col min="10499" max="10499" width="7.5703125" style="302" bestFit="1" customWidth="1"/>
    <col min="10500" max="10500" width="4.42578125" style="302" customWidth="1"/>
    <col min="10501" max="10501" width="7.42578125" style="302" bestFit="1" customWidth="1"/>
    <col min="10502" max="10502" width="2.85546875" style="302" bestFit="1" customWidth="1"/>
    <col min="10503" max="10503" width="7" style="302" bestFit="1" customWidth="1"/>
    <col min="10504" max="10504" width="5.7109375" style="302" bestFit="1" customWidth="1"/>
    <col min="10505" max="10505" width="7.85546875" style="302" bestFit="1" customWidth="1"/>
    <col min="10506" max="10507" width="0" style="302" hidden="1" customWidth="1"/>
    <col min="10508" max="10508" width="12.5703125" style="302" customWidth="1"/>
    <col min="10509" max="10509" width="0" style="302" hidden="1" customWidth="1"/>
    <col min="10510" max="10510" width="11" style="302" customWidth="1"/>
    <col min="10511" max="10511" width="9.140625" style="302" customWidth="1"/>
    <col min="10512" max="10512" width="9.85546875" style="302" customWidth="1"/>
    <col min="10513" max="10516" width="0" style="302" hidden="1" customWidth="1"/>
    <col min="10517" max="10517" width="1.5703125" style="302" customWidth="1"/>
    <col min="10518" max="10520" width="0" style="302" hidden="1" customWidth="1"/>
    <col min="10521" max="10521" width="10.42578125" style="302" customWidth="1"/>
    <col min="10522" max="10523" width="11" style="302" customWidth="1"/>
    <col min="10524" max="10524" width="9.42578125" style="302" customWidth="1"/>
    <col min="10525" max="10525" width="10" style="302" customWidth="1"/>
    <col min="10526" max="10526" width="11" style="302" customWidth="1"/>
    <col min="10527" max="10527" width="9.5703125" style="302" customWidth="1"/>
    <col min="10528" max="10528" width="10.140625" style="302" customWidth="1"/>
    <col min="10529" max="10568" width="10.7109375" style="302" customWidth="1"/>
    <col min="10569" max="10569" width="1.85546875" style="302" bestFit="1" customWidth="1"/>
    <col min="10570" max="10570" width="34.5703125" style="302" bestFit="1" customWidth="1"/>
    <col min="10571" max="10572" width="10.7109375" style="302" customWidth="1"/>
    <col min="10573" max="10573" width="2.7109375" style="302" bestFit="1" customWidth="1"/>
    <col min="10574" max="10574" width="11.5703125" style="302" bestFit="1" customWidth="1"/>
    <col min="10575" max="10751" width="10.7109375" style="302"/>
    <col min="10752" max="10752" width="5.28515625" style="302" customWidth="1"/>
    <col min="10753" max="10753" width="6.42578125" style="302" customWidth="1"/>
    <col min="10754" max="10754" width="22" style="302" customWidth="1"/>
    <col min="10755" max="10755" width="7.5703125" style="302" bestFit="1" customWidth="1"/>
    <col min="10756" max="10756" width="4.42578125" style="302" customWidth="1"/>
    <col min="10757" max="10757" width="7.42578125" style="302" bestFit="1" customWidth="1"/>
    <col min="10758" max="10758" width="2.85546875" style="302" bestFit="1" customWidth="1"/>
    <col min="10759" max="10759" width="7" style="302" bestFit="1" customWidth="1"/>
    <col min="10760" max="10760" width="5.7109375" style="302" bestFit="1" customWidth="1"/>
    <col min="10761" max="10761" width="7.85546875" style="302" bestFit="1" customWidth="1"/>
    <col min="10762" max="10763" width="0" style="302" hidden="1" customWidth="1"/>
    <col min="10764" max="10764" width="12.5703125" style="302" customWidth="1"/>
    <col min="10765" max="10765" width="0" style="302" hidden="1" customWidth="1"/>
    <col min="10766" max="10766" width="11" style="302" customWidth="1"/>
    <col min="10767" max="10767" width="9.140625" style="302" customWidth="1"/>
    <col min="10768" max="10768" width="9.85546875" style="302" customWidth="1"/>
    <col min="10769" max="10772" width="0" style="302" hidden="1" customWidth="1"/>
    <col min="10773" max="10773" width="1.5703125" style="302" customWidth="1"/>
    <col min="10774" max="10776" width="0" style="302" hidden="1" customWidth="1"/>
    <col min="10777" max="10777" width="10.42578125" style="302" customWidth="1"/>
    <col min="10778" max="10779" width="11" style="302" customWidth="1"/>
    <col min="10780" max="10780" width="9.42578125" style="302" customWidth="1"/>
    <col min="10781" max="10781" width="10" style="302" customWidth="1"/>
    <col min="10782" max="10782" width="11" style="302" customWidth="1"/>
    <col min="10783" max="10783" width="9.5703125" style="302" customWidth="1"/>
    <col min="10784" max="10784" width="10.140625" style="302" customWidth="1"/>
    <col min="10785" max="10824" width="10.7109375" style="302" customWidth="1"/>
    <col min="10825" max="10825" width="1.85546875" style="302" bestFit="1" customWidth="1"/>
    <col min="10826" max="10826" width="34.5703125" style="302" bestFit="1" customWidth="1"/>
    <col min="10827" max="10828" width="10.7109375" style="302" customWidth="1"/>
    <col min="10829" max="10829" width="2.7109375" style="302" bestFit="1" customWidth="1"/>
    <col min="10830" max="10830" width="11.5703125" style="302" bestFit="1" customWidth="1"/>
    <col min="10831" max="11007" width="10.7109375" style="302"/>
    <col min="11008" max="11008" width="5.28515625" style="302" customWidth="1"/>
    <col min="11009" max="11009" width="6.42578125" style="302" customWidth="1"/>
    <col min="11010" max="11010" width="22" style="302" customWidth="1"/>
    <col min="11011" max="11011" width="7.5703125" style="302" bestFit="1" customWidth="1"/>
    <col min="11012" max="11012" width="4.42578125" style="302" customWidth="1"/>
    <col min="11013" max="11013" width="7.42578125" style="302" bestFit="1" customWidth="1"/>
    <col min="11014" max="11014" width="2.85546875" style="302" bestFit="1" customWidth="1"/>
    <col min="11015" max="11015" width="7" style="302" bestFit="1" customWidth="1"/>
    <col min="11016" max="11016" width="5.7109375" style="302" bestFit="1" customWidth="1"/>
    <col min="11017" max="11017" width="7.85546875" style="302" bestFit="1" customWidth="1"/>
    <col min="11018" max="11019" width="0" style="302" hidden="1" customWidth="1"/>
    <col min="11020" max="11020" width="12.5703125" style="302" customWidth="1"/>
    <col min="11021" max="11021" width="0" style="302" hidden="1" customWidth="1"/>
    <col min="11022" max="11022" width="11" style="302" customWidth="1"/>
    <col min="11023" max="11023" width="9.140625" style="302" customWidth="1"/>
    <col min="11024" max="11024" width="9.85546875" style="302" customWidth="1"/>
    <col min="11025" max="11028" width="0" style="302" hidden="1" customWidth="1"/>
    <col min="11029" max="11029" width="1.5703125" style="302" customWidth="1"/>
    <col min="11030" max="11032" width="0" style="302" hidden="1" customWidth="1"/>
    <col min="11033" max="11033" width="10.42578125" style="302" customWidth="1"/>
    <col min="11034" max="11035" width="11" style="302" customWidth="1"/>
    <col min="11036" max="11036" width="9.42578125" style="302" customWidth="1"/>
    <col min="11037" max="11037" width="10" style="302" customWidth="1"/>
    <col min="11038" max="11038" width="11" style="302" customWidth="1"/>
    <col min="11039" max="11039" width="9.5703125" style="302" customWidth="1"/>
    <col min="11040" max="11040" width="10.140625" style="302" customWidth="1"/>
    <col min="11041" max="11080" width="10.7109375" style="302" customWidth="1"/>
    <col min="11081" max="11081" width="1.85546875" style="302" bestFit="1" customWidth="1"/>
    <col min="11082" max="11082" width="34.5703125" style="302" bestFit="1" customWidth="1"/>
    <col min="11083" max="11084" width="10.7109375" style="302" customWidth="1"/>
    <col min="11085" max="11085" width="2.7109375" style="302" bestFit="1" customWidth="1"/>
    <col min="11086" max="11086" width="11.5703125" style="302" bestFit="1" customWidth="1"/>
    <col min="11087" max="11263" width="10.7109375" style="302"/>
    <col min="11264" max="11264" width="5.28515625" style="302" customWidth="1"/>
    <col min="11265" max="11265" width="6.42578125" style="302" customWidth="1"/>
    <col min="11266" max="11266" width="22" style="302" customWidth="1"/>
    <col min="11267" max="11267" width="7.5703125" style="302" bestFit="1" customWidth="1"/>
    <col min="11268" max="11268" width="4.42578125" style="302" customWidth="1"/>
    <col min="11269" max="11269" width="7.42578125" style="302" bestFit="1" customWidth="1"/>
    <col min="11270" max="11270" width="2.85546875" style="302" bestFit="1" customWidth="1"/>
    <col min="11271" max="11271" width="7" style="302" bestFit="1" customWidth="1"/>
    <col min="11272" max="11272" width="5.7109375" style="302" bestFit="1" customWidth="1"/>
    <col min="11273" max="11273" width="7.85546875" style="302" bestFit="1" customWidth="1"/>
    <col min="11274" max="11275" width="0" style="302" hidden="1" customWidth="1"/>
    <col min="11276" max="11276" width="12.5703125" style="302" customWidth="1"/>
    <col min="11277" max="11277" width="0" style="302" hidden="1" customWidth="1"/>
    <col min="11278" max="11278" width="11" style="302" customWidth="1"/>
    <col min="11279" max="11279" width="9.140625" style="302" customWidth="1"/>
    <col min="11280" max="11280" width="9.85546875" style="302" customWidth="1"/>
    <col min="11281" max="11284" width="0" style="302" hidden="1" customWidth="1"/>
    <col min="11285" max="11285" width="1.5703125" style="302" customWidth="1"/>
    <col min="11286" max="11288" width="0" style="302" hidden="1" customWidth="1"/>
    <col min="11289" max="11289" width="10.42578125" style="302" customWidth="1"/>
    <col min="11290" max="11291" width="11" style="302" customWidth="1"/>
    <col min="11292" max="11292" width="9.42578125" style="302" customWidth="1"/>
    <col min="11293" max="11293" width="10" style="302" customWidth="1"/>
    <col min="11294" max="11294" width="11" style="302" customWidth="1"/>
    <col min="11295" max="11295" width="9.5703125" style="302" customWidth="1"/>
    <col min="11296" max="11296" width="10.140625" style="302" customWidth="1"/>
    <col min="11297" max="11336" width="10.7109375" style="302" customWidth="1"/>
    <col min="11337" max="11337" width="1.85546875" style="302" bestFit="1" customWidth="1"/>
    <col min="11338" max="11338" width="34.5703125" style="302" bestFit="1" customWidth="1"/>
    <col min="11339" max="11340" width="10.7109375" style="302" customWidth="1"/>
    <col min="11341" max="11341" width="2.7109375" style="302" bestFit="1" customWidth="1"/>
    <col min="11342" max="11342" width="11.5703125" style="302" bestFit="1" customWidth="1"/>
    <col min="11343" max="11519" width="10.7109375" style="302"/>
    <col min="11520" max="11520" width="5.28515625" style="302" customWidth="1"/>
    <col min="11521" max="11521" width="6.42578125" style="302" customWidth="1"/>
    <col min="11522" max="11522" width="22" style="302" customWidth="1"/>
    <col min="11523" max="11523" width="7.5703125" style="302" bestFit="1" customWidth="1"/>
    <col min="11524" max="11524" width="4.42578125" style="302" customWidth="1"/>
    <col min="11525" max="11525" width="7.42578125" style="302" bestFit="1" customWidth="1"/>
    <col min="11526" max="11526" width="2.85546875" style="302" bestFit="1" customWidth="1"/>
    <col min="11527" max="11527" width="7" style="302" bestFit="1" customWidth="1"/>
    <col min="11528" max="11528" width="5.7109375" style="302" bestFit="1" customWidth="1"/>
    <col min="11529" max="11529" width="7.85546875" style="302" bestFit="1" customWidth="1"/>
    <col min="11530" max="11531" width="0" style="302" hidden="1" customWidth="1"/>
    <col min="11532" max="11532" width="12.5703125" style="302" customWidth="1"/>
    <col min="11533" max="11533" width="0" style="302" hidden="1" customWidth="1"/>
    <col min="11534" max="11534" width="11" style="302" customWidth="1"/>
    <col min="11535" max="11535" width="9.140625" style="302" customWidth="1"/>
    <col min="11536" max="11536" width="9.85546875" style="302" customWidth="1"/>
    <col min="11537" max="11540" width="0" style="302" hidden="1" customWidth="1"/>
    <col min="11541" max="11541" width="1.5703125" style="302" customWidth="1"/>
    <col min="11542" max="11544" width="0" style="302" hidden="1" customWidth="1"/>
    <col min="11545" max="11545" width="10.42578125" style="302" customWidth="1"/>
    <col min="11546" max="11547" width="11" style="302" customWidth="1"/>
    <col min="11548" max="11548" width="9.42578125" style="302" customWidth="1"/>
    <col min="11549" max="11549" width="10" style="302" customWidth="1"/>
    <col min="11550" max="11550" width="11" style="302" customWidth="1"/>
    <col min="11551" max="11551" width="9.5703125" style="302" customWidth="1"/>
    <col min="11552" max="11552" width="10.140625" style="302" customWidth="1"/>
    <col min="11553" max="11592" width="10.7109375" style="302" customWidth="1"/>
    <col min="11593" max="11593" width="1.85546875" style="302" bestFit="1" customWidth="1"/>
    <col min="11594" max="11594" width="34.5703125" style="302" bestFit="1" customWidth="1"/>
    <col min="11595" max="11596" width="10.7109375" style="302" customWidth="1"/>
    <col min="11597" max="11597" width="2.7109375" style="302" bestFit="1" customWidth="1"/>
    <col min="11598" max="11598" width="11.5703125" style="302" bestFit="1" customWidth="1"/>
    <col min="11599" max="11775" width="10.7109375" style="302"/>
    <col min="11776" max="11776" width="5.28515625" style="302" customWidth="1"/>
    <col min="11777" max="11777" width="6.42578125" style="302" customWidth="1"/>
    <col min="11778" max="11778" width="22" style="302" customWidth="1"/>
    <col min="11779" max="11779" width="7.5703125" style="302" bestFit="1" customWidth="1"/>
    <col min="11780" max="11780" width="4.42578125" style="302" customWidth="1"/>
    <col min="11781" max="11781" width="7.42578125" style="302" bestFit="1" customWidth="1"/>
    <col min="11782" max="11782" width="2.85546875" style="302" bestFit="1" customWidth="1"/>
    <col min="11783" max="11783" width="7" style="302" bestFit="1" customWidth="1"/>
    <col min="11784" max="11784" width="5.7109375" style="302" bestFit="1" customWidth="1"/>
    <col min="11785" max="11785" width="7.85546875" style="302" bestFit="1" customWidth="1"/>
    <col min="11786" max="11787" width="0" style="302" hidden="1" customWidth="1"/>
    <col min="11788" max="11788" width="12.5703125" style="302" customWidth="1"/>
    <col min="11789" max="11789" width="0" style="302" hidden="1" customWidth="1"/>
    <col min="11790" max="11790" width="11" style="302" customWidth="1"/>
    <col min="11791" max="11791" width="9.140625" style="302" customWidth="1"/>
    <col min="11792" max="11792" width="9.85546875" style="302" customWidth="1"/>
    <col min="11793" max="11796" width="0" style="302" hidden="1" customWidth="1"/>
    <col min="11797" max="11797" width="1.5703125" style="302" customWidth="1"/>
    <col min="11798" max="11800" width="0" style="302" hidden="1" customWidth="1"/>
    <col min="11801" max="11801" width="10.42578125" style="302" customWidth="1"/>
    <col min="11802" max="11803" width="11" style="302" customWidth="1"/>
    <col min="11804" max="11804" width="9.42578125" style="302" customWidth="1"/>
    <col min="11805" max="11805" width="10" style="302" customWidth="1"/>
    <col min="11806" max="11806" width="11" style="302" customWidth="1"/>
    <col min="11807" max="11807" width="9.5703125" style="302" customWidth="1"/>
    <col min="11808" max="11808" width="10.140625" style="302" customWidth="1"/>
    <col min="11809" max="11848" width="10.7109375" style="302" customWidth="1"/>
    <col min="11849" max="11849" width="1.85546875" style="302" bestFit="1" customWidth="1"/>
    <col min="11850" max="11850" width="34.5703125" style="302" bestFit="1" customWidth="1"/>
    <col min="11851" max="11852" width="10.7109375" style="302" customWidth="1"/>
    <col min="11853" max="11853" width="2.7109375" style="302" bestFit="1" customWidth="1"/>
    <col min="11854" max="11854" width="11.5703125" style="302" bestFit="1" customWidth="1"/>
    <col min="11855" max="12031" width="10.7109375" style="302"/>
    <col min="12032" max="12032" width="5.28515625" style="302" customWidth="1"/>
    <col min="12033" max="12033" width="6.42578125" style="302" customWidth="1"/>
    <col min="12034" max="12034" width="22" style="302" customWidth="1"/>
    <col min="12035" max="12035" width="7.5703125" style="302" bestFit="1" customWidth="1"/>
    <col min="12036" max="12036" width="4.42578125" style="302" customWidth="1"/>
    <col min="12037" max="12037" width="7.42578125" style="302" bestFit="1" customWidth="1"/>
    <col min="12038" max="12038" width="2.85546875" style="302" bestFit="1" customWidth="1"/>
    <col min="12039" max="12039" width="7" style="302" bestFit="1" customWidth="1"/>
    <col min="12040" max="12040" width="5.7109375" style="302" bestFit="1" customWidth="1"/>
    <col min="12041" max="12041" width="7.85546875" style="302" bestFit="1" customWidth="1"/>
    <col min="12042" max="12043" width="0" style="302" hidden="1" customWidth="1"/>
    <col min="12044" max="12044" width="12.5703125" style="302" customWidth="1"/>
    <col min="12045" max="12045" width="0" style="302" hidden="1" customWidth="1"/>
    <col min="12046" max="12046" width="11" style="302" customWidth="1"/>
    <col min="12047" max="12047" width="9.140625" style="302" customWidth="1"/>
    <col min="12048" max="12048" width="9.85546875" style="302" customWidth="1"/>
    <col min="12049" max="12052" width="0" style="302" hidden="1" customWidth="1"/>
    <col min="12053" max="12053" width="1.5703125" style="302" customWidth="1"/>
    <col min="12054" max="12056" width="0" style="302" hidden="1" customWidth="1"/>
    <col min="12057" max="12057" width="10.42578125" style="302" customWidth="1"/>
    <col min="12058" max="12059" width="11" style="302" customWidth="1"/>
    <col min="12060" max="12060" width="9.42578125" style="302" customWidth="1"/>
    <col min="12061" max="12061" width="10" style="302" customWidth="1"/>
    <col min="12062" max="12062" width="11" style="302" customWidth="1"/>
    <col min="12063" max="12063" width="9.5703125" style="302" customWidth="1"/>
    <col min="12064" max="12064" width="10.140625" style="302" customWidth="1"/>
    <col min="12065" max="12104" width="10.7109375" style="302" customWidth="1"/>
    <col min="12105" max="12105" width="1.85546875" style="302" bestFit="1" customWidth="1"/>
    <col min="12106" max="12106" width="34.5703125" style="302" bestFit="1" customWidth="1"/>
    <col min="12107" max="12108" width="10.7109375" style="302" customWidth="1"/>
    <col min="12109" max="12109" width="2.7109375" style="302" bestFit="1" customWidth="1"/>
    <col min="12110" max="12110" width="11.5703125" style="302" bestFit="1" customWidth="1"/>
    <col min="12111" max="12287" width="10.7109375" style="302"/>
    <col min="12288" max="12288" width="5.28515625" style="302" customWidth="1"/>
    <col min="12289" max="12289" width="6.42578125" style="302" customWidth="1"/>
    <col min="12290" max="12290" width="22" style="302" customWidth="1"/>
    <col min="12291" max="12291" width="7.5703125" style="302" bestFit="1" customWidth="1"/>
    <col min="12292" max="12292" width="4.42578125" style="302" customWidth="1"/>
    <col min="12293" max="12293" width="7.42578125" style="302" bestFit="1" customWidth="1"/>
    <col min="12294" max="12294" width="2.85546875" style="302" bestFit="1" customWidth="1"/>
    <col min="12295" max="12295" width="7" style="302" bestFit="1" customWidth="1"/>
    <col min="12296" max="12296" width="5.7109375" style="302" bestFit="1" customWidth="1"/>
    <col min="12297" max="12297" width="7.85546875" style="302" bestFit="1" customWidth="1"/>
    <col min="12298" max="12299" width="0" style="302" hidden="1" customWidth="1"/>
    <col min="12300" max="12300" width="12.5703125" style="302" customWidth="1"/>
    <col min="12301" max="12301" width="0" style="302" hidden="1" customWidth="1"/>
    <col min="12302" max="12302" width="11" style="302" customWidth="1"/>
    <col min="12303" max="12303" width="9.140625" style="302" customWidth="1"/>
    <col min="12304" max="12304" width="9.85546875" style="302" customWidth="1"/>
    <col min="12305" max="12308" width="0" style="302" hidden="1" customWidth="1"/>
    <col min="12309" max="12309" width="1.5703125" style="302" customWidth="1"/>
    <col min="12310" max="12312" width="0" style="302" hidden="1" customWidth="1"/>
    <col min="12313" max="12313" width="10.42578125" style="302" customWidth="1"/>
    <col min="12314" max="12315" width="11" style="302" customWidth="1"/>
    <col min="12316" max="12316" width="9.42578125" style="302" customWidth="1"/>
    <col min="12317" max="12317" width="10" style="302" customWidth="1"/>
    <col min="12318" max="12318" width="11" style="302" customWidth="1"/>
    <col min="12319" max="12319" width="9.5703125" style="302" customWidth="1"/>
    <col min="12320" max="12320" width="10.140625" style="302" customWidth="1"/>
    <col min="12321" max="12360" width="10.7109375" style="302" customWidth="1"/>
    <col min="12361" max="12361" width="1.85546875" style="302" bestFit="1" customWidth="1"/>
    <col min="12362" max="12362" width="34.5703125" style="302" bestFit="1" customWidth="1"/>
    <col min="12363" max="12364" width="10.7109375" style="302" customWidth="1"/>
    <col min="12365" max="12365" width="2.7109375" style="302" bestFit="1" customWidth="1"/>
    <col min="12366" max="12366" width="11.5703125" style="302" bestFit="1" customWidth="1"/>
    <col min="12367" max="12543" width="10.7109375" style="302"/>
    <col min="12544" max="12544" width="5.28515625" style="302" customWidth="1"/>
    <col min="12545" max="12545" width="6.42578125" style="302" customWidth="1"/>
    <col min="12546" max="12546" width="22" style="302" customWidth="1"/>
    <col min="12547" max="12547" width="7.5703125" style="302" bestFit="1" customWidth="1"/>
    <col min="12548" max="12548" width="4.42578125" style="302" customWidth="1"/>
    <col min="12549" max="12549" width="7.42578125" style="302" bestFit="1" customWidth="1"/>
    <col min="12550" max="12550" width="2.85546875" style="302" bestFit="1" customWidth="1"/>
    <col min="12551" max="12551" width="7" style="302" bestFit="1" customWidth="1"/>
    <col min="12552" max="12552" width="5.7109375" style="302" bestFit="1" customWidth="1"/>
    <col min="12553" max="12553" width="7.85546875" style="302" bestFit="1" customWidth="1"/>
    <col min="12554" max="12555" width="0" style="302" hidden="1" customWidth="1"/>
    <col min="12556" max="12556" width="12.5703125" style="302" customWidth="1"/>
    <col min="12557" max="12557" width="0" style="302" hidden="1" customWidth="1"/>
    <col min="12558" max="12558" width="11" style="302" customWidth="1"/>
    <col min="12559" max="12559" width="9.140625" style="302" customWidth="1"/>
    <col min="12560" max="12560" width="9.85546875" style="302" customWidth="1"/>
    <col min="12561" max="12564" width="0" style="302" hidden="1" customWidth="1"/>
    <col min="12565" max="12565" width="1.5703125" style="302" customWidth="1"/>
    <col min="12566" max="12568" width="0" style="302" hidden="1" customWidth="1"/>
    <col min="12569" max="12569" width="10.42578125" style="302" customWidth="1"/>
    <col min="12570" max="12571" width="11" style="302" customWidth="1"/>
    <col min="12572" max="12572" width="9.42578125" style="302" customWidth="1"/>
    <col min="12573" max="12573" width="10" style="302" customWidth="1"/>
    <col min="12574" max="12574" width="11" style="302" customWidth="1"/>
    <col min="12575" max="12575" width="9.5703125" style="302" customWidth="1"/>
    <col min="12576" max="12576" width="10.140625" style="302" customWidth="1"/>
    <col min="12577" max="12616" width="10.7109375" style="302" customWidth="1"/>
    <col min="12617" max="12617" width="1.85546875" style="302" bestFit="1" customWidth="1"/>
    <col min="12618" max="12618" width="34.5703125" style="302" bestFit="1" customWidth="1"/>
    <col min="12619" max="12620" width="10.7109375" style="302" customWidth="1"/>
    <col min="12621" max="12621" width="2.7109375" style="302" bestFit="1" customWidth="1"/>
    <col min="12622" max="12622" width="11.5703125" style="302" bestFit="1" customWidth="1"/>
    <col min="12623" max="12799" width="10.7109375" style="302"/>
    <col min="12800" max="12800" width="5.28515625" style="302" customWidth="1"/>
    <col min="12801" max="12801" width="6.42578125" style="302" customWidth="1"/>
    <col min="12802" max="12802" width="22" style="302" customWidth="1"/>
    <col min="12803" max="12803" width="7.5703125" style="302" bestFit="1" customWidth="1"/>
    <col min="12804" max="12804" width="4.42578125" style="302" customWidth="1"/>
    <col min="12805" max="12805" width="7.42578125" style="302" bestFit="1" customWidth="1"/>
    <col min="12806" max="12806" width="2.85546875" style="302" bestFit="1" customWidth="1"/>
    <col min="12807" max="12807" width="7" style="302" bestFit="1" customWidth="1"/>
    <col min="12808" max="12808" width="5.7109375" style="302" bestFit="1" customWidth="1"/>
    <col min="12809" max="12809" width="7.85546875" style="302" bestFit="1" customWidth="1"/>
    <col min="12810" max="12811" width="0" style="302" hidden="1" customWidth="1"/>
    <col min="12812" max="12812" width="12.5703125" style="302" customWidth="1"/>
    <col min="12813" max="12813" width="0" style="302" hidden="1" customWidth="1"/>
    <col min="12814" max="12814" width="11" style="302" customWidth="1"/>
    <col min="12815" max="12815" width="9.140625" style="302" customWidth="1"/>
    <col min="12816" max="12816" width="9.85546875" style="302" customWidth="1"/>
    <col min="12817" max="12820" width="0" style="302" hidden="1" customWidth="1"/>
    <col min="12821" max="12821" width="1.5703125" style="302" customWidth="1"/>
    <col min="12822" max="12824" width="0" style="302" hidden="1" customWidth="1"/>
    <col min="12825" max="12825" width="10.42578125" style="302" customWidth="1"/>
    <col min="12826" max="12827" width="11" style="302" customWidth="1"/>
    <col min="12828" max="12828" width="9.42578125" style="302" customWidth="1"/>
    <col min="12829" max="12829" width="10" style="302" customWidth="1"/>
    <col min="12830" max="12830" width="11" style="302" customWidth="1"/>
    <col min="12831" max="12831" width="9.5703125" style="302" customWidth="1"/>
    <col min="12832" max="12832" width="10.140625" style="302" customWidth="1"/>
    <col min="12833" max="12872" width="10.7109375" style="302" customWidth="1"/>
    <col min="12873" max="12873" width="1.85546875" style="302" bestFit="1" customWidth="1"/>
    <col min="12874" max="12874" width="34.5703125" style="302" bestFit="1" customWidth="1"/>
    <col min="12875" max="12876" width="10.7109375" style="302" customWidth="1"/>
    <col min="12877" max="12877" width="2.7109375" style="302" bestFit="1" customWidth="1"/>
    <col min="12878" max="12878" width="11.5703125" style="302" bestFit="1" customWidth="1"/>
    <col min="12879" max="13055" width="10.7109375" style="302"/>
    <col min="13056" max="13056" width="5.28515625" style="302" customWidth="1"/>
    <col min="13057" max="13057" width="6.42578125" style="302" customWidth="1"/>
    <col min="13058" max="13058" width="22" style="302" customWidth="1"/>
    <col min="13059" max="13059" width="7.5703125" style="302" bestFit="1" customWidth="1"/>
    <col min="13060" max="13060" width="4.42578125" style="302" customWidth="1"/>
    <col min="13061" max="13061" width="7.42578125" style="302" bestFit="1" customWidth="1"/>
    <col min="13062" max="13062" width="2.85546875" style="302" bestFit="1" customWidth="1"/>
    <col min="13063" max="13063" width="7" style="302" bestFit="1" customWidth="1"/>
    <col min="13064" max="13064" width="5.7109375" style="302" bestFit="1" customWidth="1"/>
    <col min="13065" max="13065" width="7.85546875" style="302" bestFit="1" customWidth="1"/>
    <col min="13066" max="13067" width="0" style="302" hidden="1" customWidth="1"/>
    <col min="13068" max="13068" width="12.5703125" style="302" customWidth="1"/>
    <col min="13069" max="13069" width="0" style="302" hidden="1" customWidth="1"/>
    <col min="13070" max="13070" width="11" style="302" customWidth="1"/>
    <col min="13071" max="13071" width="9.140625" style="302" customWidth="1"/>
    <col min="13072" max="13072" width="9.85546875" style="302" customWidth="1"/>
    <col min="13073" max="13076" width="0" style="302" hidden="1" customWidth="1"/>
    <col min="13077" max="13077" width="1.5703125" style="302" customWidth="1"/>
    <col min="13078" max="13080" width="0" style="302" hidden="1" customWidth="1"/>
    <col min="13081" max="13081" width="10.42578125" style="302" customWidth="1"/>
    <col min="13082" max="13083" width="11" style="302" customWidth="1"/>
    <col min="13084" max="13084" width="9.42578125" style="302" customWidth="1"/>
    <col min="13085" max="13085" width="10" style="302" customWidth="1"/>
    <col min="13086" max="13086" width="11" style="302" customWidth="1"/>
    <col min="13087" max="13087" width="9.5703125" style="302" customWidth="1"/>
    <col min="13088" max="13088" width="10.140625" style="302" customWidth="1"/>
    <col min="13089" max="13128" width="10.7109375" style="302" customWidth="1"/>
    <col min="13129" max="13129" width="1.85546875" style="302" bestFit="1" customWidth="1"/>
    <col min="13130" max="13130" width="34.5703125" style="302" bestFit="1" customWidth="1"/>
    <col min="13131" max="13132" width="10.7109375" style="302" customWidth="1"/>
    <col min="13133" max="13133" width="2.7109375" style="302" bestFit="1" customWidth="1"/>
    <col min="13134" max="13134" width="11.5703125" style="302" bestFit="1" customWidth="1"/>
    <col min="13135" max="13311" width="10.7109375" style="302"/>
    <col min="13312" max="13312" width="5.28515625" style="302" customWidth="1"/>
    <col min="13313" max="13313" width="6.42578125" style="302" customWidth="1"/>
    <col min="13314" max="13314" width="22" style="302" customWidth="1"/>
    <col min="13315" max="13315" width="7.5703125" style="302" bestFit="1" customWidth="1"/>
    <col min="13316" max="13316" width="4.42578125" style="302" customWidth="1"/>
    <col min="13317" max="13317" width="7.42578125" style="302" bestFit="1" customWidth="1"/>
    <col min="13318" max="13318" width="2.85546875" style="302" bestFit="1" customWidth="1"/>
    <col min="13319" max="13319" width="7" style="302" bestFit="1" customWidth="1"/>
    <col min="13320" max="13320" width="5.7109375" style="302" bestFit="1" customWidth="1"/>
    <col min="13321" max="13321" width="7.85546875" style="302" bestFit="1" customWidth="1"/>
    <col min="13322" max="13323" width="0" style="302" hidden="1" customWidth="1"/>
    <col min="13324" max="13324" width="12.5703125" style="302" customWidth="1"/>
    <col min="13325" max="13325" width="0" style="302" hidden="1" customWidth="1"/>
    <col min="13326" max="13326" width="11" style="302" customWidth="1"/>
    <col min="13327" max="13327" width="9.140625" style="302" customWidth="1"/>
    <col min="13328" max="13328" width="9.85546875" style="302" customWidth="1"/>
    <col min="13329" max="13332" width="0" style="302" hidden="1" customWidth="1"/>
    <col min="13333" max="13333" width="1.5703125" style="302" customWidth="1"/>
    <col min="13334" max="13336" width="0" style="302" hidden="1" customWidth="1"/>
    <col min="13337" max="13337" width="10.42578125" style="302" customWidth="1"/>
    <col min="13338" max="13339" width="11" style="302" customWidth="1"/>
    <col min="13340" max="13340" width="9.42578125" style="302" customWidth="1"/>
    <col min="13341" max="13341" width="10" style="302" customWidth="1"/>
    <col min="13342" max="13342" width="11" style="302" customWidth="1"/>
    <col min="13343" max="13343" width="9.5703125" style="302" customWidth="1"/>
    <col min="13344" max="13344" width="10.140625" style="302" customWidth="1"/>
    <col min="13345" max="13384" width="10.7109375" style="302" customWidth="1"/>
    <col min="13385" max="13385" width="1.85546875" style="302" bestFit="1" customWidth="1"/>
    <col min="13386" max="13386" width="34.5703125" style="302" bestFit="1" customWidth="1"/>
    <col min="13387" max="13388" width="10.7109375" style="302" customWidth="1"/>
    <col min="13389" max="13389" width="2.7109375" style="302" bestFit="1" customWidth="1"/>
    <col min="13390" max="13390" width="11.5703125" style="302" bestFit="1" customWidth="1"/>
    <col min="13391" max="13567" width="10.7109375" style="302"/>
    <col min="13568" max="13568" width="5.28515625" style="302" customWidth="1"/>
    <col min="13569" max="13569" width="6.42578125" style="302" customWidth="1"/>
    <col min="13570" max="13570" width="22" style="302" customWidth="1"/>
    <col min="13571" max="13571" width="7.5703125" style="302" bestFit="1" customWidth="1"/>
    <col min="13572" max="13572" width="4.42578125" style="302" customWidth="1"/>
    <col min="13573" max="13573" width="7.42578125" style="302" bestFit="1" customWidth="1"/>
    <col min="13574" max="13574" width="2.85546875" style="302" bestFit="1" customWidth="1"/>
    <col min="13575" max="13575" width="7" style="302" bestFit="1" customWidth="1"/>
    <col min="13576" max="13576" width="5.7109375" style="302" bestFit="1" customWidth="1"/>
    <col min="13577" max="13577" width="7.85546875" style="302" bestFit="1" customWidth="1"/>
    <col min="13578" max="13579" width="0" style="302" hidden="1" customWidth="1"/>
    <col min="13580" max="13580" width="12.5703125" style="302" customWidth="1"/>
    <col min="13581" max="13581" width="0" style="302" hidden="1" customWidth="1"/>
    <col min="13582" max="13582" width="11" style="302" customWidth="1"/>
    <col min="13583" max="13583" width="9.140625" style="302" customWidth="1"/>
    <col min="13584" max="13584" width="9.85546875" style="302" customWidth="1"/>
    <col min="13585" max="13588" width="0" style="302" hidden="1" customWidth="1"/>
    <col min="13589" max="13589" width="1.5703125" style="302" customWidth="1"/>
    <col min="13590" max="13592" width="0" style="302" hidden="1" customWidth="1"/>
    <col min="13593" max="13593" width="10.42578125" style="302" customWidth="1"/>
    <col min="13594" max="13595" width="11" style="302" customWidth="1"/>
    <col min="13596" max="13596" width="9.42578125" style="302" customWidth="1"/>
    <col min="13597" max="13597" width="10" style="302" customWidth="1"/>
    <col min="13598" max="13598" width="11" style="302" customWidth="1"/>
    <col min="13599" max="13599" width="9.5703125" style="302" customWidth="1"/>
    <col min="13600" max="13600" width="10.140625" style="302" customWidth="1"/>
    <col min="13601" max="13640" width="10.7109375" style="302" customWidth="1"/>
    <col min="13641" max="13641" width="1.85546875" style="302" bestFit="1" customWidth="1"/>
    <col min="13642" max="13642" width="34.5703125" style="302" bestFit="1" customWidth="1"/>
    <col min="13643" max="13644" width="10.7109375" style="302" customWidth="1"/>
    <col min="13645" max="13645" width="2.7109375" style="302" bestFit="1" customWidth="1"/>
    <col min="13646" max="13646" width="11.5703125" style="302" bestFit="1" customWidth="1"/>
    <col min="13647" max="13823" width="10.7109375" style="302"/>
    <col min="13824" max="13824" width="5.28515625" style="302" customWidth="1"/>
    <col min="13825" max="13825" width="6.42578125" style="302" customWidth="1"/>
    <col min="13826" max="13826" width="22" style="302" customWidth="1"/>
    <col min="13827" max="13827" width="7.5703125" style="302" bestFit="1" customWidth="1"/>
    <col min="13828" max="13828" width="4.42578125" style="302" customWidth="1"/>
    <col min="13829" max="13829" width="7.42578125" style="302" bestFit="1" customWidth="1"/>
    <col min="13830" max="13830" width="2.85546875" style="302" bestFit="1" customWidth="1"/>
    <col min="13831" max="13831" width="7" style="302" bestFit="1" customWidth="1"/>
    <col min="13832" max="13832" width="5.7109375" style="302" bestFit="1" customWidth="1"/>
    <col min="13833" max="13833" width="7.85546875" style="302" bestFit="1" customWidth="1"/>
    <col min="13834" max="13835" width="0" style="302" hidden="1" customWidth="1"/>
    <col min="13836" max="13836" width="12.5703125" style="302" customWidth="1"/>
    <col min="13837" max="13837" width="0" style="302" hidden="1" customWidth="1"/>
    <col min="13838" max="13838" width="11" style="302" customWidth="1"/>
    <col min="13839" max="13839" width="9.140625" style="302" customWidth="1"/>
    <col min="13840" max="13840" width="9.85546875" style="302" customWidth="1"/>
    <col min="13841" max="13844" width="0" style="302" hidden="1" customWidth="1"/>
    <col min="13845" max="13845" width="1.5703125" style="302" customWidth="1"/>
    <col min="13846" max="13848" width="0" style="302" hidden="1" customWidth="1"/>
    <col min="13849" max="13849" width="10.42578125" style="302" customWidth="1"/>
    <col min="13850" max="13851" width="11" style="302" customWidth="1"/>
    <col min="13852" max="13852" width="9.42578125" style="302" customWidth="1"/>
    <col min="13853" max="13853" width="10" style="302" customWidth="1"/>
    <col min="13854" max="13854" width="11" style="302" customWidth="1"/>
    <col min="13855" max="13855" width="9.5703125" style="302" customWidth="1"/>
    <col min="13856" max="13856" width="10.140625" style="302" customWidth="1"/>
    <col min="13857" max="13896" width="10.7109375" style="302" customWidth="1"/>
    <col min="13897" max="13897" width="1.85546875" style="302" bestFit="1" customWidth="1"/>
    <col min="13898" max="13898" width="34.5703125" style="302" bestFit="1" customWidth="1"/>
    <col min="13899" max="13900" width="10.7109375" style="302" customWidth="1"/>
    <col min="13901" max="13901" width="2.7109375" style="302" bestFit="1" customWidth="1"/>
    <col min="13902" max="13902" width="11.5703125" style="302" bestFit="1" customWidth="1"/>
    <col min="13903" max="14079" width="10.7109375" style="302"/>
    <col min="14080" max="14080" width="5.28515625" style="302" customWidth="1"/>
    <col min="14081" max="14081" width="6.42578125" style="302" customWidth="1"/>
    <col min="14082" max="14082" width="22" style="302" customWidth="1"/>
    <col min="14083" max="14083" width="7.5703125" style="302" bestFit="1" customWidth="1"/>
    <col min="14084" max="14084" width="4.42578125" style="302" customWidth="1"/>
    <col min="14085" max="14085" width="7.42578125" style="302" bestFit="1" customWidth="1"/>
    <col min="14086" max="14086" width="2.85546875" style="302" bestFit="1" customWidth="1"/>
    <col min="14087" max="14087" width="7" style="302" bestFit="1" customWidth="1"/>
    <col min="14088" max="14088" width="5.7109375" style="302" bestFit="1" customWidth="1"/>
    <col min="14089" max="14089" width="7.85546875" style="302" bestFit="1" customWidth="1"/>
    <col min="14090" max="14091" width="0" style="302" hidden="1" customWidth="1"/>
    <col min="14092" max="14092" width="12.5703125" style="302" customWidth="1"/>
    <col min="14093" max="14093" width="0" style="302" hidden="1" customWidth="1"/>
    <col min="14094" max="14094" width="11" style="302" customWidth="1"/>
    <col min="14095" max="14095" width="9.140625" style="302" customWidth="1"/>
    <col min="14096" max="14096" width="9.85546875" style="302" customWidth="1"/>
    <col min="14097" max="14100" width="0" style="302" hidden="1" customWidth="1"/>
    <col min="14101" max="14101" width="1.5703125" style="302" customWidth="1"/>
    <col min="14102" max="14104" width="0" style="302" hidden="1" customWidth="1"/>
    <col min="14105" max="14105" width="10.42578125" style="302" customWidth="1"/>
    <col min="14106" max="14107" width="11" style="302" customWidth="1"/>
    <col min="14108" max="14108" width="9.42578125" style="302" customWidth="1"/>
    <col min="14109" max="14109" width="10" style="302" customWidth="1"/>
    <col min="14110" max="14110" width="11" style="302" customWidth="1"/>
    <col min="14111" max="14111" width="9.5703125" style="302" customWidth="1"/>
    <col min="14112" max="14112" width="10.140625" style="302" customWidth="1"/>
    <col min="14113" max="14152" width="10.7109375" style="302" customWidth="1"/>
    <col min="14153" max="14153" width="1.85546875" style="302" bestFit="1" customWidth="1"/>
    <col min="14154" max="14154" width="34.5703125" style="302" bestFit="1" customWidth="1"/>
    <col min="14155" max="14156" width="10.7109375" style="302" customWidth="1"/>
    <col min="14157" max="14157" width="2.7109375" style="302" bestFit="1" customWidth="1"/>
    <col min="14158" max="14158" width="11.5703125" style="302" bestFit="1" customWidth="1"/>
    <col min="14159" max="14335" width="10.7109375" style="302"/>
    <col min="14336" max="14336" width="5.28515625" style="302" customWidth="1"/>
    <col min="14337" max="14337" width="6.42578125" style="302" customWidth="1"/>
    <col min="14338" max="14338" width="22" style="302" customWidth="1"/>
    <col min="14339" max="14339" width="7.5703125" style="302" bestFit="1" customWidth="1"/>
    <col min="14340" max="14340" width="4.42578125" style="302" customWidth="1"/>
    <col min="14341" max="14341" width="7.42578125" style="302" bestFit="1" customWidth="1"/>
    <col min="14342" max="14342" width="2.85546875" style="302" bestFit="1" customWidth="1"/>
    <col min="14343" max="14343" width="7" style="302" bestFit="1" customWidth="1"/>
    <col min="14344" max="14344" width="5.7109375" style="302" bestFit="1" customWidth="1"/>
    <col min="14345" max="14345" width="7.85546875" style="302" bestFit="1" customWidth="1"/>
    <col min="14346" max="14347" width="0" style="302" hidden="1" customWidth="1"/>
    <col min="14348" max="14348" width="12.5703125" style="302" customWidth="1"/>
    <col min="14349" max="14349" width="0" style="302" hidden="1" customWidth="1"/>
    <col min="14350" max="14350" width="11" style="302" customWidth="1"/>
    <col min="14351" max="14351" width="9.140625" style="302" customWidth="1"/>
    <col min="14352" max="14352" width="9.85546875" style="302" customWidth="1"/>
    <col min="14353" max="14356" width="0" style="302" hidden="1" customWidth="1"/>
    <col min="14357" max="14357" width="1.5703125" style="302" customWidth="1"/>
    <col min="14358" max="14360" width="0" style="302" hidden="1" customWidth="1"/>
    <col min="14361" max="14361" width="10.42578125" style="302" customWidth="1"/>
    <col min="14362" max="14363" width="11" style="302" customWidth="1"/>
    <col min="14364" max="14364" width="9.42578125" style="302" customWidth="1"/>
    <col min="14365" max="14365" width="10" style="302" customWidth="1"/>
    <col min="14366" max="14366" width="11" style="302" customWidth="1"/>
    <col min="14367" max="14367" width="9.5703125" style="302" customWidth="1"/>
    <col min="14368" max="14368" width="10.140625" style="302" customWidth="1"/>
    <col min="14369" max="14408" width="10.7109375" style="302" customWidth="1"/>
    <col min="14409" max="14409" width="1.85546875" style="302" bestFit="1" customWidth="1"/>
    <col min="14410" max="14410" width="34.5703125" style="302" bestFit="1" customWidth="1"/>
    <col min="14411" max="14412" width="10.7109375" style="302" customWidth="1"/>
    <col min="14413" max="14413" width="2.7109375" style="302" bestFit="1" customWidth="1"/>
    <col min="14414" max="14414" width="11.5703125" style="302" bestFit="1" customWidth="1"/>
    <col min="14415" max="14591" width="10.7109375" style="302"/>
    <col min="14592" max="14592" width="5.28515625" style="302" customWidth="1"/>
    <col min="14593" max="14593" width="6.42578125" style="302" customWidth="1"/>
    <col min="14594" max="14594" width="22" style="302" customWidth="1"/>
    <col min="14595" max="14595" width="7.5703125" style="302" bestFit="1" customWidth="1"/>
    <col min="14596" max="14596" width="4.42578125" style="302" customWidth="1"/>
    <col min="14597" max="14597" width="7.42578125" style="302" bestFit="1" customWidth="1"/>
    <col min="14598" max="14598" width="2.85546875" style="302" bestFit="1" customWidth="1"/>
    <col min="14599" max="14599" width="7" style="302" bestFit="1" customWidth="1"/>
    <col min="14600" max="14600" width="5.7109375" style="302" bestFit="1" customWidth="1"/>
    <col min="14601" max="14601" width="7.85546875" style="302" bestFit="1" customWidth="1"/>
    <col min="14602" max="14603" width="0" style="302" hidden="1" customWidth="1"/>
    <col min="14604" max="14604" width="12.5703125" style="302" customWidth="1"/>
    <col min="14605" max="14605" width="0" style="302" hidden="1" customWidth="1"/>
    <col min="14606" max="14606" width="11" style="302" customWidth="1"/>
    <col min="14607" max="14607" width="9.140625" style="302" customWidth="1"/>
    <col min="14608" max="14608" width="9.85546875" style="302" customWidth="1"/>
    <col min="14609" max="14612" width="0" style="302" hidden="1" customWidth="1"/>
    <col min="14613" max="14613" width="1.5703125" style="302" customWidth="1"/>
    <col min="14614" max="14616" width="0" style="302" hidden="1" customWidth="1"/>
    <col min="14617" max="14617" width="10.42578125" style="302" customWidth="1"/>
    <col min="14618" max="14619" width="11" style="302" customWidth="1"/>
    <col min="14620" max="14620" width="9.42578125" style="302" customWidth="1"/>
    <col min="14621" max="14621" width="10" style="302" customWidth="1"/>
    <col min="14622" max="14622" width="11" style="302" customWidth="1"/>
    <col min="14623" max="14623" width="9.5703125" style="302" customWidth="1"/>
    <col min="14624" max="14624" width="10.140625" style="302" customWidth="1"/>
    <col min="14625" max="14664" width="10.7109375" style="302" customWidth="1"/>
    <col min="14665" max="14665" width="1.85546875" style="302" bestFit="1" customWidth="1"/>
    <col min="14666" max="14666" width="34.5703125" style="302" bestFit="1" customWidth="1"/>
    <col min="14667" max="14668" width="10.7109375" style="302" customWidth="1"/>
    <col min="14669" max="14669" width="2.7109375" style="302" bestFit="1" customWidth="1"/>
    <col min="14670" max="14670" width="11.5703125" style="302" bestFit="1" customWidth="1"/>
    <col min="14671" max="14847" width="10.7109375" style="302"/>
    <col min="14848" max="14848" width="5.28515625" style="302" customWidth="1"/>
    <col min="14849" max="14849" width="6.42578125" style="302" customWidth="1"/>
    <col min="14850" max="14850" width="22" style="302" customWidth="1"/>
    <col min="14851" max="14851" width="7.5703125" style="302" bestFit="1" customWidth="1"/>
    <col min="14852" max="14852" width="4.42578125" style="302" customWidth="1"/>
    <col min="14853" max="14853" width="7.42578125" style="302" bestFit="1" customWidth="1"/>
    <col min="14854" max="14854" width="2.85546875" style="302" bestFit="1" customWidth="1"/>
    <col min="14855" max="14855" width="7" style="302" bestFit="1" customWidth="1"/>
    <col min="14856" max="14856" width="5.7109375" style="302" bestFit="1" customWidth="1"/>
    <col min="14857" max="14857" width="7.85546875" style="302" bestFit="1" customWidth="1"/>
    <col min="14858" max="14859" width="0" style="302" hidden="1" customWidth="1"/>
    <col min="14860" max="14860" width="12.5703125" style="302" customWidth="1"/>
    <col min="14861" max="14861" width="0" style="302" hidden="1" customWidth="1"/>
    <col min="14862" max="14862" width="11" style="302" customWidth="1"/>
    <col min="14863" max="14863" width="9.140625" style="302" customWidth="1"/>
    <col min="14864" max="14864" width="9.85546875" style="302" customWidth="1"/>
    <col min="14865" max="14868" width="0" style="302" hidden="1" customWidth="1"/>
    <col min="14869" max="14869" width="1.5703125" style="302" customWidth="1"/>
    <col min="14870" max="14872" width="0" style="302" hidden="1" customWidth="1"/>
    <col min="14873" max="14873" width="10.42578125" style="302" customWidth="1"/>
    <col min="14874" max="14875" width="11" style="302" customWidth="1"/>
    <col min="14876" max="14876" width="9.42578125" style="302" customWidth="1"/>
    <col min="14877" max="14877" width="10" style="302" customWidth="1"/>
    <col min="14878" max="14878" width="11" style="302" customWidth="1"/>
    <col min="14879" max="14879" width="9.5703125" style="302" customWidth="1"/>
    <col min="14880" max="14880" width="10.140625" style="302" customWidth="1"/>
    <col min="14881" max="14920" width="10.7109375" style="302" customWidth="1"/>
    <col min="14921" max="14921" width="1.85546875" style="302" bestFit="1" customWidth="1"/>
    <col min="14922" max="14922" width="34.5703125" style="302" bestFit="1" customWidth="1"/>
    <col min="14923" max="14924" width="10.7109375" style="302" customWidth="1"/>
    <col min="14925" max="14925" width="2.7109375" style="302" bestFit="1" customWidth="1"/>
    <col min="14926" max="14926" width="11.5703125" style="302" bestFit="1" customWidth="1"/>
    <col min="14927" max="15103" width="10.7109375" style="302"/>
    <col min="15104" max="15104" width="5.28515625" style="302" customWidth="1"/>
    <col min="15105" max="15105" width="6.42578125" style="302" customWidth="1"/>
    <col min="15106" max="15106" width="22" style="302" customWidth="1"/>
    <col min="15107" max="15107" width="7.5703125" style="302" bestFit="1" customWidth="1"/>
    <col min="15108" max="15108" width="4.42578125" style="302" customWidth="1"/>
    <col min="15109" max="15109" width="7.42578125" style="302" bestFit="1" customWidth="1"/>
    <col min="15110" max="15110" width="2.85546875" style="302" bestFit="1" customWidth="1"/>
    <col min="15111" max="15111" width="7" style="302" bestFit="1" customWidth="1"/>
    <col min="15112" max="15112" width="5.7109375" style="302" bestFit="1" customWidth="1"/>
    <col min="15113" max="15113" width="7.85546875" style="302" bestFit="1" customWidth="1"/>
    <col min="15114" max="15115" width="0" style="302" hidden="1" customWidth="1"/>
    <col min="15116" max="15116" width="12.5703125" style="302" customWidth="1"/>
    <col min="15117" max="15117" width="0" style="302" hidden="1" customWidth="1"/>
    <col min="15118" max="15118" width="11" style="302" customWidth="1"/>
    <col min="15119" max="15119" width="9.140625" style="302" customWidth="1"/>
    <col min="15120" max="15120" width="9.85546875" style="302" customWidth="1"/>
    <col min="15121" max="15124" width="0" style="302" hidden="1" customWidth="1"/>
    <col min="15125" max="15125" width="1.5703125" style="302" customWidth="1"/>
    <col min="15126" max="15128" width="0" style="302" hidden="1" customWidth="1"/>
    <col min="15129" max="15129" width="10.42578125" style="302" customWidth="1"/>
    <col min="15130" max="15131" width="11" style="302" customWidth="1"/>
    <col min="15132" max="15132" width="9.42578125" style="302" customWidth="1"/>
    <col min="15133" max="15133" width="10" style="302" customWidth="1"/>
    <col min="15134" max="15134" width="11" style="302" customWidth="1"/>
    <col min="15135" max="15135" width="9.5703125" style="302" customWidth="1"/>
    <col min="15136" max="15136" width="10.140625" style="302" customWidth="1"/>
    <col min="15137" max="15176" width="10.7109375" style="302" customWidth="1"/>
    <col min="15177" max="15177" width="1.85546875" style="302" bestFit="1" customWidth="1"/>
    <col min="15178" max="15178" width="34.5703125" style="302" bestFit="1" customWidth="1"/>
    <col min="15179" max="15180" width="10.7109375" style="302" customWidth="1"/>
    <col min="15181" max="15181" width="2.7109375" style="302" bestFit="1" customWidth="1"/>
    <col min="15182" max="15182" width="11.5703125" style="302" bestFit="1" customWidth="1"/>
    <col min="15183" max="15359" width="10.7109375" style="302"/>
    <col min="15360" max="15360" width="5.28515625" style="302" customWidth="1"/>
    <col min="15361" max="15361" width="6.42578125" style="302" customWidth="1"/>
    <col min="15362" max="15362" width="22" style="302" customWidth="1"/>
    <col min="15363" max="15363" width="7.5703125" style="302" bestFit="1" customWidth="1"/>
    <col min="15364" max="15364" width="4.42578125" style="302" customWidth="1"/>
    <col min="15365" max="15365" width="7.42578125" style="302" bestFit="1" customWidth="1"/>
    <col min="15366" max="15366" width="2.85546875" style="302" bestFit="1" customWidth="1"/>
    <col min="15367" max="15367" width="7" style="302" bestFit="1" customWidth="1"/>
    <col min="15368" max="15368" width="5.7109375" style="302" bestFit="1" customWidth="1"/>
    <col min="15369" max="15369" width="7.85546875" style="302" bestFit="1" customWidth="1"/>
    <col min="15370" max="15371" width="0" style="302" hidden="1" customWidth="1"/>
    <col min="15372" max="15372" width="12.5703125" style="302" customWidth="1"/>
    <col min="15373" max="15373" width="0" style="302" hidden="1" customWidth="1"/>
    <col min="15374" max="15374" width="11" style="302" customWidth="1"/>
    <col min="15375" max="15375" width="9.140625" style="302" customWidth="1"/>
    <col min="15376" max="15376" width="9.85546875" style="302" customWidth="1"/>
    <col min="15377" max="15380" width="0" style="302" hidden="1" customWidth="1"/>
    <col min="15381" max="15381" width="1.5703125" style="302" customWidth="1"/>
    <col min="15382" max="15384" width="0" style="302" hidden="1" customWidth="1"/>
    <col min="15385" max="15385" width="10.42578125" style="302" customWidth="1"/>
    <col min="15386" max="15387" width="11" style="302" customWidth="1"/>
    <col min="15388" max="15388" width="9.42578125" style="302" customWidth="1"/>
    <col min="15389" max="15389" width="10" style="302" customWidth="1"/>
    <col min="15390" max="15390" width="11" style="302" customWidth="1"/>
    <col min="15391" max="15391" width="9.5703125" style="302" customWidth="1"/>
    <col min="15392" max="15392" width="10.140625" style="302" customWidth="1"/>
    <col min="15393" max="15432" width="10.7109375" style="302" customWidth="1"/>
    <col min="15433" max="15433" width="1.85546875" style="302" bestFit="1" customWidth="1"/>
    <col min="15434" max="15434" width="34.5703125" style="302" bestFit="1" customWidth="1"/>
    <col min="15435" max="15436" width="10.7109375" style="302" customWidth="1"/>
    <col min="15437" max="15437" width="2.7109375" style="302" bestFit="1" customWidth="1"/>
    <col min="15438" max="15438" width="11.5703125" style="302" bestFit="1" customWidth="1"/>
    <col min="15439" max="15615" width="10.7109375" style="302"/>
    <col min="15616" max="15616" width="5.28515625" style="302" customWidth="1"/>
    <col min="15617" max="15617" width="6.42578125" style="302" customWidth="1"/>
    <col min="15618" max="15618" width="22" style="302" customWidth="1"/>
    <col min="15619" max="15619" width="7.5703125" style="302" bestFit="1" customWidth="1"/>
    <col min="15620" max="15620" width="4.42578125" style="302" customWidth="1"/>
    <col min="15621" max="15621" width="7.42578125" style="302" bestFit="1" customWidth="1"/>
    <col min="15622" max="15622" width="2.85546875" style="302" bestFit="1" customWidth="1"/>
    <col min="15623" max="15623" width="7" style="302" bestFit="1" customWidth="1"/>
    <col min="15624" max="15624" width="5.7109375" style="302" bestFit="1" customWidth="1"/>
    <col min="15625" max="15625" width="7.85546875" style="302" bestFit="1" customWidth="1"/>
    <col min="15626" max="15627" width="0" style="302" hidden="1" customWidth="1"/>
    <col min="15628" max="15628" width="12.5703125" style="302" customWidth="1"/>
    <col min="15629" max="15629" width="0" style="302" hidden="1" customWidth="1"/>
    <col min="15630" max="15630" width="11" style="302" customWidth="1"/>
    <col min="15631" max="15631" width="9.140625" style="302" customWidth="1"/>
    <col min="15632" max="15632" width="9.85546875" style="302" customWidth="1"/>
    <col min="15633" max="15636" width="0" style="302" hidden="1" customWidth="1"/>
    <col min="15637" max="15637" width="1.5703125" style="302" customWidth="1"/>
    <col min="15638" max="15640" width="0" style="302" hidden="1" customWidth="1"/>
    <col min="15641" max="15641" width="10.42578125" style="302" customWidth="1"/>
    <col min="15642" max="15643" width="11" style="302" customWidth="1"/>
    <col min="15644" max="15644" width="9.42578125" style="302" customWidth="1"/>
    <col min="15645" max="15645" width="10" style="302" customWidth="1"/>
    <col min="15646" max="15646" width="11" style="302" customWidth="1"/>
    <col min="15647" max="15647" width="9.5703125" style="302" customWidth="1"/>
    <col min="15648" max="15648" width="10.140625" style="302" customWidth="1"/>
    <col min="15649" max="15688" width="10.7109375" style="302" customWidth="1"/>
    <col min="15689" max="15689" width="1.85546875" style="302" bestFit="1" customWidth="1"/>
    <col min="15690" max="15690" width="34.5703125" style="302" bestFit="1" customWidth="1"/>
    <col min="15691" max="15692" width="10.7109375" style="302" customWidth="1"/>
    <col min="15693" max="15693" width="2.7109375" style="302" bestFit="1" customWidth="1"/>
    <col min="15694" max="15694" width="11.5703125" style="302" bestFit="1" customWidth="1"/>
    <col min="15695" max="15871" width="10.7109375" style="302"/>
    <col min="15872" max="15872" width="5.28515625" style="302" customWidth="1"/>
    <col min="15873" max="15873" width="6.42578125" style="302" customWidth="1"/>
    <col min="15874" max="15874" width="22" style="302" customWidth="1"/>
    <col min="15875" max="15875" width="7.5703125" style="302" bestFit="1" customWidth="1"/>
    <col min="15876" max="15876" width="4.42578125" style="302" customWidth="1"/>
    <col min="15877" max="15877" width="7.42578125" style="302" bestFit="1" customWidth="1"/>
    <col min="15878" max="15878" width="2.85546875" style="302" bestFit="1" customWidth="1"/>
    <col min="15879" max="15879" width="7" style="302" bestFit="1" customWidth="1"/>
    <col min="15880" max="15880" width="5.7109375" style="302" bestFit="1" customWidth="1"/>
    <col min="15881" max="15881" width="7.85546875" style="302" bestFit="1" customWidth="1"/>
    <col min="15882" max="15883" width="0" style="302" hidden="1" customWidth="1"/>
    <col min="15884" max="15884" width="12.5703125" style="302" customWidth="1"/>
    <col min="15885" max="15885" width="0" style="302" hidden="1" customWidth="1"/>
    <col min="15886" max="15886" width="11" style="302" customWidth="1"/>
    <col min="15887" max="15887" width="9.140625" style="302" customWidth="1"/>
    <col min="15888" max="15888" width="9.85546875" style="302" customWidth="1"/>
    <col min="15889" max="15892" width="0" style="302" hidden="1" customWidth="1"/>
    <col min="15893" max="15893" width="1.5703125" style="302" customWidth="1"/>
    <col min="15894" max="15896" width="0" style="302" hidden="1" customWidth="1"/>
    <col min="15897" max="15897" width="10.42578125" style="302" customWidth="1"/>
    <col min="15898" max="15899" width="11" style="302" customWidth="1"/>
    <col min="15900" max="15900" width="9.42578125" style="302" customWidth="1"/>
    <col min="15901" max="15901" width="10" style="302" customWidth="1"/>
    <col min="15902" max="15902" width="11" style="302" customWidth="1"/>
    <col min="15903" max="15903" width="9.5703125" style="302" customWidth="1"/>
    <col min="15904" max="15904" width="10.140625" style="302" customWidth="1"/>
    <col min="15905" max="15944" width="10.7109375" style="302" customWidth="1"/>
    <col min="15945" max="15945" width="1.85546875" style="302" bestFit="1" customWidth="1"/>
    <col min="15946" max="15946" width="34.5703125" style="302" bestFit="1" customWidth="1"/>
    <col min="15947" max="15948" width="10.7109375" style="302" customWidth="1"/>
    <col min="15949" max="15949" width="2.7109375" style="302" bestFit="1" customWidth="1"/>
    <col min="15950" max="15950" width="11.5703125" style="302" bestFit="1" customWidth="1"/>
    <col min="15951" max="16127" width="10.7109375" style="302"/>
    <col min="16128" max="16128" width="5.28515625" style="302" customWidth="1"/>
    <col min="16129" max="16129" width="6.42578125" style="302" customWidth="1"/>
    <col min="16130" max="16130" width="22" style="302" customWidth="1"/>
    <col min="16131" max="16131" width="7.5703125" style="302" bestFit="1" customWidth="1"/>
    <col min="16132" max="16132" width="4.42578125" style="302" customWidth="1"/>
    <col min="16133" max="16133" width="7.42578125" style="302" bestFit="1" customWidth="1"/>
    <col min="16134" max="16134" width="2.85546875" style="302" bestFit="1" customWidth="1"/>
    <col min="16135" max="16135" width="7" style="302" bestFit="1" customWidth="1"/>
    <col min="16136" max="16136" width="5.7109375" style="302" bestFit="1" customWidth="1"/>
    <col min="16137" max="16137" width="7.85546875" style="302" bestFit="1" customWidth="1"/>
    <col min="16138" max="16139" width="0" style="302" hidden="1" customWidth="1"/>
    <col min="16140" max="16140" width="12.5703125" style="302" customWidth="1"/>
    <col min="16141" max="16141" width="0" style="302" hidden="1" customWidth="1"/>
    <col min="16142" max="16142" width="11" style="302" customWidth="1"/>
    <col min="16143" max="16143" width="9.140625" style="302" customWidth="1"/>
    <col min="16144" max="16144" width="9.85546875" style="302" customWidth="1"/>
    <col min="16145" max="16148" width="0" style="302" hidden="1" customWidth="1"/>
    <col min="16149" max="16149" width="1.5703125" style="302" customWidth="1"/>
    <col min="16150" max="16152" width="0" style="302" hidden="1" customWidth="1"/>
    <col min="16153" max="16153" width="10.42578125" style="302" customWidth="1"/>
    <col min="16154" max="16155" width="11" style="302" customWidth="1"/>
    <col min="16156" max="16156" width="9.42578125" style="302" customWidth="1"/>
    <col min="16157" max="16157" width="10" style="302" customWidth="1"/>
    <col min="16158" max="16158" width="11" style="302" customWidth="1"/>
    <col min="16159" max="16159" width="9.5703125" style="302" customWidth="1"/>
    <col min="16160" max="16160" width="10.140625" style="302" customWidth="1"/>
    <col min="16161" max="16200" width="10.7109375" style="302" customWidth="1"/>
    <col min="16201" max="16201" width="1.85546875" style="302" bestFit="1" customWidth="1"/>
    <col min="16202" max="16202" width="34.5703125" style="302" bestFit="1" customWidth="1"/>
    <col min="16203" max="16204" width="10.7109375" style="302" customWidth="1"/>
    <col min="16205" max="16205" width="2.7109375" style="302" bestFit="1" customWidth="1"/>
    <col min="16206" max="16206" width="11.5703125" style="302" bestFit="1" customWidth="1"/>
    <col min="16207" max="16384" width="10.7109375" style="302"/>
  </cols>
  <sheetData>
    <row r="1" spans="1:255">
      <c r="A1" s="305" t="s">
        <v>668</v>
      </c>
      <c r="C1" s="306"/>
      <c r="D1" s="306"/>
      <c r="E1" s="1142"/>
      <c r="F1" s="1142"/>
      <c r="G1" s="307"/>
      <c r="H1" s="306"/>
      <c r="I1" s="306"/>
      <c r="J1" s="308"/>
      <c r="K1" s="306"/>
      <c r="L1" s="306"/>
      <c r="M1" s="309"/>
      <c r="N1" s="306"/>
      <c r="O1" s="310"/>
      <c r="P1" s="310"/>
      <c r="Q1" s="306"/>
      <c r="R1" s="306"/>
      <c r="S1" s="306"/>
      <c r="T1" s="306"/>
      <c r="U1" s="306"/>
      <c r="V1" s="306"/>
      <c r="W1" s="306"/>
      <c r="X1" s="306"/>
      <c r="Y1" s="306"/>
      <c r="Z1" s="306"/>
      <c r="AA1" s="306"/>
      <c r="AB1" s="306"/>
      <c r="AC1" s="306"/>
      <c r="AD1" s="311"/>
      <c r="AE1" s="306"/>
      <c r="AF1" s="306"/>
      <c r="AG1" s="306"/>
    </row>
    <row r="2" spans="1:255">
      <c r="A2" s="305" t="s">
        <v>669</v>
      </c>
      <c r="C2" s="306"/>
      <c r="D2" s="306"/>
      <c r="E2" s="1142"/>
      <c r="F2" s="1142"/>
      <c r="G2" s="306"/>
      <c r="H2" s="306"/>
      <c r="I2" s="306"/>
      <c r="J2" s="308"/>
      <c r="K2" s="306"/>
      <c r="L2" s="306"/>
      <c r="M2" s="309"/>
      <c r="N2" s="306"/>
      <c r="O2" s="312">
        <v>6</v>
      </c>
      <c r="P2" s="313" t="s">
        <v>670</v>
      </c>
      <c r="Q2" s="306"/>
      <c r="R2" s="306"/>
      <c r="S2" s="306"/>
      <c r="T2" s="306"/>
      <c r="U2" s="306"/>
      <c r="V2" s="306"/>
      <c r="W2" s="306"/>
      <c r="X2" s="306"/>
      <c r="Y2" s="306"/>
      <c r="Z2" s="306"/>
      <c r="AA2" s="306"/>
      <c r="AB2" s="306"/>
      <c r="AC2" s="306"/>
      <c r="AD2" s="306"/>
      <c r="AE2" s="306"/>
      <c r="AF2" s="306"/>
      <c r="AG2" s="306"/>
      <c r="BV2" s="302" t="s">
        <v>671</v>
      </c>
    </row>
    <row r="3" spans="1:255">
      <c r="A3" s="1143">
        <f>'2120 Depr Summary'!H5</f>
        <v>42551</v>
      </c>
      <c r="B3" s="1143"/>
      <c r="C3" s="306"/>
      <c r="D3" s="306"/>
      <c r="E3" s="306"/>
      <c r="F3" s="314"/>
      <c r="G3" s="306"/>
      <c r="H3" s="306"/>
      <c r="I3" s="306"/>
      <c r="J3" s="308"/>
      <c r="K3" s="306"/>
      <c r="L3" s="306"/>
      <c r="M3" s="309"/>
      <c r="N3" s="306"/>
      <c r="O3" s="312">
        <v>6</v>
      </c>
      <c r="P3" s="313" t="s">
        <v>672</v>
      </c>
      <c r="Q3" s="306"/>
      <c r="R3" s="306"/>
      <c r="S3" s="306"/>
      <c r="T3" s="306"/>
      <c r="U3" s="306"/>
      <c r="V3" s="306"/>
      <c r="W3" s="306"/>
      <c r="X3" s="306"/>
      <c r="Y3" s="306"/>
      <c r="Z3" s="306"/>
      <c r="AA3" s="306"/>
      <c r="AB3" s="306"/>
      <c r="AC3" s="306"/>
      <c r="AD3" s="306" t="s">
        <v>673</v>
      </c>
      <c r="AE3" s="306" t="s">
        <v>674</v>
      </c>
      <c r="AF3" s="306"/>
      <c r="AG3" s="306"/>
    </row>
    <row r="4" spans="1:255">
      <c r="A4" s="306"/>
      <c r="C4" s="306"/>
      <c r="D4" s="306"/>
      <c r="E4" s="306"/>
      <c r="F4" s="314"/>
      <c r="G4" s="306"/>
      <c r="H4" s="306"/>
      <c r="I4" s="306"/>
      <c r="J4" s="308"/>
      <c r="K4" s="306"/>
      <c r="L4" s="306"/>
      <c r="M4" s="309"/>
      <c r="N4" s="306"/>
      <c r="O4" s="315">
        <v>2015</v>
      </c>
      <c r="P4" s="313" t="s">
        <v>675</v>
      </c>
      <c r="Q4" s="306"/>
      <c r="R4" s="306"/>
      <c r="S4" s="306"/>
      <c r="T4" s="306"/>
      <c r="U4" s="306"/>
      <c r="V4" s="306"/>
      <c r="W4" s="306"/>
      <c r="X4" s="306"/>
      <c r="Y4" s="306"/>
      <c r="Z4" s="306"/>
      <c r="AA4" s="306"/>
      <c r="AB4" s="306"/>
      <c r="AC4" s="306"/>
      <c r="AD4" s="306" t="s">
        <v>676</v>
      </c>
      <c r="AE4" s="306" t="s">
        <v>677</v>
      </c>
      <c r="AF4" s="306"/>
      <c r="AG4" s="306"/>
      <c r="BU4" s="302">
        <v>1</v>
      </c>
      <c r="BV4" s="302" t="s">
        <v>678</v>
      </c>
      <c r="BY4" s="302">
        <v>12</v>
      </c>
      <c r="BZ4" s="302" t="s">
        <v>679</v>
      </c>
    </row>
    <row r="5" spans="1:255">
      <c r="A5" s="306"/>
      <c r="C5" s="306"/>
      <c r="D5" s="306"/>
      <c r="E5" s="306"/>
      <c r="F5" s="314"/>
      <c r="G5" s="306"/>
      <c r="H5" s="306"/>
      <c r="I5" s="306"/>
      <c r="J5" s="308"/>
      <c r="K5" s="306"/>
      <c r="L5" s="306"/>
      <c r="M5" s="309"/>
      <c r="N5" s="306"/>
      <c r="O5" s="315">
        <v>2016</v>
      </c>
      <c r="P5" s="313" t="s">
        <v>680</v>
      </c>
      <c r="Q5" s="306"/>
      <c r="R5" s="306"/>
      <c r="S5" s="306"/>
      <c r="T5" s="306"/>
      <c r="U5" s="306"/>
      <c r="V5" s="306"/>
      <c r="W5" s="306"/>
      <c r="X5" s="306"/>
      <c r="Y5" s="306"/>
      <c r="Z5" s="306"/>
      <c r="AA5" s="306"/>
      <c r="AB5" s="306"/>
      <c r="AC5" s="306"/>
      <c r="AD5" s="306" t="s">
        <v>681</v>
      </c>
      <c r="AE5" s="306" t="s">
        <v>682</v>
      </c>
      <c r="AF5" s="306"/>
      <c r="AG5" s="306"/>
      <c r="BV5" s="302">
        <v>1993</v>
      </c>
      <c r="BY5" s="302">
        <v>0</v>
      </c>
      <c r="BZ5" s="302" t="s">
        <v>683</v>
      </c>
    </row>
    <row r="6" spans="1:255">
      <c r="A6" s="306"/>
      <c r="C6" s="306"/>
      <c r="D6" s="306"/>
      <c r="E6" s="306"/>
      <c r="F6" s="314"/>
      <c r="G6" s="306"/>
      <c r="H6" s="306"/>
      <c r="I6" s="306"/>
      <c r="J6" s="308"/>
      <c r="K6" s="306"/>
      <c r="L6" s="306"/>
      <c r="M6" s="309"/>
      <c r="N6" s="306"/>
      <c r="O6" s="306"/>
      <c r="P6" s="306"/>
      <c r="Q6" s="306"/>
      <c r="R6" s="306"/>
      <c r="S6" s="306"/>
      <c r="T6" s="306"/>
      <c r="U6" s="306"/>
      <c r="V6" s="306"/>
      <c r="W6" s="306"/>
      <c r="X6" s="306"/>
      <c r="Y6" s="306"/>
      <c r="Z6" s="306"/>
      <c r="AA6" s="306"/>
      <c r="AB6" s="306"/>
      <c r="AC6" s="306"/>
      <c r="AD6" s="306" t="s">
        <v>684</v>
      </c>
      <c r="AE6" s="306" t="s">
        <v>685</v>
      </c>
      <c r="AF6" s="306"/>
      <c r="AG6" s="306"/>
      <c r="BY6" s="302">
        <v>93</v>
      </c>
      <c r="BZ6" s="302" t="s">
        <v>675</v>
      </c>
    </row>
    <row r="7" spans="1:255">
      <c r="A7" s="306"/>
      <c r="C7" s="306"/>
      <c r="D7" s="306"/>
      <c r="E7" s="306"/>
      <c r="F7" s="314"/>
      <c r="G7" s="306"/>
      <c r="H7" s="306"/>
      <c r="I7" s="306"/>
      <c r="J7" s="308"/>
      <c r="K7" s="306"/>
      <c r="L7" s="306"/>
      <c r="M7" s="309"/>
      <c r="N7" s="306"/>
      <c r="O7" s="306"/>
      <c r="P7" s="306"/>
      <c r="Q7" s="306"/>
      <c r="R7" s="306"/>
      <c r="S7" s="306"/>
      <c r="T7" s="306"/>
      <c r="U7" s="306"/>
      <c r="V7" s="306"/>
      <c r="W7" s="306"/>
      <c r="X7" s="306"/>
      <c r="Y7" s="306"/>
      <c r="Z7" s="306"/>
      <c r="AA7" s="306"/>
      <c r="AB7" s="316"/>
      <c r="AC7" s="306"/>
      <c r="AD7" s="306" t="s">
        <v>686</v>
      </c>
      <c r="AE7" s="306" t="s">
        <v>687</v>
      </c>
      <c r="AF7" s="306"/>
      <c r="AG7" s="306"/>
      <c r="BY7" s="302">
        <v>94</v>
      </c>
      <c r="BZ7" s="302" t="s">
        <v>688</v>
      </c>
    </row>
    <row r="8" spans="1:255">
      <c r="A8" s="306"/>
      <c r="B8" s="310"/>
      <c r="C8" s="310"/>
      <c r="D8" s="310"/>
      <c r="E8" s="310"/>
      <c r="F8" s="317"/>
      <c r="G8" s="310"/>
      <c r="H8" s="310"/>
      <c r="I8" s="310"/>
      <c r="J8" s="318"/>
      <c r="K8" s="306"/>
      <c r="L8" s="306"/>
      <c r="M8" s="309"/>
      <c r="N8" s="306"/>
      <c r="O8" s="306"/>
      <c r="P8" s="306"/>
      <c r="Q8" s="306"/>
      <c r="R8" s="314" t="s">
        <v>134</v>
      </c>
      <c r="S8" s="306"/>
      <c r="T8" s="306"/>
      <c r="U8" s="316" t="s">
        <v>3</v>
      </c>
      <c r="V8" s="306"/>
      <c r="W8" s="314" t="s">
        <v>641</v>
      </c>
      <c r="X8" s="314" t="s">
        <v>6</v>
      </c>
      <c r="Y8" s="306"/>
      <c r="Z8" s="316" t="s">
        <v>6</v>
      </c>
      <c r="AA8" s="316" t="s">
        <v>6</v>
      </c>
      <c r="AB8" s="316"/>
      <c r="AC8" s="306"/>
      <c r="AD8" s="306"/>
      <c r="AE8" s="306"/>
      <c r="AF8" s="306"/>
      <c r="AG8" s="306"/>
    </row>
    <row r="9" spans="1:255">
      <c r="A9" s="316"/>
      <c r="B9" s="316" t="s">
        <v>655</v>
      </c>
      <c r="C9" s="319" t="s">
        <v>689</v>
      </c>
      <c r="D9" s="316" t="s">
        <v>690</v>
      </c>
      <c r="E9" s="316"/>
      <c r="F9" s="320" t="s">
        <v>645</v>
      </c>
      <c r="G9" s="310"/>
      <c r="H9" s="316" t="s">
        <v>655</v>
      </c>
      <c r="I9" s="316"/>
      <c r="J9" s="321" t="s">
        <v>691</v>
      </c>
      <c r="K9" s="316" t="s">
        <v>655</v>
      </c>
      <c r="L9" s="306"/>
      <c r="M9" s="322" t="s">
        <v>655</v>
      </c>
      <c r="N9" s="314" t="s">
        <v>692</v>
      </c>
      <c r="O9" s="319" t="s">
        <v>655</v>
      </c>
      <c r="P9" s="319"/>
      <c r="Q9" s="316" t="s">
        <v>3</v>
      </c>
      <c r="R9" s="314" t="s">
        <v>691</v>
      </c>
      <c r="S9" s="316" t="s">
        <v>3</v>
      </c>
      <c r="T9" s="316" t="s">
        <v>693</v>
      </c>
      <c r="U9" s="316" t="s">
        <v>6</v>
      </c>
      <c r="V9" s="306"/>
      <c r="W9" s="314" t="s">
        <v>694</v>
      </c>
      <c r="X9" s="314" t="s">
        <v>694</v>
      </c>
      <c r="Y9" s="314" t="s">
        <v>695</v>
      </c>
      <c r="Z9" s="316" t="s">
        <v>696</v>
      </c>
      <c r="AA9" s="316" t="s">
        <v>696</v>
      </c>
      <c r="AB9" s="316" t="s">
        <v>250</v>
      </c>
      <c r="AC9" s="306"/>
      <c r="AD9" s="306"/>
      <c r="AE9" s="306"/>
      <c r="AF9" s="306"/>
      <c r="AG9" s="306"/>
    </row>
    <row r="10" spans="1:255">
      <c r="A10" s="316"/>
      <c r="B10" s="316" t="s">
        <v>697</v>
      </c>
      <c r="C10" s="319"/>
      <c r="D10" s="316" t="s">
        <v>698</v>
      </c>
      <c r="E10" s="316"/>
      <c r="F10" s="320" t="s">
        <v>699</v>
      </c>
      <c r="G10" s="310"/>
      <c r="H10" s="316" t="s">
        <v>700</v>
      </c>
      <c r="I10" s="316" t="s">
        <v>701</v>
      </c>
      <c r="J10" s="321" t="s">
        <v>702</v>
      </c>
      <c r="K10" s="316" t="s">
        <v>692</v>
      </c>
      <c r="L10" s="306" t="s">
        <v>703</v>
      </c>
      <c r="M10" s="322" t="s">
        <v>692</v>
      </c>
      <c r="N10" s="314" t="s">
        <v>134</v>
      </c>
      <c r="O10" s="316" t="s">
        <v>646</v>
      </c>
      <c r="P10" s="316" t="s">
        <v>704</v>
      </c>
      <c r="Q10" s="316" t="s">
        <v>647</v>
      </c>
      <c r="R10" s="314" t="s">
        <v>705</v>
      </c>
      <c r="S10" s="316" t="s">
        <v>706</v>
      </c>
      <c r="T10" s="316" t="s">
        <v>707</v>
      </c>
      <c r="U10" s="316" t="s">
        <v>708</v>
      </c>
      <c r="V10" s="316"/>
      <c r="W10" s="316" t="s">
        <v>202</v>
      </c>
      <c r="X10" s="316" t="s">
        <v>202</v>
      </c>
      <c r="Y10" s="316" t="s">
        <v>707</v>
      </c>
      <c r="Z10" s="316" t="s">
        <v>709</v>
      </c>
      <c r="AA10" s="316" t="s">
        <v>709</v>
      </c>
      <c r="AB10" s="316" t="s">
        <v>649</v>
      </c>
      <c r="AC10" s="314" t="s">
        <v>673</v>
      </c>
      <c r="AD10" s="314" t="s">
        <v>710</v>
      </c>
      <c r="AE10" s="314" t="s">
        <v>711</v>
      </c>
      <c r="AF10" s="314" t="s">
        <v>684</v>
      </c>
      <c r="AG10" s="314" t="s">
        <v>686</v>
      </c>
      <c r="BU10" s="302">
        <v>2</v>
      </c>
      <c r="BV10" s="302" t="s">
        <v>712</v>
      </c>
    </row>
    <row r="11" spans="1:255">
      <c r="A11" s="323" t="s">
        <v>713</v>
      </c>
      <c r="B11" s="323" t="s">
        <v>714</v>
      </c>
      <c r="C11" s="324" t="s">
        <v>715</v>
      </c>
      <c r="D11" s="323" t="s">
        <v>691</v>
      </c>
      <c r="E11" s="323" t="s">
        <v>716</v>
      </c>
      <c r="F11" s="325" t="s">
        <v>693</v>
      </c>
      <c r="G11" s="310" t="s">
        <v>717</v>
      </c>
      <c r="H11" s="323" t="s">
        <v>718</v>
      </c>
      <c r="I11" s="323" t="s">
        <v>719</v>
      </c>
      <c r="J11" s="326" t="s">
        <v>646</v>
      </c>
      <c r="K11" s="323" t="s">
        <v>644</v>
      </c>
      <c r="L11" s="327" t="s">
        <v>717</v>
      </c>
      <c r="M11" s="328" t="s">
        <v>644</v>
      </c>
      <c r="N11" s="327" t="s">
        <v>717</v>
      </c>
      <c r="O11" s="323" t="s">
        <v>644</v>
      </c>
      <c r="P11" s="323" t="s">
        <v>646</v>
      </c>
      <c r="Q11" s="316" t="s">
        <v>646</v>
      </c>
      <c r="R11" s="327" t="s">
        <v>717</v>
      </c>
      <c r="S11" s="316" t="s">
        <v>720</v>
      </c>
      <c r="T11" s="323" t="s">
        <v>717</v>
      </c>
      <c r="U11" s="316" t="s">
        <v>709</v>
      </c>
      <c r="V11" s="316"/>
      <c r="W11" s="329">
        <f>'2120 Depr Summary'!F5</f>
        <v>42186</v>
      </c>
      <c r="X11" s="329">
        <f>+A3</f>
        <v>42551</v>
      </c>
      <c r="Y11" s="316" t="s">
        <v>693</v>
      </c>
      <c r="Z11" s="330">
        <f>+W11</f>
        <v>42186</v>
      </c>
      <c r="AA11" s="330">
        <f>+A3</f>
        <v>42551</v>
      </c>
      <c r="AB11" s="330">
        <f>+A3</f>
        <v>42551</v>
      </c>
      <c r="AC11" s="306"/>
      <c r="AD11" s="306"/>
      <c r="AE11" s="306"/>
      <c r="AF11" s="306"/>
      <c r="AG11" s="306"/>
    </row>
    <row r="12" spans="1:255">
      <c r="A12" s="306">
        <v>18</v>
      </c>
      <c r="B12" s="306" t="s">
        <v>723</v>
      </c>
      <c r="C12" s="331" t="s">
        <v>724</v>
      </c>
      <c r="D12" s="314">
        <v>1995</v>
      </c>
      <c r="E12" s="306">
        <v>6</v>
      </c>
      <c r="F12" s="332">
        <v>0</v>
      </c>
      <c r="G12" s="314"/>
      <c r="H12" s="314" t="s">
        <v>722</v>
      </c>
      <c r="I12" s="314">
        <v>5</v>
      </c>
      <c r="J12" s="318">
        <f t="shared" ref="J12:J30" si="0">D12+I12</f>
        <v>2000</v>
      </c>
      <c r="K12" s="306"/>
      <c r="L12" s="306"/>
      <c r="M12" s="333"/>
      <c r="N12" s="333">
        <v>0</v>
      </c>
      <c r="O12" s="19">
        <f t="shared" ref="O12:O30" si="1">M12-M12*F12</f>
        <v>0</v>
      </c>
      <c r="P12" s="19">
        <f t="shared" ref="P12:P30" si="2">O12/I12/12</f>
        <v>0</v>
      </c>
      <c r="Q12" s="19">
        <f t="shared" ref="Q12:Q30" si="3">IF(N12&gt;0,0,IF(OR(AC12&gt;AD12,AE12&lt;AF12),0,IF(AND(AE12&gt;=AF12,AE12&lt;=AD12),P12*((AE12-AF12)*12),IF(AND(AF12&lt;=AC12,AD12&gt;=AC12),((AD12-AC12)*12)*P12,IF(AE12&gt;AD12,12*P12,0)))))</f>
        <v>0</v>
      </c>
      <c r="R12" s="19"/>
      <c r="S12" s="19">
        <f t="shared" ref="S12:S30" si="4">IF(R12&gt;0,R12,Q12)</f>
        <v>0</v>
      </c>
      <c r="T12" s="19">
        <v>1</v>
      </c>
      <c r="U12" s="19">
        <f t="shared" ref="U12:U30" si="5">T12*SUM(Q12:R12)</f>
        <v>0</v>
      </c>
      <c r="V12" s="19"/>
      <c r="W12" s="19">
        <f t="shared" ref="W12:W30" si="6">IF(AC12&gt;AD12,0,IF(AE12&lt;AF12,O12,IF(AND(AE12&gt;=AF12,AE12&lt;=AD12),(O12-S12),IF(AND(AF12&lt;=AC12,AD12&gt;=AC12),0,IF(AE12&gt;AD12,((AF12-AC12)*12)*P12,0)))))</f>
        <v>0</v>
      </c>
      <c r="X12" s="19">
        <f t="shared" ref="X12:X30" si="7">W12*T12</f>
        <v>0</v>
      </c>
      <c r="Y12" s="19">
        <v>1</v>
      </c>
      <c r="Z12" s="19">
        <f t="shared" ref="Z12:Z30" si="8">X12*Y12</f>
        <v>0</v>
      </c>
      <c r="AA12" s="19">
        <f t="shared" ref="AA12:AA30" si="9">IF(N12&gt;0,0,Z12+U12*Y12)*Y12</f>
        <v>0</v>
      </c>
      <c r="AB12" s="19">
        <f t="shared" ref="AB12:AB30" si="10">IF(N12&gt;0,(M12-Z12)/2,IF(AC12&gt;=AF12,(((M12*T12)*Y12)-AA12)/2,((((M12*T12)*Y12)-Z12)+(((M12*T12)*Y12)-AA12))/2))</f>
        <v>0</v>
      </c>
      <c r="AC12" s="310">
        <f t="shared" ref="AC12:AC30" si="11">$D12+(($E12-1)/12)</f>
        <v>1995.4166666666667</v>
      </c>
      <c r="AD12" s="310">
        <f t="shared" ref="AD12:AD51" si="12">($O$5+1)-($O$2/12)</f>
        <v>2016.5</v>
      </c>
      <c r="AE12" s="310">
        <f t="shared" ref="AE12:AE30" si="13">$J12+(($E12-1)/12)</f>
        <v>2000.4166666666667</v>
      </c>
      <c r="AF12" s="310">
        <f t="shared" ref="AF12:AF51" si="14">$O$4+($O$3/12)</f>
        <v>2015.5</v>
      </c>
      <c r="AG12" s="310">
        <f t="shared" ref="AG12:AG30" si="15">$K12+(($L12-1)/12)</f>
        <v>-8.3333333333333329E-2</v>
      </c>
      <c r="IU12" s="302">
        <f>SUM(A12:IT12)</f>
        <v>12053.75</v>
      </c>
    </row>
    <row r="13" spans="1:255">
      <c r="A13" s="306">
        <v>15</v>
      </c>
      <c r="B13" s="306" t="s">
        <v>723</v>
      </c>
      <c r="C13" s="331" t="s">
        <v>725</v>
      </c>
      <c r="D13" s="314">
        <v>1997</v>
      </c>
      <c r="E13" s="306">
        <v>3</v>
      </c>
      <c r="F13" s="332">
        <v>0.2</v>
      </c>
      <c r="G13" s="314"/>
      <c r="H13" s="314" t="s">
        <v>722</v>
      </c>
      <c r="I13" s="314">
        <v>7</v>
      </c>
      <c r="J13" s="318">
        <f t="shared" si="0"/>
        <v>2004</v>
      </c>
      <c r="K13" s="306"/>
      <c r="L13" s="306"/>
      <c r="M13" s="333">
        <v>1580</v>
      </c>
      <c r="N13" s="333">
        <v>0</v>
      </c>
      <c r="O13" s="19">
        <f t="shared" si="1"/>
        <v>1264</v>
      </c>
      <c r="P13" s="19">
        <f t="shared" si="2"/>
        <v>15.047619047619049</v>
      </c>
      <c r="Q13" s="19">
        <f t="shared" si="3"/>
        <v>0</v>
      </c>
      <c r="R13" s="19"/>
      <c r="S13" s="19">
        <f t="shared" si="4"/>
        <v>0</v>
      </c>
      <c r="T13" s="19">
        <v>1</v>
      </c>
      <c r="U13" s="19">
        <f t="shared" si="5"/>
        <v>0</v>
      </c>
      <c r="V13" s="19"/>
      <c r="W13" s="19">
        <f t="shared" si="6"/>
        <v>1264</v>
      </c>
      <c r="X13" s="19">
        <f t="shared" si="7"/>
        <v>1264</v>
      </c>
      <c r="Y13" s="19">
        <v>1</v>
      </c>
      <c r="Z13" s="19">
        <f t="shared" si="8"/>
        <v>1264</v>
      </c>
      <c r="AA13" s="19">
        <f t="shared" si="9"/>
        <v>1264</v>
      </c>
      <c r="AB13" s="19">
        <f t="shared" si="10"/>
        <v>316</v>
      </c>
      <c r="AC13" s="310">
        <f t="shared" si="11"/>
        <v>1997.1666666666667</v>
      </c>
      <c r="AD13" s="310">
        <f t="shared" si="12"/>
        <v>2016.5</v>
      </c>
      <c r="AE13" s="310">
        <f t="shared" si="13"/>
        <v>2004.1666666666667</v>
      </c>
      <c r="AF13" s="310">
        <f t="shared" si="14"/>
        <v>2015.5</v>
      </c>
      <c r="AG13" s="310">
        <f t="shared" si="15"/>
        <v>-8.3333333333333329E-2</v>
      </c>
    </row>
    <row r="14" spans="1:255">
      <c r="A14" s="306"/>
      <c r="B14" s="306" t="s">
        <v>726</v>
      </c>
      <c r="C14" s="331" t="s">
        <v>727</v>
      </c>
      <c r="D14" s="314">
        <v>2001</v>
      </c>
      <c r="E14" s="306">
        <v>1</v>
      </c>
      <c r="F14" s="332">
        <v>0</v>
      </c>
      <c r="G14" s="314"/>
      <c r="H14" s="314" t="s">
        <v>722</v>
      </c>
      <c r="I14" s="314">
        <v>7</v>
      </c>
      <c r="J14" s="318">
        <f t="shared" si="0"/>
        <v>2008</v>
      </c>
      <c r="K14" s="306"/>
      <c r="L14" s="306"/>
      <c r="M14" s="333">
        <v>2788.98</v>
      </c>
      <c r="N14" s="333">
        <v>0</v>
      </c>
      <c r="O14" s="19">
        <f t="shared" si="1"/>
        <v>2788.98</v>
      </c>
      <c r="P14" s="19">
        <f t="shared" si="2"/>
        <v>33.202142857142853</v>
      </c>
      <c r="Q14" s="19">
        <f t="shared" si="3"/>
        <v>0</v>
      </c>
      <c r="R14" s="19"/>
      <c r="S14" s="19">
        <f t="shared" si="4"/>
        <v>0</v>
      </c>
      <c r="T14" s="19">
        <v>1</v>
      </c>
      <c r="U14" s="19">
        <f t="shared" si="5"/>
        <v>0</v>
      </c>
      <c r="V14" s="19"/>
      <c r="W14" s="19">
        <f t="shared" si="6"/>
        <v>2788.98</v>
      </c>
      <c r="X14" s="19">
        <f t="shared" si="7"/>
        <v>2788.98</v>
      </c>
      <c r="Y14" s="19">
        <v>1</v>
      </c>
      <c r="Z14" s="19">
        <f t="shared" si="8"/>
        <v>2788.98</v>
      </c>
      <c r="AA14" s="19">
        <f t="shared" si="9"/>
        <v>2788.98</v>
      </c>
      <c r="AB14" s="19">
        <f t="shared" si="10"/>
        <v>0</v>
      </c>
      <c r="AC14" s="310">
        <f t="shared" si="11"/>
        <v>2001</v>
      </c>
      <c r="AD14" s="310">
        <f t="shared" si="12"/>
        <v>2016.5</v>
      </c>
      <c r="AE14" s="310">
        <f t="shared" si="13"/>
        <v>2008</v>
      </c>
      <c r="AF14" s="310">
        <f t="shared" si="14"/>
        <v>2015.5</v>
      </c>
      <c r="AG14" s="310">
        <f t="shared" si="15"/>
        <v>-8.3333333333333329E-2</v>
      </c>
    </row>
    <row r="15" spans="1:255">
      <c r="A15" s="306">
        <v>74</v>
      </c>
      <c r="B15" s="306" t="s">
        <v>730</v>
      </c>
      <c r="C15" s="331" t="s">
        <v>731</v>
      </c>
      <c r="D15" s="314">
        <v>2002</v>
      </c>
      <c r="E15" s="306">
        <v>9</v>
      </c>
      <c r="F15" s="332">
        <v>0.2</v>
      </c>
      <c r="G15" s="314"/>
      <c r="H15" s="314" t="s">
        <v>722</v>
      </c>
      <c r="I15" s="314">
        <v>7</v>
      </c>
      <c r="J15" s="318">
        <f t="shared" si="0"/>
        <v>2009</v>
      </c>
      <c r="K15" s="306"/>
      <c r="L15" s="306"/>
      <c r="M15" s="333">
        <f>50488+49668</f>
        <v>100156</v>
      </c>
      <c r="N15" s="333">
        <v>0</v>
      </c>
      <c r="O15" s="19">
        <f t="shared" si="1"/>
        <v>80124.800000000003</v>
      </c>
      <c r="P15" s="19">
        <f t="shared" si="2"/>
        <v>953.86666666666667</v>
      </c>
      <c r="Q15" s="19">
        <f t="shared" si="3"/>
        <v>0</v>
      </c>
      <c r="R15" s="19"/>
      <c r="S15" s="19">
        <f t="shared" si="4"/>
        <v>0</v>
      </c>
      <c r="T15" s="19">
        <v>1</v>
      </c>
      <c r="U15" s="19">
        <f t="shared" si="5"/>
        <v>0</v>
      </c>
      <c r="V15" s="19"/>
      <c r="W15" s="19">
        <f t="shared" si="6"/>
        <v>80124.800000000003</v>
      </c>
      <c r="X15" s="19">
        <f t="shared" si="7"/>
        <v>80124.800000000003</v>
      </c>
      <c r="Y15" s="19">
        <v>1</v>
      </c>
      <c r="Z15" s="19">
        <f t="shared" si="8"/>
        <v>80124.800000000003</v>
      </c>
      <c r="AA15" s="19">
        <f t="shared" si="9"/>
        <v>80124.800000000003</v>
      </c>
      <c r="AB15" s="19">
        <f t="shared" si="10"/>
        <v>20031.199999999997</v>
      </c>
      <c r="AC15" s="310">
        <f t="shared" si="11"/>
        <v>2002.6666666666667</v>
      </c>
      <c r="AD15" s="310">
        <f t="shared" si="12"/>
        <v>2016.5</v>
      </c>
      <c r="AE15" s="310">
        <f t="shared" si="13"/>
        <v>2009.6666666666667</v>
      </c>
      <c r="AF15" s="310">
        <f t="shared" si="14"/>
        <v>2015.5</v>
      </c>
      <c r="AG15" s="310">
        <f t="shared" si="15"/>
        <v>-8.3333333333333329E-2</v>
      </c>
    </row>
    <row r="16" spans="1:255">
      <c r="A16" s="306">
        <v>6</v>
      </c>
      <c r="B16" s="306" t="s">
        <v>730</v>
      </c>
      <c r="C16" s="331" t="s">
        <v>731</v>
      </c>
      <c r="D16" s="314">
        <v>2003</v>
      </c>
      <c r="E16" s="306">
        <v>6</v>
      </c>
      <c r="F16" s="332">
        <v>0.2</v>
      </c>
      <c r="G16" s="314"/>
      <c r="H16" s="314" t="s">
        <v>722</v>
      </c>
      <c r="I16" s="314">
        <v>7</v>
      </c>
      <c r="J16" s="318">
        <f t="shared" si="0"/>
        <v>2010</v>
      </c>
      <c r="K16" s="306"/>
      <c r="L16" s="306"/>
      <c r="M16" s="333">
        <v>95000</v>
      </c>
      <c r="N16" s="333">
        <v>0</v>
      </c>
      <c r="O16" s="19">
        <f t="shared" si="1"/>
        <v>76000</v>
      </c>
      <c r="P16" s="19">
        <f t="shared" si="2"/>
        <v>904.7619047619047</v>
      </c>
      <c r="Q16" s="19">
        <f t="shared" si="3"/>
        <v>0</v>
      </c>
      <c r="R16" s="19"/>
      <c r="S16" s="19">
        <f t="shared" si="4"/>
        <v>0</v>
      </c>
      <c r="T16" s="19">
        <v>1</v>
      </c>
      <c r="U16" s="19">
        <f t="shared" si="5"/>
        <v>0</v>
      </c>
      <c r="V16" s="19"/>
      <c r="W16" s="19">
        <f t="shared" si="6"/>
        <v>76000</v>
      </c>
      <c r="X16" s="19">
        <f t="shared" si="7"/>
        <v>76000</v>
      </c>
      <c r="Y16" s="19">
        <v>1</v>
      </c>
      <c r="Z16" s="19">
        <f t="shared" si="8"/>
        <v>76000</v>
      </c>
      <c r="AA16" s="19">
        <f t="shared" si="9"/>
        <v>76000</v>
      </c>
      <c r="AB16" s="19">
        <f t="shared" si="10"/>
        <v>19000</v>
      </c>
      <c r="AC16" s="310">
        <f t="shared" si="11"/>
        <v>2003.4166666666667</v>
      </c>
      <c r="AD16" s="310">
        <f t="shared" si="12"/>
        <v>2016.5</v>
      </c>
      <c r="AE16" s="310">
        <f t="shared" si="13"/>
        <v>2010.4166666666667</v>
      </c>
      <c r="AF16" s="310">
        <f t="shared" si="14"/>
        <v>2015.5</v>
      </c>
      <c r="AG16" s="310">
        <f t="shared" si="15"/>
        <v>-8.3333333333333329E-2</v>
      </c>
    </row>
    <row r="17" spans="1:33">
      <c r="A17" s="306">
        <v>67</v>
      </c>
      <c r="B17" s="306" t="s">
        <v>728</v>
      </c>
      <c r="C17" s="331" t="s">
        <v>732</v>
      </c>
      <c r="D17" s="314">
        <v>2003</v>
      </c>
      <c r="E17" s="306">
        <v>8</v>
      </c>
      <c r="F17" s="332">
        <v>0.2</v>
      </c>
      <c r="G17" s="314"/>
      <c r="H17" s="314" t="s">
        <v>722</v>
      </c>
      <c r="I17" s="314">
        <v>7</v>
      </c>
      <c r="J17" s="318">
        <f t="shared" si="0"/>
        <v>2010</v>
      </c>
      <c r="K17" s="306"/>
      <c r="L17" s="306"/>
      <c r="M17" s="333">
        <f>52689+37380</f>
        <v>90069</v>
      </c>
      <c r="N17" s="333">
        <v>0</v>
      </c>
      <c r="O17" s="19">
        <f t="shared" si="1"/>
        <v>72055.199999999997</v>
      </c>
      <c r="P17" s="19">
        <f t="shared" si="2"/>
        <v>857.80000000000007</v>
      </c>
      <c r="Q17" s="19">
        <f t="shared" si="3"/>
        <v>0</v>
      </c>
      <c r="R17" s="19"/>
      <c r="S17" s="19">
        <f t="shared" si="4"/>
        <v>0</v>
      </c>
      <c r="T17" s="19">
        <v>1</v>
      </c>
      <c r="U17" s="19">
        <f t="shared" si="5"/>
        <v>0</v>
      </c>
      <c r="V17" s="19"/>
      <c r="W17" s="19">
        <f t="shared" si="6"/>
        <v>72055.199999999997</v>
      </c>
      <c r="X17" s="19">
        <f t="shared" si="7"/>
        <v>72055.199999999997</v>
      </c>
      <c r="Y17" s="19">
        <v>1</v>
      </c>
      <c r="Z17" s="19">
        <f t="shared" si="8"/>
        <v>72055.199999999997</v>
      </c>
      <c r="AA17" s="19">
        <f t="shared" si="9"/>
        <v>72055.199999999997</v>
      </c>
      <c r="AB17" s="19">
        <f t="shared" si="10"/>
        <v>18013.800000000003</v>
      </c>
      <c r="AC17" s="310">
        <f t="shared" si="11"/>
        <v>2003.5833333333333</v>
      </c>
      <c r="AD17" s="310">
        <f t="shared" si="12"/>
        <v>2016.5</v>
      </c>
      <c r="AE17" s="310">
        <f t="shared" si="13"/>
        <v>2010.5833333333333</v>
      </c>
      <c r="AF17" s="310">
        <f t="shared" si="14"/>
        <v>2015.5</v>
      </c>
      <c r="AG17" s="310">
        <f t="shared" si="15"/>
        <v>-8.3333333333333329E-2</v>
      </c>
    </row>
    <row r="18" spans="1:33">
      <c r="A18" s="306">
        <v>5</v>
      </c>
      <c r="B18" s="306" t="s">
        <v>730</v>
      </c>
      <c r="C18" s="331" t="s">
        <v>733</v>
      </c>
      <c r="D18" s="314">
        <v>2004</v>
      </c>
      <c r="E18" s="306">
        <v>3</v>
      </c>
      <c r="F18" s="332">
        <v>0.2</v>
      </c>
      <c r="G18" s="314"/>
      <c r="H18" s="314" t="s">
        <v>722</v>
      </c>
      <c r="I18" s="314">
        <v>7</v>
      </c>
      <c r="J18" s="318">
        <f t="shared" si="0"/>
        <v>2011</v>
      </c>
      <c r="K18" s="306"/>
      <c r="L18" s="306"/>
      <c r="M18" s="333">
        <v>95000</v>
      </c>
      <c r="N18" s="333">
        <v>0</v>
      </c>
      <c r="O18" s="19">
        <f t="shared" si="1"/>
        <v>76000</v>
      </c>
      <c r="P18" s="19">
        <f t="shared" si="2"/>
        <v>904.7619047619047</v>
      </c>
      <c r="Q18" s="19">
        <f t="shared" si="3"/>
        <v>0</v>
      </c>
      <c r="R18" s="19"/>
      <c r="S18" s="19">
        <f t="shared" si="4"/>
        <v>0</v>
      </c>
      <c r="T18" s="19">
        <v>1</v>
      </c>
      <c r="U18" s="19">
        <f t="shared" si="5"/>
        <v>0</v>
      </c>
      <c r="V18" s="19"/>
      <c r="W18" s="19">
        <f t="shared" si="6"/>
        <v>76000</v>
      </c>
      <c r="X18" s="19">
        <f t="shared" si="7"/>
        <v>76000</v>
      </c>
      <c r="Y18" s="19">
        <v>1</v>
      </c>
      <c r="Z18" s="19">
        <f t="shared" si="8"/>
        <v>76000</v>
      </c>
      <c r="AA18" s="19">
        <f t="shared" si="9"/>
        <v>76000</v>
      </c>
      <c r="AB18" s="19">
        <f t="shared" si="10"/>
        <v>19000</v>
      </c>
      <c r="AC18" s="310">
        <f t="shared" si="11"/>
        <v>2004.1666666666667</v>
      </c>
      <c r="AD18" s="310">
        <f t="shared" si="12"/>
        <v>2016.5</v>
      </c>
      <c r="AE18" s="310">
        <f t="shared" si="13"/>
        <v>2011.1666666666667</v>
      </c>
      <c r="AF18" s="310">
        <f t="shared" si="14"/>
        <v>2015.5</v>
      </c>
      <c r="AG18" s="310">
        <f t="shared" si="15"/>
        <v>-8.3333333333333329E-2</v>
      </c>
    </row>
    <row r="19" spans="1:33">
      <c r="A19" s="306">
        <v>67</v>
      </c>
      <c r="B19" s="314" t="s">
        <v>721</v>
      </c>
      <c r="C19" s="331" t="s">
        <v>734</v>
      </c>
      <c r="D19" s="314">
        <v>2007</v>
      </c>
      <c r="E19" s="306">
        <v>7</v>
      </c>
      <c r="F19" s="332"/>
      <c r="G19" s="314"/>
      <c r="H19" s="314" t="s">
        <v>722</v>
      </c>
      <c r="I19" s="314">
        <v>3</v>
      </c>
      <c r="J19" s="318">
        <f t="shared" si="0"/>
        <v>2010</v>
      </c>
      <c r="K19" s="306"/>
      <c r="L19" s="306"/>
      <c r="M19" s="333">
        <v>7423</v>
      </c>
      <c r="N19" s="333">
        <v>0</v>
      </c>
      <c r="O19" s="19">
        <f t="shared" si="1"/>
        <v>7423</v>
      </c>
      <c r="P19" s="19">
        <f t="shared" si="2"/>
        <v>206.19444444444446</v>
      </c>
      <c r="Q19" s="19">
        <f t="shared" si="3"/>
        <v>0</v>
      </c>
      <c r="R19" s="19"/>
      <c r="S19" s="19">
        <f t="shared" si="4"/>
        <v>0</v>
      </c>
      <c r="T19" s="19">
        <v>1</v>
      </c>
      <c r="U19" s="19">
        <f t="shared" si="5"/>
        <v>0</v>
      </c>
      <c r="V19" s="19"/>
      <c r="W19" s="19">
        <f t="shared" si="6"/>
        <v>7423</v>
      </c>
      <c r="X19" s="19">
        <f t="shared" si="7"/>
        <v>7423</v>
      </c>
      <c r="Y19" s="19">
        <v>1</v>
      </c>
      <c r="Z19" s="19">
        <f t="shared" si="8"/>
        <v>7423</v>
      </c>
      <c r="AA19" s="19">
        <f t="shared" si="9"/>
        <v>7423</v>
      </c>
      <c r="AB19" s="19">
        <f t="shared" si="10"/>
        <v>0</v>
      </c>
      <c r="AC19" s="310">
        <f t="shared" si="11"/>
        <v>2007.5</v>
      </c>
      <c r="AD19" s="310">
        <f t="shared" si="12"/>
        <v>2016.5</v>
      </c>
      <c r="AE19" s="310">
        <f t="shared" si="13"/>
        <v>2010.5</v>
      </c>
      <c r="AF19" s="310">
        <f t="shared" si="14"/>
        <v>2015.5</v>
      </c>
      <c r="AG19" s="310">
        <f t="shared" si="15"/>
        <v>-8.3333333333333329E-2</v>
      </c>
    </row>
    <row r="20" spans="1:33" s="306" customFormat="1">
      <c r="A20" s="306">
        <v>8</v>
      </c>
      <c r="B20" s="306" t="s">
        <v>735</v>
      </c>
      <c r="C20" s="331" t="s">
        <v>750</v>
      </c>
      <c r="D20" s="314">
        <v>2008</v>
      </c>
      <c r="E20" s="306">
        <v>8</v>
      </c>
      <c r="F20" s="332">
        <v>0.2</v>
      </c>
      <c r="G20" s="314"/>
      <c r="H20" s="314" t="s">
        <v>722</v>
      </c>
      <c r="I20" s="314">
        <v>7</v>
      </c>
      <c r="J20" s="318">
        <f>D20+I20</f>
        <v>2015</v>
      </c>
      <c r="M20" s="333">
        <v>172924.95</v>
      </c>
      <c r="N20" s="333">
        <v>0</v>
      </c>
      <c r="O20" s="19">
        <f>M20-M20*F20</f>
        <v>138339.96000000002</v>
      </c>
      <c r="P20" s="19">
        <f>O20/I20/12</f>
        <v>1646.9042857142858</v>
      </c>
      <c r="Q20" s="19">
        <f>IF(N20&gt;0,0,IF(OR(AC20&gt;AD20,AE20&lt;AF20),0,IF(AND(AE20&gt;=AF20,AE20&lt;=AD20),P20*((AE20-AF20)*12),IF(AND(AF20&lt;=AC20,AD20&gt;=AC20),((AD20-AC20)*12)*P20,IF(AE20&gt;AD20,12*P20,0)))))</f>
        <v>1646.9042857127879</v>
      </c>
      <c r="R20" s="19"/>
      <c r="S20" s="19">
        <f>IF(R20&gt;0,R20,Q20)</f>
        <v>1646.9042857127879</v>
      </c>
      <c r="T20" s="19">
        <v>1</v>
      </c>
      <c r="U20" s="19">
        <f>T20*SUM(Q20:R20)</f>
        <v>1646.9042857127879</v>
      </c>
      <c r="V20" s="19"/>
      <c r="W20" s="19">
        <f>IF(AC20&gt;AD20,0,IF(AE20&lt;AF20,O20,IF(AND(AE20&gt;=AF20,AE20&lt;=AD20),(O20-S20),IF(AND(AF20&lt;=AC20,AD20&gt;=AC20),0,IF(AE20&gt;AD20,((AF20-AC20)*12)*P20,0)))))</f>
        <v>136693.05571428724</v>
      </c>
      <c r="X20" s="19">
        <f>W20*T20</f>
        <v>136693.05571428724</v>
      </c>
      <c r="Y20" s="19">
        <v>1</v>
      </c>
      <c r="Z20" s="19">
        <f>X20*Y20</f>
        <v>136693.05571428724</v>
      </c>
      <c r="AA20" s="19">
        <f>IF(N20&gt;0,0,Z20+U20*Y20)*Y20</f>
        <v>138339.96000000002</v>
      </c>
      <c r="AB20" s="19">
        <f>IF(N20&gt;0,(M20-Z20)/2,IF(AC20&gt;=AF20,(((M20*T20)*Y20)-AA20)/2,((((M20*T20)*Y20)-Z20)+(((M20*T20)*Y20)-AA20))/2))</f>
        <v>35408.44214285638</v>
      </c>
      <c r="AC20" s="310">
        <f>$D20+(($E20-1)/12)</f>
        <v>2008.5833333333333</v>
      </c>
      <c r="AD20" s="310">
        <f t="shared" ref="AD20" si="16">($O$5+1)-($O$2/12)</f>
        <v>2016.5</v>
      </c>
      <c r="AE20" s="310">
        <f>$J20+(($E20-1)/12)</f>
        <v>2015.5833333333333</v>
      </c>
      <c r="AF20" s="310">
        <f t="shared" ref="AF20" si="17">$O$4+($O$3/12)</f>
        <v>2015.5</v>
      </c>
      <c r="AG20" s="310">
        <f>$K20+(($L20-1)/12)</f>
        <v>-8.3333333333333329E-2</v>
      </c>
    </row>
    <row r="21" spans="1:33">
      <c r="A21" s="306">
        <v>10</v>
      </c>
      <c r="B21" s="306" t="s">
        <v>735</v>
      </c>
      <c r="C21" s="331" t="s">
        <v>736</v>
      </c>
      <c r="D21" s="314">
        <v>2009</v>
      </c>
      <c r="E21" s="306">
        <v>12</v>
      </c>
      <c r="F21" s="332">
        <v>0.2</v>
      </c>
      <c r="G21" s="314"/>
      <c r="H21" s="314" t="s">
        <v>722</v>
      </c>
      <c r="I21" s="314">
        <v>7</v>
      </c>
      <c r="J21" s="318">
        <f t="shared" si="0"/>
        <v>2016</v>
      </c>
      <c r="K21" s="306"/>
      <c r="L21" s="306"/>
      <c r="M21" s="333">
        <v>185728.34</v>
      </c>
      <c r="N21" s="333">
        <v>0</v>
      </c>
      <c r="O21" s="19">
        <f t="shared" si="1"/>
        <v>148582.67199999999</v>
      </c>
      <c r="P21" s="19">
        <f t="shared" si="2"/>
        <v>1768.8413333333331</v>
      </c>
      <c r="Q21" s="19">
        <f t="shared" si="3"/>
        <v>21226.095999999998</v>
      </c>
      <c r="R21" s="19"/>
      <c r="S21" s="19">
        <f t="shared" si="4"/>
        <v>21226.095999999998</v>
      </c>
      <c r="T21" s="19">
        <v>1</v>
      </c>
      <c r="U21" s="19">
        <f t="shared" si="5"/>
        <v>21226.095999999998</v>
      </c>
      <c r="V21" s="19"/>
      <c r="W21" s="19">
        <f t="shared" si="6"/>
        <v>118512.36933333171</v>
      </c>
      <c r="X21" s="19">
        <f t="shared" si="7"/>
        <v>118512.36933333171</v>
      </c>
      <c r="Y21" s="19">
        <v>1</v>
      </c>
      <c r="Z21" s="19">
        <f t="shared" si="8"/>
        <v>118512.36933333171</v>
      </c>
      <c r="AA21" s="19">
        <f t="shared" si="9"/>
        <v>139738.4653333317</v>
      </c>
      <c r="AB21" s="19">
        <f t="shared" si="10"/>
        <v>56602.922666668295</v>
      </c>
      <c r="AC21" s="310">
        <f t="shared" si="11"/>
        <v>2009.9166666666667</v>
      </c>
      <c r="AD21" s="310">
        <f t="shared" si="12"/>
        <v>2016.5</v>
      </c>
      <c r="AE21" s="310">
        <f t="shared" si="13"/>
        <v>2016.9166666666667</v>
      </c>
      <c r="AF21" s="310">
        <f t="shared" si="14"/>
        <v>2015.5</v>
      </c>
      <c r="AG21" s="310">
        <f t="shared" si="15"/>
        <v>-8.3333333333333329E-2</v>
      </c>
    </row>
    <row r="22" spans="1:33">
      <c r="A22" s="306">
        <v>10</v>
      </c>
      <c r="B22" s="306" t="s">
        <v>737</v>
      </c>
      <c r="C22" s="331" t="s">
        <v>738</v>
      </c>
      <c r="D22" s="314">
        <v>2010</v>
      </c>
      <c r="E22" s="306">
        <v>1</v>
      </c>
      <c r="F22" s="332">
        <v>0.2</v>
      </c>
      <c r="G22" s="314"/>
      <c r="H22" s="314" t="s">
        <v>722</v>
      </c>
      <c r="I22" s="314">
        <v>7</v>
      </c>
      <c r="J22" s="318">
        <f t="shared" si="0"/>
        <v>2017</v>
      </c>
      <c r="K22" s="306"/>
      <c r="L22" s="306"/>
      <c r="M22" s="333">
        <v>13204.61</v>
      </c>
      <c r="N22" s="333">
        <v>0</v>
      </c>
      <c r="O22" s="19">
        <f t="shared" si="1"/>
        <v>10563.688</v>
      </c>
      <c r="P22" s="19">
        <f t="shared" si="2"/>
        <v>125.75819047619048</v>
      </c>
      <c r="Q22" s="19">
        <f t="shared" si="3"/>
        <v>1509.0982857142858</v>
      </c>
      <c r="R22" s="19"/>
      <c r="S22" s="19">
        <f t="shared" si="4"/>
        <v>1509.0982857142858</v>
      </c>
      <c r="T22" s="19">
        <v>1</v>
      </c>
      <c r="U22" s="19">
        <f t="shared" si="5"/>
        <v>1509.0982857142858</v>
      </c>
      <c r="V22" s="19"/>
      <c r="W22" s="19">
        <f t="shared" si="6"/>
        <v>8300.0405714285716</v>
      </c>
      <c r="X22" s="19">
        <f t="shared" si="7"/>
        <v>8300.0405714285716</v>
      </c>
      <c r="Y22" s="19">
        <v>1</v>
      </c>
      <c r="Z22" s="19">
        <f t="shared" si="8"/>
        <v>8300.0405714285716</v>
      </c>
      <c r="AA22" s="19">
        <f t="shared" si="9"/>
        <v>9809.1388571428579</v>
      </c>
      <c r="AB22" s="19">
        <f t="shared" si="10"/>
        <v>4150.0202857142858</v>
      </c>
      <c r="AC22" s="310">
        <f t="shared" si="11"/>
        <v>2010</v>
      </c>
      <c r="AD22" s="310">
        <f t="shared" si="12"/>
        <v>2016.5</v>
      </c>
      <c r="AE22" s="310">
        <f t="shared" si="13"/>
        <v>2017</v>
      </c>
      <c r="AF22" s="310">
        <f t="shared" si="14"/>
        <v>2015.5</v>
      </c>
      <c r="AG22" s="310">
        <f t="shared" si="15"/>
        <v>-8.3333333333333329E-2</v>
      </c>
    </row>
    <row r="23" spans="1:33">
      <c r="A23" s="306"/>
      <c r="C23" s="331" t="s">
        <v>739</v>
      </c>
      <c r="D23" s="314">
        <v>2010</v>
      </c>
      <c r="E23" s="306">
        <v>8</v>
      </c>
      <c r="F23" s="332">
        <v>0.2</v>
      </c>
      <c r="G23" s="314"/>
      <c r="H23" s="314" t="s">
        <v>722</v>
      </c>
      <c r="I23" s="314">
        <v>7</v>
      </c>
      <c r="J23" s="318">
        <f t="shared" si="0"/>
        <v>2017</v>
      </c>
      <c r="K23" s="306"/>
      <c r="L23" s="306"/>
      <c r="M23" s="333">
        <f>14237.59</f>
        <v>14237.59</v>
      </c>
      <c r="N23" s="333">
        <v>0</v>
      </c>
      <c r="O23" s="19">
        <f t="shared" si="1"/>
        <v>11390.072</v>
      </c>
      <c r="P23" s="19">
        <f t="shared" si="2"/>
        <v>135.59609523809524</v>
      </c>
      <c r="Q23" s="19">
        <f t="shared" si="3"/>
        <v>1627.1531428571429</v>
      </c>
      <c r="R23" s="19"/>
      <c r="S23" s="19">
        <f t="shared" si="4"/>
        <v>1627.1531428571429</v>
      </c>
      <c r="T23" s="19">
        <v>1</v>
      </c>
      <c r="U23" s="19">
        <f t="shared" si="5"/>
        <v>1627.1531428571429</v>
      </c>
      <c r="V23" s="19"/>
      <c r="W23" s="19">
        <f t="shared" si="6"/>
        <v>8000.1696190477423</v>
      </c>
      <c r="X23" s="19">
        <f t="shared" si="7"/>
        <v>8000.1696190477423</v>
      </c>
      <c r="Y23" s="19">
        <v>1</v>
      </c>
      <c r="Z23" s="19">
        <f t="shared" si="8"/>
        <v>8000.1696190477423</v>
      </c>
      <c r="AA23" s="19">
        <f t="shared" si="9"/>
        <v>9627.3227619048848</v>
      </c>
      <c r="AB23" s="19">
        <f t="shared" si="10"/>
        <v>5423.843809523687</v>
      </c>
      <c r="AC23" s="310">
        <f t="shared" si="11"/>
        <v>2010.5833333333333</v>
      </c>
      <c r="AD23" s="310">
        <f t="shared" si="12"/>
        <v>2016.5</v>
      </c>
      <c r="AE23" s="310">
        <f t="shared" si="13"/>
        <v>2017.5833333333333</v>
      </c>
      <c r="AF23" s="310">
        <f t="shared" si="14"/>
        <v>2015.5</v>
      </c>
      <c r="AG23" s="310">
        <f t="shared" si="15"/>
        <v>-8.3333333333333329E-2</v>
      </c>
    </row>
    <row r="24" spans="1:33">
      <c r="A24" s="306">
        <v>1</v>
      </c>
      <c r="B24" s="306" t="s">
        <v>740</v>
      </c>
      <c r="C24" s="331" t="s">
        <v>741</v>
      </c>
      <c r="D24" s="314">
        <v>2011</v>
      </c>
      <c r="E24" s="306">
        <v>9</v>
      </c>
      <c r="F24" s="332">
        <v>0.2</v>
      </c>
      <c r="G24" s="314"/>
      <c r="H24" s="314" t="s">
        <v>722</v>
      </c>
      <c r="I24" s="314">
        <v>7</v>
      </c>
      <c r="J24" s="318">
        <f t="shared" si="0"/>
        <v>2018</v>
      </c>
      <c r="K24" s="306"/>
      <c r="L24" s="306"/>
      <c r="M24" s="333">
        <f>66816.15+60443.84</f>
        <v>127259.98999999999</v>
      </c>
      <c r="N24" s="333">
        <v>0</v>
      </c>
      <c r="O24" s="19">
        <f t="shared" si="1"/>
        <v>101807.992</v>
      </c>
      <c r="P24" s="19">
        <f t="shared" si="2"/>
        <v>1211.9999047619046</v>
      </c>
      <c r="Q24" s="19">
        <f t="shared" si="3"/>
        <v>14543.998857142855</v>
      </c>
      <c r="R24" s="19"/>
      <c r="S24" s="19">
        <f t="shared" si="4"/>
        <v>14543.998857142855</v>
      </c>
      <c r="T24" s="19">
        <v>1</v>
      </c>
      <c r="U24" s="19">
        <f t="shared" si="5"/>
        <v>14543.998857142855</v>
      </c>
      <c r="V24" s="19"/>
      <c r="W24" s="19">
        <f t="shared" si="6"/>
        <v>55751.995619046509</v>
      </c>
      <c r="X24" s="19">
        <f t="shared" si="7"/>
        <v>55751.995619046509</v>
      </c>
      <c r="Y24" s="19">
        <v>1</v>
      </c>
      <c r="Z24" s="19">
        <f t="shared" si="8"/>
        <v>55751.995619046509</v>
      </c>
      <c r="AA24" s="19">
        <f t="shared" si="9"/>
        <v>70295.994476189371</v>
      </c>
      <c r="AB24" s="19">
        <f t="shared" si="10"/>
        <v>64235.994952382054</v>
      </c>
      <c r="AC24" s="310">
        <f t="shared" si="11"/>
        <v>2011.6666666666667</v>
      </c>
      <c r="AD24" s="310">
        <f t="shared" si="12"/>
        <v>2016.5</v>
      </c>
      <c r="AE24" s="310">
        <f t="shared" si="13"/>
        <v>2018.6666666666667</v>
      </c>
      <c r="AF24" s="310">
        <f t="shared" si="14"/>
        <v>2015.5</v>
      </c>
      <c r="AG24" s="310">
        <f t="shared" si="15"/>
        <v>-8.3333333333333329E-2</v>
      </c>
    </row>
    <row r="25" spans="1:33">
      <c r="A25" s="306">
        <v>11</v>
      </c>
      <c r="B25" s="306" t="s">
        <v>742</v>
      </c>
      <c r="C25" s="331" t="s">
        <v>743</v>
      </c>
      <c r="D25" s="314">
        <v>2012</v>
      </c>
      <c r="E25" s="306">
        <v>7</v>
      </c>
      <c r="F25" s="332">
        <v>0.33</v>
      </c>
      <c r="G25" s="314"/>
      <c r="H25" s="314" t="s">
        <v>722</v>
      </c>
      <c r="I25" s="314">
        <v>5</v>
      </c>
      <c r="J25" s="318">
        <f t="shared" si="0"/>
        <v>2017</v>
      </c>
      <c r="K25" s="306"/>
      <c r="L25" s="306"/>
      <c r="M25" s="333">
        <f>160100+12717+630</f>
        <v>173447</v>
      </c>
      <c r="N25" s="333">
        <v>0</v>
      </c>
      <c r="O25" s="19">
        <f t="shared" si="1"/>
        <v>116209.48999999999</v>
      </c>
      <c r="P25" s="19">
        <f t="shared" si="2"/>
        <v>1936.8248333333331</v>
      </c>
      <c r="Q25" s="19">
        <f t="shared" si="3"/>
        <v>23241.897999999997</v>
      </c>
      <c r="R25" s="19"/>
      <c r="S25" s="19">
        <f t="shared" si="4"/>
        <v>23241.897999999997</v>
      </c>
      <c r="T25" s="19">
        <v>1</v>
      </c>
      <c r="U25" s="19">
        <f t="shared" si="5"/>
        <v>23241.897999999997</v>
      </c>
      <c r="V25" s="19"/>
      <c r="W25" s="19">
        <f t="shared" si="6"/>
        <v>69725.693999999989</v>
      </c>
      <c r="X25" s="19">
        <f t="shared" si="7"/>
        <v>69725.693999999989</v>
      </c>
      <c r="Y25" s="19">
        <v>1</v>
      </c>
      <c r="Z25" s="19">
        <f t="shared" si="8"/>
        <v>69725.693999999989</v>
      </c>
      <c r="AA25" s="19">
        <f t="shared" si="9"/>
        <v>92967.59199999999</v>
      </c>
      <c r="AB25" s="19">
        <f t="shared" si="10"/>
        <v>92100.357000000018</v>
      </c>
      <c r="AC25" s="310">
        <f t="shared" si="11"/>
        <v>2012.5</v>
      </c>
      <c r="AD25" s="310">
        <f t="shared" si="12"/>
        <v>2016.5</v>
      </c>
      <c r="AE25" s="310">
        <f t="shared" si="13"/>
        <v>2017.5</v>
      </c>
      <c r="AF25" s="310">
        <f t="shared" si="14"/>
        <v>2015.5</v>
      </c>
      <c r="AG25" s="310">
        <f t="shared" si="15"/>
        <v>-8.3333333333333329E-2</v>
      </c>
    </row>
    <row r="26" spans="1:33">
      <c r="A26" s="306">
        <v>11</v>
      </c>
      <c r="B26" s="306" t="s">
        <v>742</v>
      </c>
      <c r="C26" s="331" t="s">
        <v>744</v>
      </c>
      <c r="D26" s="314">
        <v>2014</v>
      </c>
      <c r="E26" s="306">
        <v>11</v>
      </c>
      <c r="F26" s="332" t="s">
        <v>655</v>
      </c>
      <c r="G26" s="314"/>
      <c r="H26" s="314" t="s">
        <v>722</v>
      </c>
      <c r="I26" s="314">
        <v>3</v>
      </c>
      <c r="J26" s="318">
        <f t="shared" si="0"/>
        <v>2017</v>
      </c>
      <c r="K26" s="306"/>
      <c r="L26" s="306"/>
      <c r="M26" s="333">
        <v>18065.71</v>
      </c>
      <c r="N26" s="333">
        <v>0</v>
      </c>
      <c r="O26" s="19">
        <f t="shared" si="1"/>
        <v>18065.71</v>
      </c>
      <c r="P26" s="19">
        <f t="shared" si="2"/>
        <v>501.82527777777773</v>
      </c>
      <c r="Q26" s="19">
        <f t="shared" si="3"/>
        <v>6021.9033333333327</v>
      </c>
      <c r="R26" s="19"/>
      <c r="S26" s="19">
        <f t="shared" si="4"/>
        <v>6021.9033333333327</v>
      </c>
      <c r="T26" s="19">
        <v>1</v>
      </c>
      <c r="U26" s="19">
        <f t="shared" si="5"/>
        <v>6021.9033333333327</v>
      </c>
      <c r="V26" s="19"/>
      <c r="W26" s="19">
        <f t="shared" si="6"/>
        <v>4014.6022222226784</v>
      </c>
      <c r="X26" s="19">
        <f t="shared" si="7"/>
        <v>4014.6022222226784</v>
      </c>
      <c r="Y26" s="19">
        <v>1</v>
      </c>
      <c r="Z26" s="19">
        <f t="shared" si="8"/>
        <v>4014.6022222226784</v>
      </c>
      <c r="AA26" s="19">
        <f t="shared" si="9"/>
        <v>10036.50555555601</v>
      </c>
      <c r="AB26" s="19">
        <f t="shared" si="10"/>
        <v>11040.156111110655</v>
      </c>
      <c r="AC26" s="310">
        <f t="shared" si="11"/>
        <v>2014.8333333333333</v>
      </c>
      <c r="AD26" s="310">
        <f t="shared" si="12"/>
        <v>2016.5</v>
      </c>
      <c r="AE26" s="310">
        <f t="shared" si="13"/>
        <v>2017.8333333333333</v>
      </c>
      <c r="AF26" s="310">
        <f t="shared" si="14"/>
        <v>2015.5</v>
      </c>
      <c r="AG26" s="310">
        <f t="shared" si="15"/>
        <v>-8.3333333333333329E-2</v>
      </c>
    </row>
    <row r="27" spans="1:33">
      <c r="A27" s="306">
        <v>14</v>
      </c>
      <c r="B27" s="306" t="s">
        <v>742</v>
      </c>
      <c r="C27" s="331" t="s">
        <v>745</v>
      </c>
      <c r="D27" s="314">
        <v>2015</v>
      </c>
      <c r="E27" s="306">
        <v>9</v>
      </c>
      <c r="F27" s="332">
        <v>0.2</v>
      </c>
      <c r="G27" s="314"/>
      <c r="H27" s="314" t="s">
        <v>722</v>
      </c>
      <c r="I27" s="314">
        <v>7</v>
      </c>
      <c r="J27" s="318">
        <f t="shared" si="0"/>
        <v>2022</v>
      </c>
      <c r="K27" s="306"/>
      <c r="L27" s="306"/>
      <c r="M27" s="333">
        <f>241172.15+342.17</f>
        <v>241514.32</v>
      </c>
      <c r="N27" s="333"/>
      <c r="O27" s="19">
        <f t="shared" si="1"/>
        <v>193211.45600000001</v>
      </c>
      <c r="P27" s="19">
        <f t="shared" si="2"/>
        <v>2300.1363809523809</v>
      </c>
      <c r="Q27" s="19">
        <f t="shared" si="3"/>
        <v>23001.363809521717</v>
      </c>
      <c r="R27" s="19"/>
      <c r="S27" s="19">
        <f t="shared" si="4"/>
        <v>23001.363809521717</v>
      </c>
      <c r="T27" s="19">
        <v>1</v>
      </c>
      <c r="U27" s="19">
        <f t="shared" si="5"/>
        <v>23001.363809521717</v>
      </c>
      <c r="V27" s="19"/>
      <c r="W27" s="19">
        <f t="shared" si="6"/>
        <v>0</v>
      </c>
      <c r="X27" s="19">
        <f t="shared" si="7"/>
        <v>0</v>
      </c>
      <c r="Y27" s="19">
        <v>1</v>
      </c>
      <c r="Z27" s="19">
        <f t="shared" si="8"/>
        <v>0</v>
      </c>
      <c r="AA27" s="19">
        <f t="shared" si="9"/>
        <v>23001.363809521717</v>
      </c>
      <c r="AB27" s="19">
        <f t="shared" si="10"/>
        <v>109256.47809523914</v>
      </c>
      <c r="AC27" s="310">
        <f t="shared" si="11"/>
        <v>2015.6666666666667</v>
      </c>
      <c r="AD27" s="310">
        <f t="shared" si="12"/>
        <v>2016.5</v>
      </c>
      <c r="AE27" s="310">
        <f t="shared" si="13"/>
        <v>2022.6666666666667</v>
      </c>
      <c r="AF27" s="310">
        <f t="shared" si="14"/>
        <v>2015.5</v>
      </c>
      <c r="AG27" s="310">
        <f t="shared" si="15"/>
        <v>-8.3333333333333329E-2</v>
      </c>
    </row>
    <row r="28" spans="1:33">
      <c r="A28" s="306">
        <v>15</v>
      </c>
      <c r="B28" s="306" t="s">
        <v>742</v>
      </c>
      <c r="C28" s="331" t="s">
        <v>746</v>
      </c>
      <c r="D28" s="314">
        <v>2015</v>
      </c>
      <c r="E28" s="306">
        <v>9</v>
      </c>
      <c r="F28" s="332">
        <v>0.2</v>
      </c>
      <c r="G28" s="314"/>
      <c r="H28" s="314" t="s">
        <v>722</v>
      </c>
      <c r="I28" s="314">
        <v>7</v>
      </c>
      <c r="J28" s="318">
        <f t="shared" si="0"/>
        <v>2022</v>
      </c>
      <c r="K28" s="306"/>
      <c r="L28" s="306"/>
      <c r="M28" s="333">
        <f>223251</f>
        <v>223251</v>
      </c>
      <c r="N28" s="333"/>
      <c r="O28" s="19">
        <f t="shared" si="1"/>
        <v>178600.8</v>
      </c>
      <c r="P28" s="19">
        <f t="shared" si="2"/>
        <v>2126.1999999999998</v>
      </c>
      <c r="Q28" s="19">
        <f t="shared" si="3"/>
        <v>21261.999999998065</v>
      </c>
      <c r="R28" s="19"/>
      <c r="S28" s="19">
        <f t="shared" si="4"/>
        <v>21261.999999998065</v>
      </c>
      <c r="T28" s="19">
        <v>1</v>
      </c>
      <c r="U28" s="19">
        <f t="shared" si="5"/>
        <v>21261.999999998065</v>
      </c>
      <c r="V28" s="19"/>
      <c r="W28" s="19">
        <f t="shared" si="6"/>
        <v>0</v>
      </c>
      <c r="X28" s="19">
        <f t="shared" si="7"/>
        <v>0</v>
      </c>
      <c r="Y28" s="19">
        <v>1</v>
      </c>
      <c r="Z28" s="19">
        <f t="shared" si="8"/>
        <v>0</v>
      </c>
      <c r="AA28" s="19">
        <f t="shared" si="9"/>
        <v>21261.999999998065</v>
      </c>
      <c r="AB28" s="19">
        <f t="shared" si="10"/>
        <v>100994.50000000096</v>
      </c>
      <c r="AC28" s="310">
        <f t="shared" si="11"/>
        <v>2015.6666666666667</v>
      </c>
      <c r="AD28" s="310">
        <f t="shared" si="12"/>
        <v>2016.5</v>
      </c>
      <c r="AE28" s="310">
        <f t="shared" si="13"/>
        <v>2022.6666666666667</v>
      </c>
      <c r="AF28" s="310">
        <f t="shared" si="14"/>
        <v>2015.5</v>
      </c>
      <c r="AG28" s="310">
        <f t="shared" si="15"/>
        <v>-8.3333333333333329E-2</v>
      </c>
    </row>
    <row r="29" spans="1:33">
      <c r="A29" s="306">
        <v>16</v>
      </c>
      <c r="B29" s="306" t="s">
        <v>742</v>
      </c>
      <c r="C29" s="331" t="s">
        <v>747</v>
      </c>
      <c r="D29" s="314">
        <v>2016</v>
      </c>
      <c r="E29" s="306">
        <v>1</v>
      </c>
      <c r="F29" s="332">
        <v>0.2</v>
      </c>
      <c r="G29" s="314"/>
      <c r="H29" s="314" t="s">
        <v>722</v>
      </c>
      <c r="I29" s="314">
        <v>7</v>
      </c>
      <c r="J29" s="318">
        <f t="shared" si="0"/>
        <v>2023</v>
      </c>
      <c r="K29" s="306"/>
      <c r="L29" s="306"/>
      <c r="M29" s="333">
        <f>252944.72+1040.27+634.55+938.14+239.14</f>
        <v>255796.82</v>
      </c>
      <c r="N29" s="333"/>
      <c r="O29" s="19">
        <f t="shared" si="1"/>
        <v>204637.45600000001</v>
      </c>
      <c r="P29" s="19">
        <f t="shared" si="2"/>
        <v>2436.1601904761906</v>
      </c>
      <c r="Q29" s="19">
        <f t="shared" si="3"/>
        <v>14616.961142857144</v>
      </c>
      <c r="R29" s="19"/>
      <c r="S29" s="19">
        <f t="shared" si="4"/>
        <v>14616.961142857144</v>
      </c>
      <c r="T29" s="19">
        <v>1</v>
      </c>
      <c r="U29" s="19">
        <f t="shared" si="5"/>
        <v>14616.961142857144</v>
      </c>
      <c r="V29" s="19"/>
      <c r="W29" s="19">
        <f t="shared" si="6"/>
        <v>0</v>
      </c>
      <c r="X29" s="19">
        <f t="shared" si="7"/>
        <v>0</v>
      </c>
      <c r="Y29" s="19">
        <v>1</v>
      </c>
      <c r="Z29" s="19">
        <f t="shared" si="8"/>
        <v>0</v>
      </c>
      <c r="AA29" s="19">
        <f t="shared" si="9"/>
        <v>14616.961142857144</v>
      </c>
      <c r="AB29" s="19">
        <f t="shared" si="10"/>
        <v>120589.92942857143</v>
      </c>
      <c r="AC29" s="310">
        <f t="shared" si="11"/>
        <v>2016</v>
      </c>
      <c r="AD29" s="310">
        <f t="shared" si="12"/>
        <v>2016.5</v>
      </c>
      <c r="AE29" s="310">
        <f t="shared" si="13"/>
        <v>2023</v>
      </c>
      <c r="AF29" s="310">
        <f t="shared" si="14"/>
        <v>2015.5</v>
      </c>
      <c r="AG29" s="310">
        <f t="shared" si="15"/>
        <v>-8.3333333333333329E-2</v>
      </c>
    </row>
    <row r="30" spans="1:33">
      <c r="A30" s="306"/>
      <c r="C30" s="331" t="s">
        <v>748</v>
      </c>
      <c r="D30" s="314">
        <v>2016</v>
      </c>
      <c r="E30" s="306">
        <v>6</v>
      </c>
      <c r="F30" s="332">
        <v>0</v>
      </c>
      <c r="G30" s="314"/>
      <c r="H30" s="314" t="s">
        <v>722</v>
      </c>
      <c r="I30" s="314">
        <v>5</v>
      </c>
      <c r="J30" s="318">
        <f t="shared" si="0"/>
        <v>2021</v>
      </c>
      <c r="K30" s="306"/>
      <c r="L30" s="306"/>
      <c r="M30" s="333">
        <v>2532.91</v>
      </c>
      <c r="N30" s="333"/>
      <c r="O30" s="19">
        <f t="shared" si="1"/>
        <v>2532.91</v>
      </c>
      <c r="P30" s="19">
        <f t="shared" si="2"/>
        <v>42.215166666666669</v>
      </c>
      <c r="Q30" s="19">
        <f t="shared" si="3"/>
        <v>42.215166666628271</v>
      </c>
      <c r="R30" s="19"/>
      <c r="S30" s="19">
        <f t="shared" si="4"/>
        <v>42.215166666628271</v>
      </c>
      <c r="T30" s="19">
        <v>1</v>
      </c>
      <c r="U30" s="19">
        <f t="shared" si="5"/>
        <v>42.215166666628271</v>
      </c>
      <c r="V30" s="19"/>
      <c r="W30" s="19">
        <f t="shared" si="6"/>
        <v>0</v>
      </c>
      <c r="X30" s="19">
        <f t="shared" si="7"/>
        <v>0</v>
      </c>
      <c r="Y30" s="19">
        <v>1</v>
      </c>
      <c r="Z30" s="19">
        <f t="shared" si="8"/>
        <v>0</v>
      </c>
      <c r="AA30" s="19">
        <f t="shared" si="9"/>
        <v>42.215166666628271</v>
      </c>
      <c r="AB30" s="19">
        <f t="shared" si="10"/>
        <v>1245.3474166666858</v>
      </c>
      <c r="AC30" s="310">
        <f t="shared" si="11"/>
        <v>2016.4166666666667</v>
      </c>
      <c r="AD30" s="310">
        <f t="shared" si="12"/>
        <v>2016.5</v>
      </c>
      <c r="AE30" s="310">
        <f t="shared" si="13"/>
        <v>2021.4166666666667</v>
      </c>
      <c r="AF30" s="310">
        <f t="shared" si="14"/>
        <v>2015.5</v>
      </c>
      <c r="AG30" s="310">
        <f t="shared" si="15"/>
        <v>-8.3333333333333329E-2</v>
      </c>
    </row>
    <row r="31" spans="1:33">
      <c r="A31" s="306"/>
      <c r="C31" s="331"/>
      <c r="D31" s="314"/>
      <c r="E31" s="306"/>
      <c r="F31" s="332"/>
      <c r="G31" s="314"/>
      <c r="H31" s="314"/>
      <c r="I31" s="314"/>
      <c r="J31" s="318"/>
      <c r="K31" s="306"/>
      <c r="L31" s="306"/>
      <c r="M31" s="333"/>
      <c r="N31" s="333"/>
      <c r="O31" s="19"/>
      <c r="P31" s="19"/>
      <c r="Q31" s="19"/>
      <c r="R31" s="19"/>
      <c r="S31" s="19"/>
      <c r="T31" s="19"/>
      <c r="U31" s="19"/>
      <c r="V31" s="19"/>
      <c r="W31" s="19"/>
      <c r="X31" s="19"/>
      <c r="Y31" s="19"/>
      <c r="Z31" s="19"/>
      <c r="AA31" s="19"/>
      <c r="AB31" s="19"/>
      <c r="AC31" s="310"/>
      <c r="AD31" s="310"/>
      <c r="AE31" s="310"/>
      <c r="AF31" s="310"/>
      <c r="AG31" s="310"/>
    </row>
    <row r="32" spans="1:33" s="334" customFormat="1">
      <c r="A32" s="335"/>
      <c r="B32" s="335"/>
      <c r="C32" s="336" t="s">
        <v>749</v>
      </c>
      <c r="D32" s="336"/>
      <c r="E32" s="336"/>
      <c r="F32" s="337"/>
      <c r="G32" s="336"/>
      <c r="H32" s="336"/>
      <c r="I32" s="336"/>
      <c r="J32" s="338"/>
      <c r="K32" s="336"/>
      <c r="L32" s="336"/>
      <c r="M32" s="339">
        <f>SUM(M12:M31)</f>
        <v>1819980.22</v>
      </c>
      <c r="N32" s="339"/>
      <c r="O32" s="339">
        <f>SUM(O12:O31)</f>
        <v>1439598.186</v>
      </c>
      <c r="P32" s="339">
        <f>SUM(P12:P31)</f>
        <v>18108.09634126984</v>
      </c>
      <c r="Q32" s="339">
        <f>SUM(Q12:Q31)</f>
        <v>128739.59202380397</v>
      </c>
      <c r="R32" s="339"/>
      <c r="S32" s="339">
        <f>SUM(S12:S31)</f>
        <v>128739.59202380397</v>
      </c>
      <c r="T32" s="339"/>
      <c r="U32" s="339">
        <f>SUM(U12:U31)</f>
        <v>128739.59202380397</v>
      </c>
      <c r="V32" s="339"/>
      <c r="W32" s="339">
        <f>SUM(W12:W31)</f>
        <v>716653.90707936452</v>
      </c>
      <c r="X32" s="339">
        <f>SUM(X12:X31)</f>
        <v>716653.90707936452</v>
      </c>
      <c r="Y32" s="339"/>
      <c r="Z32" s="339">
        <f>SUM(Z12:Z31)</f>
        <v>716653.90707936452</v>
      </c>
      <c r="AA32" s="339">
        <f>SUM(AA12:AA31)</f>
        <v>845393.49910316826</v>
      </c>
      <c r="AB32" s="339">
        <f>SUM(AB12:AB31)</f>
        <v>677408.99190873362</v>
      </c>
      <c r="AC32" s="335"/>
      <c r="AD32" s="335"/>
      <c r="AE32" s="335"/>
      <c r="AF32" s="335"/>
      <c r="AG32" s="335"/>
    </row>
    <row r="33" spans="1:33" s="334" customFormat="1">
      <c r="A33" s="335"/>
      <c r="B33" s="335"/>
      <c r="C33" s="335"/>
      <c r="D33" s="335"/>
      <c r="E33" s="335"/>
      <c r="F33" s="316"/>
      <c r="G33" s="335"/>
      <c r="H33" s="335"/>
      <c r="I33" s="335"/>
      <c r="J33" s="340"/>
      <c r="K33" s="335"/>
      <c r="L33" s="335"/>
      <c r="M33" s="29"/>
      <c r="N33" s="29"/>
      <c r="O33" s="29"/>
      <c r="P33" s="29"/>
      <c r="Q33" s="29"/>
      <c r="R33" s="29"/>
      <c r="S33" s="29"/>
      <c r="T33" s="29"/>
      <c r="U33" s="29"/>
      <c r="V33" s="29"/>
      <c r="W33" s="29"/>
      <c r="X33" s="29"/>
      <c r="Y33" s="29"/>
      <c r="Z33" s="29"/>
      <c r="AA33" s="29"/>
      <c r="AB33" s="29"/>
      <c r="AC33" s="335"/>
      <c r="AD33" s="335"/>
      <c r="AE33" s="335"/>
      <c r="AF33" s="335"/>
      <c r="AG33" s="335"/>
    </row>
    <row r="34" spans="1:33" s="334" customFormat="1">
      <c r="A34" s="335"/>
      <c r="B34" s="335"/>
      <c r="C34" s="335"/>
      <c r="D34" s="335"/>
      <c r="E34" s="335"/>
      <c r="F34" s="316"/>
      <c r="G34" s="335"/>
      <c r="H34" s="335"/>
      <c r="I34" s="335"/>
      <c r="J34" s="340"/>
      <c r="K34" s="335"/>
      <c r="L34" s="335"/>
      <c r="M34" s="29"/>
      <c r="N34" s="29"/>
      <c r="O34" s="29"/>
      <c r="P34" s="29"/>
      <c r="Q34" s="29"/>
      <c r="R34" s="29"/>
      <c r="S34" s="29"/>
      <c r="T34" s="29"/>
      <c r="U34" s="29"/>
      <c r="V34" s="29"/>
      <c r="W34" s="29"/>
      <c r="X34" s="29"/>
      <c r="Y34" s="29"/>
      <c r="Z34" s="29"/>
      <c r="AA34" s="29"/>
      <c r="AB34" s="29"/>
      <c r="AC34" s="335"/>
      <c r="AD34" s="335"/>
      <c r="AE34" s="335"/>
      <c r="AF34" s="335"/>
      <c r="AG34" s="335"/>
    </row>
    <row r="35" spans="1:33">
      <c r="A35" s="335"/>
      <c r="C35" s="319" t="s">
        <v>751</v>
      </c>
      <c r="D35" s="306"/>
      <c r="E35" s="306"/>
      <c r="F35" s="314"/>
      <c r="G35" s="306"/>
      <c r="H35" s="306"/>
      <c r="I35" s="306"/>
      <c r="J35" s="308"/>
      <c r="K35" s="306"/>
      <c r="L35" s="306"/>
      <c r="M35" s="21"/>
      <c r="N35" s="21"/>
      <c r="O35" s="21"/>
      <c r="P35" s="21"/>
      <c r="Q35" s="21"/>
      <c r="R35" s="21"/>
      <c r="S35" s="21"/>
      <c r="T35" s="21"/>
      <c r="U35" s="21"/>
      <c r="V35" s="21"/>
      <c r="W35" s="21"/>
      <c r="X35" s="21"/>
      <c r="Y35" s="21"/>
      <c r="Z35" s="21"/>
      <c r="AA35" s="21"/>
      <c r="AB35" s="21"/>
      <c r="AC35" s="306"/>
      <c r="AD35" s="306"/>
      <c r="AE35" s="306"/>
      <c r="AF35" s="306"/>
      <c r="AG35" s="306"/>
    </row>
    <row r="36" spans="1:33">
      <c r="A36" s="306">
        <v>7</v>
      </c>
      <c r="B36" s="306" t="s">
        <v>652</v>
      </c>
      <c r="C36" s="346" t="s">
        <v>752</v>
      </c>
      <c r="D36" s="314">
        <v>1987</v>
      </c>
      <c r="E36" s="306">
        <v>9</v>
      </c>
      <c r="F36" s="332">
        <v>0.2</v>
      </c>
      <c r="G36" s="314"/>
      <c r="H36" s="314" t="s">
        <v>722</v>
      </c>
      <c r="I36" s="314">
        <v>7</v>
      </c>
      <c r="J36" s="318">
        <f t="shared" ref="J36:J45" si="18">D36+I36</f>
        <v>1994</v>
      </c>
      <c r="K36" s="306"/>
      <c r="L36" s="306"/>
      <c r="M36" s="333">
        <v>46628.86</v>
      </c>
      <c r="N36" s="333">
        <v>0</v>
      </c>
      <c r="O36" s="19">
        <f t="shared" ref="O36:O45" si="19">M36-M36*F36</f>
        <v>37303.088000000003</v>
      </c>
      <c r="P36" s="19">
        <f t="shared" ref="P36:P45" si="20">O36/I36/12</f>
        <v>444.08438095238103</v>
      </c>
      <c r="Q36" s="19">
        <f t="shared" ref="Q36:Q45" si="21">IF(N36&gt;0,0,IF(OR(AC36&gt;AD36,AE36&lt;AF36),0,IF(AND(AE36&gt;=AF36,AE36&lt;=AD36),P36*((AE36-AF36)*12),IF(AND(AF36&lt;=AC36,AD36&gt;=AC36),((AD36-AC36)*12)*P36,IF(AE36&gt;AD36,12*P36,0)))))</f>
        <v>0</v>
      </c>
      <c r="R36" s="19"/>
      <c r="S36" s="19">
        <f t="shared" ref="S36:S45" si="22">IF(R36&gt;0,R36,Q36)</f>
        <v>0</v>
      </c>
      <c r="T36" s="19">
        <v>1</v>
      </c>
      <c r="U36" s="19">
        <f t="shared" ref="U36:U45" si="23">T36*SUM(Q36:R36)</f>
        <v>0</v>
      </c>
      <c r="V36" s="19"/>
      <c r="W36" s="19">
        <f t="shared" ref="W36:W45" si="24">IF(AC36&gt;AD36,0,IF(AE36&lt;AF36,O36,IF(AND(AE36&gt;=AF36,AE36&lt;=AD36),(O36-S36),IF(AND(AF36&lt;=AC36,AD36&gt;=AC36),0,IF(AE36&gt;AD36,((AF36-AC36)*12)*P36,0)))))</f>
        <v>37303.088000000003</v>
      </c>
      <c r="X36" s="19">
        <f t="shared" ref="X36:X45" si="25">W36*T36</f>
        <v>37303.088000000003</v>
      </c>
      <c r="Y36" s="19">
        <v>1</v>
      </c>
      <c r="Z36" s="19">
        <f t="shared" ref="Z36:Z45" si="26">X36*Y36</f>
        <v>37303.088000000003</v>
      </c>
      <c r="AA36" s="19">
        <f t="shared" ref="AA36:AA45" si="27">IF(N36&gt;0,0,Z36+U36*Y36)*Y36</f>
        <v>37303.088000000003</v>
      </c>
      <c r="AB36" s="19">
        <f t="shared" ref="AB36:AB45" si="28">IF(N36&gt;0,(M36-Z36)/2,IF(AC36&gt;=AF36,(((M36*T36)*Y36)-AA36)/2,((((M36*T36)*Y36)-Z36)+(((M36*T36)*Y36)-AA36))/2))</f>
        <v>9325.7719999999972</v>
      </c>
      <c r="AC36" s="310">
        <f t="shared" ref="AC36:AC45" si="29">$D36+(($E36-1)/12)</f>
        <v>1987.6666666666667</v>
      </c>
      <c r="AD36" s="310">
        <f t="shared" ref="AD36:AD45" si="30">($O$5+1)-($O$2/12)</f>
        <v>2016.5</v>
      </c>
      <c r="AE36" s="310">
        <f t="shared" ref="AE36:AE45" si="31">$J36+(($E36-1)/12)</f>
        <v>1994.6666666666667</v>
      </c>
      <c r="AF36" s="310">
        <f t="shared" ref="AF36:AF45" si="32">$O$4+($O$3/12)</f>
        <v>2015.5</v>
      </c>
      <c r="AG36" s="310">
        <f t="shared" ref="AG36:AG45" si="33">$K36+(($L36-1)/12)</f>
        <v>-8.3333333333333329E-2</v>
      </c>
    </row>
    <row r="37" spans="1:33" s="306" customFormat="1">
      <c r="A37" s="306">
        <v>7</v>
      </c>
      <c r="B37" s="306" t="s">
        <v>652</v>
      </c>
      <c r="C37" s="331" t="s">
        <v>753</v>
      </c>
      <c r="D37" s="314">
        <v>1987</v>
      </c>
      <c r="E37" s="306">
        <v>9</v>
      </c>
      <c r="F37" s="332">
        <v>0.2</v>
      </c>
      <c r="G37" s="314"/>
      <c r="H37" s="314" t="s">
        <v>722</v>
      </c>
      <c r="I37" s="314">
        <v>7</v>
      </c>
      <c r="J37" s="318">
        <f t="shared" si="18"/>
        <v>1994</v>
      </c>
      <c r="M37" s="347">
        <v>35039.31</v>
      </c>
      <c r="N37" s="333">
        <v>0</v>
      </c>
      <c r="O37" s="19">
        <f t="shared" si="19"/>
        <v>28031.447999999997</v>
      </c>
      <c r="P37" s="19">
        <f t="shared" si="20"/>
        <v>333.70771428571425</v>
      </c>
      <c r="Q37" s="19">
        <f t="shared" si="21"/>
        <v>0</v>
      </c>
      <c r="R37" s="19"/>
      <c r="S37" s="19">
        <f t="shared" si="22"/>
        <v>0</v>
      </c>
      <c r="T37" s="19">
        <v>1</v>
      </c>
      <c r="U37" s="19">
        <f t="shared" si="23"/>
        <v>0</v>
      </c>
      <c r="V37" s="19"/>
      <c r="W37" s="19">
        <f t="shared" si="24"/>
        <v>28031.447999999997</v>
      </c>
      <c r="X37" s="19">
        <f t="shared" si="25"/>
        <v>28031.447999999997</v>
      </c>
      <c r="Y37" s="19">
        <v>1</v>
      </c>
      <c r="Z37" s="19">
        <f t="shared" si="26"/>
        <v>28031.447999999997</v>
      </c>
      <c r="AA37" s="19">
        <f t="shared" si="27"/>
        <v>28031.447999999997</v>
      </c>
      <c r="AB37" s="19">
        <f t="shared" si="28"/>
        <v>7007.862000000001</v>
      </c>
      <c r="AC37" s="310">
        <f t="shared" si="29"/>
        <v>1987.6666666666667</v>
      </c>
      <c r="AD37" s="310">
        <f t="shared" si="30"/>
        <v>2016.5</v>
      </c>
      <c r="AE37" s="310">
        <f t="shared" si="31"/>
        <v>1994.6666666666667</v>
      </c>
      <c r="AF37" s="310">
        <f t="shared" si="32"/>
        <v>2015.5</v>
      </c>
      <c r="AG37" s="310">
        <f t="shared" si="33"/>
        <v>-8.3333333333333329E-2</v>
      </c>
    </row>
    <row r="38" spans="1:33">
      <c r="A38" s="306">
        <v>7</v>
      </c>
      <c r="B38" s="306" t="s">
        <v>652</v>
      </c>
      <c r="C38" s="331" t="s">
        <v>754</v>
      </c>
      <c r="D38" s="314">
        <v>1995</v>
      </c>
      <c r="E38" s="306">
        <v>11</v>
      </c>
      <c r="F38" s="332">
        <v>0.33</v>
      </c>
      <c r="G38" s="314"/>
      <c r="H38" s="314" t="s">
        <v>722</v>
      </c>
      <c r="I38" s="314">
        <v>7</v>
      </c>
      <c r="J38" s="318">
        <f t="shared" si="18"/>
        <v>2002</v>
      </c>
      <c r="K38" s="306"/>
      <c r="L38" s="306"/>
      <c r="M38" s="333">
        <v>4510.1099999999997</v>
      </c>
      <c r="N38" s="333">
        <v>0</v>
      </c>
      <c r="O38" s="19">
        <f t="shared" si="19"/>
        <v>3021.7736999999997</v>
      </c>
      <c r="P38" s="19">
        <f t="shared" si="20"/>
        <v>35.97349642857143</v>
      </c>
      <c r="Q38" s="19">
        <f t="shared" si="21"/>
        <v>0</v>
      </c>
      <c r="R38" s="19"/>
      <c r="S38" s="19">
        <f t="shared" si="22"/>
        <v>0</v>
      </c>
      <c r="T38" s="19">
        <v>1</v>
      </c>
      <c r="U38" s="19">
        <f t="shared" si="23"/>
        <v>0</v>
      </c>
      <c r="V38" s="19"/>
      <c r="W38" s="19">
        <f t="shared" si="24"/>
        <v>3021.7736999999997</v>
      </c>
      <c r="X38" s="19">
        <f t="shared" si="25"/>
        <v>3021.7736999999997</v>
      </c>
      <c r="Y38" s="19">
        <v>1</v>
      </c>
      <c r="Z38" s="19">
        <f t="shared" si="26"/>
        <v>3021.7736999999997</v>
      </c>
      <c r="AA38" s="19">
        <f t="shared" si="27"/>
        <v>3021.7736999999997</v>
      </c>
      <c r="AB38" s="19">
        <f t="shared" si="28"/>
        <v>1488.3362999999999</v>
      </c>
      <c r="AC38" s="310">
        <f t="shared" si="29"/>
        <v>1995.8333333333333</v>
      </c>
      <c r="AD38" s="310">
        <f t="shared" si="30"/>
        <v>2016.5</v>
      </c>
      <c r="AE38" s="310">
        <f t="shared" si="31"/>
        <v>2002.8333333333333</v>
      </c>
      <c r="AF38" s="310">
        <f t="shared" si="32"/>
        <v>2015.5</v>
      </c>
      <c r="AG38" s="310">
        <f t="shared" si="33"/>
        <v>-8.3333333333333329E-2</v>
      </c>
    </row>
    <row r="39" spans="1:33">
      <c r="A39" s="306">
        <v>33</v>
      </c>
      <c r="B39" s="306" t="s">
        <v>652</v>
      </c>
      <c r="C39" s="331" t="s">
        <v>755</v>
      </c>
      <c r="D39" s="314">
        <v>1999</v>
      </c>
      <c r="E39" s="306">
        <v>7</v>
      </c>
      <c r="F39" s="332">
        <v>0.2</v>
      </c>
      <c r="G39" s="314"/>
      <c r="H39" s="314" t="s">
        <v>722</v>
      </c>
      <c r="I39" s="314">
        <v>7</v>
      </c>
      <c r="J39" s="318">
        <f t="shared" si="18"/>
        <v>2006</v>
      </c>
      <c r="K39" s="306"/>
      <c r="L39" s="306"/>
      <c r="M39" s="333">
        <v>12640</v>
      </c>
      <c r="N39" s="333">
        <v>0</v>
      </c>
      <c r="O39" s="19">
        <f t="shared" si="19"/>
        <v>10112</v>
      </c>
      <c r="P39" s="19">
        <f t="shared" si="20"/>
        <v>120.38095238095239</v>
      </c>
      <c r="Q39" s="19">
        <f t="shared" si="21"/>
        <v>0</v>
      </c>
      <c r="R39" s="19"/>
      <c r="S39" s="19">
        <f t="shared" si="22"/>
        <v>0</v>
      </c>
      <c r="T39" s="19">
        <v>1</v>
      </c>
      <c r="U39" s="19">
        <f t="shared" si="23"/>
        <v>0</v>
      </c>
      <c r="V39" s="19"/>
      <c r="W39" s="19">
        <f t="shared" si="24"/>
        <v>10112</v>
      </c>
      <c r="X39" s="19">
        <f t="shared" si="25"/>
        <v>10112</v>
      </c>
      <c r="Y39" s="19">
        <v>1</v>
      </c>
      <c r="Z39" s="19">
        <f t="shared" si="26"/>
        <v>10112</v>
      </c>
      <c r="AA39" s="19">
        <f t="shared" si="27"/>
        <v>10112</v>
      </c>
      <c r="AB39" s="19">
        <f t="shared" si="28"/>
        <v>2528</v>
      </c>
      <c r="AC39" s="310">
        <f t="shared" si="29"/>
        <v>1999.5</v>
      </c>
      <c r="AD39" s="310">
        <f t="shared" si="30"/>
        <v>2016.5</v>
      </c>
      <c r="AE39" s="310">
        <f t="shared" si="31"/>
        <v>2006.5</v>
      </c>
      <c r="AF39" s="310">
        <f t="shared" si="32"/>
        <v>2015.5</v>
      </c>
      <c r="AG39" s="310">
        <f t="shared" si="33"/>
        <v>-8.3333333333333329E-2</v>
      </c>
    </row>
    <row r="40" spans="1:33">
      <c r="A40" s="306">
        <v>33</v>
      </c>
      <c r="C40" s="331" t="s">
        <v>756</v>
      </c>
      <c r="D40" s="314">
        <v>1999</v>
      </c>
      <c r="E40" s="306">
        <v>10</v>
      </c>
      <c r="F40" s="332">
        <v>0</v>
      </c>
      <c r="G40" s="314"/>
      <c r="H40" s="314" t="s">
        <v>722</v>
      </c>
      <c r="I40" s="314">
        <v>7</v>
      </c>
      <c r="J40" s="318">
        <f t="shared" si="18"/>
        <v>2006</v>
      </c>
      <c r="K40" s="306"/>
      <c r="L40" s="306"/>
      <c r="M40" s="333">
        <v>7829.22</v>
      </c>
      <c r="N40" s="333">
        <v>0</v>
      </c>
      <c r="O40" s="19">
        <f t="shared" si="19"/>
        <v>7829.22</v>
      </c>
      <c r="P40" s="19">
        <f t="shared" si="20"/>
        <v>93.204999999999998</v>
      </c>
      <c r="Q40" s="19">
        <f t="shared" si="21"/>
        <v>0</v>
      </c>
      <c r="R40" s="19"/>
      <c r="S40" s="19">
        <f t="shared" si="22"/>
        <v>0</v>
      </c>
      <c r="T40" s="19">
        <v>1</v>
      </c>
      <c r="U40" s="19">
        <f t="shared" si="23"/>
        <v>0</v>
      </c>
      <c r="V40" s="19"/>
      <c r="W40" s="19">
        <f t="shared" si="24"/>
        <v>7829.22</v>
      </c>
      <c r="X40" s="19">
        <f t="shared" si="25"/>
        <v>7829.22</v>
      </c>
      <c r="Y40" s="19">
        <v>1</v>
      </c>
      <c r="Z40" s="19">
        <f t="shared" si="26"/>
        <v>7829.22</v>
      </c>
      <c r="AA40" s="19">
        <f t="shared" si="27"/>
        <v>7829.22</v>
      </c>
      <c r="AB40" s="19">
        <f t="shared" si="28"/>
        <v>0</v>
      </c>
      <c r="AC40" s="310">
        <f t="shared" si="29"/>
        <v>1999.75</v>
      </c>
      <c r="AD40" s="310">
        <f t="shared" si="30"/>
        <v>2016.5</v>
      </c>
      <c r="AE40" s="310">
        <f t="shared" si="31"/>
        <v>2006.75</v>
      </c>
      <c r="AF40" s="310">
        <f t="shared" si="32"/>
        <v>2015.5</v>
      </c>
      <c r="AG40" s="310">
        <f t="shared" si="33"/>
        <v>-8.3333333333333329E-2</v>
      </c>
    </row>
    <row r="41" spans="1:33">
      <c r="A41" s="306">
        <v>33</v>
      </c>
      <c r="C41" s="331" t="s">
        <v>757</v>
      </c>
      <c r="D41" s="314">
        <v>2000</v>
      </c>
      <c r="E41" s="306">
        <v>7</v>
      </c>
      <c r="F41" s="332">
        <v>0</v>
      </c>
      <c r="G41" s="314"/>
      <c r="H41" s="314" t="s">
        <v>722</v>
      </c>
      <c r="I41" s="314">
        <v>7</v>
      </c>
      <c r="J41" s="318">
        <f t="shared" si="18"/>
        <v>2007</v>
      </c>
      <c r="K41" s="306"/>
      <c r="L41" s="306"/>
      <c r="M41" s="333">
        <v>713.75</v>
      </c>
      <c r="N41" s="333">
        <v>0</v>
      </c>
      <c r="O41" s="19">
        <f t="shared" si="19"/>
        <v>713.75</v>
      </c>
      <c r="P41" s="19">
        <f t="shared" si="20"/>
        <v>8.4970238095238084</v>
      </c>
      <c r="Q41" s="19">
        <f t="shared" si="21"/>
        <v>0</v>
      </c>
      <c r="R41" s="19"/>
      <c r="S41" s="19">
        <f t="shared" si="22"/>
        <v>0</v>
      </c>
      <c r="T41" s="19">
        <v>1</v>
      </c>
      <c r="U41" s="19">
        <f t="shared" si="23"/>
        <v>0</v>
      </c>
      <c r="V41" s="19"/>
      <c r="W41" s="19">
        <f t="shared" si="24"/>
        <v>713.75</v>
      </c>
      <c r="X41" s="19">
        <f t="shared" si="25"/>
        <v>713.75</v>
      </c>
      <c r="Y41" s="19">
        <v>1</v>
      </c>
      <c r="Z41" s="19">
        <f t="shared" si="26"/>
        <v>713.75</v>
      </c>
      <c r="AA41" s="19">
        <f t="shared" si="27"/>
        <v>713.75</v>
      </c>
      <c r="AB41" s="19">
        <f t="shared" si="28"/>
        <v>0</v>
      </c>
      <c r="AC41" s="310">
        <f t="shared" si="29"/>
        <v>2000.5</v>
      </c>
      <c r="AD41" s="310">
        <f t="shared" si="30"/>
        <v>2016.5</v>
      </c>
      <c r="AE41" s="310">
        <f t="shared" si="31"/>
        <v>2007.5</v>
      </c>
      <c r="AF41" s="310">
        <f t="shared" si="32"/>
        <v>2015.5</v>
      </c>
      <c r="AG41" s="310">
        <f t="shared" si="33"/>
        <v>-8.3333333333333329E-2</v>
      </c>
    </row>
    <row r="42" spans="1:33">
      <c r="A42" s="306">
        <v>33</v>
      </c>
      <c r="B42" s="314" t="s">
        <v>721</v>
      </c>
      <c r="C42" s="331" t="s">
        <v>734</v>
      </c>
      <c r="D42" s="314">
        <v>2005</v>
      </c>
      <c r="E42" s="306">
        <v>1</v>
      </c>
      <c r="F42" s="332"/>
      <c r="G42" s="314"/>
      <c r="H42" s="314" t="s">
        <v>722</v>
      </c>
      <c r="I42" s="314">
        <v>3</v>
      </c>
      <c r="J42" s="318">
        <f t="shared" si="18"/>
        <v>2008</v>
      </c>
      <c r="K42" s="306"/>
      <c r="L42" s="306"/>
      <c r="M42" s="333">
        <v>5417</v>
      </c>
      <c r="N42" s="333">
        <v>0</v>
      </c>
      <c r="O42" s="19">
        <f t="shared" si="19"/>
        <v>5417</v>
      </c>
      <c r="P42" s="19">
        <f t="shared" si="20"/>
        <v>150.47222222222223</v>
      </c>
      <c r="Q42" s="19">
        <f t="shared" si="21"/>
        <v>0</v>
      </c>
      <c r="R42" s="19"/>
      <c r="S42" s="19">
        <f t="shared" si="22"/>
        <v>0</v>
      </c>
      <c r="T42" s="19">
        <v>1</v>
      </c>
      <c r="U42" s="19">
        <f t="shared" si="23"/>
        <v>0</v>
      </c>
      <c r="V42" s="19"/>
      <c r="W42" s="19">
        <f t="shared" si="24"/>
        <v>5417</v>
      </c>
      <c r="X42" s="19">
        <f t="shared" si="25"/>
        <v>5417</v>
      </c>
      <c r="Y42" s="19">
        <v>1</v>
      </c>
      <c r="Z42" s="19">
        <f t="shared" si="26"/>
        <v>5417</v>
      </c>
      <c r="AA42" s="19">
        <f t="shared" si="27"/>
        <v>5417</v>
      </c>
      <c r="AB42" s="19">
        <f t="shared" si="28"/>
        <v>0</v>
      </c>
      <c r="AC42" s="310">
        <f t="shared" si="29"/>
        <v>2005</v>
      </c>
      <c r="AD42" s="310">
        <f t="shared" si="30"/>
        <v>2016.5</v>
      </c>
      <c r="AE42" s="310">
        <f t="shared" si="31"/>
        <v>2008</v>
      </c>
      <c r="AF42" s="310">
        <f t="shared" si="32"/>
        <v>2015.5</v>
      </c>
      <c r="AG42" s="310">
        <f t="shared" si="33"/>
        <v>-8.3333333333333329E-2</v>
      </c>
    </row>
    <row r="43" spans="1:33">
      <c r="A43" s="306">
        <v>7</v>
      </c>
      <c r="C43" s="331" t="s">
        <v>758</v>
      </c>
      <c r="D43" s="314">
        <v>2011</v>
      </c>
      <c r="E43" s="306">
        <v>8</v>
      </c>
      <c r="F43" s="332"/>
      <c r="G43" s="314"/>
      <c r="H43" s="314" t="s">
        <v>722</v>
      </c>
      <c r="I43" s="314">
        <v>3</v>
      </c>
      <c r="J43" s="318">
        <f t="shared" si="18"/>
        <v>2014</v>
      </c>
      <c r="K43" s="306"/>
      <c r="L43" s="306"/>
      <c r="M43" s="333">
        <f>8036.08</f>
        <v>8036.08</v>
      </c>
      <c r="N43" s="333">
        <v>0</v>
      </c>
      <c r="O43" s="19">
        <f t="shared" si="19"/>
        <v>8036.08</v>
      </c>
      <c r="P43" s="19">
        <f t="shared" si="20"/>
        <v>223.22444444444443</v>
      </c>
      <c r="Q43" s="19">
        <f t="shared" si="21"/>
        <v>0</v>
      </c>
      <c r="R43" s="19"/>
      <c r="S43" s="19">
        <f t="shared" si="22"/>
        <v>0</v>
      </c>
      <c r="T43" s="19">
        <v>1</v>
      </c>
      <c r="U43" s="19">
        <f t="shared" si="23"/>
        <v>0</v>
      </c>
      <c r="V43" s="19"/>
      <c r="W43" s="19">
        <f t="shared" si="24"/>
        <v>8036.08</v>
      </c>
      <c r="X43" s="19">
        <f t="shared" si="25"/>
        <v>8036.08</v>
      </c>
      <c r="Y43" s="19">
        <v>1</v>
      </c>
      <c r="Z43" s="19">
        <f t="shared" si="26"/>
        <v>8036.08</v>
      </c>
      <c r="AA43" s="19">
        <f t="shared" si="27"/>
        <v>8036.08</v>
      </c>
      <c r="AB43" s="19">
        <f t="shared" si="28"/>
        <v>0</v>
      </c>
      <c r="AC43" s="310">
        <f t="shared" si="29"/>
        <v>2011.5833333333333</v>
      </c>
      <c r="AD43" s="310">
        <f t="shared" si="30"/>
        <v>2016.5</v>
      </c>
      <c r="AE43" s="310">
        <f t="shared" si="31"/>
        <v>2014.5833333333333</v>
      </c>
      <c r="AF43" s="310">
        <f t="shared" si="32"/>
        <v>2015.5</v>
      </c>
      <c r="AG43" s="310">
        <f t="shared" si="33"/>
        <v>-8.3333333333333329E-2</v>
      </c>
    </row>
    <row r="44" spans="1:33">
      <c r="A44" s="306"/>
      <c r="C44" s="331" t="s">
        <v>759</v>
      </c>
      <c r="D44" s="314">
        <v>2014</v>
      </c>
      <c r="E44" s="306">
        <v>10</v>
      </c>
      <c r="F44" s="332"/>
      <c r="G44" s="314"/>
      <c r="H44" s="314" t="s">
        <v>722</v>
      </c>
      <c r="I44" s="314">
        <v>5</v>
      </c>
      <c r="J44" s="318">
        <f t="shared" si="18"/>
        <v>2019</v>
      </c>
      <c r="K44" s="306"/>
      <c r="L44" s="306"/>
      <c r="M44" s="333">
        <v>3263.48</v>
      </c>
      <c r="N44" s="333">
        <v>0</v>
      </c>
      <c r="O44" s="19">
        <f t="shared" si="19"/>
        <v>3263.48</v>
      </c>
      <c r="P44" s="19">
        <f t="shared" si="20"/>
        <v>54.391333333333336</v>
      </c>
      <c r="Q44" s="19">
        <f t="shared" si="21"/>
        <v>652.69600000000003</v>
      </c>
      <c r="R44" s="19"/>
      <c r="S44" s="19">
        <f t="shared" si="22"/>
        <v>652.69600000000003</v>
      </c>
      <c r="T44" s="19">
        <v>1</v>
      </c>
      <c r="U44" s="19">
        <f t="shared" si="23"/>
        <v>652.69600000000003</v>
      </c>
      <c r="V44" s="19"/>
      <c r="W44" s="19">
        <f t="shared" si="24"/>
        <v>489.52200000000005</v>
      </c>
      <c r="X44" s="19">
        <f t="shared" si="25"/>
        <v>489.52200000000005</v>
      </c>
      <c r="Y44" s="19">
        <v>1</v>
      </c>
      <c r="Z44" s="19">
        <f t="shared" si="26"/>
        <v>489.52200000000005</v>
      </c>
      <c r="AA44" s="19">
        <f t="shared" si="27"/>
        <v>1142.2180000000001</v>
      </c>
      <c r="AB44" s="19">
        <f t="shared" si="28"/>
        <v>2447.6099999999997</v>
      </c>
      <c r="AC44" s="310">
        <f t="shared" si="29"/>
        <v>2014.75</v>
      </c>
      <c r="AD44" s="310">
        <f t="shared" si="30"/>
        <v>2016.5</v>
      </c>
      <c r="AE44" s="310">
        <f t="shared" si="31"/>
        <v>2019.75</v>
      </c>
      <c r="AF44" s="310">
        <f t="shared" si="32"/>
        <v>2015.5</v>
      </c>
      <c r="AG44" s="310">
        <f t="shared" si="33"/>
        <v>-8.3333333333333329E-2</v>
      </c>
    </row>
    <row r="45" spans="1:33">
      <c r="A45" s="306">
        <v>7</v>
      </c>
      <c r="C45" s="331" t="s">
        <v>760</v>
      </c>
      <c r="D45" s="314">
        <v>2016</v>
      </c>
      <c r="E45" s="306">
        <v>1</v>
      </c>
      <c r="F45" s="332">
        <v>0</v>
      </c>
      <c r="G45" s="314"/>
      <c r="H45" s="314" t="s">
        <v>722</v>
      </c>
      <c r="I45" s="314">
        <v>3</v>
      </c>
      <c r="J45" s="318">
        <f t="shared" si="18"/>
        <v>2019</v>
      </c>
      <c r="K45" s="306"/>
      <c r="L45" s="306"/>
      <c r="M45" s="333">
        <v>5325.68</v>
      </c>
      <c r="N45" s="333"/>
      <c r="O45" s="19">
        <f t="shared" si="19"/>
        <v>5325.68</v>
      </c>
      <c r="P45" s="19">
        <f t="shared" si="20"/>
        <v>147.93555555555557</v>
      </c>
      <c r="Q45" s="19">
        <f t="shared" si="21"/>
        <v>887.61333333333346</v>
      </c>
      <c r="R45" s="19"/>
      <c r="S45" s="19">
        <f t="shared" si="22"/>
        <v>887.61333333333346</v>
      </c>
      <c r="T45" s="19">
        <v>1</v>
      </c>
      <c r="U45" s="19">
        <f t="shared" si="23"/>
        <v>887.61333333333346</v>
      </c>
      <c r="V45" s="19"/>
      <c r="W45" s="19">
        <f t="shared" si="24"/>
        <v>0</v>
      </c>
      <c r="X45" s="19">
        <f t="shared" si="25"/>
        <v>0</v>
      </c>
      <c r="Y45" s="19">
        <v>1</v>
      </c>
      <c r="Z45" s="19">
        <f t="shared" si="26"/>
        <v>0</v>
      </c>
      <c r="AA45" s="19">
        <f t="shared" si="27"/>
        <v>887.61333333333346</v>
      </c>
      <c r="AB45" s="19">
        <f t="shared" si="28"/>
        <v>2219.0333333333333</v>
      </c>
      <c r="AC45" s="310">
        <f t="shared" si="29"/>
        <v>2016</v>
      </c>
      <c r="AD45" s="310">
        <f t="shared" si="30"/>
        <v>2016.5</v>
      </c>
      <c r="AE45" s="310">
        <f t="shared" si="31"/>
        <v>2019</v>
      </c>
      <c r="AF45" s="310">
        <f t="shared" si="32"/>
        <v>2015.5</v>
      </c>
      <c r="AG45" s="310">
        <f t="shared" si="33"/>
        <v>-8.3333333333333329E-2</v>
      </c>
    </row>
    <row r="46" spans="1:33" s="306" customFormat="1">
      <c r="C46" s="331"/>
      <c r="D46" s="314"/>
      <c r="F46" s="332"/>
      <c r="G46" s="314"/>
      <c r="H46" s="314"/>
      <c r="I46" s="314"/>
      <c r="J46" s="318"/>
      <c r="M46" s="333"/>
      <c r="N46" s="333"/>
      <c r="O46" s="19"/>
      <c r="P46" s="19"/>
      <c r="Q46" s="19"/>
      <c r="R46" s="19"/>
      <c r="S46" s="19"/>
      <c r="T46" s="19"/>
      <c r="U46" s="19"/>
      <c r="V46" s="19"/>
      <c r="W46" s="19"/>
      <c r="X46" s="19"/>
      <c r="Y46" s="19"/>
      <c r="Z46" s="19"/>
      <c r="AA46" s="19"/>
      <c r="AB46" s="19"/>
      <c r="AC46" s="310"/>
      <c r="AD46" s="310"/>
      <c r="AE46" s="310"/>
      <c r="AF46" s="310"/>
      <c r="AG46" s="310"/>
    </row>
    <row r="47" spans="1:33" s="306" customFormat="1">
      <c r="C47" s="341" t="s">
        <v>761</v>
      </c>
      <c r="D47" s="342"/>
      <c r="E47" s="343"/>
      <c r="F47" s="344"/>
      <c r="G47" s="342"/>
      <c r="H47" s="342"/>
      <c r="I47" s="342"/>
      <c r="J47" s="345"/>
      <c r="K47" s="343"/>
      <c r="L47" s="343"/>
      <c r="M47" s="339">
        <f>SUM(M36:M46)</f>
        <v>129403.48999999999</v>
      </c>
      <c r="N47" s="339"/>
      <c r="O47" s="339">
        <f t="shared" ref="O47:Q47" si="34">SUM(O36:O46)</f>
        <v>109053.5197</v>
      </c>
      <c r="P47" s="339">
        <f t="shared" si="34"/>
        <v>1611.8721234126983</v>
      </c>
      <c r="Q47" s="339">
        <f t="shared" si="34"/>
        <v>1540.3093333333336</v>
      </c>
      <c r="R47" s="339"/>
      <c r="S47" s="339">
        <f>SUM(S36:S46)</f>
        <v>1540.3093333333336</v>
      </c>
      <c r="T47" s="339"/>
      <c r="U47" s="339">
        <f>SUM(U36:U46)</f>
        <v>1540.3093333333336</v>
      </c>
      <c r="V47" s="339"/>
      <c r="W47" s="339">
        <f t="shared" ref="W47:X47" si="35">SUM(W36:W46)</f>
        <v>100953.8817</v>
      </c>
      <c r="X47" s="339">
        <f t="shared" si="35"/>
        <v>100953.8817</v>
      </c>
      <c r="Y47" s="339"/>
      <c r="Z47" s="339">
        <f t="shared" ref="Z47:AB47" si="36">SUM(Z36:Z46)</f>
        <v>100953.8817</v>
      </c>
      <c r="AA47" s="339">
        <f t="shared" si="36"/>
        <v>102494.19103333332</v>
      </c>
      <c r="AB47" s="339">
        <f t="shared" si="36"/>
        <v>25016.613633333331</v>
      </c>
      <c r="AC47" s="310"/>
      <c r="AD47" s="310"/>
      <c r="AE47" s="310"/>
      <c r="AF47" s="310"/>
      <c r="AG47" s="310"/>
    </row>
    <row r="48" spans="1:33">
      <c r="A48" s="306"/>
      <c r="C48" s="306"/>
      <c r="D48" s="306"/>
      <c r="E48" s="306"/>
      <c r="F48" s="314"/>
      <c r="G48" s="306"/>
      <c r="H48" s="306"/>
      <c r="I48" s="306"/>
      <c r="J48" s="308"/>
      <c r="K48" s="306"/>
      <c r="L48" s="306"/>
      <c r="M48" s="21"/>
      <c r="N48" s="21"/>
      <c r="O48" s="21"/>
      <c r="P48" s="21"/>
      <c r="Q48" s="21"/>
      <c r="R48" s="21"/>
      <c r="S48" s="21"/>
      <c r="T48" s="21"/>
      <c r="U48" s="21"/>
      <c r="V48" s="21"/>
      <c r="W48" s="21"/>
      <c r="X48" s="21"/>
      <c r="Y48" s="21"/>
      <c r="Z48" s="21"/>
      <c r="AA48" s="21"/>
      <c r="AB48" s="21"/>
      <c r="AC48" s="306"/>
      <c r="AD48" s="306"/>
      <c r="AE48" s="306"/>
      <c r="AF48" s="306"/>
      <c r="AG48" s="306"/>
    </row>
    <row r="49" spans="1:33" s="334" customFormat="1">
      <c r="A49" s="335"/>
      <c r="B49" s="335"/>
      <c r="C49" s="335"/>
      <c r="D49" s="335"/>
      <c r="E49" s="335"/>
      <c r="F49" s="316"/>
      <c r="G49" s="335"/>
      <c r="H49" s="335"/>
      <c r="I49" s="335"/>
      <c r="J49" s="340"/>
      <c r="K49" s="335"/>
      <c r="L49" s="335"/>
      <c r="M49" s="29"/>
      <c r="N49" s="29"/>
      <c r="O49" s="29"/>
      <c r="P49" s="29"/>
      <c r="Q49" s="29"/>
      <c r="R49" s="29"/>
      <c r="S49" s="29"/>
      <c r="T49" s="29"/>
      <c r="U49" s="29"/>
      <c r="V49" s="29"/>
      <c r="W49" s="29"/>
      <c r="X49" s="29"/>
      <c r="Y49" s="29"/>
      <c r="Z49" s="29"/>
      <c r="AA49" s="29"/>
      <c r="AB49" s="29"/>
      <c r="AC49" s="335"/>
      <c r="AD49" s="335"/>
      <c r="AE49" s="335"/>
      <c r="AF49" s="335"/>
      <c r="AG49" s="335"/>
    </row>
    <row r="50" spans="1:33">
      <c r="A50" s="335"/>
      <c r="C50" s="319" t="s">
        <v>432</v>
      </c>
      <c r="D50" s="306"/>
      <c r="E50" s="306"/>
      <c r="F50" s="314"/>
      <c r="G50" s="306"/>
      <c r="H50" s="306"/>
      <c r="I50" s="306"/>
      <c r="J50" s="308"/>
      <c r="K50" s="306"/>
      <c r="L50" s="306"/>
      <c r="M50" s="21"/>
      <c r="N50" s="21"/>
      <c r="O50" s="21"/>
      <c r="P50" s="21"/>
      <c r="Q50" s="21"/>
      <c r="R50" s="21"/>
      <c r="S50" s="21"/>
      <c r="T50" s="21"/>
      <c r="U50" s="21"/>
      <c r="V50" s="21"/>
      <c r="W50" s="21"/>
      <c r="X50" s="21"/>
      <c r="Y50" s="21"/>
      <c r="Z50" s="21"/>
      <c r="AA50" s="21"/>
      <c r="AB50" s="21"/>
      <c r="AC50" s="306"/>
      <c r="AD50" s="306"/>
      <c r="AE50" s="306"/>
      <c r="AF50" s="306"/>
      <c r="AG50" s="306"/>
    </row>
    <row r="51" spans="1:33">
      <c r="A51" s="306">
        <v>65</v>
      </c>
      <c r="B51" s="306" t="s">
        <v>728</v>
      </c>
      <c r="C51" s="331" t="s">
        <v>729</v>
      </c>
      <c r="D51" s="314">
        <v>2002</v>
      </c>
      <c r="E51" s="306">
        <v>6</v>
      </c>
      <c r="F51" s="332">
        <v>0.2</v>
      </c>
      <c r="G51" s="314"/>
      <c r="H51" s="314" t="s">
        <v>722</v>
      </c>
      <c r="I51" s="314">
        <v>7</v>
      </c>
      <c r="J51" s="318">
        <f>D51+I51</f>
        <v>2009</v>
      </c>
      <c r="K51" s="306"/>
      <c r="L51" s="306"/>
      <c r="M51" s="333">
        <v>55000</v>
      </c>
      <c r="N51" s="333">
        <v>0</v>
      </c>
      <c r="O51" s="19">
        <f>M51-M51*F51</f>
        <v>44000</v>
      </c>
      <c r="P51" s="19">
        <f>O51/I51/12</f>
        <v>523.80952380952374</v>
      </c>
      <c r="Q51" s="19">
        <f>IF(N51&gt;0,0,IF(OR(AC51&gt;AD51,AE51&lt;AF51),0,IF(AND(AE51&gt;=AF51,AE51&lt;=AD51),P51*((AE51-AF51)*12),IF(AND(AF51&lt;=AC51,AD51&gt;=AC51),((AD51-AC51)*12)*P51,IF(AE51&gt;AD51,12*P51,0)))))</f>
        <v>0</v>
      </c>
      <c r="R51" s="19"/>
      <c r="S51" s="19">
        <f>IF(R51&gt;0,R51,Q51)</f>
        <v>0</v>
      </c>
      <c r="T51" s="19">
        <v>1</v>
      </c>
      <c r="U51" s="19">
        <f>T51*SUM(Q51:R51)</f>
        <v>0</v>
      </c>
      <c r="V51" s="19"/>
      <c r="W51" s="19">
        <f>IF(AC51&gt;AD51,0,IF(AE51&lt;AF51,O51,IF(AND(AE51&gt;=AF51,AE51&lt;=AD51),(O51-S51),IF(AND(AF51&lt;=AC51,AD51&gt;=AC51),0,IF(AE51&gt;AD51,((AF51-AC51)*12)*P51,0)))))</f>
        <v>44000</v>
      </c>
      <c r="X51" s="19">
        <f>W51*T51</f>
        <v>44000</v>
      </c>
      <c r="Y51" s="19">
        <v>1</v>
      </c>
      <c r="Z51" s="19">
        <f>X51*Y51</f>
        <v>44000</v>
      </c>
      <c r="AA51" s="19">
        <f>IF(N51&gt;0,0,Z51+U51*Y51)*Y51</f>
        <v>44000</v>
      </c>
      <c r="AB51" s="19">
        <f>IF(N51&gt;0,(M51-Z51)/2,IF(AC51&gt;=AF51,(((M51*T51)*Y51)-AA51)/2,((((M51*T51)*Y51)-Z51)+(((M51*T51)*Y51)-AA51))/2))</f>
        <v>11000</v>
      </c>
      <c r="AC51" s="310">
        <f>$D51+(($E51-1)/12)</f>
        <v>2002.4166666666667</v>
      </c>
      <c r="AD51" s="310">
        <f t="shared" si="12"/>
        <v>2016.5</v>
      </c>
      <c r="AE51" s="310">
        <f>$J51+(($E51-1)/12)</f>
        <v>2009.4166666666667</v>
      </c>
      <c r="AF51" s="310">
        <f t="shared" si="14"/>
        <v>2015.5</v>
      </c>
      <c r="AG51" s="310">
        <f>$K51+(($L51-1)/12)</f>
        <v>-8.3333333333333329E-2</v>
      </c>
    </row>
    <row r="52" spans="1:33" s="306" customFormat="1">
      <c r="A52" s="306">
        <v>19</v>
      </c>
      <c r="B52" s="306" t="s">
        <v>762</v>
      </c>
      <c r="C52" s="331" t="s">
        <v>763</v>
      </c>
      <c r="D52" s="314">
        <v>2004</v>
      </c>
      <c r="E52" s="306">
        <v>3</v>
      </c>
      <c r="F52" s="332">
        <v>0.33</v>
      </c>
      <c r="G52" s="314"/>
      <c r="H52" s="314" t="s">
        <v>722</v>
      </c>
      <c r="I52" s="314">
        <v>7</v>
      </c>
      <c r="J52" s="318">
        <f>D52+I52</f>
        <v>2011</v>
      </c>
      <c r="M52" s="333">
        <f>40000+10608.49</f>
        <v>50608.49</v>
      </c>
      <c r="N52" s="333">
        <v>0</v>
      </c>
      <c r="O52" s="19">
        <f>M52-M52*F52</f>
        <v>33907.688299999994</v>
      </c>
      <c r="P52" s="19">
        <f>O52/I52/12</f>
        <v>403.66295595238086</v>
      </c>
      <c r="Q52" s="19">
        <f>IF(N52&gt;0,0,IF(OR(AC52&gt;AD52,AE52&lt;AF52),0,IF(AND(AE52&gt;=AF52,AE52&lt;=AD52),P52*((AE52-AF52)*12),IF(AND(AF52&lt;=AC52,AD52&gt;=AC52),((AD52-AC52)*12)*P52,IF(AE52&gt;AD52,12*P52,0)))))</f>
        <v>0</v>
      </c>
      <c r="R52" s="19"/>
      <c r="S52" s="19">
        <f>IF(R52&gt;0,R52,Q52)</f>
        <v>0</v>
      </c>
      <c r="T52" s="19">
        <v>1</v>
      </c>
      <c r="U52" s="19">
        <f>T52*SUM(Q52:R52)</f>
        <v>0</v>
      </c>
      <c r="V52" s="19"/>
      <c r="W52" s="19">
        <f>IF(AC52&gt;AD52,0,IF(AE52&lt;AF52,O52,IF(AND(AE52&gt;=AF52,AE52&lt;=AD52),(O52-S52),IF(AND(AF52&lt;=AC52,AD52&gt;=AC52),0,IF(AE52&gt;AD52,((AF52-AC52)*12)*P52,0)))))</f>
        <v>33907.688299999994</v>
      </c>
      <c r="X52" s="19">
        <f>W52*T52</f>
        <v>33907.688299999994</v>
      </c>
      <c r="Y52" s="19">
        <v>1</v>
      </c>
      <c r="Z52" s="19">
        <f>X52*Y52</f>
        <v>33907.688299999994</v>
      </c>
      <c r="AA52" s="19">
        <f>IF(N52&gt;0,0,Z52+U52*Y52)*Y52</f>
        <v>33907.688299999994</v>
      </c>
      <c r="AB52" s="19">
        <f>IF(N52&gt;0,(M52-Z52)/2,IF(AC52&gt;=AF52,(((M52*T52)*Y52)-AA52)/2,((((M52*T52)*Y52)-Z52)+(((M52*T52)*Y52)-AA52))/2))</f>
        <v>16700.801700000004</v>
      </c>
      <c r="AC52" s="310">
        <f>$D52+(($E52-1)/12)</f>
        <v>2004.1666666666667</v>
      </c>
      <c r="AD52" s="310">
        <f t="shared" ref="AD52" si="37">($O$5+1)-($O$2/12)</f>
        <v>2016.5</v>
      </c>
      <c r="AE52" s="310">
        <f>$J52+(($E52-1)/12)</f>
        <v>2011.1666666666667</v>
      </c>
      <c r="AF52" s="310">
        <f t="shared" ref="AF52" si="38">$O$4+($O$3/12)</f>
        <v>2015.5</v>
      </c>
      <c r="AG52" s="310">
        <f>$K52+(($L52-1)/12)</f>
        <v>-8.3333333333333329E-2</v>
      </c>
    </row>
    <row r="53" spans="1:33" s="306" customFormat="1">
      <c r="C53" s="331"/>
      <c r="D53" s="314"/>
      <c r="F53" s="332"/>
      <c r="G53" s="314"/>
      <c r="H53" s="314"/>
      <c r="I53" s="314"/>
      <c r="J53" s="318"/>
      <c r="M53" s="333"/>
      <c r="N53" s="333"/>
      <c r="O53" s="19"/>
      <c r="P53" s="19"/>
      <c r="Q53" s="19"/>
      <c r="R53" s="19"/>
      <c r="S53" s="19"/>
      <c r="T53" s="19"/>
      <c r="U53" s="19"/>
      <c r="V53" s="19"/>
      <c r="W53" s="19"/>
      <c r="X53" s="19"/>
      <c r="Y53" s="19"/>
      <c r="Z53" s="19"/>
      <c r="AA53" s="19"/>
      <c r="AB53" s="19"/>
      <c r="AC53" s="310"/>
      <c r="AD53" s="310"/>
      <c r="AE53" s="310"/>
      <c r="AF53" s="310"/>
      <c r="AG53" s="310"/>
    </row>
    <row r="54" spans="1:33" s="306" customFormat="1">
      <c r="C54" s="341" t="s">
        <v>764</v>
      </c>
      <c r="D54" s="342"/>
      <c r="E54" s="343"/>
      <c r="F54" s="344"/>
      <c r="G54" s="342"/>
      <c r="H54" s="342"/>
      <c r="I54" s="342"/>
      <c r="J54" s="345"/>
      <c r="K54" s="343"/>
      <c r="L54" s="343"/>
      <c r="M54" s="339">
        <f>SUM(M51:M53)</f>
        <v>105608.48999999999</v>
      </c>
      <c r="N54" s="339"/>
      <c r="O54" s="339">
        <f>SUM(O51:O53)</f>
        <v>77907.688299999994</v>
      </c>
      <c r="P54" s="339">
        <f t="shared" ref="P54:Q54" si="39">SUM(P51:P53)</f>
        <v>927.47247976190465</v>
      </c>
      <c r="Q54" s="339">
        <f t="shared" si="39"/>
        <v>0</v>
      </c>
      <c r="R54" s="339"/>
      <c r="S54" s="339">
        <f>SUM(S51:S53)</f>
        <v>0</v>
      </c>
      <c r="T54" s="339"/>
      <c r="U54" s="339">
        <f>SUM(U51:U53)</f>
        <v>0</v>
      </c>
      <c r="V54" s="339"/>
      <c r="W54" s="339">
        <f t="shared" ref="W54:X54" si="40">SUM(W51:W53)</f>
        <v>77907.688299999994</v>
      </c>
      <c r="X54" s="339">
        <f t="shared" si="40"/>
        <v>77907.688299999994</v>
      </c>
      <c r="Y54" s="339"/>
      <c r="Z54" s="339">
        <f t="shared" ref="Z54:AB54" si="41">SUM(Z51:Z53)</f>
        <v>77907.688299999994</v>
      </c>
      <c r="AA54" s="339">
        <f t="shared" si="41"/>
        <v>77907.688299999994</v>
      </c>
      <c r="AB54" s="339">
        <f t="shared" si="41"/>
        <v>27700.801700000004</v>
      </c>
      <c r="AC54" s="310"/>
      <c r="AD54" s="310"/>
      <c r="AE54" s="310"/>
      <c r="AF54" s="310"/>
      <c r="AG54" s="310"/>
    </row>
    <row r="55" spans="1:33">
      <c r="A55" s="306"/>
      <c r="C55" s="306"/>
      <c r="D55" s="306"/>
      <c r="E55" s="306"/>
      <c r="F55" s="314"/>
      <c r="G55" s="306"/>
      <c r="H55" s="306"/>
      <c r="I55" s="306"/>
      <c r="J55" s="308"/>
      <c r="K55" s="306"/>
      <c r="L55" s="306"/>
      <c r="M55" s="21"/>
      <c r="N55" s="21"/>
      <c r="O55" s="21"/>
      <c r="P55" s="21"/>
      <c r="Q55" s="21"/>
      <c r="R55" s="21"/>
      <c r="S55" s="21"/>
      <c r="T55" s="21"/>
      <c r="U55" s="21"/>
      <c r="V55" s="21"/>
      <c r="W55" s="21"/>
      <c r="X55" s="21"/>
      <c r="Y55" s="21"/>
      <c r="Z55" s="21"/>
      <c r="AA55" s="21"/>
      <c r="AB55" s="21"/>
      <c r="AC55" s="306"/>
      <c r="AD55" s="306"/>
      <c r="AE55" s="306"/>
      <c r="AF55" s="306"/>
      <c r="AG55" s="306"/>
    </row>
    <row r="56" spans="1:33">
      <c r="A56" s="335"/>
      <c r="C56" s="319" t="s">
        <v>512</v>
      </c>
      <c r="D56" s="306"/>
      <c r="E56" s="306"/>
      <c r="F56" s="314"/>
      <c r="G56" s="306"/>
      <c r="H56" s="306"/>
      <c r="I56" s="306"/>
      <c r="J56" s="308"/>
      <c r="K56" s="306"/>
      <c r="L56" s="306"/>
      <c r="M56" s="21"/>
      <c r="N56" s="21"/>
      <c r="O56" s="21"/>
      <c r="P56" s="21"/>
      <c r="Q56" s="21"/>
      <c r="R56" s="21"/>
      <c r="S56" s="21"/>
      <c r="T56" s="21"/>
      <c r="U56" s="21"/>
      <c r="V56" s="21"/>
      <c r="W56" s="21"/>
      <c r="X56" s="21"/>
      <c r="Y56" s="21"/>
      <c r="Z56" s="21"/>
      <c r="AA56" s="21"/>
      <c r="AB56" s="21"/>
      <c r="AC56" s="306"/>
      <c r="AD56" s="306"/>
      <c r="AE56" s="306"/>
      <c r="AF56" s="306"/>
      <c r="AG56" s="306"/>
    </row>
    <row r="57" spans="1:33">
      <c r="A57" s="306">
        <v>25</v>
      </c>
      <c r="B57" s="306" t="s">
        <v>233</v>
      </c>
      <c r="C57" s="331" t="s">
        <v>765</v>
      </c>
      <c r="D57" s="314">
        <v>1996</v>
      </c>
      <c r="E57" s="306">
        <v>11</v>
      </c>
      <c r="F57" s="332">
        <v>0.2</v>
      </c>
      <c r="G57" s="314"/>
      <c r="H57" s="314" t="s">
        <v>722</v>
      </c>
      <c r="I57" s="314">
        <v>7</v>
      </c>
      <c r="J57" s="318">
        <f>D57+I57</f>
        <v>2003</v>
      </c>
      <c r="K57" s="306"/>
      <c r="L57" s="306"/>
      <c r="M57" s="333">
        <v>42000</v>
      </c>
      <c r="N57" s="333">
        <v>0</v>
      </c>
      <c r="O57" s="19">
        <f>M57-M57*F57</f>
        <v>33600</v>
      </c>
      <c r="P57" s="19">
        <f>O57/I57/12</f>
        <v>400</v>
      </c>
      <c r="Q57" s="19">
        <f>IF(N57&gt;0,0,IF(OR(AC57&gt;AD57,AE57&lt;AF57),0,IF(AND(AE57&gt;=AF57,AE57&lt;=AD57),P57*((AE57-AF57)*12),IF(AND(AF57&lt;=AC57,AD57&gt;=AC57),((AD57-AC57)*12)*P57,IF(AE57&gt;AD57,12*P57,0)))))</f>
        <v>0</v>
      </c>
      <c r="R57" s="19"/>
      <c r="S57" s="19">
        <f>IF(R57&gt;0,R57,Q57)</f>
        <v>0</v>
      </c>
      <c r="T57" s="19">
        <v>1</v>
      </c>
      <c r="U57" s="19">
        <f>T57*SUM(Q57:R57)</f>
        <v>0</v>
      </c>
      <c r="V57" s="19"/>
      <c r="W57" s="19">
        <f>IF(AC57&gt;AD57,0,IF(AE57&lt;AF57,O57,IF(AND(AE57&gt;=AF57,AE57&lt;=AD57),(O57-S57),IF(AND(AF57&lt;=AC57,AD57&gt;=AC57),0,IF(AE57&gt;AD57,((AF57-AC57)*12)*P57,0)))))</f>
        <v>33600</v>
      </c>
      <c r="X57" s="19">
        <f>W57*T57</f>
        <v>33600</v>
      </c>
      <c r="Y57" s="19">
        <v>1</v>
      </c>
      <c r="Z57" s="19">
        <f>X57*Y57</f>
        <v>33600</v>
      </c>
      <c r="AA57" s="19">
        <f>IF(N57&gt;0,0,Z57+U57*Y57)*Y57</f>
        <v>33600</v>
      </c>
      <c r="AB57" s="19">
        <f>IF(N57&gt;0,(M57-Z57)/2,IF(AC57&gt;=AF57,(((M57*T57)*Y57)-AA57)/2,((((M57*T57)*Y57)-Z57)+(((M57*T57)*Y57)-AA57))/2))</f>
        <v>8400</v>
      </c>
      <c r="AC57" s="310">
        <f>$D57+(($E57-1)/12)</f>
        <v>1996.8333333333333</v>
      </c>
      <c r="AD57" s="310">
        <f>($O$5+1)-($O$2/12)</f>
        <v>2016.5</v>
      </c>
      <c r="AE57" s="310">
        <f>$J57+(($E57-1)/12)</f>
        <v>2003.8333333333333</v>
      </c>
      <c r="AF57" s="310">
        <f>$O$4+($O$3/12)</f>
        <v>2015.5</v>
      </c>
      <c r="AG57" s="310">
        <f>$K57+(($L57-1)/12)</f>
        <v>-8.3333333333333329E-2</v>
      </c>
    </row>
    <row r="58" spans="1:33" s="306" customFormat="1">
      <c r="C58" s="331"/>
      <c r="D58" s="314"/>
      <c r="F58" s="332"/>
      <c r="G58" s="314"/>
      <c r="H58" s="314"/>
      <c r="I58" s="314"/>
      <c r="J58" s="318"/>
      <c r="M58" s="333"/>
      <c r="N58" s="333"/>
      <c r="O58" s="19"/>
      <c r="P58" s="19"/>
      <c r="Q58" s="19"/>
      <c r="R58" s="19"/>
      <c r="S58" s="19"/>
      <c r="T58" s="19"/>
      <c r="U58" s="19"/>
      <c r="V58" s="19"/>
      <c r="W58" s="19"/>
      <c r="X58" s="19"/>
      <c r="Y58" s="19"/>
      <c r="Z58" s="19"/>
      <c r="AA58" s="19"/>
      <c r="AB58" s="19"/>
      <c r="AC58" s="310"/>
      <c r="AD58" s="310"/>
      <c r="AE58" s="310"/>
      <c r="AF58" s="310"/>
      <c r="AG58" s="310"/>
    </row>
    <row r="59" spans="1:33" s="306" customFormat="1">
      <c r="C59" s="341" t="s">
        <v>766</v>
      </c>
      <c r="D59" s="342"/>
      <c r="E59" s="343"/>
      <c r="F59" s="344"/>
      <c r="G59" s="342"/>
      <c r="H59" s="342"/>
      <c r="I59" s="342"/>
      <c r="J59" s="345"/>
      <c r="K59" s="343"/>
      <c r="L59" s="343"/>
      <c r="M59" s="339">
        <f>SUM(M57:M58)</f>
        <v>42000</v>
      </c>
      <c r="N59" s="339"/>
      <c r="O59" s="339">
        <f t="shared" ref="O59:Q59" si="42">SUM(O57:O58)</f>
        <v>33600</v>
      </c>
      <c r="P59" s="339">
        <f t="shared" si="42"/>
        <v>400</v>
      </c>
      <c r="Q59" s="339">
        <f t="shared" si="42"/>
        <v>0</v>
      </c>
      <c r="R59" s="339"/>
      <c r="S59" s="339">
        <f>SUM(S57:S58)</f>
        <v>0</v>
      </c>
      <c r="T59" s="339"/>
      <c r="U59" s="339">
        <f>SUM(U57:U58)</f>
        <v>0</v>
      </c>
      <c r="V59" s="339"/>
      <c r="W59" s="339">
        <f t="shared" ref="W59:X59" si="43">SUM(W57:W58)</f>
        <v>33600</v>
      </c>
      <c r="X59" s="339">
        <f t="shared" si="43"/>
        <v>33600</v>
      </c>
      <c r="Y59" s="339"/>
      <c r="Z59" s="339">
        <f t="shared" ref="Z59:AB59" si="44">SUM(Z57:Z58)</f>
        <v>33600</v>
      </c>
      <c r="AA59" s="339">
        <f t="shared" si="44"/>
        <v>33600</v>
      </c>
      <c r="AB59" s="339">
        <f t="shared" si="44"/>
        <v>8400</v>
      </c>
      <c r="AC59" s="310"/>
      <c r="AD59" s="310"/>
      <c r="AE59" s="310"/>
      <c r="AF59" s="310"/>
      <c r="AG59" s="310"/>
    </row>
    <row r="60" spans="1:33">
      <c r="A60" s="306"/>
      <c r="C60" s="306"/>
      <c r="D60" s="306"/>
      <c r="E60" s="306"/>
      <c r="F60" s="314"/>
      <c r="G60" s="306"/>
      <c r="H60" s="306"/>
      <c r="I60" s="306"/>
      <c r="J60" s="308"/>
      <c r="K60" s="306"/>
      <c r="L60" s="306"/>
      <c r="M60" s="21"/>
      <c r="N60" s="21"/>
      <c r="O60" s="21"/>
      <c r="P60" s="21"/>
      <c r="Q60" s="21"/>
      <c r="R60" s="21"/>
      <c r="S60" s="21"/>
      <c r="T60" s="21"/>
      <c r="U60" s="21"/>
      <c r="V60" s="21"/>
      <c r="W60" s="21"/>
      <c r="X60" s="21"/>
      <c r="Y60" s="21"/>
      <c r="Z60" s="21"/>
      <c r="AA60" s="21"/>
      <c r="AB60" s="21"/>
      <c r="AC60" s="306"/>
      <c r="AD60" s="306"/>
      <c r="AE60" s="306"/>
      <c r="AF60" s="306"/>
      <c r="AG60" s="306"/>
    </row>
    <row r="61" spans="1:33" s="334" customFormat="1" ht="12" thickBot="1">
      <c r="A61" s="335"/>
      <c r="B61" s="335"/>
      <c r="C61" s="348" t="s">
        <v>767</v>
      </c>
      <c r="D61" s="348"/>
      <c r="E61" s="348"/>
      <c r="F61" s="349"/>
      <c r="G61" s="348"/>
      <c r="H61" s="348"/>
      <c r="I61" s="348"/>
      <c r="J61" s="350"/>
      <c r="K61" s="348"/>
      <c r="L61" s="348"/>
      <c r="M61" s="351">
        <f>M59+M54+M47+M32</f>
        <v>2096992.2</v>
      </c>
      <c r="N61" s="351"/>
      <c r="O61" s="351">
        <f t="shared" ref="O61:Q61" si="45">O59+O54+O47+O32</f>
        <v>1660159.3939999999</v>
      </c>
      <c r="P61" s="351">
        <f t="shared" si="45"/>
        <v>21047.440944444443</v>
      </c>
      <c r="Q61" s="351">
        <f t="shared" si="45"/>
        <v>130279.90135713731</v>
      </c>
      <c r="R61" s="351"/>
      <c r="S61" s="351">
        <f>S59+S54+S47+S32</f>
        <v>130279.90135713731</v>
      </c>
      <c r="T61" s="351"/>
      <c r="U61" s="351">
        <f>U59+U54+U47+U32</f>
        <v>130279.90135713731</v>
      </c>
      <c r="V61" s="351"/>
      <c r="W61" s="351">
        <f t="shared" ref="W61:X61" si="46">W59+W54+W47+W32</f>
        <v>929115.47707936447</v>
      </c>
      <c r="X61" s="351">
        <f t="shared" si="46"/>
        <v>929115.47707936447</v>
      </c>
      <c r="Y61" s="351"/>
      <c r="Z61" s="351">
        <f t="shared" ref="Z61:AB61" si="47">Z59+Z54+Z47+Z32</f>
        <v>929115.47707936447</v>
      </c>
      <c r="AA61" s="351">
        <f t="shared" si="47"/>
        <v>1059395.3784365016</v>
      </c>
      <c r="AB61" s="351">
        <f t="shared" si="47"/>
        <v>738526.40724206693</v>
      </c>
      <c r="AC61" s="335"/>
      <c r="AD61" s="335"/>
      <c r="AE61" s="335"/>
      <c r="AF61" s="335"/>
      <c r="AG61" s="335"/>
    </row>
    <row r="62" spans="1:33">
      <c r="A62" s="306"/>
      <c r="C62" s="306"/>
      <c r="D62" s="306"/>
      <c r="E62" s="306"/>
      <c r="F62" s="314"/>
      <c r="G62" s="306"/>
      <c r="H62" s="306"/>
      <c r="I62" s="306"/>
      <c r="J62" s="308"/>
      <c r="K62" s="306"/>
      <c r="L62" s="306"/>
      <c r="M62" s="21"/>
      <c r="N62" s="21"/>
      <c r="O62" s="21"/>
      <c r="P62" s="21"/>
      <c r="Q62" s="21"/>
      <c r="R62" s="21"/>
      <c r="S62" s="21"/>
      <c r="T62" s="21"/>
      <c r="U62" s="21"/>
      <c r="V62" s="21"/>
      <c r="W62" s="21"/>
      <c r="X62" s="21"/>
      <c r="Y62" s="21"/>
      <c r="Z62" s="21"/>
      <c r="AA62" s="21"/>
      <c r="AB62" s="21"/>
      <c r="AC62" s="306"/>
      <c r="AD62" s="306"/>
      <c r="AE62" s="306"/>
      <c r="AF62" s="306"/>
      <c r="AG62" s="306"/>
    </row>
    <row r="63" spans="1:33">
      <c r="A63" s="306"/>
      <c r="C63" s="319" t="s">
        <v>768</v>
      </c>
      <c r="D63" s="314"/>
      <c r="E63" s="306"/>
      <c r="F63" s="306"/>
      <c r="G63" s="306"/>
      <c r="H63" s="306"/>
      <c r="I63" s="314"/>
      <c r="J63" s="308"/>
      <c r="K63" s="327"/>
      <c r="L63" s="306"/>
      <c r="M63" s="21"/>
      <c r="N63" s="21"/>
      <c r="O63" s="21"/>
      <c r="P63" s="21"/>
      <c r="Q63" s="21"/>
      <c r="R63" s="21"/>
      <c r="S63" s="21"/>
      <c r="T63" s="21"/>
      <c r="U63" s="21"/>
      <c r="V63" s="21"/>
      <c r="W63" s="21"/>
      <c r="X63" s="21"/>
      <c r="Y63" s="21"/>
      <c r="Z63" s="21"/>
      <c r="AA63" s="21"/>
      <c r="AB63" s="21"/>
      <c r="AC63" s="306"/>
      <c r="AD63" s="306"/>
      <c r="AE63" s="306"/>
      <c r="AF63" s="306"/>
      <c r="AG63" s="306"/>
    </row>
    <row r="64" spans="1:33">
      <c r="A64" s="306"/>
      <c r="B64" s="306">
        <v>10</v>
      </c>
      <c r="C64" s="331" t="s">
        <v>769</v>
      </c>
      <c r="D64" s="314">
        <v>1981</v>
      </c>
      <c r="E64" s="306">
        <v>9</v>
      </c>
      <c r="F64" s="352">
        <v>0</v>
      </c>
      <c r="G64" s="352"/>
      <c r="H64" s="314" t="s">
        <v>722</v>
      </c>
      <c r="I64" s="314">
        <v>10</v>
      </c>
      <c r="J64" s="308">
        <f t="shared" ref="J64:J127" si="48">D64+I64</f>
        <v>1991</v>
      </c>
      <c r="K64" s="353"/>
      <c r="L64" s="306"/>
      <c r="M64" s="333">
        <v>3369.97</v>
      </c>
      <c r="N64" s="21"/>
      <c r="O64" s="19">
        <f t="shared" ref="O64:O127" si="49">M64-M64*F64</f>
        <v>3369.97</v>
      </c>
      <c r="P64" s="19">
        <f t="shared" ref="P64:P127" si="50">O64/I64/12</f>
        <v>28.083083333333331</v>
      </c>
      <c r="Q64" s="19">
        <f t="shared" ref="Q64:Q127" si="51">IF(N64&gt;0,0,IF(OR(AC64&gt;AD64,AE64&lt;AF64),0,IF(AND(AE64&gt;=AF64,AE64&lt;=AD64),P64*((AE64-AF64)*12),IF(AND(AF64&lt;=AC64,AD64&gt;=AC64),((AD64-AC64)*12)*P64,IF(AE64&gt;AD64,12*P64,0)))))</f>
        <v>0</v>
      </c>
      <c r="R64" s="19"/>
      <c r="S64" s="19">
        <f t="shared" ref="S64:S127" si="52">IF(R64&gt;0,R64,Q64)</f>
        <v>0</v>
      </c>
      <c r="T64" s="19">
        <v>1</v>
      </c>
      <c r="U64" s="19">
        <f t="shared" ref="U64:U127" si="53">T64*SUM(Q64:R64)</f>
        <v>0</v>
      </c>
      <c r="V64" s="19"/>
      <c r="W64" s="19">
        <f t="shared" ref="W64:W127" si="54">IF(AC64&gt;AD64,0,IF(AE64&lt;AF64,O64,IF(AND(AE64&gt;=AF64,AE64&lt;=AD64),(O64-S64),IF(AND(AF64&lt;=AC64,AD64&gt;=AC64),0,IF(AE64&gt;AD64,((AF64-AC64)*12)*P64,0)))))</f>
        <v>3369.97</v>
      </c>
      <c r="X64" s="19">
        <f t="shared" ref="X64:X127" si="55">W64*T64</f>
        <v>3369.97</v>
      </c>
      <c r="Y64" s="19">
        <v>1</v>
      </c>
      <c r="Z64" s="19">
        <f t="shared" ref="Z64:Z127" si="56">X64*Y64</f>
        <v>3369.97</v>
      </c>
      <c r="AA64" s="19">
        <f t="shared" ref="AA64:AA127" si="57">IF(N64&gt;0,0,Z64+U64*Y64)*Y64</f>
        <v>3369.97</v>
      </c>
      <c r="AB64" s="19">
        <f t="shared" ref="AB64:AB127" si="58">IF(N64&gt;0,(M64-Z64)/2,IF(AC64&gt;=AF64,(((M64*T64)*Y64)-AA64)/2,((((M64*T64)*Y64)-Z64)+(((M64*T64)*Y64)-AA64))/2))</f>
        <v>0</v>
      </c>
      <c r="AC64" s="310">
        <f t="shared" ref="AC64:AC127" si="59">$D64+(($E64-1)/12)</f>
        <v>1981.6666666666667</v>
      </c>
      <c r="AD64" s="310">
        <f t="shared" ref="AD64:AD127" si="60">($O$5+1)-($O$2/12)</f>
        <v>2016.5</v>
      </c>
      <c r="AE64" s="310">
        <f t="shared" ref="AE64:AE127" si="61">$J64+(($E64-1)/12)</f>
        <v>1991.6666666666667</v>
      </c>
      <c r="AF64" s="310">
        <f t="shared" ref="AF64:AF127" si="62">$O$4+($O$3/12)</f>
        <v>2015.5</v>
      </c>
      <c r="AG64" s="310">
        <f t="shared" ref="AG64:AG127" si="63">$K64+(($L64-1)/12)</f>
        <v>-8.3333333333333329E-2</v>
      </c>
    </row>
    <row r="65" spans="1:33">
      <c r="A65" s="306"/>
      <c r="B65" s="306">
        <v>4</v>
      </c>
      <c r="C65" s="331" t="s">
        <v>770</v>
      </c>
      <c r="D65" s="314">
        <v>1982</v>
      </c>
      <c r="E65" s="306">
        <v>6</v>
      </c>
      <c r="F65" s="352">
        <v>0</v>
      </c>
      <c r="G65" s="352"/>
      <c r="H65" s="314" t="s">
        <v>722</v>
      </c>
      <c r="I65" s="314">
        <v>7</v>
      </c>
      <c r="J65" s="308">
        <f t="shared" si="48"/>
        <v>1989</v>
      </c>
      <c r="K65" s="353"/>
      <c r="L65" s="306"/>
      <c r="M65" s="333">
        <v>1076.96</v>
      </c>
      <c r="N65" s="21"/>
      <c r="O65" s="19">
        <f t="shared" si="49"/>
        <v>1076.96</v>
      </c>
      <c r="P65" s="19">
        <f t="shared" si="50"/>
        <v>12.820952380952383</v>
      </c>
      <c r="Q65" s="19">
        <f t="shared" si="51"/>
        <v>0</v>
      </c>
      <c r="R65" s="19"/>
      <c r="S65" s="19">
        <f t="shared" si="52"/>
        <v>0</v>
      </c>
      <c r="T65" s="19">
        <v>1</v>
      </c>
      <c r="U65" s="19">
        <f t="shared" si="53"/>
        <v>0</v>
      </c>
      <c r="V65" s="19"/>
      <c r="W65" s="19">
        <f t="shared" si="54"/>
        <v>1076.96</v>
      </c>
      <c r="X65" s="19">
        <f t="shared" si="55"/>
        <v>1076.96</v>
      </c>
      <c r="Y65" s="19">
        <v>1</v>
      </c>
      <c r="Z65" s="19">
        <f t="shared" si="56"/>
        <v>1076.96</v>
      </c>
      <c r="AA65" s="19">
        <f t="shared" si="57"/>
        <v>1076.96</v>
      </c>
      <c r="AB65" s="19">
        <f t="shared" si="58"/>
        <v>0</v>
      </c>
      <c r="AC65" s="310">
        <f t="shared" si="59"/>
        <v>1982.4166666666667</v>
      </c>
      <c r="AD65" s="310">
        <f t="shared" si="60"/>
        <v>2016.5</v>
      </c>
      <c r="AE65" s="310">
        <f t="shared" si="61"/>
        <v>1989.4166666666667</v>
      </c>
      <c r="AF65" s="310">
        <f t="shared" si="62"/>
        <v>2015.5</v>
      </c>
      <c r="AG65" s="310">
        <f t="shared" si="63"/>
        <v>-8.3333333333333329E-2</v>
      </c>
    </row>
    <row r="66" spans="1:33">
      <c r="A66" s="306"/>
      <c r="B66" s="306">
        <v>12</v>
      </c>
      <c r="C66" s="331" t="s">
        <v>771</v>
      </c>
      <c r="D66" s="314">
        <v>1982</v>
      </c>
      <c r="E66" s="306">
        <v>11</v>
      </c>
      <c r="F66" s="352">
        <v>0</v>
      </c>
      <c r="G66" s="352"/>
      <c r="H66" s="314" t="s">
        <v>722</v>
      </c>
      <c r="I66" s="314">
        <v>7</v>
      </c>
      <c r="J66" s="308">
        <f t="shared" si="48"/>
        <v>1989</v>
      </c>
      <c r="K66" s="353"/>
      <c r="L66" s="306"/>
      <c r="M66" s="333">
        <v>3131</v>
      </c>
      <c r="N66" s="21"/>
      <c r="O66" s="19">
        <f t="shared" si="49"/>
        <v>3131</v>
      </c>
      <c r="P66" s="19">
        <f t="shared" si="50"/>
        <v>37.273809523809526</v>
      </c>
      <c r="Q66" s="19">
        <f t="shared" si="51"/>
        <v>0</v>
      </c>
      <c r="R66" s="19"/>
      <c r="S66" s="19">
        <f t="shared" si="52"/>
        <v>0</v>
      </c>
      <c r="T66" s="19">
        <v>1</v>
      </c>
      <c r="U66" s="19">
        <f t="shared" si="53"/>
        <v>0</v>
      </c>
      <c r="V66" s="19"/>
      <c r="W66" s="19">
        <f t="shared" si="54"/>
        <v>3131</v>
      </c>
      <c r="X66" s="19">
        <f t="shared" si="55"/>
        <v>3131</v>
      </c>
      <c r="Y66" s="19">
        <v>1</v>
      </c>
      <c r="Z66" s="19">
        <f t="shared" si="56"/>
        <v>3131</v>
      </c>
      <c r="AA66" s="19">
        <f t="shared" si="57"/>
        <v>3131</v>
      </c>
      <c r="AB66" s="19">
        <f t="shared" si="58"/>
        <v>0</v>
      </c>
      <c r="AC66" s="310">
        <f t="shared" si="59"/>
        <v>1982.8333333333333</v>
      </c>
      <c r="AD66" s="310">
        <f t="shared" si="60"/>
        <v>2016.5</v>
      </c>
      <c r="AE66" s="310">
        <f t="shared" si="61"/>
        <v>1989.8333333333333</v>
      </c>
      <c r="AF66" s="310">
        <f t="shared" si="62"/>
        <v>2015.5</v>
      </c>
      <c r="AG66" s="310">
        <f t="shared" si="63"/>
        <v>-8.3333333333333329E-2</v>
      </c>
    </row>
    <row r="67" spans="1:33">
      <c r="A67" s="306"/>
      <c r="B67" s="306">
        <v>1</v>
      </c>
      <c r="C67" s="331" t="s">
        <v>772</v>
      </c>
      <c r="D67" s="314">
        <v>1983</v>
      </c>
      <c r="E67" s="306">
        <v>9</v>
      </c>
      <c r="F67" s="352">
        <v>0</v>
      </c>
      <c r="G67" s="352"/>
      <c r="H67" s="314" t="s">
        <v>722</v>
      </c>
      <c r="I67" s="314">
        <v>10</v>
      </c>
      <c r="J67" s="308">
        <f t="shared" si="48"/>
        <v>1993</v>
      </c>
      <c r="K67" s="353"/>
      <c r="L67" s="306"/>
      <c r="M67" s="333">
        <v>2291</v>
      </c>
      <c r="N67" s="21"/>
      <c r="O67" s="19">
        <f t="shared" si="49"/>
        <v>2291</v>
      </c>
      <c r="P67" s="19">
        <f t="shared" si="50"/>
        <v>19.091666666666665</v>
      </c>
      <c r="Q67" s="19">
        <f t="shared" si="51"/>
        <v>0</v>
      </c>
      <c r="R67" s="19"/>
      <c r="S67" s="19">
        <f t="shared" si="52"/>
        <v>0</v>
      </c>
      <c r="T67" s="19">
        <v>1</v>
      </c>
      <c r="U67" s="19">
        <f t="shared" si="53"/>
        <v>0</v>
      </c>
      <c r="V67" s="19"/>
      <c r="W67" s="19">
        <f t="shared" si="54"/>
        <v>2291</v>
      </c>
      <c r="X67" s="19">
        <f t="shared" si="55"/>
        <v>2291</v>
      </c>
      <c r="Y67" s="19">
        <v>1</v>
      </c>
      <c r="Z67" s="19">
        <f t="shared" si="56"/>
        <v>2291</v>
      </c>
      <c r="AA67" s="19">
        <f t="shared" si="57"/>
        <v>2291</v>
      </c>
      <c r="AB67" s="19">
        <f t="shared" si="58"/>
        <v>0</v>
      </c>
      <c r="AC67" s="310">
        <f t="shared" si="59"/>
        <v>1983.6666666666667</v>
      </c>
      <c r="AD67" s="310">
        <f t="shared" si="60"/>
        <v>2016.5</v>
      </c>
      <c r="AE67" s="310">
        <f t="shared" si="61"/>
        <v>1993.6666666666667</v>
      </c>
      <c r="AF67" s="310">
        <f t="shared" si="62"/>
        <v>2015.5</v>
      </c>
      <c r="AG67" s="310">
        <f t="shared" si="63"/>
        <v>-8.3333333333333329E-2</v>
      </c>
    </row>
    <row r="68" spans="1:33">
      <c r="A68" s="306"/>
      <c r="C68" s="331" t="s">
        <v>772</v>
      </c>
      <c r="D68" s="314">
        <v>1983</v>
      </c>
      <c r="E68" s="306">
        <v>9</v>
      </c>
      <c r="F68" s="352">
        <v>0</v>
      </c>
      <c r="G68" s="352"/>
      <c r="H68" s="314" t="s">
        <v>722</v>
      </c>
      <c r="I68" s="314">
        <v>10</v>
      </c>
      <c r="J68" s="308">
        <f t="shared" si="48"/>
        <v>1993</v>
      </c>
      <c r="K68" s="353"/>
      <c r="L68" s="306"/>
      <c r="M68" s="333">
        <v>2290.84</v>
      </c>
      <c r="N68" s="21"/>
      <c r="O68" s="19">
        <f t="shared" si="49"/>
        <v>2290.84</v>
      </c>
      <c r="P68" s="19">
        <f t="shared" si="50"/>
        <v>19.090333333333334</v>
      </c>
      <c r="Q68" s="19">
        <f t="shared" si="51"/>
        <v>0</v>
      </c>
      <c r="R68" s="19"/>
      <c r="S68" s="19">
        <f t="shared" si="52"/>
        <v>0</v>
      </c>
      <c r="T68" s="19">
        <v>1</v>
      </c>
      <c r="U68" s="19">
        <f t="shared" si="53"/>
        <v>0</v>
      </c>
      <c r="V68" s="19"/>
      <c r="W68" s="19">
        <f t="shared" si="54"/>
        <v>2290.84</v>
      </c>
      <c r="X68" s="19">
        <f t="shared" si="55"/>
        <v>2290.84</v>
      </c>
      <c r="Y68" s="19">
        <v>1</v>
      </c>
      <c r="Z68" s="19">
        <f t="shared" si="56"/>
        <v>2290.84</v>
      </c>
      <c r="AA68" s="19">
        <f t="shared" si="57"/>
        <v>2290.84</v>
      </c>
      <c r="AB68" s="19">
        <f t="shared" si="58"/>
        <v>0</v>
      </c>
      <c r="AC68" s="310">
        <f t="shared" si="59"/>
        <v>1983.6666666666667</v>
      </c>
      <c r="AD68" s="310">
        <f t="shared" si="60"/>
        <v>2016.5</v>
      </c>
      <c r="AE68" s="310">
        <f t="shared" si="61"/>
        <v>1993.6666666666667</v>
      </c>
      <c r="AF68" s="310">
        <f t="shared" si="62"/>
        <v>2015.5</v>
      </c>
      <c r="AG68" s="310">
        <f t="shared" si="63"/>
        <v>-8.3333333333333329E-2</v>
      </c>
    </row>
    <row r="69" spans="1:33">
      <c r="A69" s="306"/>
      <c r="B69" s="306">
        <v>12</v>
      </c>
      <c r="C69" s="306" t="str">
        <f>C68</f>
        <v xml:space="preserve">Containers </v>
      </c>
      <c r="D69" s="314">
        <v>1984</v>
      </c>
      <c r="E69" s="306">
        <v>4</v>
      </c>
      <c r="F69" s="352">
        <v>0</v>
      </c>
      <c r="G69" s="352"/>
      <c r="H69" s="314" t="s">
        <v>722</v>
      </c>
      <c r="I69" s="314">
        <v>10</v>
      </c>
      <c r="J69" s="308">
        <f t="shared" si="48"/>
        <v>1994</v>
      </c>
      <c r="K69" s="353"/>
      <c r="L69" s="306"/>
      <c r="M69" s="333">
        <v>3369.97</v>
      </c>
      <c r="N69" s="21"/>
      <c r="O69" s="19">
        <f t="shared" si="49"/>
        <v>3369.97</v>
      </c>
      <c r="P69" s="19">
        <f t="shared" si="50"/>
        <v>28.083083333333331</v>
      </c>
      <c r="Q69" s="19">
        <f t="shared" si="51"/>
        <v>0</v>
      </c>
      <c r="R69" s="19"/>
      <c r="S69" s="19">
        <f t="shared" si="52"/>
        <v>0</v>
      </c>
      <c r="T69" s="19">
        <v>1</v>
      </c>
      <c r="U69" s="19">
        <f t="shared" si="53"/>
        <v>0</v>
      </c>
      <c r="V69" s="19"/>
      <c r="W69" s="19">
        <f t="shared" si="54"/>
        <v>3369.97</v>
      </c>
      <c r="X69" s="19">
        <f t="shared" si="55"/>
        <v>3369.97</v>
      </c>
      <c r="Y69" s="19">
        <v>1</v>
      </c>
      <c r="Z69" s="19">
        <f t="shared" si="56"/>
        <v>3369.97</v>
      </c>
      <c r="AA69" s="19">
        <f t="shared" si="57"/>
        <v>3369.97</v>
      </c>
      <c r="AB69" s="19">
        <f t="shared" si="58"/>
        <v>0</v>
      </c>
      <c r="AC69" s="310">
        <f t="shared" si="59"/>
        <v>1984.25</v>
      </c>
      <c r="AD69" s="310">
        <f t="shared" si="60"/>
        <v>2016.5</v>
      </c>
      <c r="AE69" s="310">
        <f t="shared" si="61"/>
        <v>1994.25</v>
      </c>
      <c r="AF69" s="310">
        <f t="shared" si="62"/>
        <v>2015.5</v>
      </c>
      <c r="AG69" s="310">
        <f t="shared" si="63"/>
        <v>-8.3333333333333329E-2</v>
      </c>
    </row>
    <row r="70" spans="1:33">
      <c r="A70" s="306"/>
      <c r="B70" s="306">
        <v>1</v>
      </c>
      <c r="C70" s="331" t="s">
        <v>773</v>
      </c>
      <c r="D70" s="314">
        <v>1984</v>
      </c>
      <c r="E70" s="306">
        <v>7</v>
      </c>
      <c r="F70" s="352">
        <v>0</v>
      </c>
      <c r="G70" s="352"/>
      <c r="H70" s="314" t="s">
        <v>722</v>
      </c>
      <c r="I70" s="314">
        <v>10</v>
      </c>
      <c r="J70" s="308">
        <f t="shared" si="48"/>
        <v>1994</v>
      </c>
      <c r="K70" s="353"/>
      <c r="L70" s="306"/>
      <c r="M70" s="333">
        <v>3612.77</v>
      </c>
      <c r="N70" s="21"/>
      <c r="O70" s="19">
        <f t="shared" si="49"/>
        <v>3612.77</v>
      </c>
      <c r="P70" s="19">
        <f t="shared" si="50"/>
        <v>30.106416666666664</v>
      </c>
      <c r="Q70" s="19">
        <f t="shared" si="51"/>
        <v>0</v>
      </c>
      <c r="R70" s="19"/>
      <c r="S70" s="19">
        <f t="shared" si="52"/>
        <v>0</v>
      </c>
      <c r="T70" s="19">
        <v>1</v>
      </c>
      <c r="U70" s="19">
        <f t="shared" si="53"/>
        <v>0</v>
      </c>
      <c r="V70" s="19"/>
      <c r="W70" s="19">
        <f t="shared" si="54"/>
        <v>3612.77</v>
      </c>
      <c r="X70" s="19">
        <f t="shared" si="55"/>
        <v>3612.77</v>
      </c>
      <c r="Y70" s="19">
        <v>1</v>
      </c>
      <c r="Z70" s="19">
        <f t="shared" si="56"/>
        <v>3612.77</v>
      </c>
      <c r="AA70" s="19">
        <f t="shared" si="57"/>
        <v>3612.77</v>
      </c>
      <c r="AB70" s="19">
        <f t="shared" si="58"/>
        <v>0</v>
      </c>
      <c r="AC70" s="310">
        <f t="shared" si="59"/>
        <v>1984.5</v>
      </c>
      <c r="AD70" s="310">
        <f t="shared" si="60"/>
        <v>2016.5</v>
      </c>
      <c r="AE70" s="310">
        <f t="shared" si="61"/>
        <v>1994.5</v>
      </c>
      <c r="AF70" s="310">
        <f t="shared" si="62"/>
        <v>2015.5</v>
      </c>
      <c r="AG70" s="310">
        <f t="shared" si="63"/>
        <v>-8.3333333333333329E-2</v>
      </c>
    </row>
    <row r="71" spans="1:33">
      <c r="A71" s="306"/>
      <c r="B71" s="306">
        <v>8</v>
      </c>
      <c r="C71" s="331" t="s">
        <v>774</v>
      </c>
      <c r="D71" s="314">
        <v>1985</v>
      </c>
      <c r="E71" s="306">
        <v>3</v>
      </c>
      <c r="F71" s="352">
        <v>0</v>
      </c>
      <c r="G71" s="352"/>
      <c r="H71" s="314" t="s">
        <v>722</v>
      </c>
      <c r="I71" s="314">
        <v>10</v>
      </c>
      <c r="J71" s="308">
        <f t="shared" si="48"/>
        <v>1995</v>
      </c>
      <c r="K71" s="353"/>
      <c r="L71" s="306"/>
      <c r="M71" s="333">
        <v>3229.62</v>
      </c>
      <c r="N71" s="21"/>
      <c r="O71" s="19">
        <f t="shared" si="49"/>
        <v>3229.62</v>
      </c>
      <c r="P71" s="19">
        <f t="shared" si="50"/>
        <v>26.913499999999999</v>
      </c>
      <c r="Q71" s="19">
        <f t="shared" si="51"/>
        <v>0</v>
      </c>
      <c r="R71" s="19"/>
      <c r="S71" s="19">
        <f t="shared" si="52"/>
        <v>0</v>
      </c>
      <c r="T71" s="19">
        <v>1</v>
      </c>
      <c r="U71" s="19">
        <f t="shared" si="53"/>
        <v>0</v>
      </c>
      <c r="V71" s="19"/>
      <c r="W71" s="19">
        <f t="shared" si="54"/>
        <v>3229.62</v>
      </c>
      <c r="X71" s="19">
        <f t="shared" si="55"/>
        <v>3229.62</v>
      </c>
      <c r="Y71" s="19">
        <v>1</v>
      </c>
      <c r="Z71" s="19">
        <f t="shared" si="56"/>
        <v>3229.62</v>
      </c>
      <c r="AA71" s="19">
        <f t="shared" si="57"/>
        <v>3229.62</v>
      </c>
      <c r="AB71" s="19">
        <f t="shared" si="58"/>
        <v>0</v>
      </c>
      <c r="AC71" s="310">
        <f t="shared" si="59"/>
        <v>1985.1666666666667</v>
      </c>
      <c r="AD71" s="310">
        <f t="shared" si="60"/>
        <v>2016.5</v>
      </c>
      <c r="AE71" s="310">
        <f t="shared" si="61"/>
        <v>1995.1666666666667</v>
      </c>
      <c r="AF71" s="310">
        <f t="shared" si="62"/>
        <v>2015.5</v>
      </c>
      <c r="AG71" s="310">
        <f t="shared" si="63"/>
        <v>-8.3333333333333329E-2</v>
      </c>
    </row>
    <row r="72" spans="1:33">
      <c r="A72" s="306"/>
      <c r="B72" s="306">
        <v>23</v>
      </c>
      <c r="C72" s="331" t="s">
        <v>775</v>
      </c>
      <c r="D72" s="314">
        <v>1985</v>
      </c>
      <c r="E72" s="306">
        <v>6</v>
      </c>
      <c r="F72" s="352">
        <v>0</v>
      </c>
      <c r="G72" s="352"/>
      <c r="H72" s="314" t="s">
        <v>722</v>
      </c>
      <c r="I72" s="314">
        <v>5</v>
      </c>
      <c r="J72" s="308">
        <f t="shared" si="48"/>
        <v>1990</v>
      </c>
      <c r="K72" s="353"/>
      <c r="L72" s="306"/>
      <c r="M72" s="333">
        <v>6882.4</v>
      </c>
      <c r="N72" s="21"/>
      <c r="O72" s="19">
        <f t="shared" si="49"/>
        <v>6882.4</v>
      </c>
      <c r="P72" s="19">
        <f t="shared" si="50"/>
        <v>114.70666666666666</v>
      </c>
      <c r="Q72" s="19">
        <f t="shared" si="51"/>
        <v>0</v>
      </c>
      <c r="R72" s="19"/>
      <c r="S72" s="19">
        <f t="shared" si="52"/>
        <v>0</v>
      </c>
      <c r="T72" s="19">
        <v>1</v>
      </c>
      <c r="U72" s="19">
        <f t="shared" si="53"/>
        <v>0</v>
      </c>
      <c r="V72" s="19"/>
      <c r="W72" s="19">
        <f t="shared" si="54"/>
        <v>6882.4</v>
      </c>
      <c r="X72" s="19">
        <f t="shared" si="55"/>
        <v>6882.4</v>
      </c>
      <c r="Y72" s="19">
        <v>1</v>
      </c>
      <c r="Z72" s="19">
        <f t="shared" si="56"/>
        <v>6882.4</v>
      </c>
      <c r="AA72" s="19">
        <f t="shared" si="57"/>
        <v>6882.4</v>
      </c>
      <c r="AB72" s="19">
        <f t="shared" si="58"/>
        <v>0</v>
      </c>
      <c r="AC72" s="310">
        <f t="shared" si="59"/>
        <v>1985.4166666666667</v>
      </c>
      <c r="AD72" s="310">
        <f t="shared" si="60"/>
        <v>2016.5</v>
      </c>
      <c r="AE72" s="310">
        <f t="shared" si="61"/>
        <v>1990.4166666666667</v>
      </c>
      <c r="AF72" s="310">
        <f t="shared" si="62"/>
        <v>2015.5</v>
      </c>
      <c r="AG72" s="310">
        <f t="shared" si="63"/>
        <v>-8.3333333333333329E-2</v>
      </c>
    </row>
    <row r="73" spans="1:33">
      <c r="A73" s="306"/>
      <c r="B73" s="306">
        <v>2</v>
      </c>
      <c r="C73" s="331" t="s">
        <v>776</v>
      </c>
      <c r="D73" s="314">
        <v>1986</v>
      </c>
      <c r="E73" s="306">
        <v>3</v>
      </c>
      <c r="F73" s="352">
        <v>0</v>
      </c>
      <c r="G73" s="352"/>
      <c r="H73" s="314" t="s">
        <v>722</v>
      </c>
      <c r="I73" s="314">
        <v>10</v>
      </c>
      <c r="J73" s="308">
        <f t="shared" si="48"/>
        <v>1996</v>
      </c>
      <c r="K73" s="353"/>
      <c r="L73" s="306"/>
      <c r="M73" s="333">
        <v>668.36</v>
      </c>
      <c r="N73" s="21"/>
      <c r="O73" s="19">
        <f t="shared" si="49"/>
        <v>668.36</v>
      </c>
      <c r="P73" s="19">
        <f t="shared" si="50"/>
        <v>5.5696666666666665</v>
      </c>
      <c r="Q73" s="19">
        <f t="shared" si="51"/>
        <v>0</v>
      </c>
      <c r="R73" s="19"/>
      <c r="S73" s="19">
        <f t="shared" si="52"/>
        <v>0</v>
      </c>
      <c r="T73" s="19">
        <v>1</v>
      </c>
      <c r="U73" s="19">
        <f t="shared" si="53"/>
        <v>0</v>
      </c>
      <c r="V73" s="19"/>
      <c r="W73" s="19">
        <f t="shared" si="54"/>
        <v>668.36</v>
      </c>
      <c r="X73" s="19">
        <f t="shared" si="55"/>
        <v>668.36</v>
      </c>
      <c r="Y73" s="19">
        <v>1</v>
      </c>
      <c r="Z73" s="19">
        <f t="shared" si="56"/>
        <v>668.36</v>
      </c>
      <c r="AA73" s="19">
        <f t="shared" si="57"/>
        <v>668.36</v>
      </c>
      <c r="AB73" s="19">
        <f t="shared" si="58"/>
        <v>0</v>
      </c>
      <c r="AC73" s="310">
        <f t="shared" si="59"/>
        <v>1986.1666666666667</v>
      </c>
      <c r="AD73" s="310">
        <f t="shared" si="60"/>
        <v>2016.5</v>
      </c>
      <c r="AE73" s="310">
        <f t="shared" si="61"/>
        <v>1996.1666666666667</v>
      </c>
      <c r="AF73" s="310">
        <f t="shared" si="62"/>
        <v>2015.5</v>
      </c>
      <c r="AG73" s="310">
        <f t="shared" si="63"/>
        <v>-8.3333333333333329E-2</v>
      </c>
    </row>
    <row r="74" spans="1:33">
      <c r="A74" s="306"/>
      <c r="B74" s="306">
        <v>4</v>
      </c>
      <c r="C74" s="331" t="s">
        <v>770</v>
      </c>
      <c r="D74" s="314">
        <v>1986</v>
      </c>
      <c r="E74" s="306">
        <v>5</v>
      </c>
      <c r="F74" s="352">
        <v>0</v>
      </c>
      <c r="G74" s="352"/>
      <c r="H74" s="314" t="s">
        <v>722</v>
      </c>
      <c r="I74" s="314">
        <v>10</v>
      </c>
      <c r="J74" s="308">
        <f t="shared" si="48"/>
        <v>1996</v>
      </c>
      <c r="K74" s="353"/>
      <c r="L74" s="306"/>
      <c r="M74" s="333">
        <v>1034.8800000000001</v>
      </c>
      <c r="N74" s="21"/>
      <c r="O74" s="19">
        <f t="shared" si="49"/>
        <v>1034.8800000000001</v>
      </c>
      <c r="P74" s="19">
        <f t="shared" si="50"/>
        <v>8.6240000000000006</v>
      </c>
      <c r="Q74" s="19">
        <f t="shared" si="51"/>
        <v>0</v>
      </c>
      <c r="R74" s="19"/>
      <c r="S74" s="19">
        <f t="shared" si="52"/>
        <v>0</v>
      </c>
      <c r="T74" s="19">
        <v>1</v>
      </c>
      <c r="U74" s="19">
        <f t="shared" si="53"/>
        <v>0</v>
      </c>
      <c r="V74" s="19"/>
      <c r="W74" s="19">
        <f t="shared" si="54"/>
        <v>1034.8800000000001</v>
      </c>
      <c r="X74" s="19">
        <f t="shared" si="55"/>
        <v>1034.8800000000001</v>
      </c>
      <c r="Y74" s="19">
        <v>1</v>
      </c>
      <c r="Z74" s="19">
        <f t="shared" si="56"/>
        <v>1034.8800000000001</v>
      </c>
      <c r="AA74" s="19">
        <f t="shared" si="57"/>
        <v>1034.8800000000001</v>
      </c>
      <c r="AB74" s="19">
        <f t="shared" si="58"/>
        <v>0</v>
      </c>
      <c r="AC74" s="310">
        <f t="shared" si="59"/>
        <v>1986.3333333333333</v>
      </c>
      <c r="AD74" s="310">
        <f t="shared" si="60"/>
        <v>2016.5</v>
      </c>
      <c r="AE74" s="310">
        <f t="shared" si="61"/>
        <v>1996.3333333333333</v>
      </c>
      <c r="AF74" s="310">
        <f t="shared" si="62"/>
        <v>2015.5</v>
      </c>
      <c r="AG74" s="310">
        <f t="shared" si="63"/>
        <v>-8.3333333333333329E-2</v>
      </c>
    </row>
    <row r="75" spans="1:33">
      <c r="A75" s="306"/>
      <c r="B75" s="306">
        <v>1</v>
      </c>
      <c r="C75" s="306" t="str">
        <f>C70</f>
        <v>Containers 1</v>
      </c>
      <c r="D75" s="314">
        <v>1986</v>
      </c>
      <c r="E75" s="306">
        <v>6</v>
      </c>
      <c r="F75" s="352">
        <v>0</v>
      </c>
      <c r="G75" s="352"/>
      <c r="H75" s="314" t="s">
        <v>722</v>
      </c>
      <c r="I75" s="314">
        <v>10</v>
      </c>
      <c r="J75" s="308">
        <f t="shared" si="48"/>
        <v>1996</v>
      </c>
      <c r="K75" s="353"/>
      <c r="L75" s="306"/>
      <c r="M75" s="333">
        <v>315.85000000000002</v>
      </c>
      <c r="N75" s="21"/>
      <c r="O75" s="19">
        <f t="shared" si="49"/>
        <v>315.85000000000002</v>
      </c>
      <c r="P75" s="19">
        <f t="shared" si="50"/>
        <v>2.6320833333333336</v>
      </c>
      <c r="Q75" s="19">
        <f t="shared" si="51"/>
        <v>0</v>
      </c>
      <c r="R75" s="19"/>
      <c r="S75" s="19">
        <f t="shared" si="52"/>
        <v>0</v>
      </c>
      <c r="T75" s="19">
        <v>1</v>
      </c>
      <c r="U75" s="19">
        <f t="shared" si="53"/>
        <v>0</v>
      </c>
      <c r="V75" s="19"/>
      <c r="W75" s="19">
        <f t="shared" si="54"/>
        <v>315.85000000000002</v>
      </c>
      <c r="X75" s="19">
        <f t="shared" si="55"/>
        <v>315.85000000000002</v>
      </c>
      <c r="Y75" s="19">
        <v>1</v>
      </c>
      <c r="Z75" s="19">
        <f t="shared" si="56"/>
        <v>315.85000000000002</v>
      </c>
      <c r="AA75" s="19">
        <f t="shared" si="57"/>
        <v>315.85000000000002</v>
      </c>
      <c r="AB75" s="19">
        <f t="shared" si="58"/>
        <v>0</v>
      </c>
      <c r="AC75" s="310">
        <f t="shared" si="59"/>
        <v>1986.4166666666667</v>
      </c>
      <c r="AD75" s="310">
        <f t="shared" si="60"/>
        <v>2016.5</v>
      </c>
      <c r="AE75" s="310">
        <f t="shared" si="61"/>
        <v>1996.4166666666667</v>
      </c>
      <c r="AF75" s="310">
        <f t="shared" si="62"/>
        <v>2015.5</v>
      </c>
      <c r="AG75" s="310">
        <f t="shared" si="63"/>
        <v>-8.3333333333333329E-2</v>
      </c>
    </row>
    <row r="76" spans="1:33">
      <c r="A76" s="306"/>
      <c r="B76" s="306">
        <v>6</v>
      </c>
      <c r="C76" s="331" t="s">
        <v>777</v>
      </c>
      <c r="D76" s="314">
        <v>1986</v>
      </c>
      <c r="E76" s="306">
        <v>9</v>
      </c>
      <c r="F76" s="352">
        <v>0</v>
      </c>
      <c r="G76" s="352"/>
      <c r="H76" s="314" t="s">
        <v>722</v>
      </c>
      <c r="I76" s="314">
        <v>10</v>
      </c>
      <c r="J76" s="308">
        <f t="shared" si="48"/>
        <v>1996</v>
      </c>
      <c r="K76" s="353"/>
      <c r="L76" s="306"/>
      <c r="M76" s="333">
        <v>1519.23</v>
      </c>
      <c r="N76" s="21"/>
      <c r="O76" s="19">
        <f t="shared" si="49"/>
        <v>1519.23</v>
      </c>
      <c r="P76" s="19">
        <f t="shared" si="50"/>
        <v>12.66025</v>
      </c>
      <c r="Q76" s="19">
        <f t="shared" si="51"/>
        <v>0</v>
      </c>
      <c r="R76" s="19"/>
      <c r="S76" s="19">
        <f t="shared" si="52"/>
        <v>0</v>
      </c>
      <c r="T76" s="19">
        <v>1</v>
      </c>
      <c r="U76" s="19">
        <f t="shared" si="53"/>
        <v>0</v>
      </c>
      <c r="V76" s="19"/>
      <c r="W76" s="19">
        <f t="shared" si="54"/>
        <v>1519.23</v>
      </c>
      <c r="X76" s="19">
        <f t="shared" si="55"/>
        <v>1519.23</v>
      </c>
      <c r="Y76" s="19">
        <v>1</v>
      </c>
      <c r="Z76" s="19">
        <f t="shared" si="56"/>
        <v>1519.23</v>
      </c>
      <c r="AA76" s="19">
        <f t="shared" si="57"/>
        <v>1519.23</v>
      </c>
      <c r="AB76" s="19">
        <f t="shared" si="58"/>
        <v>0</v>
      </c>
      <c r="AC76" s="310">
        <f t="shared" si="59"/>
        <v>1986.6666666666667</v>
      </c>
      <c r="AD76" s="310">
        <f t="shared" si="60"/>
        <v>2016.5</v>
      </c>
      <c r="AE76" s="310">
        <f t="shared" si="61"/>
        <v>1996.6666666666667</v>
      </c>
      <c r="AF76" s="310">
        <f t="shared" si="62"/>
        <v>2015.5</v>
      </c>
      <c r="AG76" s="310">
        <f t="shared" si="63"/>
        <v>-8.3333333333333329E-2</v>
      </c>
    </row>
    <row r="77" spans="1:33">
      <c r="A77" s="306"/>
      <c r="B77" s="306">
        <v>6</v>
      </c>
      <c r="C77" s="306" t="str">
        <f>C76</f>
        <v>Containers 6</v>
      </c>
      <c r="D77" s="314">
        <v>1986</v>
      </c>
      <c r="E77" s="306">
        <v>12</v>
      </c>
      <c r="F77" s="352">
        <v>0</v>
      </c>
      <c r="G77" s="352"/>
      <c r="H77" s="314" t="s">
        <v>722</v>
      </c>
      <c r="I77" s="314">
        <v>10</v>
      </c>
      <c r="J77" s="308">
        <f t="shared" si="48"/>
        <v>1996</v>
      </c>
      <c r="K77" s="353"/>
      <c r="L77" s="306"/>
      <c r="M77" s="333">
        <v>517.44000000000005</v>
      </c>
      <c r="N77" s="21"/>
      <c r="O77" s="19">
        <f t="shared" si="49"/>
        <v>517.44000000000005</v>
      </c>
      <c r="P77" s="19">
        <f t="shared" si="50"/>
        <v>4.3120000000000003</v>
      </c>
      <c r="Q77" s="19">
        <f t="shared" si="51"/>
        <v>0</v>
      </c>
      <c r="R77" s="19"/>
      <c r="S77" s="19">
        <f t="shared" si="52"/>
        <v>0</v>
      </c>
      <c r="T77" s="19">
        <v>1</v>
      </c>
      <c r="U77" s="19">
        <f t="shared" si="53"/>
        <v>0</v>
      </c>
      <c r="V77" s="19"/>
      <c r="W77" s="19">
        <f t="shared" si="54"/>
        <v>517.44000000000005</v>
      </c>
      <c r="X77" s="19">
        <f t="shared" si="55"/>
        <v>517.44000000000005</v>
      </c>
      <c r="Y77" s="19">
        <v>1</v>
      </c>
      <c r="Z77" s="19">
        <f t="shared" si="56"/>
        <v>517.44000000000005</v>
      </c>
      <c r="AA77" s="19">
        <f t="shared" si="57"/>
        <v>517.44000000000005</v>
      </c>
      <c r="AB77" s="19">
        <f t="shared" si="58"/>
        <v>0</v>
      </c>
      <c r="AC77" s="310">
        <f t="shared" si="59"/>
        <v>1986.9166666666667</v>
      </c>
      <c r="AD77" s="310">
        <f t="shared" si="60"/>
        <v>2016.5</v>
      </c>
      <c r="AE77" s="310">
        <f t="shared" si="61"/>
        <v>1996.9166666666667</v>
      </c>
      <c r="AF77" s="310">
        <f t="shared" si="62"/>
        <v>2015.5</v>
      </c>
      <c r="AG77" s="310">
        <f t="shared" si="63"/>
        <v>-8.3333333333333329E-2</v>
      </c>
    </row>
    <row r="78" spans="1:33">
      <c r="A78" s="306"/>
      <c r="C78" s="331" t="s">
        <v>778</v>
      </c>
      <c r="D78" s="314">
        <v>1987</v>
      </c>
      <c r="E78" s="306">
        <v>7</v>
      </c>
      <c r="F78" s="352">
        <v>0</v>
      </c>
      <c r="G78" s="352"/>
      <c r="H78" s="314" t="s">
        <v>722</v>
      </c>
      <c r="I78" s="314">
        <v>10</v>
      </c>
      <c r="J78" s="308">
        <f t="shared" si="48"/>
        <v>1997</v>
      </c>
      <c r="K78" s="353"/>
      <c r="L78" s="306"/>
      <c r="M78" s="333">
        <v>13853.19</v>
      </c>
      <c r="N78" s="21"/>
      <c r="O78" s="19">
        <f t="shared" si="49"/>
        <v>13853.19</v>
      </c>
      <c r="P78" s="19">
        <f t="shared" si="50"/>
        <v>115.44324999999999</v>
      </c>
      <c r="Q78" s="19">
        <f t="shared" si="51"/>
        <v>0</v>
      </c>
      <c r="R78" s="19"/>
      <c r="S78" s="19">
        <f t="shared" si="52"/>
        <v>0</v>
      </c>
      <c r="T78" s="19">
        <v>1</v>
      </c>
      <c r="U78" s="19">
        <f t="shared" si="53"/>
        <v>0</v>
      </c>
      <c r="V78" s="19"/>
      <c r="W78" s="19">
        <f t="shared" si="54"/>
        <v>13853.19</v>
      </c>
      <c r="X78" s="19">
        <f t="shared" si="55"/>
        <v>13853.19</v>
      </c>
      <c r="Y78" s="19">
        <v>1</v>
      </c>
      <c r="Z78" s="19">
        <f t="shared" si="56"/>
        <v>13853.19</v>
      </c>
      <c r="AA78" s="19">
        <f t="shared" si="57"/>
        <v>13853.19</v>
      </c>
      <c r="AB78" s="19">
        <f t="shared" si="58"/>
        <v>0</v>
      </c>
      <c r="AC78" s="310">
        <f t="shared" si="59"/>
        <v>1987.5</v>
      </c>
      <c r="AD78" s="310">
        <f t="shared" si="60"/>
        <v>2016.5</v>
      </c>
      <c r="AE78" s="310">
        <f t="shared" si="61"/>
        <v>1997.5</v>
      </c>
      <c r="AF78" s="310">
        <f t="shared" si="62"/>
        <v>2015.5</v>
      </c>
      <c r="AG78" s="310">
        <f t="shared" si="63"/>
        <v>-8.3333333333333329E-2</v>
      </c>
    </row>
    <row r="79" spans="1:33">
      <c r="A79" s="306"/>
      <c r="B79" s="306">
        <v>13</v>
      </c>
      <c r="C79" s="331" t="s">
        <v>779</v>
      </c>
      <c r="D79" s="314">
        <v>1988</v>
      </c>
      <c r="E79" s="306">
        <v>9</v>
      </c>
      <c r="F79" s="352">
        <v>0</v>
      </c>
      <c r="G79" s="352"/>
      <c r="H79" s="314" t="s">
        <v>722</v>
      </c>
      <c r="I79" s="314">
        <v>10</v>
      </c>
      <c r="J79" s="308">
        <f t="shared" si="48"/>
        <v>1998</v>
      </c>
      <c r="K79" s="353"/>
      <c r="L79" s="306"/>
      <c r="M79" s="333">
        <v>17908.66</v>
      </c>
      <c r="N79" s="21"/>
      <c r="O79" s="19">
        <f t="shared" si="49"/>
        <v>17908.66</v>
      </c>
      <c r="P79" s="19">
        <f t="shared" si="50"/>
        <v>149.23883333333333</v>
      </c>
      <c r="Q79" s="19">
        <f t="shared" si="51"/>
        <v>0</v>
      </c>
      <c r="R79" s="19"/>
      <c r="S79" s="19">
        <f t="shared" si="52"/>
        <v>0</v>
      </c>
      <c r="T79" s="19">
        <v>1</v>
      </c>
      <c r="U79" s="19">
        <f t="shared" si="53"/>
        <v>0</v>
      </c>
      <c r="V79" s="19"/>
      <c r="W79" s="19">
        <f t="shared" si="54"/>
        <v>17908.66</v>
      </c>
      <c r="X79" s="19">
        <f t="shared" si="55"/>
        <v>17908.66</v>
      </c>
      <c r="Y79" s="19">
        <v>1</v>
      </c>
      <c r="Z79" s="19">
        <f t="shared" si="56"/>
        <v>17908.66</v>
      </c>
      <c r="AA79" s="19">
        <f t="shared" si="57"/>
        <v>17908.66</v>
      </c>
      <c r="AB79" s="19">
        <f t="shared" si="58"/>
        <v>0</v>
      </c>
      <c r="AC79" s="310">
        <f t="shared" si="59"/>
        <v>1988.6666666666667</v>
      </c>
      <c r="AD79" s="310">
        <f t="shared" si="60"/>
        <v>2016.5</v>
      </c>
      <c r="AE79" s="310">
        <f t="shared" si="61"/>
        <v>1998.6666666666667</v>
      </c>
      <c r="AF79" s="310">
        <f t="shared" si="62"/>
        <v>2015.5</v>
      </c>
      <c r="AG79" s="310">
        <f t="shared" si="63"/>
        <v>-8.3333333333333329E-2</v>
      </c>
    </row>
    <row r="80" spans="1:33">
      <c r="A80" s="306"/>
      <c r="B80" s="306">
        <v>43</v>
      </c>
      <c r="C80" s="331" t="s">
        <v>780</v>
      </c>
      <c r="D80" s="314">
        <v>1989</v>
      </c>
      <c r="E80" s="306">
        <v>5</v>
      </c>
      <c r="F80" s="352">
        <v>0</v>
      </c>
      <c r="G80" s="352"/>
      <c r="H80" s="314" t="s">
        <v>722</v>
      </c>
      <c r="I80" s="314">
        <v>5</v>
      </c>
      <c r="J80" s="308">
        <f t="shared" si="48"/>
        <v>1994</v>
      </c>
      <c r="K80" s="353"/>
      <c r="L80" s="306"/>
      <c r="M80" s="333">
        <v>14625.21</v>
      </c>
      <c r="N80" s="21"/>
      <c r="O80" s="19">
        <f t="shared" si="49"/>
        <v>14625.21</v>
      </c>
      <c r="P80" s="19">
        <f t="shared" si="50"/>
        <v>243.7535</v>
      </c>
      <c r="Q80" s="19">
        <f t="shared" si="51"/>
        <v>0</v>
      </c>
      <c r="R80" s="19"/>
      <c r="S80" s="19">
        <f t="shared" si="52"/>
        <v>0</v>
      </c>
      <c r="T80" s="19">
        <v>1</v>
      </c>
      <c r="U80" s="19">
        <f t="shared" si="53"/>
        <v>0</v>
      </c>
      <c r="V80" s="19"/>
      <c r="W80" s="19">
        <f t="shared" si="54"/>
        <v>14625.21</v>
      </c>
      <c r="X80" s="19">
        <f t="shared" si="55"/>
        <v>14625.21</v>
      </c>
      <c r="Y80" s="19">
        <v>1</v>
      </c>
      <c r="Z80" s="19">
        <f t="shared" si="56"/>
        <v>14625.21</v>
      </c>
      <c r="AA80" s="19">
        <f t="shared" si="57"/>
        <v>14625.21</v>
      </c>
      <c r="AB80" s="19">
        <f t="shared" si="58"/>
        <v>0</v>
      </c>
      <c r="AC80" s="310">
        <f t="shared" si="59"/>
        <v>1989.3333333333333</v>
      </c>
      <c r="AD80" s="310">
        <f t="shared" si="60"/>
        <v>2016.5</v>
      </c>
      <c r="AE80" s="310">
        <f t="shared" si="61"/>
        <v>1994.3333333333333</v>
      </c>
      <c r="AF80" s="310">
        <f t="shared" si="62"/>
        <v>2015.5</v>
      </c>
      <c r="AG80" s="310">
        <f t="shared" si="63"/>
        <v>-8.3333333333333329E-2</v>
      </c>
    </row>
    <row r="81" spans="1:33">
      <c r="A81" s="306"/>
      <c r="B81" s="306">
        <v>1</v>
      </c>
      <c r="C81" s="331" t="s">
        <v>773</v>
      </c>
      <c r="D81" s="314">
        <v>1990</v>
      </c>
      <c r="E81" s="306">
        <v>1</v>
      </c>
      <c r="F81" s="352">
        <v>0</v>
      </c>
      <c r="G81" s="352"/>
      <c r="H81" s="314" t="s">
        <v>722</v>
      </c>
      <c r="I81" s="314">
        <v>5</v>
      </c>
      <c r="J81" s="308">
        <f t="shared" si="48"/>
        <v>1995</v>
      </c>
      <c r="K81" s="353"/>
      <c r="L81" s="306"/>
      <c r="M81" s="333">
        <v>1075</v>
      </c>
      <c r="N81" s="21"/>
      <c r="O81" s="19">
        <f t="shared" si="49"/>
        <v>1075</v>
      </c>
      <c r="P81" s="19">
        <f t="shared" si="50"/>
        <v>17.916666666666668</v>
      </c>
      <c r="Q81" s="19">
        <f t="shared" si="51"/>
        <v>0</v>
      </c>
      <c r="R81" s="19"/>
      <c r="S81" s="19">
        <f t="shared" si="52"/>
        <v>0</v>
      </c>
      <c r="T81" s="19">
        <v>1</v>
      </c>
      <c r="U81" s="19">
        <f t="shared" si="53"/>
        <v>0</v>
      </c>
      <c r="V81" s="19"/>
      <c r="W81" s="19">
        <f t="shared" si="54"/>
        <v>1075</v>
      </c>
      <c r="X81" s="19">
        <f t="shared" si="55"/>
        <v>1075</v>
      </c>
      <c r="Y81" s="19">
        <v>1</v>
      </c>
      <c r="Z81" s="19">
        <f t="shared" si="56"/>
        <v>1075</v>
      </c>
      <c r="AA81" s="19">
        <f t="shared" si="57"/>
        <v>1075</v>
      </c>
      <c r="AB81" s="19">
        <f t="shared" si="58"/>
        <v>0</v>
      </c>
      <c r="AC81" s="310">
        <f t="shared" si="59"/>
        <v>1990</v>
      </c>
      <c r="AD81" s="310">
        <f t="shared" si="60"/>
        <v>2016.5</v>
      </c>
      <c r="AE81" s="310">
        <f t="shared" si="61"/>
        <v>1995</v>
      </c>
      <c r="AF81" s="310">
        <f t="shared" si="62"/>
        <v>2015.5</v>
      </c>
      <c r="AG81" s="310">
        <f t="shared" si="63"/>
        <v>-8.3333333333333329E-2</v>
      </c>
    </row>
    <row r="82" spans="1:33">
      <c r="A82" s="306"/>
      <c r="B82" s="306">
        <v>1</v>
      </c>
      <c r="C82" s="306" t="str">
        <f>C81</f>
        <v>Containers 1</v>
      </c>
      <c r="D82" s="314">
        <v>1990</v>
      </c>
      <c r="E82" s="306">
        <v>2</v>
      </c>
      <c r="F82" s="352">
        <v>0</v>
      </c>
      <c r="G82" s="352"/>
      <c r="H82" s="314" t="s">
        <v>722</v>
      </c>
      <c r="I82" s="314">
        <v>5</v>
      </c>
      <c r="J82" s="308">
        <f t="shared" si="48"/>
        <v>1995</v>
      </c>
      <c r="K82" s="353"/>
      <c r="L82" s="306"/>
      <c r="M82" s="333">
        <v>1336.4</v>
      </c>
      <c r="N82" s="21"/>
      <c r="O82" s="19">
        <f t="shared" si="49"/>
        <v>1336.4</v>
      </c>
      <c r="P82" s="19">
        <f t="shared" si="50"/>
        <v>22.273333333333337</v>
      </c>
      <c r="Q82" s="19">
        <f t="shared" si="51"/>
        <v>0</v>
      </c>
      <c r="R82" s="19"/>
      <c r="S82" s="19">
        <f t="shared" si="52"/>
        <v>0</v>
      </c>
      <c r="T82" s="19">
        <v>1</v>
      </c>
      <c r="U82" s="19">
        <f t="shared" si="53"/>
        <v>0</v>
      </c>
      <c r="V82" s="19"/>
      <c r="W82" s="19">
        <f t="shared" si="54"/>
        <v>1336.4</v>
      </c>
      <c r="X82" s="19">
        <f t="shared" si="55"/>
        <v>1336.4</v>
      </c>
      <c r="Y82" s="19">
        <v>1</v>
      </c>
      <c r="Z82" s="19">
        <f t="shared" si="56"/>
        <v>1336.4</v>
      </c>
      <c r="AA82" s="19">
        <f t="shared" si="57"/>
        <v>1336.4</v>
      </c>
      <c r="AB82" s="19">
        <f t="shared" si="58"/>
        <v>0</v>
      </c>
      <c r="AC82" s="310">
        <f t="shared" si="59"/>
        <v>1990.0833333333333</v>
      </c>
      <c r="AD82" s="310">
        <f t="shared" si="60"/>
        <v>2016.5</v>
      </c>
      <c r="AE82" s="310">
        <f t="shared" si="61"/>
        <v>1995.0833333333333</v>
      </c>
      <c r="AF82" s="310">
        <f t="shared" si="62"/>
        <v>2015.5</v>
      </c>
      <c r="AG82" s="310">
        <f t="shared" si="63"/>
        <v>-8.3333333333333329E-2</v>
      </c>
    </row>
    <row r="83" spans="1:33">
      <c r="A83" s="306"/>
      <c r="B83" s="306">
        <v>6</v>
      </c>
      <c r="C83" s="331" t="s">
        <v>777</v>
      </c>
      <c r="D83" s="314">
        <v>1990</v>
      </c>
      <c r="E83" s="306">
        <v>3</v>
      </c>
      <c r="F83" s="352">
        <v>0</v>
      </c>
      <c r="G83" s="352"/>
      <c r="H83" s="314" t="s">
        <v>722</v>
      </c>
      <c r="I83" s="314">
        <v>5</v>
      </c>
      <c r="J83" s="308">
        <f t="shared" si="48"/>
        <v>1995</v>
      </c>
      <c r="K83" s="353"/>
      <c r="L83" s="306"/>
      <c r="M83" s="333">
        <v>1662.8</v>
      </c>
      <c r="N83" s="21"/>
      <c r="O83" s="19">
        <f t="shared" si="49"/>
        <v>1662.8</v>
      </c>
      <c r="P83" s="19">
        <f t="shared" si="50"/>
        <v>27.713333333333335</v>
      </c>
      <c r="Q83" s="19">
        <f t="shared" si="51"/>
        <v>0</v>
      </c>
      <c r="R83" s="19"/>
      <c r="S83" s="19">
        <f t="shared" si="52"/>
        <v>0</v>
      </c>
      <c r="T83" s="19">
        <v>1</v>
      </c>
      <c r="U83" s="19">
        <f t="shared" si="53"/>
        <v>0</v>
      </c>
      <c r="V83" s="19"/>
      <c r="W83" s="19">
        <f t="shared" si="54"/>
        <v>1662.8</v>
      </c>
      <c r="X83" s="19">
        <f t="shared" si="55"/>
        <v>1662.8</v>
      </c>
      <c r="Y83" s="19">
        <v>1</v>
      </c>
      <c r="Z83" s="19">
        <f t="shared" si="56"/>
        <v>1662.8</v>
      </c>
      <c r="AA83" s="19">
        <f t="shared" si="57"/>
        <v>1662.8</v>
      </c>
      <c r="AB83" s="19">
        <f t="shared" si="58"/>
        <v>0</v>
      </c>
      <c r="AC83" s="310">
        <f t="shared" si="59"/>
        <v>1990.1666666666667</v>
      </c>
      <c r="AD83" s="310">
        <f t="shared" si="60"/>
        <v>2016.5</v>
      </c>
      <c r="AE83" s="310">
        <f t="shared" si="61"/>
        <v>1995.1666666666667</v>
      </c>
      <c r="AF83" s="310">
        <f t="shared" si="62"/>
        <v>2015.5</v>
      </c>
      <c r="AG83" s="310">
        <f t="shared" si="63"/>
        <v>-8.3333333333333329E-2</v>
      </c>
    </row>
    <row r="84" spans="1:33">
      <c r="A84" s="306"/>
      <c r="B84" s="306">
        <v>1</v>
      </c>
      <c r="C84" s="331" t="s">
        <v>781</v>
      </c>
      <c r="D84" s="314">
        <v>1990</v>
      </c>
      <c r="E84" s="306">
        <v>3</v>
      </c>
      <c r="F84" s="352">
        <v>0</v>
      </c>
      <c r="G84" s="352"/>
      <c r="H84" s="314" t="s">
        <v>722</v>
      </c>
      <c r="I84" s="314">
        <v>10</v>
      </c>
      <c r="J84" s="308">
        <f t="shared" si="48"/>
        <v>2000</v>
      </c>
      <c r="K84" s="353"/>
      <c r="L84" s="306"/>
      <c r="M84" s="333">
        <v>4996</v>
      </c>
      <c r="N84" s="21"/>
      <c r="O84" s="19">
        <f t="shared" si="49"/>
        <v>4996</v>
      </c>
      <c r="P84" s="19">
        <f t="shared" si="50"/>
        <v>41.633333333333333</v>
      </c>
      <c r="Q84" s="19">
        <f t="shared" si="51"/>
        <v>0</v>
      </c>
      <c r="R84" s="19"/>
      <c r="S84" s="19">
        <f t="shared" si="52"/>
        <v>0</v>
      </c>
      <c r="T84" s="19">
        <v>1</v>
      </c>
      <c r="U84" s="19">
        <f t="shared" si="53"/>
        <v>0</v>
      </c>
      <c r="V84" s="19"/>
      <c r="W84" s="19">
        <f t="shared" si="54"/>
        <v>4996</v>
      </c>
      <c r="X84" s="19">
        <f t="shared" si="55"/>
        <v>4996</v>
      </c>
      <c r="Y84" s="19">
        <v>1</v>
      </c>
      <c r="Z84" s="19">
        <f t="shared" si="56"/>
        <v>4996</v>
      </c>
      <c r="AA84" s="19">
        <f t="shared" si="57"/>
        <v>4996</v>
      </c>
      <c r="AB84" s="19">
        <f t="shared" si="58"/>
        <v>0</v>
      </c>
      <c r="AC84" s="310">
        <f t="shared" si="59"/>
        <v>1990.1666666666667</v>
      </c>
      <c r="AD84" s="310">
        <f t="shared" si="60"/>
        <v>2016.5</v>
      </c>
      <c r="AE84" s="310">
        <f t="shared" si="61"/>
        <v>2000.1666666666667</v>
      </c>
      <c r="AF84" s="310">
        <f t="shared" si="62"/>
        <v>2015.5</v>
      </c>
      <c r="AG84" s="310">
        <f t="shared" si="63"/>
        <v>-8.3333333333333329E-2</v>
      </c>
    </row>
    <row r="85" spans="1:33">
      <c r="A85" s="306"/>
      <c r="B85" s="306">
        <v>6</v>
      </c>
      <c r="C85" s="306" t="str">
        <f>C84</f>
        <v>Rolloff 1</v>
      </c>
      <c r="D85" s="314">
        <v>1990</v>
      </c>
      <c r="E85" s="306">
        <v>4</v>
      </c>
      <c r="F85" s="352">
        <v>0</v>
      </c>
      <c r="G85" s="352"/>
      <c r="H85" s="314" t="s">
        <v>722</v>
      </c>
      <c r="I85" s="314">
        <v>5</v>
      </c>
      <c r="J85" s="308">
        <f t="shared" si="48"/>
        <v>1995</v>
      </c>
      <c r="K85" s="353"/>
      <c r="L85" s="306"/>
      <c r="M85" s="333">
        <v>1662.28</v>
      </c>
      <c r="N85" s="21"/>
      <c r="O85" s="19">
        <f t="shared" si="49"/>
        <v>1662.28</v>
      </c>
      <c r="P85" s="19">
        <f t="shared" si="50"/>
        <v>27.704666666666668</v>
      </c>
      <c r="Q85" s="19">
        <f t="shared" si="51"/>
        <v>0</v>
      </c>
      <c r="R85" s="19"/>
      <c r="S85" s="19">
        <f t="shared" si="52"/>
        <v>0</v>
      </c>
      <c r="T85" s="19">
        <v>1</v>
      </c>
      <c r="U85" s="19">
        <f t="shared" si="53"/>
        <v>0</v>
      </c>
      <c r="V85" s="19"/>
      <c r="W85" s="19">
        <f t="shared" si="54"/>
        <v>1662.28</v>
      </c>
      <c r="X85" s="19">
        <f t="shared" si="55"/>
        <v>1662.28</v>
      </c>
      <c r="Y85" s="19">
        <v>1</v>
      </c>
      <c r="Z85" s="19">
        <f t="shared" si="56"/>
        <v>1662.28</v>
      </c>
      <c r="AA85" s="19">
        <f t="shared" si="57"/>
        <v>1662.28</v>
      </c>
      <c r="AB85" s="19">
        <f t="shared" si="58"/>
        <v>0</v>
      </c>
      <c r="AC85" s="310">
        <f t="shared" si="59"/>
        <v>1990.25</v>
      </c>
      <c r="AD85" s="310">
        <f t="shared" si="60"/>
        <v>2016.5</v>
      </c>
      <c r="AE85" s="310">
        <f t="shared" si="61"/>
        <v>1995.25</v>
      </c>
      <c r="AF85" s="310">
        <f t="shared" si="62"/>
        <v>2015.5</v>
      </c>
      <c r="AG85" s="310">
        <f t="shared" si="63"/>
        <v>-8.3333333333333329E-2</v>
      </c>
    </row>
    <row r="86" spans="1:33">
      <c r="A86" s="306"/>
      <c r="B86" s="306">
        <v>2</v>
      </c>
      <c r="C86" s="331" t="s">
        <v>776</v>
      </c>
      <c r="D86" s="314">
        <v>1990</v>
      </c>
      <c r="E86" s="306">
        <v>5</v>
      </c>
      <c r="F86" s="352">
        <v>0</v>
      </c>
      <c r="G86" s="352"/>
      <c r="H86" s="314" t="s">
        <v>722</v>
      </c>
      <c r="I86" s="314">
        <v>5</v>
      </c>
      <c r="J86" s="308">
        <f t="shared" si="48"/>
        <v>1995</v>
      </c>
      <c r="K86" s="353"/>
      <c r="L86" s="306"/>
      <c r="M86" s="333">
        <v>1489.8</v>
      </c>
      <c r="N86" s="21"/>
      <c r="O86" s="19">
        <f t="shared" si="49"/>
        <v>1489.8</v>
      </c>
      <c r="P86" s="19">
        <f t="shared" si="50"/>
        <v>24.83</v>
      </c>
      <c r="Q86" s="19">
        <f t="shared" si="51"/>
        <v>0</v>
      </c>
      <c r="R86" s="19"/>
      <c r="S86" s="19">
        <f t="shared" si="52"/>
        <v>0</v>
      </c>
      <c r="T86" s="19">
        <v>1</v>
      </c>
      <c r="U86" s="19">
        <f t="shared" si="53"/>
        <v>0</v>
      </c>
      <c r="V86" s="19"/>
      <c r="W86" s="19">
        <f t="shared" si="54"/>
        <v>1489.8</v>
      </c>
      <c r="X86" s="19">
        <f t="shared" si="55"/>
        <v>1489.8</v>
      </c>
      <c r="Y86" s="19">
        <v>1</v>
      </c>
      <c r="Z86" s="19">
        <f t="shared" si="56"/>
        <v>1489.8</v>
      </c>
      <c r="AA86" s="19">
        <f t="shared" si="57"/>
        <v>1489.8</v>
      </c>
      <c r="AB86" s="19">
        <f t="shared" si="58"/>
        <v>0</v>
      </c>
      <c r="AC86" s="310">
        <f t="shared" si="59"/>
        <v>1990.3333333333333</v>
      </c>
      <c r="AD86" s="310">
        <f t="shared" si="60"/>
        <v>2016.5</v>
      </c>
      <c r="AE86" s="310">
        <f t="shared" si="61"/>
        <v>1995.3333333333333</v>
      </c>
      <c r="AF86" s="310">
        <f t="shared" si="62"/>
        <v>2015.5</v>
      </c>
      <c r="AG86" s="310">
        <f t="shared" si="63"/>
        <v>-8.3333333333333329E-2</v>
      </c>
    </row>
    <row r="87" spans="1:33">
      <c r="A87" s="306"/>
      <c r="B87" s="306">
        <v>1</v>
      </c>
      <c r="C87" s="331" t="s">
        <v>781</v>
      </c>
      <c r="D87" s="314">
        <v>1990</v>
      </c>
      <c r="E87" s="306">
        <v>5</v>
      </c>
      <c r="F87" s="352">
        <v>0</v>
      </c>
      <c r="G87" s="352"/>
      <c r="H87" s="314" t="s">
        <v>722</v>
      </c>
      <c r="I87" s="314">
        <v>5</v>
      </c>
      <c r="J87" s="308">
        <f t="shared" si="48"/>
        <v>1995</v>
      </c>
      <c r="K87" s="353"/>
      <c r="L87" s="306"/>
      <c r="M87" s="333">
        <v>4931.8500000000004</v>
      </c>
      <c r="N87" s="21"/>
      <c r="O87" s="19">
        <f t="shared" si="49"/>
        <v>4931.8500000000004</v>
      </c>
      <c r="P87" s="19">
        <f t="shared" si="50"/>
        <v>82.197500000000005</v>
      </c>
      <c r="Q87" s="19">
        <f t="shared" si="51"/>
        <v>0</v>
      </c>
      <c r="R87" s="19"/>
      <c r="S87" s="19">
        <f t="shared" si="52"/>
        <v>0</v>
      </c>
      <c r="T87" s="19">
        <v>1</v>
      </c>
      <c r="U87" s="19">
        <f t="shared" si="53"/>
        <v>0</v>
      </c>
      <c r="V87" s="19"/>
      <c r="W87" s="19">
        <f t="shared" si="54"/>
        <v>4931.8500000000004</v>
      </c>
      <c r="X87" s="19">
        <f t="shared" si="55"/>
        <v>4931.8500000000004</v>
      </c>
      <c r="Y87" s="19">
        <v>1</v>
      </c>
      <c r="Z87" s="19">
        <f t="shared" si="56"/>
        <v>4931.8500000000004</v>
      </c>
      <c r="AA87" s="19">
        <f t="shared" si="57"/>
        <v>4931.8500000000004</v>
      </c>
      <c r="AB87" s="19">
        <f t="shared" si="58"/>
        <v>0</v>
      </c>
      <c r="AC87" s="310">
        <f t="shared" si="59"/>
        <v>1990.3333333333333</v>
      </c>
      <c r="AD87" s="310">
        <f t="shared" si="60"/>
        <v>2016.5</v>
      </c>
      <c r="AE87" s="310">
        <f t="shared" si="61"/>
        <v>1995.3333333333333</v>
      </c>
      <c r="AF87" s="310">
        <f t="shared" si="62"/>
        <v>2015.5</v>
      </c>
      <c r="AG87" s="310">
        <f t="shared" si="63"/>
        <v>-8.3333333333333329E-2</v>
      </c>
    </row>
    <row r="88" spans="1:33">
      <c r="A88" s="306"/>
      <c r="B88" s="306">
        <v>2</v>
      </c>
      <c r="C88" s="306" t="str">
        <f>C87</f>
        <v>Rolloff 1</v>
      </c>
      <c r="D88" s="314">
        <v>1990</v>
      </c>
      <c r="E88" s="306">
        <v>6</v>
      </c>
      <c r="F88" s="352">
        <v>0</v>
      </c>
      <c r="G88" s="352"/>
      <c r="H88" s="314" t="s">
        <v>722</v>
      </c>
      <c r="I88" s="314">
        <v>5</v>
      </c>
      <c r="J88" s="308">
        <f t="shared" si="48"/>
        <v>1995</v>
      </c>
      <c r="K88" s="353"/>
      <c r="L88" s="306"/>
      <c r="M88" s="333">
        <v>554.1</v>
      </c>
      <c r="N88" s="21"/>
      <c r="O88" s="19">
        <f t="shared" si="49"/>
        <v>554.1</v>
      </c>
      <c r="P88" s="19">
        <f t="shared" si="50"/>
        <v>9.2350000000000012</v>
      </c>
      <c r="Q88" s="19">
        <f t="shared" si="51"/>
        <v>0</v>
      </c>
      <c r="R88" s="19"/>
      <c r="S88" s="19">
        <f t="shared" si="52"/>
        <v>0</v>
      </c>
      <c r="T88" s="19">
        <v>1</v>
      </c>
      <c r="U88" s="19">
        <f t="shared" si="53"/>
        <v>0</v>
      </c>
      <c r="V88" s="19"/>
      <c r="W88" s="19">
        <f t="shared" si="54"/>
        <v>554.1</v>
      </c>
      <c r="X88" s="19">
        <f t="shared" si="55"/>
        <v>554.1</v>
      </c>
      <c r="Y88" s="19">
        <v>1</v>
      </c>
      <c r="Z88" s="19">
        <f t="shared" si="56"/>
        <v>554.1</v>
      </c>
      <c r="AA88" s="19">
        <f t="shared" si="57"/>
        <v>554.1</v>
      </c>
      <c r="AB88" s="19">
        <f t="shared" si="58"/>
        <v>0</v>
      </c>
      <c r="AC88" s="310">
        <f t="shared" si="59"/>
        <v>1990.4166666666667</v>
      </c>
      <c r="AD88" s="310">
        <f t="shared" si="60"/>
        <v>2016.5</v>
      </c>
      <c r="AE88" s="310">
        <f t="shared" si="61"/>
        <v>1995.4166666666667</v>
      </c>
      <c r="AF88" s="310">
        <f t="shared" si="62"/>
        <v>2015.5</v>
      </c>
      <c r="AG88" s="310">
        <f t="shared" si="63"/>
        <v>-8.3333333333333329E-2</v>
      </c>
    </row>
    <row r="89" spans="1:33">
      <c r="A89" s="306"/>
      <c r="B89" s="306">
        <v>4</v>
      </c>
      <c r="C89" s="331" t="s">
        <v>770</v>
      </c>
      <c r="D89" s="314">
        <v>1990</v>
      </c>
      <c r="E89" s="306">
        <v>7</v>
      </c>
      <c r="F89" s="352">
        <v>0</v>
      </c>
      <c r="G89" s="352"/>
      <c r="H89" s="314" t="s">
        <v>722</v>
      </c>
      <c r="I89" s="314">
        <v>5</v>
      </c>
      <c r="J89" s="308">
        <f t="shared" si="48"/>
        <v>1995</v>
      </c>
      <c r="K89" s="353"/>
      <c r="L89" s="306"/>
      <c r="M89" s="333">
        <v>2397.48</v>
      </c>
      <c r="N89" s="21"/>
      <c r="O89" s="19">
        <f t="shared" si="49"/>
        <v>2397.48</v>
      </c>
      <c r="P89" s="19">
        <f t="shared" si="50"/>
        <v>39.957999999999998</v>
      </c>
      <c r="Q89" s="19">
        <f t="shared" si="51"/>
        <v>0</v>
      </c>
      <c r="R89" s="19"/>
      <c r="S89" s="19">
        <f t="shared" si="52"/>
        <v>0</v>
      </c>
      <c r="T89" s="19">
        <v>1</v>
      </c>
      <c r="U89" s="19">
        <f t="shared" si="53"/>
        <v>0</v>
      </c>
      <c r="V89" s="19"/>
      <c r="W89" s="19">
        <f t="shared" si="54"/>
        <v>2397.48</v>
      </c>
      <c r="X89" s="19">
        <f t="shared" si="55"/>
        <v>2397.48</v>
      </c>
      <c r="Y89" s="19">
        <v>1</v>
      </c>
      <c r="Z89" s="19">
        <f t="shared" si="56"/>
        <v>2397.48</v>
      </c>
      <c r="AA89" s="19">
        <f t="shared" si="57"/>
        <v>2397.48</v>
      </c>
      <c r="AB89" s="19">
        <f t="shared" si="58"/>
        <v>0</v>
      </c>
      <c r="AC89" s="310">
        <f t="shared" si="59"/>
        <v>1990.5</v>
      </c>
      <c r="AD89" s="310">
        <f t="shared" si="60"/>
        <v>2016.5</v>
      </c>
      <c r="AE89" s="310">
        <f t="shared" si="61"/>
        <v>1995.5</v>
      </c>
      <c r="AF89" s="310">
        <f t="shared" si="62"/>
        <v>2015.5</v>
      </c>
      <c r="AG89" s="310">
        <f t="shared" si="63"/>
        <v>-8.3333333333333329E-2</v>
      </c>
    </row>
    <row r="90" spans="1:33">
      <c r="A90" s="306"/>
      <c r="B90" s="306">
        <v>2</v>
      </c>
      <c r="C90" s="306" t="str">
        <f>C88</f>
        <v>Rolloff 1</v>
      </c>
      <c r="D90" s="314">
        <v>1990</v>
      </c>
      <c r="E90" s="306">
        <v>8</v>
      </c>
      <c r="F90" s="352">
        <v>0</v>
      </c>
      <c r="G90" s="352"/>
      <c r="H90" s="314" t="s">
        <v>722</v>
      </c>
      <c r="I90" s="314">
        <v>5</v>
      </c>
      <c r="J90" s="308">
        <f t="shared" si="48"/>
        <v>1995</v>
      </c>
      <c r="K90" s="353"/>
      <c r="L90" s="306"/>
      <c r="M90" s="333">
        <v>728.19</v>
      </c>
      <c r="N90" s="21"/>
      <c r="O90" s="19">
        <f t="shared" si="49"/>
        <v>728.19</v>
      </c>
      <c r="P90" s="19">
        <f t="shared" si="50"/>
        <v>12.1365</v>
      </c>
      <c r="Q90" s="19">
        <f t="shared" si="51"/>
        <v>0</v>
      </c>
      <c r="R90" s="19"/>
      <c r="S90" s="19">
        <f t="shared" si="52"/>
        <v>0</v>
      </c>
      <c r="T90" s="19">
        <v>1</v>
      </c>
      <c r="U90" s="19">
        <f t="shared" si="53"/>
        <v>0</v>
      </c>
      <c r="V90" s="19"/>
      <c r="W90" s="19">
        <f t="shared" si="54"/>
        <v>728.19</v>
      </c>
      <c r="X90" s="19">
        <f t="shared" si="55"/>
        <v>728.19</v>
      </c>
      <c r="Y90" s="19">
        <v>1</v>
      </c>
      <c r="Z90" s="19">
        <f t="shared" si="56"/>
        <v>728.19</v>
      </c>
      <c r="AA90" s="19">
        <f t="shared" si="57"/>
        <v>728.19</v>
      </c>
      <c r="AB90" s="19">
        <f t="shared" si="58"/>
        <v>0</v>
      </c>
      <c r="AC90" s="310">
        <f t="shared" si="59"/>
        <v>1990.5833333333333</v>
      </c>
      <c r="AD90" s="310">
        <f t="shared" si="60"/>
        <v>2016.5</v>
      </c>
      <c r="AE90" s="310">
        <f t="shared" si="61"/>
        <v>1995.5833333333333</v>
      </c>
      <c r="AF90" s="310">
        <f t="shared" si="62"/>
        <v>2015.5</v>
      </c>
      <c r="AG90" s="310">
        <f t="shared" si="63"/>
        <v>-8.3333333333333329E-2</v>
      </c>
    </row>
    <row r="91" spans="1:33">
      <c r="A91" s="306"/>
      <c r="B91" s="306">
        <v>4</v>
      </c>
      <c r="C91" s="306" t="str">
        <f>C89</f>
        <v>Containers 4</v>
      </c>
      <c r="D91" s="314">
        <v>1990</v>
      </c>
      <c r="E91" s="306">
        <v>9</v>
      </c>
      <c r="F91" s="352">
        <v>0</v>
      </c>
      <c r="G91" s="352"/>
      <c r="H91" s="314" t="s">
        <v>722</v>
      </c>
      <c r="I91" s="314">
        <v>5</v>
      </c>
      <c r="J91" s="308">
        <f t="shared" si="48"/>
        <v>1995</v>
      </c>
      <c r="K91" s="353"/>
      <c r="L91" s="306"/>
      <c r="M91" s="333">
        <v>1108.19</v>
      </c>
      <c r="N91" s="21"/>
      <c r="O91" s="19">
        <f t="shared" si="49"/>
        <v>1108.19</v>
      </c>
      <c r="P91" s="19">
        <f t="shared" si="50"/>
        <v>18.469833333333334</v>
      </c>
      <c r="Q91" s="19">
        <f t="shared" si="51"/>
        <v>0</v>
      </c>
      <c r="R91" s="19"/>
      <c r="S91" s="19">
        <f t="shared" si="52"/>
        <v>0</v>
      </c>
      <c r="T91" s="19">
        <v>1</v>
      </c>
      <c r="U91" s="19">
        <f t="shared" si="53"/>
        <v>0</v>
      </c>
      <c r="V91" s="19"/>
      <c r="W91" s="19">
        <f t="shared" si="54"/>
        <v>1108.19</v>
      </c>
      <c r="X91" s="19">
        <f t="shared" si="55"/>
        <v>1108.19</v>
      </c>
      <c r="Y91" s="19">
        <v>1</v>
      </c>
      <c r="Z91" s="19">
        <f t="shared" si="56"/>
        <v>1108.19</v>
      </c>
      <c r="AA91" s="19">
        <f t="shared" si="57"/>
        <v>1108.19</v>
      </c>
      <c r="AB91" s="19">
        <f t="shared" si="58"/>
        <v>0</v>
      </c>
      <c r="AC91" s="310">
        <f t="shared" si="59"/>
        <v>1990.6666666666667</v>
      </c>
      <c r="AD91" s="310">
        <f t="shared" si="60"/>
        <v>2016.5</v>
      </c>
      <c r="AE91" s="310">
        <f t="shared" si="61"/>
        <v>1995.6666666666667</v>
      </c>
      <c r="AF91" s="310">
        <f t="shared" si="62"/>
        <v>2015.5</v>
      </c>
      <c r="AG91" s="310">
        <f t="shared" si="63"/>
        <v>-8.3333333333333329E-2</v>
      </c>
    </row>
    <row r="92" spans="1:33">
      <c r="A92" s="306"/>
      <c r="B92" s="306">
        <v>1</v>
      </c>
      <c r="C92" s="306" t="str">
        <f>C82</f>
        <v>Containers 1</v>
      </c>
      <c r="D92" s="314">
        <v>1990</v>
      </c>
      <c r="E92" s="306">
        <v>12</v>
      </c>
      <c r="F92" s="352">
        <v>0</v>
      </c>
      <c r="G92" s="352"/>
      <c r="H92" s="314" t="s">
        <v>722</v>
      </c>
      <c r="I92" s="314">
        <v>5</v>
      </c>
      <c r="J92" s="308">
        <f t="shared" si="48"/>
        <v>1995</v>
      </c>
      <c r="K92" s="353"/>
      <c r="L92" s="306"/>
      <c r="M92" s="333">
        <v>855.53</v>
      </c>
      <c r="N92" s="21"/>
      <c r="O92" s="19">
        <f t="shared" si="49"/>
        <v>855.53</v>
      </c>
      <c r="P92" s="19">
        <f t="shared" si="50"/>
        <v>14.258833333333333</v>
      </c>
      <c r="Q92" s="19">
        <f t="shared" si="51"/>
        <v>0</v>
      </c>
      <c r="R92" s="19"/>
      <c r="S92" s="19">
        <f t="shared" si="52"/>
        <v>0</v>
      </c>
      <c r="T92" s="19">
        <v>1</v>
      </c>
      <c r="U92" s="19">
        <f t="shared" si="53"/>
        <v>0</v>
      </c>
      <c r="V92" s="19"/>
      <c r="W92" s="19">
        <f t="shared" si="54"/>
        <v>855.53</v>
      </c>
      <c r="X92" s="19">
        <f t="shared" si="55"/>
        <v>855.53</v>
      </c>
      <c r="Y92" s="19">
        <v>1</v>
      </c>
      <c r="Z92" s="19">
        <f t="shared" si="56"/>
        <v>855.53</v>
      </c>
      <c r="AA92" s="19">
        <f t="shared" si="57"/>
        <v>855.53</v>
      </c>
      <c r="AB92" s="19">
        <f t="shared" si="58"/>
        <v>0</v>
      </c>
      <c r="AC92" s="310">
        <f t="shared" si="59"/>
        <v>1990.9166666666667</v>
      </c>
      <c r="AD92" s="310">
        <f t="shared" si="60"/>
        <v>2016.5</v>
      </c>
      <c r="AE92" s="310">
        <f t="shared" si="61"/>
        <v>1995.9166666666667</v>
      </c>
      <c r="AF92" s="310">
        <f t="shared" si="62"/>
        <v>2015.5</v>
      </c>
      <c r="AG92" s="310">
        <f t="shared" si="63"/>
        <v>-8.3333333333333329E-2</v>
      </c>
    </row>
    <row r="93" spans="1:33">
      <c r="A93" s="306"/>
      <c r="B93" s="306">
        <v>1</v>
      </c>
      <c r="C93" s="306" t="str">
        <f>C92</f>
        <v>Containers 1</v>
      </c>
      <c r="D93" s="314">
        <v>1991</v>
      </c>
      <c r="E93" s="306">
        <v>2</v>
      </c>
      <c r="F93" s="352">
        <v>0</v>
      </c>
      <c r="G93" s="352"/>
      <c r="H93" s="314" t="s">
        <v>722</v>
      </c>
      <c r="I93" s="314">
        <v>10</v>
      </c>
      <c r="J93" s="308">
        <f t="shared" si="48"/>
        <v>2001</v>
      </c>
      <c r="K93" s="353"/>
      <c r="L93" s="306"/>
      <c r="M93" s="333">
        <v>4521.01</v>
      </c>
      <c r="N93" s="21"/>
      <c r="O93" s="19">
        <f t="shared" si="49"/>
        <v>4521.01</v>
      </c>
      <c r="P93" s="19">
        <f t="shared" si="50"/>
        <v>37.675083333333333</v>
      </c>
      <c r="Q93" s="19">
        <f t="shared" si="51"/>
        <v>0</v>
      </c>
      <c r="R93" s="19"/>
      <c r="S93" s="19">
        <f t="shared" si="52"/>
        <v>0</v>
      </c>
      <c r="T93" s="19">
        <v>1</v>
      </c>
      <c r="U93" s="19">
        <f t="shared" si="53"/>
        <v>0</v>
      </c>
      <c r="V93" s="19"/>
      <c r="W93" s="19">
        <f t="shared" si="54"/>
        <v>4521.01</v>
      </c>
      <c r="X93" s="19">
        <f t="shared" si="55"/>
        <v>4521.01</v>
      </c>
      <c r="Y93" s="19">
        <v>1</v>
      </c>
      <c r="Z93" s="19">
        <f t="shared" si="56"/>
        <v>4521.01</v>
      </c>
      <c r="AA93" s="19">
        <f t="shared" si="57"/>
        <v>4521.01</v>
      </c>
      <c r="AB93" s="19">
        <f t="shared" si="58"/>
        <v>0</v>
      </c>
      <c r="AC93" s="310">
        <f t="shared" si="59"/>
        <v>1991.0833333333333</v>
      </c>
      <c r="AD93" s="310">
        <f t="shared" si="60"/>
        <v>2016.5</v>
      </c>
      <c r="AE93" s="310">
        <f t="shared" si="61"/>
        <v>2001.0833333333333</v>
      </c>
      <c r="AF93" s="310">
        <f t="shared" si="62"/>
        <v>2015.5</v>
      </c>
      <c r="AG93" s="310">
        <f t="shared" si="63"/>
        <v>-8.3333333333333329E-2</v>
      </c>
    </row>
    <row r="94" spans="1:33">
      <c r="A94" s="306"/>
      <c r="B94" s="306">
        <v>1</v>
      </c>
      <c r="C94" s="306" t="str">
        <f>C92</f>
        <v>Containers 1</v>
      </c>
      <c r="D94" s="314">
        <v>1991</v>
      </c>
      <c r="E94" s="306">
        <v>2</v>
      </c>
      <c r="F94" s="352">
        <v>0</v>
      </c>
      <c r="G94" s="352"/>
      <c r="H94" s="314" t="s">
        <v>722</v>
      </c>
      <c r="I94" s="314">
        <v>5</v>
      </c>
      <c r="J94" s="308">
        <f t="shared" si="48"/>
        <v>1996</v>
      </c>
      <c r="K94" s="353"/>
      <c r="L94" s="306"/>
      <c r="M94" s="333">
        <v>295.64999999999998</v>
      </c>
      <c r="N94" s="21"/>
      <c r="O94" s="19">
        <f t="shared" si="49"/>
        <v>295.64999999999998</v>
      </c>
      <c r="P94" s="19">
        <f t="shared" si="50"/>
        <v>4.9274999999999993</v>
      </c>
      <c r="Q94" s="19">
        <f t="shared" si="51"/>
        <v>0</v>
      </c>
      <c r="R94" s="19"/>
      <c r="S94" s="19">
        <f t="shared" si="52"/>
        <v>0</v>
      </c>
      <c r="T94" s="19">
        <v>1</v>
      </c>
      <c r="U94" s="19">
        <f t="shared" si="53"/>
        <v>0</v>
      </c>
      <c r="V94" s="19"/>
      <c r="W94" s="19">
        <f t="shared" si="54"/>
        <v>295.64999999999998</v>
      </c>
      <c r="X94" s="19">
        <f t="shared" si="55"/>
        <v>295.64999999999998</v>
      </c>
      <c r="Y94" s="19">
        <v>1</v>
      </c>
      <c r="Z94" s="19">
        <f t="shared" si="56"/>
        <v>295.64999999999998</v>
      </c>
      <c r="AA94" s="19">
        <f t="shared" si="57"/>
        <v>295.64999999999998</v>
      </c>
      <c r="AB94" s="19">
        <f t="shared" si="58"/>
        <v>0</v>
      </c>
      <c r="AC94" s="310">
        <f t="shared" si="59"/>
        <v>1991.0833333333333</v>
      </c>
      <c r="AD94" s="310">
        <f t="shared" si="60"/>
        <v>2016.5</v>
      </c>
      <c r="AE94" s="310">
        <f t="shared" si="61"/>
        <v>1996.0833333333333</v>
      </c>
      <c r="AF94" s="310">
        <f t="shared" si="62"/>
        <v>2015.5</v>
      </c>
      <c r="AG94" s="310">
        <f t="shared" si="63"/>
        <v>-8.3333333333333329E-2</v>
      </c>
    </row>
    <row r="95" spans="1:33">
      <c r="A95" s="306"/>
      <c r="B95" s="306">
        <v>2</v>
      </c>
      <c r="C95" s="331" t="s">
        <v>776</v>
      </c>
      <c r="D95" s="314">
        <v>1991</v>
      </c>
      <c r="E95" s="306">
        <v>4</v>
      </c>
      <c r="F95" s="352">
        <v>0</v>
      </c>
      <c r="G95" s="352"/>
      <c r="H95" s="314" t="s">
        <v>722</v>
      </c>
      <c r="I95" s="314">
        <v>5</v>
      </c>
      <c r="J95" s="308">
        <f t="shared" si="48"/>
        <v>1996</v>
      </c>
      <c r="K95" s="353"/>
      <c r="L95" s="306"/>
      <c r="M95" s="333">
        <v>554.61</v>
      </c>
      <c r="N95" s="21"/>
      <c r="O95" s="19">
        <f t="shared" si="49"/>
        <v>554.61</v>
      </c>
      <c r="P95" s="19">
        <f t="shared" si="50"/>
        <v>9.2434999999999992</v>
      </c>
      <c r="Q95" s="19">
        <f t="shared" si="51"/>
        <v>0</v>
      </c>
      <c r="R95" s="19"/>
      <c r="S95" s="19">
        <f t="shared" si="52"/>
        <v>0</v>
      </c>
      <c r="T95" s="19">
        <v>1</v>
      </c>
      <c r="U95" s="19">
        <f t="shared" si="53"/>
        <v>0</v>
      </c>
      <c r="V95" s="19"/>
      <c r="W95" s="19">
        <f t="shared" si="54"/>
        <v>554.61</v>
      </c>
      <c r="X95" s="19">
        <f t="shared" si="55"/>
        <v>554.61</v>
      </c>
      <c r="Y95" s="19">
        <v>1</v>
      </c>
      <c r="Z95" s="19">
        <f t="shared" si="56"/>
        <v>554.61</v>
      </c>
      <c r="AA95" s="19">
        <f t="shared" si="57"/>
        <v>554.61</v>
      </c>
      <c r="AB95" s="19">
        <f t="shared" si="58"/>
        <v>0</v>
      </c>
      <c r="AC95" s="310">
        <f t="shared" si="59"/>
        <v>1991.25</v>
      </c>
      <c r="AD95" s="310">
        <f t="shared" si="60"/>
        <v>2016.5</v>
      </c>
      <c r="AE95" s="310">
        <f t="shared" si="61"/>
        <v>1996.25</v>
      </c>
      <c r="AF95" s="310">
        <f t="shared" si="62"/>
        <v>2015.5</v>
      </c>
      <c r="AG95" s="310">
        <f t="shared" si="63"/>
        <v>-8.3333333333333329E-2</v>
      </c>
    </row>
    <row r="96" spans="1:33">
      <c r="A96" s="306"/>
      <c r="B96" s="306">
        <v>1</v>
      </c>
      <c r="C96" s="306" t="str">
        <f>C94</f>
        <v>Containers 1</v>
      </c>
      <c r="D96" s="314">
        <v>1991</v>
      </c>
      <c r="E96" s="306">
        <v>5</v>
      </c>
      <c r="F96" s="352">
        <v>0</v>
      </c>
      <c r="G96" s="352"/>
      <c r="H96" s="314" t="s">
        <v>722</v>
      </c>
      <c r="I96" s="314">
        <v>5</v>
      </c>
      <c r="J96" s="308">
        <f t="shared" si="48"/>
        <v>1996</v>
      </c>
      <c r="K96" s="353"/>
      <c r="L96" s="306"/>
      <c r="M96" s="333">
        <v>622.04999999999995</v>
      </c>
      <c r="N96" s="21"/>
      <c r="O96" s="19">
        <f t="shared" si="49"/>
        <v>622.04999999999995</v>
      </c>
      <c r="P96" s="19">
        <f t="shared" si="50"/>
        <v>10.3675</v>
      </c>
      <c r="Q96" s="19">
        <f t="shared" si="51"/>
        <v>0</v>
      </c>
      <c r="R96" s="19"/>
      <c r="S96" s="19">
        <f t="shared" si="52"/>
        <v>0</v>
      </c>
      <c r="T96" s="19">
        <v>1</v>
      </c>
      <c r="U96" s="19">
        <f t="shared" si="53"/>
        <v>0</v>
      </c>
      <c r="V96" s="19"/>
      <c r="W96" s="19">
        <f t="shared" si="54"/>
        <v>622.04999999999995</v>
      </c>
      <c r="X96" s="19">
        <f t="shared" si="55"/>
        <v>622.04999999999995</v>
      </c>
      <c r="Y96" s="19">
        <v>1</v>
      </c>
      <c r="Z96" s="19">
        <f t="shared" si="56"/>
        <v>622.04999999999995</v>
      </c>
      <c r="AA96" s="19">
        <f t="shared" si="57"/>
        <v>622.04999999999995</v>
      </c>
      <c r="AB96" s="19">
        <f t="shared" si="58"/>
        <v>0</v>
      </c>
      <c r="AC96" s="310">
        <f t="shared" si="59"/>
        <v>1991.3333333333333</v>
      </c>
      <c r="AD96" s="310">
        <f t="shared" si="60"/>
        <v>2016.5</v>
      </c>
      <c r="AE96" s="310">
        <f t="shared" si="61"/>
        <v>1996.3333333333333</v>
      </c>
      <c r="AF96" s="310">
        <f t="shared" si="62"/>
        <v>2015.5</v>
      </c>
      <c r="AG96" s="310">
        <f t="shared" si="63"/>
        <v>-8.3333333333333329E-2</v>
      </c>
    </row>
    <row r="97" spans="1:33">
      <c r="A97" s="306"/>
      <c r="C97" s="331" t="s">
        <v>782</v>
      </c>
      <c r="D97" s="314">
        <v>1991</v>
      </c>
      <c r="E97" s="306">
        <v>8</v>
      </c>
      <c r="F97" s="352">
        <v>0</v>
      </c>
      <c r="G97" s="352"/>
      <c r="H97" s="314" t="s">
        <v>722</v>
      </c>
      <c r="I97" s="314">
        <v>5</v>
      </c>
      <c r="J97" s="308">
        <f t="shared" si="48"/>
        <v>1996</v>
      </c>
      <c r="K97" s="353"/>
      <c r="L97" s="306"/>
      <c r="M97" s="333">
        <v>464.19</v>
      </c>
      <c r="N97" s="21"/>
      <c r="O97" s="19">
        <f t="shared" si="49"/>
        <v>464.19</v>
      </c>
      <c r="P97" s="19">
        <f t="shared" si="50"/>
        <v>7.7364999999999995</v>
      </c>
      <c r="Q97" s="19">
        <f t="shared" si="51"/>
        <v>0</v>
      </c>
      <c r="R97" s="19"/>
      <c r="S97" s="19">
        <f t="shared" si="52"/>
        <v>0</v>
      </c>
      <c r="T97" s="19">
        <v>1</v>
      </c>
      <c r="U97" s="19">
        <f t="shared" si="53"/>
        <v>0</v>
      </c>
      <c r="V97" s="19"/>
      <c r="W97" s="19">
        <f t="shared" si="54"/>
        <v>464.19</v>
      </c>
      <c r="X97" s="19">
        <f t="shared" si="55"/>
        <v>464.19</v>
      </c>
      <c r="Y97" s="19">
        <v>1</v>
      </c>
      <c r="Z97" s="19">
        <f t="shared" si="56"/>
        <v>464.19</v>
      </c>
      <c r="AA97" s="19">
        <f t="shared" si="57"/>
        <v>464.19</v>
      </c>
      <c r="AB97" s="19">
        <f t="shared" si="58"/>
        <v>0</v>
      </c>
      <c r="AC97" s="310">
        <f t="shared" si="59"/>
        <v>1991.5833333333333</v>
      </c>
      <c r="AD97" s="310">
        <f t="shared" si="60"/>
        <v>2016.5</v>
      </c>
      <c r="AE97" s="310">
        <f t="shared" si="61"/>
        <v>1996.5833333333333</v>
      </c>
      <c r="AF97" s="310">
        <f t="shared" si="62"/>
        <v>2015.5</v>
      </c>
      <c r="AG97" s="310">
        <f t="shared" si="63"/>
        <v>-8.3333333333333329E-2</v>
      </c>
    </row>
    <row r="98" spans="1:33">
      <c r="A98" s="306"/>
      <c r="B98" s="306">
        <v>2</v>
      </c>
      <c r="C98" s="306" t="str">
        <f>C95</f>
        <v>Containers 2</v>
      </c>
      <c r="D98" s="314">
        <v>1991</v>
      </c>
      <c r="E98" s="306">
        <v>9</v>
      </c>
      <c r="F98" s="352">
        <v>0</v>
      </c>
      <c r="G98" s="352"/>
      <c r="H98" s="314" t="s">
        <v>722</v>
      </c>
      <c r="I98" s="314">
        <v>5</v>
      </c>
      <c r="J98" s="308">
        <f t="shared" si="48"/>
        <v>1996</v>
      </c>
      <c r="K98" s="353"/>
      <c r="L98" s="306"/>
      <c r="M98" s="333">
        <v>3608.18</v>
      </c>
      <c r="N98" s="21"/>
      <c r="O98" s="19">
        <f t="shared" si="49"/>
        <v>3608.18</v>
      </c>
      <c r="P98" s="19">
        <f t="shared" si="50"/>
        <v>60.136333333333333</v>
      </c>
      <c r="Q98" s="19">
        <f t="shared" si="51"/>
        <v>0</v>
      </c>
      <c r="R98" s="19"/>
      <c r="S98" s="19">
        <f t="shared" si="52"/>
        <v>0</v>
      </c>
      <c r="T98" s="19">
        <v>1</v>
      </c>
      <c r="U98" s="19">
        <f t="shared" si="53"/>
        <v>0</v>
      </c>
      <c r="V98" s="19"/>
      <c r="W98" s="19">
        <f t="shared" si="54"/>
        <v>3608.18</v>
      </c>
      <c r="X98" s="19">
        <f t="shared" si="55"/>
        <v>3608.18</v>
      </c>
      <c r="Y98" s="19">
        <v>1</v>
      </c>
      <c r="Z98" s="19">
        <f t="shared" si="56"/>
        <v>3608.18</v>
      </c>
      <c r="AA98" s="19">
        <f t="shared" si="57"/>
        <v>3608.18</v>
      </c>
      <c r="AB98" s="19">
        <f t="shared" si="58"/>
        <v>0</v>
      </c>
      <c r="AC98" s="310">
        <f t="shared" si="59"/>
        <v>1991.6666666666667</v>
      </c>
      <c r="AD98" s="310">
        <f t="shared" si="60"/>
        <v>2016.5</v>
      </c>
      <c r="AE98" s="310">
        <f t="shared" si="61"/>
        <v>1996.6666666666667</v>
      </c>
      <c r="AF98" s="310">
        <f t="shared" si="62"/>
        <v>2015.5</v>
      </c>
      <c r="AG98" s="310">
        <f t="shared" si="63"/>
        <v>-8.3333333333333329E-2</v>
      </c>
    </row>
    <row r="99" spans="1:33">
      <c r="A99" s="306"/>
      <c r="C99" s="331" t="s">
        <v>783</v>
      </c>
      <c r="D99" s="314">
        <v>1991</v>
      </c>
      <c r="E99" s="306">
        <v>10</v>
      </c>
      <c r="F99" s="352">
        <v>0</v>
      </c>
      <c r="G99" s="352"/>
      <c r="H99" s="314" t="s">
        <v>722</v>
      </c>
      <c r="I99" s="314">
        <v>5</v>
      </c>
      <c r="J99" s="308">
        <f t="shared" si="48"/>
        <v>1996</v>
      </c>
      <c r="K99" s="353"/>
      <c r="L99" s="306"/>
      <c r="M99" s="333">
        <v>439.16</v>
      </c>
      <c r="N99" s="21"/>
      <c r="O99" s="19">
        <f t="shared" si="49"/>
        <v>439.16</v>
      </c>
      <c r="P99" s="19">
        <f t="shared" si="50"/>
        <v>7.3193333333333337</v>
      </c>
      <c r="Q99" s="19">
        <f t="shared" si="51"/>
        <v>0</v>
      </c>
      <c r="R99" s="19"/>
      <c r="S99" s="19">
        <f t="shared" si="52"/>
        <v>0</v>
      </c>
      <c r="T99" s="19">
        <v>1</v>
      </c>
      <c r="U99" s="19">
        <f t="shared" si="53"/>
        <v>0</v>
      </c>
      <c r="V99" s="19"/>
      <c r="W99" s="19">
        <f t="shared" si="54"/>
        <v>439.16</v>
      </c>
      <c r="X99" s="19">
        <f t="shared" si="55"/>
        <v>439.16</v>
      </c>
      <c r="Y99" s="19">
        <v>1</v>
      </c>
      <c r="Z99" s="19">
        <f t="shared" si="56"/>
        <v>439.16</v>
      </c>
      <c r="AA99" s="19">
        <f t="shared" si="57"/>
        <v>439.16</v>
      </c>
      <c r="AB99" s="19">
        <f t="shared" si="58"/>
        <v>0</v>
      </c>
      <c r="AC99" s="310">
        <f t="shared" si="59"/>
        <v>1991.75</v>
      </c>
      <c r="AD99" s="310">
        <f t="shared" si="60"/>
        <v>2016.5</v>
      </c>
      <c r="AE99" s="310">
        <f t="shared" si="61"/>
        <v>1996.75</v>
      </c>
      <c r="AF99" s="310">
        <f t="shared" si="62"/>
        <v>2015.5</v>
      </c>
      <c r="AG99" s="310">
        <f t="shared" si="63"/>
        <v>-8.3333333333333329E-2</v>
      </c>
    </row>
    <row r="100" spans="1:33">
      <c r="A100" s="306"/>
      <c r="B100" s="306">
        <v>1</v>
      </c>
      <c r="C100" s="331" t="s">
        <v>784</v>
      </c>
      <c r="D100" s="314">
        <v>1992</v>
      </c>
      <c r="E100" s="306">
        <v>2</v>
      </c>
      <c r="F100" s="352">
        <v>0</v>
      </c>
      <c r="G100" s="352"/>
      <c r="H100" s="314" t="s">
        <v>722</v>
      </c>
      <c r="I100" s="314">
        <v>10</v>
      </c>
      <c r="J100" s="308">
        <f t="shared" si="48"/>
        <v>2002</v>
      </c>
      <c r="K100" s="353"/>
      <c r="L100" s="306"/>
      <c r="M100" s="333">
        <v>969</v>
      </c>
      <c r="N100" s="21"/>
      <c r="O100" s="19">
        <f t="shared" si="49"/>
        <v>969</v>
      </c>
      <c r="P100" s="19">
        <f t="shared" si="50"/>
        <v>8.0750000000000011</v>
      </c>
      <c r="Q100" s="19">
        <f t="shared" si="51"/>
        <v>0</v>
      </c>
      <c r="R100" s="19"/>
      <c r="S100" s="19">
        <f t="shared" si="52"/>
        <v>0</v>
      </c>
      <c r="T100" s="19">
        <v>1</v>
      </c>
      <c r="U100" s="19">
        <f t="shared" si="53"/>
        <v>0</v>
      </c>
      <c r="V100" s="19"/>
      <c r="W100" s="19">
        <f t="shared" si="54"/>
        <v>969</v>
      </c>
      <c r="X100" s="19">
        <f t="shared" si="55"/>
        <v>969</v>
      </c>
      <c r="Y100" s="19">
        <v>1</v>
      </c>
      <c r="Z100" s="19">
        <f t="shared" si="56"/>
        <v>969</v>
      </c>
      <c r="AA100" s="19">
        <f t="shared" si="57"/>
        <v>969</v>
      </c>
      <c r="AB100" s="19">
        <f t="shared" si="58"/>
        <v>0</v>
      </c>
      <c r="AC100" s="310">
        <f t="shared" si="59"/>
        <v>1992.0833333333333</v>
      </c>
      <c r="AD100" s="310">
        <f t="shared" si="60"/>
        <v>2016.5</v>
      </c>
      <c r="AE100" s="310">
        <f t="shared" si="61"/>
        <v>2002.0833333333333</v>
      </c>
      <c r="AF100" s="310">
        <f t="shared" si="62"/>
        <v>2015.5</v>
      </c>
      <c r="AG100" s="310">
        <f t="shared" si="63"/>
        <v>-8.3333333333333329E-2</v>
      </c>
    </row>
    <row r="101" spans="1:33">
      <c r="A101" s="306"/>
      <c r="B101" s="306">
        <v>1</v>
      </c>
      <c r="C101" s="306" t="str">
        <f>C100</f>
        <v>6 Yd. Containers 1</v>
      </c>
      <c r="D101" s="314">
        <v>1992</v>
      </c>
      <c r="E101" s="306">
        <v>2</v>
      </c>
      <c r="F101" s="352">
        <v>0</v>
      </c>
      <c r="G101" s="352"/>
      <c r="H101" s="314" t="s">
        <v>722</v>
      </c>
      <c r="I101" s="314">
        <v>10</v>
      </c>
      <c r="J101" s="308">
        <f t="shared" si="48"/>
        <v>2002</v>
      </c>
      <c r="K101" s="353"/>
      <c r="L101" s="306"/>
      <c r="M101" s="333">
        <v>969</v>
      </c>
      <c r="N101" s="21"/>
      <c r="O101" s="19">
        <f t="shared" si="49"/>
        <v>969</v>
      </c>
      <c r="P101" s="19">
        <f t="shared" si="50"/>
        <v>8.0750000000000011</v>
      </c>
      <c r="Q101" s="19">
        <f t="shared" si="51"/>
        <v>0</v>
      </c>
      <c r="R101" s="19"/>
      <c r="S101" s="19">
        <f t="shared" si="52"/>
        <v>0</v>
      </c>
      <c r="T101" s="19">
        <v>1</v>
      </c>
      <c r="U101" s="19">
        <f t="shared" si="53"/>
        <v>0</v>
      </c>
      <c r="V101" s="19"/>
      <c r="W101" s="19">
        <f t="shared" si="54"/>
        <v>969</v>
      </c>
      <c r="X101" s="19">
        <f t="shared" si="55"/>
        <v>969</v>
      </c>
      <c r="Y101" s="19">
        <v>1</v>
      </c>
      <c r="Z101" s="19">
        <f t="shared" si="56"/>
        <v>969</v>
      </c>
      <c r="AA101" s="19">
        <f t="shared" si="57"/>
        <v>969</v>
      </c>
      <c r="AB101" s="19">
        <f t="shared" si="58"/>
        <v>0</v>
      </c>
      <c r="AC101" s="310">
        <f t="shared" si="59"/>
        <v>1992.0833333333333</v>
      </c>
      <c r="AD101" s="310">
        <f t="shared" si="60"/>
        <v>2016.5</v>
      </c>
      <c r="AE101" s="310">
        <f t="shared" si="61"/>
        <v>2002.0833333333333</v>
      </c>
      <c r="AF101" s="310">
        <f t="shared" si="62"/>
        <v>2015.5</v>
      </c>
      <c r="AG101" s="310">
        <f t="shared" si="63"/>
        <v>-8.3333333333333329E-2</v>
      </c>
    </row>
    <row r="102" spans="1:33">
      <c r="A102" s="306"/>
      <c r="C102" s="331" t="s">
        <v>785</v>
      </c>
      <c r="D102" s="314">
        <v>1992</v>
      </c>
      <c r="E102" s="306">
        <v>4</v>
      </c>
      <c r="F102" s="352">
        <v>0</v>
      </c>
      <c r="G102" s="352"/>
      <c r="H102" s="314" t="s">
        <v>722</v>
      </c>
      <c r="I102" s="314">
        <v>5</v>
      </c>
      <c r="J102" s="308">
        <f t="shared" si="48"/>
        <v>1997</v>
      </c>
      <c r="K102" s="353"/>
      <c r="L102" s="306"/>
      <c r="M102" s="333">
        <v>75.8</v>
      </c>
      <c r="N102" s="21"/>
      <c r="O102" s="19">
        <f t="shared" si="49"/>
        <v>75.8</v>
      </c>
      <c r="P102" s="19">
        <f t="shared" si="50"/>
        <v>1.2633333333333334</v>
      </c>
      <c r="Q102" s="19">
        <f t="shared" si="51"/>
        <v>0</v>
      </c>
      <c r="R102" s="19"/>
      <c r="S102" s="19">
        <f t="shared" si="52"/>
        <v>0</v>
      </c>
      <c r="T102" s="19">
        <v>1</v>
      </c>
      <c r="U102" s="19">
        <f t="shared" si="53"/>
        <v>0</v>
      </c>
      <c r="V102" s="19"/>
      <c r="W102" s="19">
        <f t="shared" si="54"/>
        <v>75.8</v>
      </c>
      <c r="X102" s="19">
        <f t="shared" si="55"/>
        <v>75.8</v>
      </c>
      <c r="Y102" s="19">
        <v>1</v>
      </c>
      <c r="Z102" s="19">
        <f t="shared" si="56"/>
        <v>75.8</v>
      </c>
      <c r="AA102" s="19">
        <f t="shared" si="57"/>
        <v>75.8</v>
      </c>
      <c r="AB102" s="19">
        <f t="shared" si="58"/>
        <v>0</v>
      </c>
      <c r="AC102" s="310">
        <f t="shared" si="59"/>
        <v>1992.25</v>
      </c>
      <c r="AD102" s="310">
        <f t="shared" si="60"/>
        <v>2016.5</v>
      </c>
      <c r="AE102" s="310">
        <f t="shared" si="61"/>
        <v>1997.25</v>
      </c>
      <c r="AF102" s="310">
        <f t="shared" si="62"/>
        <v>2015.5</v>
      </c>
      <c r="AG102" s="310">
        <f t="shared" si="63"/>
        <v>-8.3333333333333329E-2</v>
      </c>
    </row>
    <row r="103" spans="1:33">
      <c r="A103" s="306"/>
      <c r="B103" s="306">
        <v>1</v>
      </c>
      <c r="C103" s="306" t="str">
        <f>C101</f>
        <v>6 Yd. Containers 1</v>
      </c>
      <c r="D103" s="314">
        <v>1992</v>
      </c>
      <c r="E103" s="306">
        <v>7</v>
      </c>
      <c r="F103" s="352">
        <v>0</v>
      </c>
      <c r="G103" s="352"/>
      <c r="H103" s="314" t="s">
        <v>722</v>
      </c>
      <c r="I103" s="314">
        <v>10</v>
      </c>
      <c r="J103" s="308">
        <f t="shared" si="48"/>
        <v>2002</v>
      </c>
      <c r="K103" s="353"/>
      <c r="L103" s="306"/>
      <c r="M103" s="333">
        <v>968.76</v>
      </c>
      <c r="N103" s="21"/>
      <c r="O103" s="19">
        <f t="shared" si="49"/>
        <v>968.76</v>
      </c>
      <c r="P103" s="19">
        <f t="shared" si="50"/>
        <v>8.0730000000000004</v>
      </c>
      <c r="Q103" s="19">
        <f t="shared" si="51"/>
        <v>0</v>
      </c>
      <c r="R103" s="19"/>
      <c r="S103" s="19">
        <f t="shared" si="52"/>
        <v>0</v>
      </c>
      <c r="T103" s="19">
        <v>1</v>
      </c>
      <c r="U103" s="19">
        <f t="shared" si="53"/>
        <v>0</v>
      </c>
      <c r="V103" s="19"/>
      <c r="W103" s="19">
        <f t="shared" si="54"/>
        <v>968.76</v>
      </c>
      <c r="X103" s="19">
        <f t="shared" si="55"/>
        <v>968.76</v>
      </c>
      <c r="Y103" s="19">
        <v>1</v>
      </c>
      <c r="Z103" s="19">
        <f t="shared" si="56"/>
        <v>968.76</v>
      </c>
      <c r="AA103" s="19">
        <f t="shared" si="57"/>
        <v>968.76</v>
      </c>
      <c r="AB103" s="19">
        <f t="shared" si="58"/>
        <v>0</v>
      </c>
      <c r="AC103" s="310">
        <f t="shared" si="59"/>
        <v>1992.5</v>
      </c>
      <c r="AD103" s="310">
        <f t="shared" si="60"/>
        <v>2016.5</v>
      </c>
      <c r="AE103" s="310">
        <f t="shared" si="61"/>
        <v>2002.5</v>
      </c>
      <c r="AF103" s="310">
        <f t="shared" si="62"/>
        <v>2015.5</v>
      </c>
      <c r="AG103" s="310">
        <f t="shared" si="63"/>
        <v>-8.3333333333333329E-2</v>
      </c>
    </row>
    <row r="104" spans="1:33">
      <c r="A104" s="306"/>
      <c r="B104" s="306">
        <v>1</v>
      </c>
      <c r="C104" s="306" t="str">
        <f>C103</f>
        <v>6 Yd. Containers 1</v>
      </c>
      <c r="D104" s="314">
        <v>1992</v>
      </c>
      <c r="E104" s="306">
        <v>9</v>
      </c>
      <c r="F104" s="352">
        <v>0</v>
      </c>
      <c r="G104" s="352"/>
      <c r="H104" s="314" t="s">
        <v>722</v>
      </c>
      <c r="I104" s="314">
        <v>10</v>
      </c>
      <c r="J104" s="308">
        <f t="shared" si="48"/>
        <v>2002</v>
      </c>
      <c r="K104" s="353"/>
      <c r="L104" s="306"/>
      <c r="M104" s="333">
        <v>1050</v>
      </c>
      <c r="N104" s="21"/>
      <c r="O104" s="19">
        <f t="shared" si="49"/>
        <v>1050</v>
      </c>
      <c r="P104" s="19">
        <f t="shared" si="50"/>
        <v>8.75</v>
      </c>
      <c r="Q104" s="19">
        <f t="shared" si="51"/>
        <v>0</v>
      </c>
      <c r="R104" s="19"/>
      <c r="S104" s="19">
        <f t="shared" si="52"/>
        <v>0</v>
      </c>
      <c r="T104" s="19">
        <v>1</v>
      </c>
      <c r="U104" s="19">
        <f t="shared" si="53"/>
        <v>0</v>
      </c>
      <c r="V104" s="19"/>
      <c r="W104" s="19">
        <f t="shared" si="54"/>
        <v>1050</v>
      </c>
      <c r="X104" s="19">
        <f t="shared" si="55"/>
        <v>1050</v>
      </c>
      <c r="Y104" s="19">
        <v>1</v>
      </c>
      <c r="Z104" s="19">
        <f t="shared" si="56"/>
        <v>1050</v>
      </c>
      <c r="AA104" s="19">
        <f t="shared" si="57"/>
        <v>1050</v>
      </c>
      <c r="AB104" s="19">
        <f t="shared" si="58"/>
        <v>0</v>
      </c>
      <c r="AC104" s="310">
        <f t="shared" si="59"/>
        <v>1992.6666666666667</v>
      </c>
      <c r="AD104" s="310">
        <f t="shared" si="60"/>
        <v>2016.5</v>
      </c>
      <c r="AE104" s="310">
        <f t="shared" si="61"/>
        <v>2002.6666666666667</v>
      </c>
      <c r="AF104" s="310">
        <f t="shared" si="62"/>
        <v>2015.5</v>
      </c>
      <c r="AG104" s="310">
        <f t="shared" si="63"/>
        <v>-8.3333333333333329E-2</v>
      </c>
    </row>
    <row r="105" spans="1:33">
      <c r="A105" s="306"/>
      <c r="B105" s="306">
        <v>1</v>
      </c>
      <c r="C105" s="306" t="str">
        <f>C104</f>
        <v>6 Yd. Containers 1</v>
      </c>
      <c r="D105" s="314">
        <v>1992</v>
      </c>
      <c r="E105" s="306">
        <v>11</v>
      </c>
      <c r="F105" s="352">
        <v>0</v>
      </c>
      <c r="G105" s="352"/>
      <c r="H105" s="314" t="s">
        <v>722</v>
      </c>
      <c r="I105" s="314">
        <v>10</v>
      </c>
      <c r="J105" s="308">
        <f t="shared" si="48"/>
        <v>2002</v>
      </c>
      <c r="K105" s="353"/>
      <c r="L105" s="306"/>
      <c r="M105" s="333">
        <v>1025</v>
      </c>
      <c r="N105" s="21"/>
      <c r="O105" s="19">
        <f t="shared" si="49"/>
        <v>1025</v>
      </c>
      <c r="P105" s="19">
        <f t="shared" si="50"/>
        <v>8.5416666666666661</v>
      </c>
      <c r="Q105" s="19">
        <f t="shared" si="51"/>
        <v>0</v>
      </c>
      <c r="R105" s="19"/>
      <c r="S105" s="19">
        <f t="shared" si="52"/>
        <v>0</v>
      </c>
      <c r="T105" s="19">
        <v>1</v>
      </c>
      <c r="U105" s="19">
        <f t="shared" si="53"/>
        <v>0</v>
      </c>
      <c r="V105" s="19"/>
      <c r="W105" s="19">
        <f t="shared" si="54"/>
        <v>1025</v>
      </c>
      <c r="X105" s="19">
        <f t="shared" si="55"/>
        <v>1025</v>
      </c>
      <c r="Y105" s="19">
        <v>1</v>
      </c>
      <c r="Z105" s="19">
        <f t="shared" si="56"/>
        <v>1025</v>
      </c>
      <c r="AA105" s="19">
        <f t="shared" si="57"/>
        <v>1025</v>
      </c>
      <c r="AB105" s="19">
        <f t="shared" si="58"/>
        <v>0</v>
      </c>
      <c r="AC105" s="310">
        <f t="shared" si="59"/>
        <v>1992.8333333333333</v>
      </c>
      <c r="AD105" s="310">
        <f t="shared" si="60"/>
        <v>2016.5</v>
      </c>
      <c r="AE105" s="310">
        <f t="shared" si="61"/>
        <v>2002.8333333333333</v>
      </c>
      <c r="AF105" s="310">
        <f t="shared" si="62"/>
        <v>2015.5</v>
      </c>
      <c r="AG105" s="310">
        <f t="shared" si="63"/>
        <v>-8.3333333333333329E-2</v>
      </c>
    </row>
    <row r="106" spans="1:33">
      <c r="A106" s="306"/>
      <c r="C106" s="331" t="s">
        <v>786</v>
      </c>
      <c r="D106" s="314">
        <v>1993</v>
      </c>
      <c r="E106" s="306">
        <v>2</v>
      </c>
      <c r="F106" s="352">
        <v>0</v>
      </c>
      <c r="G106" s="352"/>
      <c r="H106" s="314" t="s">
        <v>722</v>
      </c>
      <c r="I106" s="314">
        <v>10</v>
      </c>
      <c r="J106" s="308">
        <f t="shared" si="48"/>
        <v>2003</v>
      </c>
      <c r="K106" s="353"/>
      <c r="L106" s="306"/>
      <c r="M106" s="333">
        <v>577.79999999999995</v>
      </c>
      <c r="N106" s="21"/>
      <c r="O106" s="19">
        <f t="shared" si="49"/>
        <v>577.79999999999995</v>
      </c>
      <c r="P106" s="19">
        <f t="shared" si="50"/>
        <v>4.8149999999999995</v>
      </c>
      <c r="Q106" s="19">
        <f t="shared" si="51"/>
        <v>0</v>
      </c>
      <c r="R106" s="19"/>
      <c r="S106" s="19">
        <f t="shared" si="52"/>
        <v>0</v>
      </c>
      <c r="T106" s="19">
        <v>1</v>
      </c>
      <c r="U106" s="19">
        <f t="shared" si="53"/>
        <v>0</v>
      </c>
      <c r="V106" s="19"/>
      <c r="W106" s="19">
        <f t="shared" si="54"/>
        <v>577.79999999999995</v>
      </c>
      <c r="X106" s="19">
        <f t="shared" si="55"/>
        <v>577.79999999999995</v>
      </c>
      <c r="Y106" s="19">
        <v>1</v>
      </c>
      <c r="Z106" s="19">
        <f t="shared" si="56"/>
        <v>577.79999999999995</v>
      </c>
      <c r="AA106" s="19">
        <f t="shared" si="57"/>
        <v>577.79999999999995</v>
      </c>
      <c r="AB106" s="19">
        <f t="shared" si="58"/>
        <v>0</v>
      </c>
      <c r="AC106" s="310">
        <f t="shared" si="59"/>
        <v>1993.0833333333333</v>
      </c>
      <c r="AD106" s="310">
        <f t="shared" si="60"/>
        <v>2016.5</v>
      </c>
      <c r="AE106" s="310">
        <f t="shared" si="61"/>
        <v>2003.0833333333333</v>
      </c>
      <c r="AF106" s="310">
        <f t="shared" si="62"/>
        <v>2015.5</v>
      </c>
      <c r="AG106" s="310">
        <f t="shared" si="63"/>
        <v>-8.3333333333333329E-2</v>
      </c>
    </row>
    <row r="107" spans="1:33">
      <c r="A107" s="306"/>
      <c r="B107" s="306">
        <v>1</v>
      </c>
      <c r="C107" s="331" t="s">
        <v>787</v>
      </c>
      <c r="D107" s="314">
        <v>1993</v>
      </c>
      <c r="E107" s="306">
        <v>4</v>
      </c>
      <c r="F107" s="352">
        <v>0</v>
      </c>
      <c r="G107" s="352"/>
      <c r="H107" s="314" t="s">
        <v>722</v>
      </c>
      <c r="I107" s="314">
        <v>10</v>
      </c>
      <c r="J107" s="308">
        <f t="shared" si="48"/>
        <v>2003</v>
      </c>
      <c r="K107" s="353"/>
      <c r="L107" s="306"/>
      <c r="M107" s="333">
        <v>720</v>
      </c>
      <c r="N107" s="21"/>
      <c r="O107" s="19">
        <f t="shared" si="49"/>
        <v>720</v>
      </c>
      <c r="P107" s="19">
        <f t="shared" si="50"/>
        <v>6</v>
      </c>
      <c r="Q107" s="19">
        <f t="shared" si="51"/>
        <v>0</v>
      </c>
      <c r="R107" s="19"/>
      <c r="S107" s="19">
        <f t="shared" si="52"/>
        <v>0</v>
      </c>
      <c r="T107" s="19">
        <v>1</v>
      </c>
      <c r="U107" s="19">
        <f t="shared" si="53"/>
        <v>0</v>
      </c>
      <c r="V107" s="19"/>
      <c r="W107" s="19">
        <f t="shared" si="54"/>
        <v>720</v>
      </c>
      <c r="X107" s="19">
        <f t="shared" si="55"/>
        <v>720</v>
      </c>
      <c r="Y107" s="19">
        <v>1</v>
      </c>
      <c r="Z107" s="19">
        <f t="shared" si="56"/>
        <v>720</v>
      </c>
      <c r="AA107" s="19">
        <f t="shared" si="57"/>
        <v>720</v>
      </c>
      <c r="AB107" s="19">
        <f t="shared" si="58"/>
        <v>0</v>
      </c>
      <c r="AC107" s="310">
        <f t="shared" si="59"/>
        <v>1993.25</v>
      </c>
      <c r="AD107" s="310">
        <f t="shared" si="60"/>
        <v>2016.5</v>
      </c>
      <c r="AE107" s="310">
        <f t="shared" si="61"/>
        <v>2003.25</v>
      </c>
      <c r="AF107" s="310">
        <f t="shared" si="62"/>
        <v>2015.5</v>
      </c>
      <c r="AG107" s="310">
        <f t="shared" si="63"/>
        <v>-8.3333333333333329E-2</v>
      </c>
    </row>
    <row r="108" spans="1:33">
      <c r="A108" s="306"/>
      <c r="C108" s="331" t="s">
        <v>778</v>
      </c>
      <c r="D108" s="314">
        <v>1993</v>
      </c>
      <c r="E108" s="306">
        <v>4</v>
      </c>
      <c r="F108" s="352">
        <v>0</v>
      </c>
      <c r="G108" s="352"/>
      <c r="H108" s="314" t="s">
        <v>722</v>
      </c>
      <c r="I108" s="314">
        <v>10</v>
      </c>
      <c r="J108" s="308">
        <f t="shared" si="48"/>
        <v>2003</v>
      </c>
      <c r="K108" s="353"/>
      <c r="L108" s="306"/>
      <c r="M108" s="333">
        <v>6339.6</v>
      </c>
      <c r="N108" s="21"/>
      <c r="O108" s="19">
        <f t="shared" si="49"/>
        <v>6339.6</v>
      </c>
      <c r="P108" s="19">
        <f t="shared" si="50"/>
        <v>52.830000000000005</v>
      </c>
      <c r="Q108" s="19">
        <f t="shared" si="51"/>
        <v>0</v>
      </c>
      <c r="R108" s="19"/>
      <c r="S108" s="19">
        <f t="shared" si="52"/>
        <v>0</v>
      </c>
      <c r="T108" s="19">
        <v>1</v>
      </c>
      <c r="U108" s="19">
        <f t="shared" si="53"/>
        <v>0</v>
      </c>
      <c r="V108" s="19"/>
      <c r="W108" s="19">
        <f t="shared" si="54"/>
        <v>6339.6</v>
      </c>
      <c r="X108" s="19">
        <f t="shared" si="55"/>
        <v>6339.6</v>
      </c>
      <c r="Y108" s="19">
        <v>1</v>
      </c>
      <c r="Z108" s="19">
        <f t="shared" si="56"/>
        <v>6339.6</v>
      </c>
      <c r="AA108" s="19">
        <f t="shared" si="57"/>
        <v>6339.6</v>
      </c>
      <c r="AB108" s="19">
        <f t="shared" si="58"/>
        <v>0</v>
      </c>
      <c r="AC108" s="310">
        <f t="shared" si="59"/>
        <v>1993.25</v>
      </c>
      <c r="AD108" s="310">
        <f t="shared" si="60"/>
        <v>2016.5</v>
      </c>
      <c r="AE108" s="310">
        <f t="shared" si="61"/>
        <v>2003.25</v>
      </c>
      <c r="AF108" s="310">
        <f t="shared" si="62"/>
        <v>2015.5</v>
      </c>
      <c r="AG108" s="310">
        <f t="shared" si="63"/>
        <v>-8.3333333333333329E-2</v>
      </c>
    </row>
    <row r="109" spans="1:33">
      <c r="A109" s="306"/>
      <c r="C109" s="331" t="s">
        <v>788</v>
      </c>
      <c r="D109" s="314">
        <v>1993</v>
      </c>
      <c r="E109" s="306">
        <v>4</v>
      </c>
      <c r="F109" s="352">
        <v>0</v>
      </c>
      <c r="G109" s="352"/>
      <c r="H109" s="314" t="s">
        <v>722</v>
      </c>
      <c r="I109" s="314">
        <v>10</v>
      </c>
      <c r="J109" s="308">
        <f t="shared" si="48"/>
        <v>2003</v>
      </c>
      <c r="K109" s="353"/>
      <c r="L109" s="306"/>
      <c r="M109" s="333">
        <v>388.8</v>
      </c>
      <c r="N109" s="21"/>
      <c r="O109" s="19">
        <f t="shared" si="49"/>
        <v>388.8</v>
      </c>
      <c r="P109" s="19">
        <f t="shared" si="50"/>
        <v>3.24</v>
      </c>
      <c r="Q109" s="19">
        <f t="shared" si="51"/>
        <v>0</v>
      </c>
      <c r="R109" s="19"/>
      <c r="S109" s="19">
        <f t="shared" si="52"/>
        <v>0</v>
      </c>
      <c r="T109" s="19">
        <v>1</v>
      </c>
      <c r="U109" s="19">
        <f t="shared" si="53"/>
        <v>0</v>
      </c>
      <c r="V109" s="19"/>
      <c r="W109" s="19">
        <f t="shared" si="54"/>
        <v>388.8</v>
      </c>
      <c r="X109" s="19">
        <f t="shared" si="55"/>
        <v>388.8</v>
      </c>
      <c r="Y109" s="19">
        <v>1</v>
      </c>
      <c r="Z109" s="19">
        <f t="shared" si="56"/>
        <v>388.8</v>
      </c>
      <c r="AA109" s="19">
        <f t="shared" si="57"/>
        <v>388.8</v>
      </c>
      <c r="AB109" s="19">
        <f t="shared" si="58"/>
        <v>0</v>
      </c>
      <c r="AC109" s="310">
        <f t="shared" si="59"/>
        <v>1993.25</v>
      </c>
      <c r="AD109" s="310">
        <f t="shared" si="60"/>
        <v>2016.5</v>
      </c>
      <c r="AE109" s="310">
        <f t="shared" si="61"/>
        <v>2003.25</v>
      </c>
      <c r="AF109" s="310">
        <f t="shared" si="62"/>
        <v>2015.5</v>
      </c>
      <c r="AG109" s="310">
        <f t="shared" si="63"/>
        <v>-8.3333333333333329E-2</v>
      </c>
    </row>
    <row r="110" spans="1:33">
      <c r="A110" s="306"/>
      <c r="B110" s="306">
        <v>1</v>
      </c>
      <c r="C110" s="306" t="str">
        <f>C109</f>
        <v>Lids</v>
      </c>
      <c r="D110" s="314">
        <v>1993</v>
      </c>
      <c r="E110" s="306">
        <v>5</v>
      </c>
      <c r="F110" s="352">
        <v>0</v>
      </c>
      <c r="G110" s="352"/>
      <c r="H110" s="314" t="s">
        <v>722</v>
      </c>
      <c r="I110" s="314">
        <v>10</v>
      </c>
      <c r="J110" s="308">
        <f t="shared" si="48"/>
        <v>2003</v>
      </c>
      <c r="K110" s="353"/>
      <c r="L110" s="306"/>
      <c r="M110" s="333">
        <v>5373</v>
      </c>
      <c r="N110" s="21"/>
      <c r="O110" s="19">
        <f t="shared" si="49"/>
        <v>5373</v>
      </c>
      <c r="P110" s="19">
        <f t="shared" si="50"/>
        <v>44.774999999999999</v>
      </c>
      <c r="Q110" s="19">
        <f t="shared" si="51"/>
        <v>0</v>
      </c>
      <c r="R110" s="19"/>
      <c r="S110" s="19">
        <f t="shared" si="52"/>
        <v>0</v>
      </c>
      <c r="T110" s="19">
        <v>1</v>
      </c>
      <c r="U110" s="19">
        <f t="shared" si="53"/>
        <v>0</v>
      </c>
      <c r="V110" s="19"/>
      <c r="W110" s="19">
        <f t="shared" si="54"/>
        <v>5373</v>
      </c>
      <c r="X110" s="19">
        <f t="shared" si="55"/>
        <v>5373</v>
      </c>
      <c r="Y110" s="19">
        <v>1</v>
      </c>
      <c r="Z110" s="19">
        <f t="shared" si="56"/>
        <v>5373</v>
      </c>
      <c r="AA110" s="19">
        <f t="shared" si="57"/>
        <v>5373</v>
      </c>
      <c r="AB110" s="19">
        <f t="shared" si="58"/>
        <v>0</v>
      </c>
      <c r="AC110" s="310">
        <f t="shared" si="59"/>
        <v>1993.3333333333333</v>
      </c>
      <c r="AD110" s="310">
        <f t="shared" si="60"/>
        <v>2016.5</v>
      </c>
      <c r="AE110" s="310">
        <f t="shared" si="61"/>
        <v>2003.3333333333333</v>
      </c>
      <c r="AF110" s="310">
        <f t="shared" si="62"/>
        <v>2015.5</v>
      </c>
      <c r="AG110" s="310">
        <f t="shared" si="63"/>
        <v>-8.3333333333333329E-2</v>
      </c>
    </row>
    <row r="111" spans="1:33">
      <c r="A111" s="306"/>
      <c r="B111" s="306">
        <v>1</v>
      </c>
      <c r="C111" s="306" t="str">
        <f>C110</f>
        <v>Lids</v>
      </c>
      <c r="D111" s="314">
        <v>1993</v>
      </c>
      <c r="E111" s="306">
        <v>8</v>
      </c>
      <c r="F111" s="352">
        <v>0</v>
      </c>
      <c r="G111" s="352"/>
      <c r="H111" s="314" t="s">
        <v>722</v>
      </c>
      <c r="I111" s="314">
        <v>10</v>
      </c>
      <c r="J111" s="308">
        <f t="shared" si="48"/>
        <v>2003</v>
      </c>
      <c r="K111" s="353"/>
      <c r="L111" s="306"/>
      <c r="M111" s="333">
        <v>3781.31</v>
      </c>
      <c r="N111" s="21"/>
      <c r="O111" s="19">
        <f t="shared" si="49"/>
        <v>3781.31</v>
      </c>
      <c r="P111" s="19">
        <f t="shared" si="50"/>
        <v>31.510916666666663</v>
      </c>
      <c r="Q111" s="19">
        <f t="shared" si="51"/>
        <v>0</v>
      </c>
      <c r="R111" s="19"/>
      <c r="S111" s="19">
        <f t="shared" si="52"/>
        <v>0</v>
      </c>
      <c r="T111" s="19">
        <v>1</v>
      </c>
      <c r="U111" s="19">
        <f t="shared" si="53"/>
        <v>0</v>
      </c>
      <c r="V111" s="19"/>
      <c r="W111" s="19">
        <f t="shared" si="54"/>
        <v>3781.31</v>
      </c>
      <c r="X111" s="19">
        <f t="shared" si="55"/>
        <v>3781.31</v>
      </c>
      <c r="Y111" s="19">
        <v>1</v>
      </c>
      <c r="Z111" s="19">
        <f t="shared" si="56"/>
        <v>3781.31</v>
      </c>
      <c r="AA111" s="19">
        <f t="shared" si="57"/>
        <v>3781.31</v>
      </c>
      <c r="AB111" s="19">
        <f t="shared" si="58"/>
        <v>0</v>
      </c>
      <c r="AC111" s="310">
        <f t="shared" si="59"/>
        <v>1993.5833333333333</v>
      </c>
      <c r="AD111" s="310">
        <f t="shared" si="60"/>
        <v>2016.5</v>
      </c>
      <c r="AE111" s="310">
        <f t="shared" si="61"/>
        <v>2003.5833333333333</v>
      </c>
      <c r="AF111" s="310">
        <f t="shared" si="62"/>
        <v>2015.5</v>
      </c>
      <c r="AG111" s="310">
        <f t="shared" si="63"/>
        <v>-8.3333333333333329E-2</v>
      </c>
    </row>
    <row r="112" spans="1:33">
      <c r="A112" s="306"/>
      <c r="B112" s="306">
        <v>1</v>
      </c>
      <c r="C112" s="331" t="s">
        <v>789</v>
      </c>
      <c r="D112" s="314">
        <v>1993</v>
      </c>
      <c r="E112" s="306">
        <v>8</v>
      </c>
      <c r="F112" s="352">
        <v>0</v>
      </c>
      <c r="G112" s="352"/>
      <c r="H112" s="314" t="s">
        <v>722</v>
      </c>
      <c r="I112" s="314">
        <v>10</v>
      </c>
      <c r="J112" s="308">
        <f t="shared" si="48"/>
        <v>2003</v>
      </c>
      <c r="K112" s="353"/>
      <c r="L112" s="306"/>
      <c r="M112" s="333">
        <v>478.44</v>
      </c>
      <c r="N112" s="21"/>
      <c r="O112" s="19">
        <f t="shared" si="49"/>
        <v>478.44</v>
      </c>
      <c r="P112" s="19">
        <f t="shared" si="50"/>
        <v>3.9870000000000001</v>
      </c>
      <c r="Q112" s="19">
        <f t="shared" si="51"/>
        <v>0</v>
      </c>
      <c r="R112" s="19"/>
      <c r="S112" s="19">
        <f t="shared" si="52"/>
        <v>0</v>
      </c>
      <c r="T112" s="19">
        <v>1</v>
      </c>
      <c r="U112" s="19">
        <f t="shared" si="53"/>
        <v>0</v>
      </c>
      <c r="V112" s="19"/>
      <c r="W112" s="19">
        <f t="shared" si="54"/>
        <v>478.44</v>
      </c>
      <c r="X112" s="19">
        <f t="shared" si="55"/>
        <v>478.44</v>
      </c>
      <c r="Y112" s="19">
        <v>1</v>
      </c>
      <c r="Z112" s="19">
        <f t="shared" si="56"/>
        <v>478.44</v>
      </c>
      <c r="AA112" s="19">
        <f t="shared" si="57"/>
        <v>478.44</v>
      </c>
      <c r="AB112" s="19">
        <f t="shared" si="58"/>
        <v>0</v>
      </c>
      <c r="AC112" s="310">
        <f t="shared" si="59"/>
        <v>1993.5833333333333</v>
      </c>
      <c r="AD112" s="310">
        <f t="shared" si="60"/>
        <v>2016.5</v>
      </c>
      <c r="AE112" s="310">
        <f t="shared" si="61"/>
        <v>2003.5833333333333</v>
      </c>
      <c r="AF112" s="310">
        <f t="shared" si="62"/>
        <v>2015.5</v>
      </c>
      <c r="AG112" s="310">
        <f t="shared" si="63"/>
        <v>-8.3333333333333329E-2</v>
      </c>
    </row>
    <row r="113" spans="1:33">
      <c r="A113" s="306"/>
      <c r="B113" s="306">
        <v>1</v>
      </c>
      <c r="C113" s="331" t="s">
        <v>790</v>
      </c>
      <c r="D113" s="314">
        <v>1994</v>
      </c>
      <c r="E113" s="306">
        <v>11</v>
      </c>
      <c r="F113" s="352">
        <v>0</v>
      </c>
      <c r="G113" s="352"/>
      <c r="H113" s="314" t="s">
        <v>722</v>
      </c>
      <c r="I113" s="314">
        <v>10</v>
      </c>
      <c r="J113" s="308">
        <f t="shared" si="48"/>
        <v>2004</v>
      </c>
      <c r="K113" s="353"/>
      <c r="L113" s="306"/>
      <c r="M113" s="333">
        <v>621</v>
      </c>
      <c r="N113" s="21"/>
      <c r="O113" s="19">
        <f t="shared" si="49"/>
        <v>621</v>
      </c>
      <c r="P113" s="19">
        <f t="shared" si="50"/>
        <v>5.1749999999999998</v>
      </c>
      <c r="Q113" s="19">
        <f t="shared" si="51"/>
        <v>0</v>
      </c>
      <c r="R113" s="19"/>
      <c r="S113" s="19">
        <f t="shared" si="52"/>
        <v>0</v>
      </c>
      <c r="T113" s="19">
        <v>1</v>
      </c>
      <c r="U113" s="19">
        <f t="shared" si="53"/>
        <v>0</v>
      </c>
      <c r="V113" s="19"/>
      <c r="W113" s="19">
        <f t="shared" si="54"/>
        <v>621</v>
      </c>
      <c r="X113" s="19">
        <f t="shared" si="55"/>
        <v>621</v>
      </c>
      <c r="Y113" s="19">
        <v>1</v>
      </c>
      <c r="Z113" s="19">
        <f t="shared" si="56"/>
        <v>621</v>
      </c>
      <c r="AA113" s="19">
        <f t="shared" si="57"/>
        <v>621</v>
      </c>
      <c r="AB113" s="19">
        <f t="shared" si="58"/>
        <v>0</v>
      </c>
      <c r="AC113" s="310">
        <f t="shared" si="59"/>
        <v>1994.8333333333333</v>
      </c>
      <c r="AD113" s="310">
        <f t="shared" si="60"/>
        <v>2016.5</v>
      </c>
      <c r="AE113" s="310">
        <f t="shared" si="61"/>
        <v>2004.8333333333333</v>
      </c>
      <c r="AF113" s="310">
        <f t="shared" si="62"/>
        <v>2015.5</v>
      </c>
      <c r="AG113" s="310">
        <f t="shared" si="63"/>
        <v>-8.3333333333333329E-2</v>
      </c>
    </row>
    <row r="114" spans="1:33">
      <c r="A114" s="306"/>
      <c r="C114" s="346" t="s">
        <v>791</v>
      </c>
      <c r="D114" s="314">
        <v>1995</v>
      </c>
      <c r="E114" s="306">
        <v>6</v>
      </c>
      <c r="F114" s="352">
        <v>0</v>
      </c>
      <c r="G114" s="352"/>
      <c r="H114" s="314" t="s">
        <v>722</v>
      </c>
      <c r="I114" s="314">
        <v>10</v>
      </c>
      <c r="J114" s="308">
        <f t="shared" si="48"/>
        <v>2005</v>
      </c>
      <c r="K114" s="353"/>
      <c r="L114" s="306"/>
      <c r="M114" s="333">
        <v>407</v>
      </c>
      <c r="N114" s="21"/>
      <c r="O114" s="19">
        <f t="shared" si="49"/>
        <v>407</v>
      </c>
      <c r="P114" s="19">
        <f t="shared" si="50"/>
        <v>3.3916666666666671</v>
      </c>
      <c r="Q114" s="19">
        <f t="shared" si="51"/>
        <v>0</v>
      </c>
      <c r="R114" s="19"/>
      <c r="S114" s="19">
        <f t="shared" si="52"/>
        <v>0</v>
      </c>
      <c r="T114" s="19">
        <v>1</v>
      </c>
      <c r="U114" s="19">
        <f t="shared" si="53"/>
        <v>0</v>
      </c>
      <c r="V114" s="19"/>
      <c r="W114" s="19">
        <f t="shared" si="54"/>
        <v>407</v>
      </c>
      <c r="X114" s="19">
        <f t="shared" si="55"/>
        <v>407</v>
      </c>
      <c r="Y114" s="19">
        <v>1</v>
      </c>
      <c r="Z114" s="19">
        <f t="shared" si="56"/>
        <v>407</v>
      </c>
      <c r="AA114" s="19">
        <f t="shared" si="57"/>
        <v>407</v>
      </c>
      <c r="AB114" s="19">
        <f t="shared" si="58"/>
        <v>0</v>
      </c>
      <c r="AC114" s="310">
        <f t="shared" si="59"/>
        <v>1995.4166666666667</v>
      </c>
      <c r="AD114" s="310">
        <f t="shared" si="60"/>
        <v>2016.5</v>
      </c>
      <c r="AE114" s="310">
        <f t="shared" si="61"/>
        <v>2005.4166666666667</v>
      </c>
      <c r="AF114" s="310">
        <f t="shared" si="62"/>
        <v>2015.5</v>
      </c>
      <c r="AG114" s="310">
        <f t="shared" si="63"/>
        <v>-8.3333333333333329E-2</v>
      </c>
    </row>
    <row r="115" spans="1:33">
      <c r="A115" s="306"/>
      <c r="B115" s="306">
        <v>4</v>
      </c>
      <c r="C115" s="346" t="s">
        <v>792</v>
      </c>
      <c r="D115" s="314">
        <v>1996</v>
      </c>
      <c r="E115" s="306">
        <v>7</v>
      </c>
      <c r="F115" s="352">
        <v>0</v>
      </c>
      <c r="G115" s="352"/>
      <c r="H115" s="314" t="s">
        <v>722</v>
      </c>
      <c r="I115" s="314">
        <v>10</v>
      </c>
      <c r="J115" s="308">
        <f t="shared" si="48"/>
        <v>2006</v>
      </c>
      <c r="K115" s="353"/>
      <c r="L115" s="306"/>
      <c r="M115" s="333">
        <v>1526</v>
      </c>
      <c r="N115" s="21"/>
      <c r="O115" s="19">
        <f t="shared" si="49"/>
        <v>1526</v>
      </c>
      <c r="P115" s="19">
        <f t="shared" si="50"/>
        <v>12.716666666666667</v>
      </c>
      <c r="Q115" s="19">
        <f t="shared" si="51"/>
        <v>0</v>
      </c>
      <c r="R115" s="19"/>
      <c r="S115" s="19">
        <f t="shared" si="52"/>
        <v>0</v>
      </c>
      <c r="T115" s="19">
        <v>1</v>
      </c>
      <c r="U115" s="19">
        <f t="shared" si="53"/>
        <v>0</v>
      </c>
      <c r="V115" s="19"/>
      <c r="W115" s="19">
        <f t="shared" si="54"/>
        <v>1526</v>
      </c>
      <c r="X115" s="19">
        <f t="shared" si="55"/>
        <v>1526</v>
      </c>
      <c r="Y115" s="19">
        <v>1</v>
      </c>
      <c r="Z115" s="19">
        <f t="shared" si="56"/>
        <v>1526</v>
      </c>
      <c r="AA115" s="19">
        <f t="shared" si="57"/>
        <v>1526</v>
      </c>
      <c r="AB115" s="19">
        <f t="shared" si="58"/>
        <v>0</v>
      </c>
      <c r="AC115" s="310">
        <f t="shared" si="59"/>
        <v>1996.5</v>
      </c>
      <c r="AD115" s="310">
        <f t="shared" si="60"/>
        <v>2016.5</v>
      </c>
      <c r="AE115" s="310">
        <f t="shared" si="61"/>
        <v>2006.5</v>
      </c>
      <c r="AF115" s="310">
        <f t="shared" si="62"/>
        <v>2015.5</v>
      </c>
      <c r="AG115" s="310">
        <f t="shared" si="63"/>
        <v>-8.3333333333333329E-2</v>
      </c>
    </row>
    <row r="116" spans="1:33">
      <c r="A116" s="306"/>
      <c r="B116" s="306">
        <v>6</v>
      </c>
      <c r="C116" s="346" t="s">
        <v>793</v>
      </c>
      <c r="D116" s="314">
        <v>1996</v>
      </c>
      <c r="E116" s="306">
        <v>9</v>
      </c>
      <c r="F116" s="352">
        <v>0</v>
      </c>
      <c r="G116" s="352"/>
      <c r="H116" s="314" t="s">
        <v>722</v>
      </c>
      <c r="I116" s="314">
        <v>10</v>
      </c>
      <c r="J116" s="308">
        <f t="shared" si="48"/>
        <v>2006</v>
      </c>
      <c r="K116" s="353"/>
      <c r="L116" s="306"/>
      <c r="M116" s="333">
        <v>2205.2399999999998</v>
      </c>
      <c r="N116" s="21"/>
      <c r="O116" s="19">
        <f t="shared" si="49"/>
        <v>2205.2399999999998</v>
      </c>
      <c r="P116" s="19">
        <f t="shared" si="50"/>
        <v>18.376999999999999</v>
      </c>
      <c r="Q116" s="19">
        <f t="shared" si="51"/>
        <v>0</v>
      </c>
      <c r="R116" s="19"/>
      <c r="S116" s="19">
        <f t="shared" si="52"/>
        <v>0</v>
      </c>
      <c r="T116" s="19">
        <v>1</v>
      </c>
      <c r="U116" s="19">
        <f t="shared" si="53"/>
        <v>0</v>
      </c>
      <c r="V116" s="19"/>
      <c r="W116" s="19">
        <f t="shared" si="54"/>
        <v>2205.2399999999998</v>
      </c>
      <c r="X116" s="19">
        <f t="shared" si="55"/>
        <v>2205.2399999999998</v>
      </c>
      <c r="Y116" s="19">
        <v>1</v>
      </c>
      <c r="Z116" s="19">
        <f t="shared" si="56"/>
        <v>2205.2399999999998</v>
      </c>
      <c r="AA116" s="19">
        <f t="shared" si="57"/>
        <v>2205.2399999999998</v>
      </c>
      <c r="AB116" s="19">
        <f t="shared" si="58"/>
        <v>0</v>
      </c>
      <c r="AC116" s="310">
        <f t="shared" si="59"/>
        <v>1996.6666666666667</v>
      </c>
      <c r="AD116" s="310">
        <f t="shared" si="60"/>
        <v>2016.5</v>
      </c>
      <c r="AE116" s="310">
        <f t="shared" si="61"/>
        <v>2006.6666666666667</v>
      </c>
      <c r="AF116" s="310">
        <f t="shared" si="62"/>
        <v>2015.5</v>
      </c>
      <c r="AG116" s="310">
        <f t="shared" si="63"/>
        <v>-8.3333333333333329E-2</v>
      </c>
    </row>
    <row r="117" spans="1:33">
      <c r="A117" s="306"/>
      <c r="B117" s="306">
        <v>10</v>
      </c>
      <c r="C117" s="331" t="s">
        <v>794</v>
      </c>
      <c r="D117" s="314">
        <v>1997</v>
      </c>
      <c r="E117" s="306">
        <v>6</v>
      </c>
      <c r="F117" s="352">
        <v>0</v>
      </c>
      <c r="G117" s="352"/>
      <c r="H117" s="314" t="s">
        <v>722</v>
      </c>
      <c r="I117" s="314">
        <v>10</v>
      </c>
      <c r="J117" s="308">
        <f t="shared" si="48"/>
        <v>2007</v>
      </c>
      <c r="K117" s="353"/>
      <c r="L117" s="306"/>
      <c r="M117" s="333">
        <v>8162</v>
      </c>
      <c r="N117" s="21"/>
      <c r="O117" s="19">
        <f t="shared" si="49"/>
        <v>8162</v>
      </c>
      <c r="P117" s="19">
        <f t="shared" si="50"/>
        <v>68.016666666666666</v>
      </c>
      <c r="Q117" s="19">
        <f t="shared" si="51"/>
        <v>0</v>
      </c>
      <c r="R117" s="19"/>
      <c r="S117" s="19">
        <f t="shared" si="52"/>
        <v>0</v>
      </c>
      <c r="T117" s="19">
        <v>1</v>
      </c>
      <c r="U117" s="19">
        <f t="shared" si="53"/>
        <v>0</v>
      </c>
      <c r="V117" s="19"/>
      <c r="W117" s="19">
        <f t="shared" si="54"/>
        <v>8162</v>
      </c>
      <c r="X117" s="19">
        <f t="shared" si="55"/>
        <v>8162</v>
      </c>
      <c r="Y117" s="19">
        <v>1</v>
      </c>
      <c r="Z117" s="19">
        <f t="shared" si="56"/>
        <v>8162</v>
      </c>
      <c r="AA117" s="19">
        <f t="shared" si="57"/>
        <v>8162</v>
      </c>
      <c r="AB117" s="19">
        <f t="shared" si="58"/>
        <v>0</v>
      </c>
      <c r="AC117" s="310">
        <f t="shared" si="59"/>
        <v>1997.4166666666667</v>
      </c>
      <c r="AD117" s="310">
        <f t="shared" si="60"/>
        <v>2016.5</v>
      </c>
      <c r="AE117" s="310">
        <f t="shared" si="61"/>
        <v>2007.4166666666667</v>
      </c>
      <c r="AF117" s="310">
        <f t="shared" si="62"/>
        <v>2015.5</v>
      </c>
      <c r="AG117" s="310">
        <f t="shared" si="63"/>
        <v>-8.3333333333333329E-2</v>
      </c>
    </row>
    <row r="118" spans="1:33">
      <c r="A118" s="306"/>
      <c r="B118" s="306">
        <v>1</v>
      </c>
      <c r="C118" s="331" t="s">
        <v>795</v>
      </c>
      <c r="D118" s="314">
        <v>1997</v>
      </c>
      <c r="E118" s="306">
        <v>7</v>
      </c>
      <c r="F118" s="352">
        <v>0</v>
      </c>
      <c r="G118" s="352"/>
      <c r="H118" s="314" t="s">
        <v>722</v>
      </c>
      <c r="I118" s="314">
        <v>10</v>
      </c>
      <c r="J118" s="308">
        <f t="shared" si="48"/>
        <v>2007</v>
      </c>
      <c r="K118" s="353"/>
      <c r="L118" s="306"/>
      <c r="M118" s="333">
        <v>529</v>
      </c>
      <c r="N118" s="21"/>
      <c r="O118" s="19">
        <f t="shared" si="49"/>
        <v>529</v>
      </c>
      <c r="P118" s="19">
        <f t="shared" si="50"/>
        <v>4.4083333333333332</v>
      </c>
      <c r="Q118" s="19">
        <f t="shared" si="51"/>
        <v>0</v>
      </c>
      <c r="R118" s="19"/>
      <c r="S118" s="19">
        <f t="shared" si="52"/>
        <v>0</v>
      </c>
      <c r="T118" s="19">
        <v>1</v>
      </c>
      <c r="U118" s="19">
        <f t="shared" si="53"/>
        <v>0</v>
      </c>
      <c r="V118" s="19"/>
      <c r="W118" s="19">
        <f t="shared" si="54"/>
        <v>529</v>
      </c>
      <c r="X118" s="19">
        <f t="shared" si="55"/>
        <v>529</v>
      </c>
      <c r="Y118" s="19">
        <v>1</v>
      </c>
      <c r="Z118" s="19">
        <f t="shared" si="56"/>
        <v>529</v>
      </c>
      <c r="AA118" s="19">
        <f t="shared" si="57"/>
        <v>529</v>
      </c>
      <c r="AB118" s="19">
        <f t="shared" si="58"/>
        <v>0</v>
      </c>
      <c r="AC118" s="310">
        <f t="shared" si="59"/>
        <v>1997.5</v>
      </c>
      <c r="AD118" s="310">
        <f t="shared" si="60"/>
        <v>2016.5</v>
      </c>
      <c r="AE118" s="310">
        <f t="shared" si="61"/>
        <v>2007.5</v>
      </c>
      <c r="AF118" s="310">
        <f t="shared" si="62"/>
        <v>2015.5</v>
      </c>
      <c r="AG118" s="310">
        <f t="shared" si="63"/>
        <v>-8.3333333333333329E-2</v>
      </c>
    </row>
    <row r="119" spans="1:33">
      <c r="A119" s="306"/>
      <c r="B119" s="306">
        <v>2</v>
      </c>
      <c r="C119" s="331" t="s">
        <v>796</v>
      </c>
      <c r="D119" s="314">
        <v>1997</v>
      </c>
      <c r="E119" s="306">
        <v>11</v>
      </c>
      <c r="F119" s="352">
        <v>0</v>
      </c>
      <c r="G119" s="352"/>
      <c r="H119" s="314" t="s">
        <v>722</v>
      </c>
      <c r="I119" s="314">
        <v>10</v>
      </c>
      <c r="J119" s="308">
        <f t="shared" si="48"/>
        <v>2007</v>
      </c>
      <c r="K119" s="353"/>
      <c r="L119" s="306"/>
      <c r="M119" s="333">
        <v>1650</v>
      </c>
      <c r="N119" s="21"/>
      <c r="O119" s="19">
        <f t="shared" si="49"/>
        <v>1650</v>
      </c>
      <c r="P119" s="19">
        <f t="shared" si="50"/>
        <v>13.75</v>
      </c>
      <c r="Q119" s="19">
        <f t="shared" si="51"/>
        <v>0</v>
      </c>
      <c r="R119" s="19"/>
      <c r="S119" s="19">
        <f t="shared" si="52"/>
        <v>0</v>
      </c>
      <c r="T119" s="19">
        <v>1</v>
      </c>
      <c r="U119" s="19">
        <f t="shared" si="53"/>
        <v>0</v>
      </c>
      <c r="V119" s="19"/>
      <c r="W119" s="19">
        <f t="shared" si="54"/>
        <v>1650</v>
      </c>
      <c r="X119" s="19">
        <f t="shared" si="55"/>
        <v>1650</v>
      </c>
      <c r="Y119" s="19">
        <v>1</v>
      </c>
      <c r="Z119" s="19">
        <f t="shared" si="56"/>
        <v>1650</v>
      </c>
      <c r="AA119" s="19">
        <f t="shared" si="57"/>
        <v>1650</v>
      </c>
      <c r="AB119" s="19">
        <f t="shared" si="58"/>
        <v>0</v>
      </c>
      <c r="AC119" s="310">
        <f t="shared" si="59"/>
        <v>1997.8333333333333</v>
      </c>
      <c r="AD119" s="310">
        <f t="shared" si="60"/>
        <v>2016.5</v>
      </c>
      <c r="AE119" s="310">
        <f t="shared" si="61"/>
        <v>2007.8333333333333</v>
      </c>
      <c r="AF119" s="310">
        <f t="shared" si="62"/>
        <v>2015.5</v>
      </c>
      <c r="AG119" s="310">
        <f t="shared" si="63"/>
        <v>-8.3333333333333329E-2</v>
      </c>
    </row>
    <row r="120" spans="1:33">
      <c r="A120" s="306"/>
      <c r="C120" s="331" t="s">
        <v>797</v>
      </c>
      <c r="D120" s="314">
        <v>1997</v>
      </c>
      <c r="E120" s="306">
        <v>12</v>
      </c>
      <c r="F120" s="352">
        <v>0</v>
      </c>
      <c r="G120" s="352"/>
      <c r="H120" s="314" t="s">
        <v>722</v>
      </c>
      <c r="I120" s="314">
        <v>10</v>
      </c>
      <c r="J120" s="308">
        <f t="shared" si="48"/>
        <v>2007</v>
      </c>
      <c r="K120" s="353"/>
      <c r="L120" s="306"/>
      <c r="M120" s="333">
        <v>145</v>
      </c>
      <c r="N120" s="21"/>
      <c r="O120" s="19">
        <f t="shared" si="49"/>
        <v>145</v>
      </c>
      <c r="P120" s="19">
        <f t="shared" si="50"/>
        <v>1.2083333333333333</v>
      </c>
      <c r="Q120" s="19">
        <f t="shared" si="51"/>
        <v>0</v>
      </c>
      <c r="R120" s="19"/>
      <c r="S120" s="19">
        <f t="shared" si="52"/>
        <v>0</v>
      </c>
      <c r="T120" s="19">
        <v>1</v>
      </c>
      <c r="U120" s="19">
        <f t="shared" si="53"/>
        <v>0</v>
      </c>
      <c r="V120" s="19"/>
      <c r="W120" s="19">
        <f t="shared" si="54"/>
        <v>145</v>
      </c>
      <c r="X120" s="19">
        <f t="shared" si="55"/>
        <v>145</v>
      </c>
      <c r="Y120" s="19">
        <v>1</v>
      </c>
      <c r="Z120" s="19">
        <f t="shared" si="56"/>
        <v>145</v>
      </c>
      <c r="AA120" s="19">
        <f t="shared" si="57"/>
        <v>145</v>
      </c>
      <c r="AB120" s="19">
        <f t="shared" si="58"/>
        <v>0</v>
      </c>
      <c r="AC120" s="310">
        <f t="shared" si="59"/>
        <v>1997.9166666666667</v>
      </c>
      <c r="AD120" s="310">
        <f t="shared" si="60"/>
        <v>2016.5</v>
      </c>
      <c r="AE120" s="310">
        <f t="shared" si="61"/>
        <v>2007.9166666666667</v>
      </c>
      <c r="AF120" s="310">
        <f t="shared" si="62"/>
        <v>2015.5</v>
      </c>
      <c r="AG120" s="310">
        <f t="shared" si="63"/>
        <v>-8.3333333333333329E-2</v>
      </c>
    </row>
    <row r="121" spans="1:33">
      <c r="A121" s="306"/>
      <c r="B121" s="306">
        <v>1</v>
      </c>
      <c r="C121" s="331" t="s">
        <v>798</v>
      </c>
      <c r="D121" s="314">
        <v>1998</v>
      </c>
      <c r="E121" s="306">
        <v>2</v>
      </c>
      <c r="F121" s="352">
        <v>0</v>
      </c>
      <c r="G121" s="352"/>
      <c r="H121" s="314" t="s">
        <v>722</v>
      </c>
      <c r="I121" s="314">
        <v>10</v>
      </c>
      <c r="J121" s="308">
        <f t="shared" si="48"/>
        <v>2008</v>
      </c>
      <c r="K121" s="353"/>
      <c r="L121" s="306"/>
      <c r="M121" s="333">
        <v>1732</v>
      </c>
      <c r="N121" s="21"/>
      <c r="O121" s="19">
        <f t="shared" si="49"/>
        <v>1732</v>
      </c>
      <c r="P121" s="19">
        <f t="shared" si="50"/>
        <v>14.433333333333332</v>
      </c>
      <c r="Q121" s="19">
        <f t="shared" si="51"/>
        <v>0</v>
      </c>
      <c r="R121" s="19"/>
      <c r="S121" s="19">
        <f t="shared" si="52"/>
        <v>0</v>
      </c>
      <c r="T121" s="19">
        <v>1</v>
      </c>
      <c r="U121" s="19">
        <f t="shared" si="53"/>
        <v>0</v>
      </c>
      <c r="V121" s="19"/>
      <c r="W121" s="19">
        <f t="shared" si="54"/>
        <v>1732</v>
      </c>
      <c r="X121" s="19">
        <f t="shared" si="55"/>
        <v>1732</v>
      </c>
      <c r="Y121" s="19">
        <v>1</v>
      </c>
      <c r="Z121" s="19">
        <f t="shared" si="56"/>
        <v>1732</v>
      </c>
      <c r="AA121" s="19">
        <f t="shared" si="57"/>
        <v>1732</v>
      </c>
      <c r="AB121" s="19">
        <f t="shared" si="58"/>
        <v>0</v>
      </c>
      <c r="AC121" s="310">
        <f t="shared" si="59"/>
        <v>1998.0833333333333</v>
      </c>
      <c r="AD121" s="310">
        <f t="shared" si="60"/>
        <v>2016.5</v>
      </c>
      <c r="AE121" s="310">
        <f t="shared" si="61"/>
        <v>2008.0833333333333</v>
      </c>
      <c r="AF121" s="310">
        <f t="shared" si="62"/>
        <v>2015.5</v>
      </c>
      <c r="AG121" s="310">
        <f t="shared" si="63"/>
        <v>-8.3333333333333329E-2</v>
      </c>
    </row>
    <row r="122" spans="1:33">
      <c r="A122" s="306"/>
      <c r="B122" s="306">
        <v>1</v>
      </c>
      <c r="C122" s="331" t="str">
        <f>+C121</f>
        <v>Containers</v>
      </c>
      <c r="D122" s="314">
        <v>1998</v>
      </c>
      <c r="E122" s="306">
        <v>4</v>
      </c>
      <c r="F122" s="352">
        <v>0</v>
      </c>
      <c r="G122" s="352"/>
      <c r="H122" s="314" t="s">
        <v>722</v>
      </c>
      <c r="I122" s="314">
        <v>10</v>
      </c>
      <c r="J122" s="308">
        <f t="shared" si="48"/>
        <v>2008</v>
      </c>
      <c r="K122" s="353"/>
      <c r="L122" s="306"/>
      <c r="M122" s="333">
        <v>2971</v>
      </c>
      <c r="N122" s="21"/>
      <c r="O122" s="19">
        <f t="shared" si="49"/>
        <v>2971</v>
      </c>
      <c r="P122" s="19">
        <f t="shared" si="50"/>
        <v>24.758333333333336</v>
      </c>
      <c r="Q122" s="19">
        <f t="shared" si="51"/>
        <v>0</v>
      </c>
      <c r="R122" s="19"/>
      <c r="S122" s="19">
        <f t="shared" si="52"/>
        <v>0</v>
      </c>
      <c r="T122" s="19">
        <v>1</v>
      </c>
      <c r="U122" s="19">
        <f t="shared" si="53"/>
        <v>0</v>
      </c>
      <c r="V122" s="19"/>
      <c r="W122" s="19">
        <f t="shared" si="54"/>
        <v>2971</v>
      </c>
      <c r="X122" s="19">
        <f t="shared" si="55"/>
        <v>2971</v>
      </c>
      <c r="Y122" s="19">
        <v>1</v>
      </c>
      <c r="Z122" s="19">
        <f t="shared" si="56"/>
        <v>2971</v>
      </c>
      <c r="AA122" s="19">
        <f t="shared" si="57"/>
        <v>2971</v>
      </c>
      <c r="AB122" s="19">
        <f t="shared" si="58"/>
        <v>0</v>
      </c>
      <c r="AC122" s="310">
        <f t="shared" si="59"/>
        <v>1998.25</v>
      </c>
      <c r="AD122" s="310">
        <f t="shared" si="60"/>
        <v>2016.5</v>
      </c>
      <c r="AE122" s="310">
        <f t="shared" si="61"/>
        <v>2008.25</v>
      </c>
      <c r="AF122" s="310">
        <f t="shared" si="62"/>
        <v>2015.5</v>
      </c>
      <c r="AG122" s="310">
        <f t="shared" si="63"/>
        <v>-8.3333333333333329E-2</v>
      </c>
    </row>
    <row r="123" spans="1:33">
      <c r="A123" s="306"/>
      <c r="B123" s="306">
        <v>1</v>
      </c>
      <c r="C123" s="331" t="str">
        <f>+C111</f>
        <v>Lids</v>
      </c>
      <c r="D123" s="314">
        <v>1998</v>
      </c>
      <c r="E123" s="306">
        <v>8</v>
      </c>
      <c r="F123" s="352">
        <v>0</v>
      </c>
      <c r="G123" s="352"/>
      <c r="H123" s="314" t="s">
        <v>722</v>
      </c>
      <c r="I123" s="314">
        <v>10</v>
      </c>
      <c r="J123" s="308">
        <f t="shared" si="48"/>
        <v>2008</v>
      </c>
      <c r="K123" s="353"/>
      <c r="L123" s="306"/>
      <c r="M123" s="333">
        <v>1692</v>
      </c>
      <c r="N123" s="21"/>
      <c r="O123" s="19">
        <f t="shared" si="49"/>
        <v>1692</v>
      </c>
      <c r="P123" s="19">
        <f t="shared" si="50"/>
        <v>14.1</v>
      </c>
      <c r="Q123" s="19">
        <f t="shared" si="51"/>
        <v>0</v>
      </c>
      <c r="R123" s="19"/>
      <c r="S123" s="19">
        <f t="shared" si="52"/>
        <v>0</v>
      </c>
      <c r="T123" s="19">
        <v>1</v>
      </c>
      <c r="U123" s="19">
        <f t="shared" si="53"/>
        <v>0</v>
      </c>
      <c r="V123" s="19"/>
      <c r="W123" s="19">
        <f t="shared" si="54"/>
        <v>1692</v>
      </c>
      <c r="X123" s="19">
        <f t="shared" si="55"/>
        <v>1692</v>
      </c>
      <c r="Y123" s="19">
        <v>1</v>
      </c>
      <c r="Z123" s="19">
        <f t="shared" si="56"/>
        <v>1692</v>
      </c>
      <c r="AA123" s="19">
        <f t="shared" si="57"/>
        <v>1692</v>
      </c>
      <c r="AB123" s="19">
        <f t="shared" si="58"/>
        <v>0</v>
      </c>
      <c r="AC123" s="310">
        <f t="shared" si="59"/>
        <v>1998.5833333333333</v>
      </c>
      <c r="AD123" s="310">
        <f t="shared" si="60"/>
        <v>2016.5</v>
      </c>
      <c r="AE123" s="310">
        <f t="shared" si="61"/>
        <v>2008.5833333333333</v>
      </c>
      <c r="AF123" s="310">
        <f t="shared" si="62"/>
        <v>2015.5</v>
      </c>
      <c r="AG123" s="310">
        <f t="shared" si="63"/>
        <v>-8.3333333333333329E-2</v>
      </c>
    </row>
    <row r="124" spans="1:33">
      <c r="A124" s="306"/>
      <c r="B124" s="306">
        <v>1</v>
      </c>
      <c r="C124" s="331" t="str">
        <f>+C122</f>
        <v>Containers</v>
      </c>
      <c r="D124" s="314">
        <v>1998</v>
      </c>
      <c r="E124" s="306">
        <v>10</v>
      </c>
      <c r="F124" s="352">
        <v>0</v>
      </c>
      <c r="G124" s="352"/>
      <c r="H124" s="314" t="s">
        <v>722</v>
      </c>
      <c r="I124" s="314">
        <v>10</v>
      </c>
      <c r="J124" s="308">
        <f t="shared" si="48"/>
        <v>2008</v>
      </c>
      <c r="K124" s="353"/>
      <c r="L124" s="306"/>
      <c r="M124" s="333">
        <v>4494</v>
      </c>
      <c r="N124" s="21"/>
      <c r="O124" s="19">
        <f t="shared" si="49"/>
        <v>4494</v>
      </c>
      <c r="P124" s="19">
        <f t="shared" si="50"/>
        <v>37.449999999999996</v>
      </c>
      <c r="Q124" s="19">
        <f t="shared" si="51"/>
        <v>0</v>
      </c>
      <c r="R124" s="19"/>
      <c r="S124" s="19">
        <f t="shared" si="52"/>
        <v>0</v>
      </c>
      <c r="T124" s="19">
        <v>1</v>
      </c>
      <c r="U124" s="19">
        <f t="shared" si="53"/>
        <v>0</v>
      </c>
      <c r="V124" s="19"/>
      <c r="W124" s="19">
        <f t="shared" si="54"/>
        <v>4494</v>
      </c>
      <c r="X124" s="19">
        <f t="shared" si="55"/>
        <v>4494</v>
      </c>
      <c r="Y124" s="19">
        <v>1</v>
      </c>
      <c r="Z124" s="19">
        <f t="shared" si="56"/>
        <v>4494</v>
      </c>
      <c r="AA124" s="19">
        <f t="shared" si="57"/>
        <v>4494</v>
      </c>
      <c r="AB124" s="19">
        <f t="shared" si="58"/>
        <v>0</v>
      </c>
      <c r="AC124" s="310">
        <f t="shared" si="59"/>
        <v>1998.75</v>
      </c>
      <c r="AD124" s="310">
        <f t="shared" si="60"/>
        <v>2016.5</v>
      </c>
      <c r="AE124" s="310">
        <f t="shared" si="61"/>
        <v>2008.75</v>
      </c>
      <c r="AF124" s="310">
        <f t="shared" si="62"/>
        <v>2015.5</v>
      </c>
      <c r="AG124" s="310">
        <f t="shared" si="63"/>
        <v>-8.3333333333333329E-2</v>
      </c>
    </row>
    <row r="125" spans="1:33">
      <c r="A125" s="306"/>
      <c r="C125" s="331" t="str">
        <f>+C124</f>
        <v>Containers</v>
      </c>
      <c r="D125" s="314">
        <v>1999</v>
      </c>
      <c r="E125" s="306">
        <v>3</v>
      </c>
      <c r="F125" s="352">
        <v>0</v>
      </c>
      <c r="G125" s="352"/>
      <c r="H125" s="314" t="s">
        <v>722</v>
      </c>
      <c r="I125" s="314">
        <v>10</v>
      </c>
      <c r="J125" s="308">
        <f t="shared" si="48"/>
        <v>2009</v>
      </c>
      <c r="K125" s="353"/>
      <c r="L125" s="306"/>
      <c r="M125" s="333">
        <v>2751</v>
      </c>
      <c r="N125" s="21"/>
      <c r="O125" s="19">
        <f t="shared" si="49"/>
        <v>2751</v>
      </c>
      <c r="P125" s="19">
        <f t="shared" si="50"/>
        <v>22.925000000000001</v>
      </c>
      <c r="Q125" s="19">
        <f t="shared" si="51"/>
        <v>0</v>
      </c>
      <c r="R125" s="19"/>
      <c r="S125" s="19">
        <f t="shared" si="52"/>
        <v>0</v>
      </c>
      <c r="T125" s="19">
        <v>1</v>
      </c>
      <c r="U125" s="19">
        <f t="shared" si="53"/>
        <v>0</v>
      </c>
      <c r="V125" s="19"/>
      <c r="W125" s="19">
        <f t="shared" si="54"/>
        <v>2751</v>
      </c>
      <c r="X125" s="19">
        <f t="shared" si="55"/>
        <v>2751</v>
      </c>
      <c r="Y125" s="19">
        <v>1</v>
      </c>
      <c r="Z125" s="19">
        <f t="shared" si="56"/>
        <v>2751</v>
      </c>
      <c r="AA125" s="19">
        <f t="shared" si="57"/>
        <v>2751</v>
      </c>
      <c r="AB125" s="19">
        <f t="shared" si="58"/>
        <v>0</v>
      </c>
      <c r="AC125" s="310">
        <f t="shared" si="59"/>
        <v>1999.1666666666667</v>
      </c>
      <c r="AD125" s="310">
        <f t="shared" si="60"/>
        <v>2016.5</v>
      </c>
      <c r="AE125" s="310">
        <f t="shared" si="61"/>
        <v>2009.1666666666667</v>
      </c>
      <c r="AF125" s="310">
        <f t="shared" si="62"/>
        <v>2015.5</v>
      </c>
      <c r="AG125" s="310">
        <f t="shared" si="63"/>
        <v>-8.3333333333333329E-2</v>
      </c>
    </row>
    <row r="126" spans="1:33">
      <c r="A126" s="306"/>
      <c r="C126" s="331" t="str">
        <f>+C125</f>
        <v>Containers</v>
      </c>
      <c r="D126" s="314">
        <v>1999</v>
      </c>
      <c r="E126" s="306">
        <v>7</v>
      </c>
      <c r="F126" s="352">
        <v>0</v>
      </c>
      <c r="G126" s="352"/>
      <c r="H126" s="314" t="s">
        <v>722</v>
      </c>
      <c r="I126" s="314">
        <v>10</v>
      </c>
      <c r="J126" s="308">
        <f t="shared" si="48"/>
        <v>2009</v>
      </c>
      <c r="K126" s="353"/>
      <c r="L126" s="306"/>
      <c r="M126" s="333">
        <v>1740</v>
      </c>
      <c r="N126" s="21"/>
      <c r="O126" s="19">
        <f t="shared" si="49"/>
        <v>1740</v>
      </c>
      <c r="P126" s="19">
        <f t="shared" si="50"/>
        <v>14.5</v>
      </c>
      <c r="Q126" s="19">
        <f t="shared" si="51"/>
        <v>0</v>
      </c>
      <c r="R126" s="19"/>
      <c r="S126" s="19">
        <f t="shared" si="52"/>
        <v>0</v>
      </c>
      <c r="T126" s="19">
        <v>1</v>
      </c>
      <c r="U126" s="19">
        <f t="shared" si="53"/>
        <v>0</v>
      </c>
      <c r="V126" s="19"/>
      <c r="W126" s="19">
        <f t="shared" si="54"/>
        <v>1740</v>
      </c>
      <c r="X126" s="19">
        <f t="shared" si="55"/>
        <v>1740</v>
      </c>
      <c r="Y126" s="19">
        <v>1</v>
      </c>
      <c r="Z126" s="19">
        <f t="shared" si="56"/>
        <v>1740</v>
      </c>
      <c r="AA126" s="19">
        <f t="shared" si="57"/>
        <v>1740</v>
      </c>
      <c r="AB126" s="19">
        <f t="shared" si="58"/>
        <v>0</v>
      </c>
      <c r="AC126" s="310">
        <f t="shared" si="59"/>
        <v>1999.5</v>
      </c>
      <c r="AD126" s="310">
        <f t="shared" si="60"/>
        <v>2016.5</v>
      </c>
      <c r="AE126" s="310">
        <f t="shared" si="61"/>
        <v>2009.5</v>
      </c>
      <c r="AF126" s="310">
        <f t="shared" si="62"/>
        <v>2015.5</v>
      </c>
      <c r="AG126" s="310">
        <f t="shared" si="63"/>
        <v>-8.3333333333333329E-2</v>
      </c>
    </row>
    <row r="127" spans="1:33">
      <c r="A127" s="306"/>
      <c r="C127" s="331" t="s">
        <v>799</v>
      </c>
      <c r="D127" s="314">
        <v>1999</v>
      </c>
      <c r="E127" s="306">
        <v>9</v>
      </c>
      <c r="F127" s="352">
        <v>0</v>
      </c>
      <c r="G127" s="352"/>
      <c r="H127" s="314" t="s">
        <v>722</v>
      </c>
      <c r="I127" s="314">
        <v>10</v>
      </c>
      <c r="J127" s="308">
        <f t="shared" si="48"/>
        <v>2009</v>
      </c>
      <c r="K127" s="353"/>
      <c r="L127" s="306"/>
      <c r="M127" s="333">
        <v>9489</v>
      </c>
      <c r="N127" s="21"/>
      <c r="O127" s="19">
        <f t="shared" si="49"/>
        <v>9489</v>
      </c>
      <c r="P127" s="19">
        <f t="shared" si="50"/>
        <v>79.075000000000003</v>
      </c>
      <c r="Q127" s="19">
        <f t="shared" si="51"/>
        <v>0</v>
      </c>
      <c r="R127" s="19"/>
      <c r="S127" s="19">
        <f t="shared" si="52"/>
        <v>0</v>
      </c>
      <c r="T127" s="19">
        <v>1</v>
      </c>
      <c r="U127" s="19">
        <f t="shared" si="53"/>
        <v>0</v>
      </c>
      <c r="V127" s="19"/>
      <c r="W127" s="19">
        <f t="shared" si="54"/>
        <v>9489</v>
      </c>
      <c r="X127" s="19">
        <f t="shared" si="55"/>
        <v>9489</v>
      </c>
      <c r="Y127" s="19">
        <v>1</v>
      </c>
      <c r="Z127" s="19">
        <f t="shared" si="56"/>
        <v>9489</v>
      </c>
      <c r="AA127" s="19">
        <f t="shared" si="57"/>
        <v>9489</v>
      </c>
      <c r="AB127" s="19">
        <f t="shared" si="58"/>
        <v>0</v>
      </c>
      <c r="AC127" s="310">
        <f t="shared" si="59"/>
        <v>1999.6666666666667</v>
      </c>
      <c r="AD127" s="310">
        <f t="shared" si="60"/>
        <v>2016.5</v>
      </c>
      <c r="AE127" s="310">
        <f t="shared" si="61"/>
        <v>2009.6666666666667</v>
      </c>
      <c r="AF127" s="310">
        <f t="shared" si="62"/>
        <v>2015.5</v>
      </c>
      <c r="AG127" s="310">
        <f t="shared" si="63"/>
        <v>-8.3333333333333329E-2</v>
      </c>
    </row>
    <row r="128" spans="1:33">
      <c r="A128" s="306"/>
      <c r="C128" s="331" t="s">
        <v>800</v>
      </c>
      <c r="D128" s="314">
        <v>1999</v>
      </c>
      <c r="E128" s="306">
        <v>12</v>
      </c>
      <c r="F128" s="352">
        <v>0</v>
      </c>
      <c r="G128" s="352"/>
      <c r="H128" s="314" t="s">
        <v>722</v>
      </c>
      <c r="I128" s="314">
        <v>10</v>
      </c>
      <c r="J128" s="308">
        <f t="shared" ref="J128:J191" si="64">D128+I128</f>
        <v>2009</v>
      </c>
      <c r="K128" s="353"/>
      <c r="L128" s="306"/>
      <c r="M128" s="333">
        <v>1199.9100000000001</v>
      </c>
      <c r="N128" s="21"/>
      <c r="O128" s="19">
        <f t="shared" ref="O128:O191" si="65">M128-M128*F128</f>
        <v>1199.9100000000001</v>
      </c>
      <c r="P128" s="19">
        <f t="shared" ref="P128:P191" si="66">O128/I128/12</f>
        <v>9.9992500000000017</v>
      </c>
      <c r="Q128" s="19">
        <f t="shared" ref="Q128:Q191" si="67">IF(N128&gt;0,0,IF(OR(AC128&gt;AD128,AE128&lt;AF128),0,IF(AND(AE128&gt;=AF128,AE128&lt;=AD128),P128*((AE128-AF128)*12),IF(AND(AF128&lt;=AC128,AD128&gt;=AC128),((AD128-AC128)*12)*P128,IF(AE128&gt;AD128,12*P128,0)))))</f>
        <v>0</v>
      </c>
      <c r="R128" s="19"/>
      <c r="S128" s="19">
        <f t="shared" ref="S128:S191" si="68">IF(R128&gt;0,R128,Q128)</f>
        <v>0</v>
      </c>
      <c r="T128" s="19">
        <v>1</v>
      </c>
      <c r="U128" s="19">
        <f t="shared" ref="U128:U191" si="69">T128*SUM(Q128:R128)</f>
        <v>0</v>
      </c>
      <c r="V128" s="19"/>
      <c r="W128" s="19">
        <f t="shared" ref="W128:W191" si="70">IF(AC128&gt;AD128,0,IF(AE128&lt;AF128,O128,IF(AND(AE128&gt;=AF128,AE128&lt;=AD128),(O128-S128),IF(AND(AF128&lt;=AC128,AD128&gt;=AC128),0,IF(AE128&gt;AD128,((AF128-AC128)*12)*P128,0)))))</f>
        <v>1199.9100000000001</v>
      </c>
      <c r="X128" s="19">
        <f t="shared" ref="X128:X191" si="71">W128*T128</f>
        <v>1199.9100000000001</v>
      </c>
      <c r="Y128" s="19">
        <v>1</v>
      </c>
      <c r="Z128" s="19">
        <f t="shared" ref="Z128:Z191" si="72">X128*Y128</f>
        <v>1199.9100000000001</v>
      </c>
      <c r="AA128" s="19">
        <f t="shared" ref="AA128:AA191" si="73">IF(N128&gt;0,0,Z128+U128*Y128)*Y128</f>
        <v>1199.9100000000001</v>
      </c>
      <c r="AB128" s="19">
        <f t="shared" ref="AB128:AB191" si="74">IF(N128&gt;0,(M128-Z128)/2,IF(AC128&gt;=AF128,(((M128*T128)*Y128)-AA128)/2,((((M128*T128)*Y128)-Z128)+(((M128*T128)*Y128)-AA128))/2))</f>
        <v>0</v>
      </c>
      <c r="AC128" s="310">
        <f t="shared" ref="AC128:AC191" si="75">$D128+(($E128-1)/12)</f>
        <v>1999.9166666666667</v>
      </c>
      <c r="AD128" s="310">
        <f t="shared" ref="AD128:AD191" si="76">($O$5+1)-($O$2/12)</f>
        <v>2016.5</v>
      </c>
      <c r="AE128" s="310">
        <f t="shared" ref="AE128:AE191" si="77">$J128+(($E128-1)/12)</f>
        <v>2009.9166666666667</v>
      </c>
      <c r="AF128" s="310">
        <f t="shared" ref="AF128:AF191" si="78">$O$4+($O$3/12)</f>
        <v>2015.5</v>
      </c>
      <c r="AG128" s="310">
        <f t="shared" ref="AG128:AG191" si="79">$K128+(($L128-1)/12)</f>
        <v>-8.3333333333333329E-2</v>
      </c>
    </row>
    <row r="129" spans="1:33">
      <c r="A129" s="306"/>
      <c r="C129" s="331" t="s">
        <v>801</v>
      </c>
      <c r="D129" s="314">
        <v>1999</v>
      </c>
      <c r="E129" s="306">
        <v>12</v>
      </c>
      <c r="F129" s="352">
        <v>0</v>
      </c>
      <c r="G129" s="352"/>
      <c r="H129" s="314" t="s">
        <v>722</v>
      </c>
      <c r="I129" s="314">
        <v>10</v>
      </c>
      <c r="J129" s="308">
        <f t="shared" si="64"/>
        <v>2009</v>
      </c>
      <c r="K129" s="353"/>
      <c r="L129" s="306"/>
      <c r="M129" s="333">
        <v>2578.19</v>
      </c>
      <c r="N129" s="21"/>
      <c r="O129" s="19">
        <f t="shared" si="65"/>
        <v>2578.19</v>
      </c>
      <c r="P129" s="19">
        <f t="shared" si="66"/>
        <v>21.484916666666667</v>
      </c>
      <c r="Q129" s="19">
        <f t="shared" si="67"/>
        <v>0</v>
      </c>
      <c r="R129" s="19"/>
      <c r="S129" s="19">
        <f t="shared" si="68"/>
        <v>0</v>
      </c>
      <c r="T129" s="19">
        <v>1</v>
      </c>
      <c r="U129" s="19">
        <f t="shared" si="69"/>
        <v>0</v>
      </c>
      <c r="V129" s="19"/>
      <c r="W129" s="19">
        <f t="shared" si="70"/>
        <v>2578.19</v>
      </c>
      <c r="X129" s="19">
        <f t="shared" si="71"/>
        <v>2578.19</v>
      </c>
      <c r="Y129" s="19">
        <v>1</v>
      </c>
      <c r="Z129" s="19">
        <f t="shared" si="72"/>
        <v>2578.19</v>
      </c>
      <c r="AA129" s="19">
        <f t="shared" si="73"/>
        <v>2578.19</v>
      </c>
      <c r="AB129" s="19">
        <f t="shared" si="74"/>
        <v>0</v>
      </c>
      <c r="AC129" s="310">
        <f t="shared" si="75"/>
        <v>1999.9166666666667</v>
      </c>
      <c r="AD129" s="310">
        <f t="shared" si="76"/>
        <v>2016.5</v>
      </c>
      <c r="AE129" s="310">
        <f t="shared" si="77"/>
        <v>2009.9166666666667</v>
      </c>
      <c r="AF129" s="310">
        <f t="shared" si="78"/>
        <v>2015.5</v>
      </c>
      <c r="AG129" s="310">
        <f t="shared" si="79"/>
        <v>-8.3333333333333329E-2</v>
      </c>
    </row>
    <row r="130" spans="1:33">
      <c r="A130" s="306"/>
      <c r="C130" s="331" t="s">
        <v>802</v>
      </c>
      <c r="D130" s="314">
        <v>1999</v>
      </c>
      <c r="E130" s="306">
        <v>12</v>
      </c>
      <c r="F130" s="352">
        <v>0</v>
      </c>
      <c r="G130" s="352"/>
      <c r="H130" s="314" t="s">
        <v>722</v>
      </c>
      <c r="I130" s="314">
        <v>10</v>
      </c>
      <c r="J130" s="308">
        <f t="shared" si="64"/>
        <v>2009</v>
      </c>
      <c r="K130" s="353"/>
      <c r="L130" s="306"/>
      <c r="M130" s="333">
        <v>4367.96</v>
      </c>
      <c r="N130" s="21"/>
      <c r="O130" s="19">
        <f t="shared" si="65"/>
        <v>4367.96</v>
      </c>
      <c r="P130" s="19">
        <f t="shared" si="66"/>
        <v>36.399666666666668</v>
      </c>
      <c r="Q130" s="19">
        <f t="shared" si="67"/>
        <v>0</v>
      </c>
      <c r="R130" s="19"/>
      <c r="S130" s="19">
        <f t="shared" si="68"/>
        <v>0</v>
      </c>
      <c r="T130" s="19">
        <v>1</v>
      </c>
      <c r="U130" s="19">
        <f t="shared" si="69"/>
        <v>0</v>
      </c>
      <c r="V130" s="19"/>
      <c r="W130" s="19">
        <f t="shared" si="70"/>
        <v>4367.96</v>
      </c>
      <c r="X130" s="19">
        <f t="shared" si="71"/>
        <v>4367.96</v>
      </c>
      <c r="Y130" s="19">
        <v>1</v>
      </c>
      <c r="Z130" s="19">
        <f t="shared" si="72"/>
        <v>4367.96</v>
      </c>
      <c r="AA130" s="19">
        <f t="shared" si="73"/>
        <v>4367.96</v>
      </c>
      <c r="AB130" s="19">
        <f t="shared" si="74"/>
        <v>0</v>
      </c>
      <c r="AC130" s="310">
        <f t="shared" si="75"/>
        <v>1999.9166666666667</v>
      </c>
      <c r="AD130" s="310">
        <f t="shared" si="76"/>
        <v>2016.5</v>
      </c>
      <c r="AE130" s="310">
        <f t="shared" si="77"/>
        <v>2009.9166666666667</v>
      </c>
      <c r="AF130" s="310">
        <f t="shared" si="78"/>
        <v>2015.5</v>
      </c>
      <c r="AG130" s="310">
        <f t="shared" si="79"/>
        <v>-8.3333333333333329E-2</v>
      </c>
    </row>
    <row r="131" spans="1:33">
      <c r="A131" s="306"/>
      <c r="C131" s="331" t="s">
        <v>803</v>
      </c>
      <c r="D131" s="314">
        <v>2000</v>
      </c>
      <c r="E131" s="306">
        <v>7</v>
      </c>
      <c r="F131" s="352">
        <v>0</v>
      </c>
      <c r="G131" s="352"/>
      <c r="H131" s="314" t="s">
        <v>722</v>
      </c>
      <c r="I131" s="314">
        <v>10</v>
      </c>
      <c r="J131" s="308">
        <f t="shared" si="64"/>
        <v>2010</v>
      </c>
      <c r="K131" s="353"/>
      <c r="L131" s="306"/>
      <c r="M131" s="333">
        <v>1491.78</v>
      </c>
      <c r="N131" s="21"/>
      <c r="O131" s="19">
        <f t="shared" si="65"/>
        <v>1491.78</v>
      </c>
      <c r="P131" s="19">
        <f t="shared" si="66"/>
        <v>12.4315</v>
      </c>
      <c r="Q131" s="19">
        <f t="shared" si="67"/>
        <v>0</v>
      </c>
      <c r="R131" s="19"/>
      <c r="S131" s="19">
        <f t="shared" si="68"/>
        <v>0</v>
      </c>
      <c r="T131" s="19">
        <v>1</v>
      </c>
      <c r="U131" s="19">
        <f t="shared" si="69"/>
        <v>0</v>
      </c>
      <c r="V131" s="19"/>
      <c r="W131" s="19">
        <f t="shared" si="70"/>
        <v>1491.78</v>
      </c>
      <c r="X131" s="19">
        <f t="shared" si="71"/>
        <v>1491.78</v>
      </c>
      <c r="Y131" s="19">
        <v>1</v>
      </c>
      <c r="Z131" s="19">
        <f t="shared" si="72"/>
        <v>1491.78</v>
      </c>
      <c r="AA131" s="19">
        <f t="shared" si="73"/>
        <v>1491.78</v>
      </c>
      <c r="AB131" s="19">
        <f t="shared" si="74"/>
        <v>0</v>
      </c>
      <c r="AC131" s="310">
        <f t="shared" si="75"/>
        <v>2000.5</v>
      </c>
      <c r="AD131" s="310">
        <f t="shared" si="76"/>
        <v>2016.5</v>
      </c>
      <c r="AE131" s="310">
        <f t="shared" si="77"/>
        <v>2010.5</v>
      </c>
      <c r="AF131" s="310">
        <f t="shared" si="78"/>
        <v>2015.5</v>
      </c>
      <c r="AG131" s="310">
        <f t="shared" si="79"/>
        <v>-8.3333333333333329E-2</v>
      </c>
    </row>
    <row r="132" spans="1:33">
      <c r="A132" s="306"/>
      <c r="C132" s="331" t="s">
        <v>804</v>
      </c>
      <c r="D132" s="314">
        <v>2000</v>
      </c>
      <c r="E132" s="306">
        <v>8</v>
      </c>
      <c r="F132" s="352">
        <v>0</v>
      </c>
      <c r="G132" s="352"/>
      <c r="H132" s="314" t="s">
        <v>722</v>
      </c>
      <c r="I132" s="314">
        <v>10</v>
      </c>
      <c r="J132" s="308">
        <f t="shared" si="64"/>
        <v>2010</v>
      </c>
      <c r="K132" s="353"/>
      <c r="L132" s="306"/>
      <c r="M132" s="333">
        <v>713.46</v>
      </c>
      <c r="N132" s="21"/>
      <c r="O132" s="19">
        <f t="shared" si="65"/>
        <v>713.46</v>
      </c>
      <c r="P132" s="19">
        <f t="shared" si="66"/>
        <v>5.9455</v>
      </c>
      <c r="Q132" s="19">
        <f t="shared" si="67"/>
        <v>0</v>
      </c>
      <c r="R132" s="19"/>
      <c r="S132" s="19">
        <f t="shared" si="68"/>
        <v>0</v>
      </c>
      <c r="T132" s="19">
        <v>1</v>
      </c>
      <c r="U132" s="19">
        <f t="shared" si="69"/>
        <v>0</v>
      </c>
      <c r="V132" s="19"/>
      <c r="W132" s="19">
        <f t="shared" si="70"/>
        <v>713.46</v>
      </c>
      <c r="X132" s="19">
        <f t="shared" si="71"/>
        <v>713.46</v>
      </c>
      <c r="Y132" s="19">
        <v>1</v>
      </c>
      <c r="Z132" s="19">
        <f t="shared" si="72"/>
        <v>713.46</v>
      </c>
      <c r="AA132" s="19">
        <f t="shared" si="73"/>
        <v>713.46</v>
      </c>
      <c r="AB132" s="19">
        <f t="shared" si="74"/>
        <v>0</v>
      </c>
      <c r="AC132" s="310">
        <f t="shared" si="75"/>
        <v>2000.5833333333333</v>
      </c>
      <c r="AD132" s="310">
        <f t="shared" si="76"/>
        <v>2016.5</v>
      </c>
      <c r="AE132" s="310">
        <f t="shared" si="77"/>
        <v>2010.5833333333333</v>
      </c>
      <c r="AF132" s="310">
        <f t="shared" si="78"/>
        <v>2015.5</v>
      </c>
      <c r="AG132" s="310">
        <f t="shared" si="79"/>
        <v>-8.3333333333333329E-2</v>
      </c>
    </row>
    <row r="133" spans="1:33">
      <c r="A133" s="306"/>
      <c r="C133" s="331" t="s">
        <v>805</v>
      </c>
      <c r="D133" s="314">
        <v>2000</v>
      </c>
      <c r="E133" s="306">
        <v>8</v>
      </c>
      <c r="F133" s="352">
        <v>0</v>
      </c>
      <c r="G133" s="352"/>
      <c r="H133" s="314" t="s">
        <v>722</v>
      </c>
      <c r="I133" s="314">
        <v>10</v>
      </c>
      <c r="J133" s="308">
        <f t="shared" si="64"/>
        <v>2010</v>
      </c>
      <c r="K133" s="353"/>
      <c r="L133" s="306"/>
      <c r="M133" s="333">
        <v>778.32</v>
      </c>
      <c r="N133" s="21"/>
      <c r="O133" s="19">
        <f t="shared" si="65"/>
        <v>778.32</v>
      </c>
      <c r="P133" s="19">
        <f t="shared" si="66"/>
        <v>6.4860000000000007</v>
      </c>
      <c r="Q133" s="19">
        <f t="shared" si="67"/>
        <v>0</v>
      </c>
      <c r="R133" s="19"/>
      <c r="S133" s="19">
        <f t="shared" si="68"/>
        <v>0</v>
      </c>
      <c r="T133" s="19">
        <v>1</v>
      </c>
      <c r="U133" s="19">
        <f t="shared" si="69"/>
        <v>0</v>
      </c>
      <c r="V133" s="19"/>
      <c r="W133" s="19">
        <f t="shared" si="70"/>
        <v>778.32</v>
      </c>
      <c r="X133" s="19">
        <f t="shared" si="71"/>
        <v>778.32</v>
      </c>
      <c r="Y133" s="19">
        <v>1</v>
      </c>
      <c r="Z133" s="19">
        <f t="shared" si="72"/>
        <v>778.32</v>
      </c>
      <c r="AA133" s="19">
        <f t="shared" si="73"/>
        <v>778.32</v>
      </c>
      <c r="AB133" s="19">
        <f t="shared" si="74"/>
        <v>0</v>
      </c>
      <c r="AC133" s="310">
        <f t="shared" si="75"/>
        <v>2000.5833333333333</v>
      </c>
      <c r="AD133" s="310">
        <f t="shared" si="76"/>
        <v>2016.5</v>
      </c>
      <c r="AE133" s="310">
        <f t="shared" si="77"/>
        <v>2010.5833333333333</v>
      </c>
      <c r="AF133" s="310">
        <f t="shared" si="78"/>
        <v>2015.5</v>
      </c>
      <c r="AG133" s="310">
        <f t="shared" si="79"/>
        <v>-8.3333333333333329E-2</v>
      </c>
    </row>
    <row r="134" spans="1:33">
      <c r="A134" s="306"/>
      <c r="C134" s="331" t="s">
        <v>798</v>
      </c>
      <c r="D134" s="314">
        <v>2000</v>
      </c>
      <c r="E134" s="306">
        <v>8</v>
      </c>
      <c r="F134" s="352">
        <v>0</v>
      </c>
      <c r="G134" s="352"/>
      <c r="H134" s="314" t="s">
        <v>722</v>
      </c>
      <c r="I134" s="314">
        <v>10</v>
      </c>
      <c r="J134" s="308">
        <f t="shared" si="64"/>
        <v>2010</v>
      </c>
      <c r="K134" s="353"/>
      <c r="L134" s="306"/>
      <c r="M134" s="333">
        <v>6739.42</v>
      </c>
      <c r="N134" s="21"/>
      <c r="O134" s="19">
        <f t="shared" si="65"/>
        <v>6739.42</v>
      </c>
      <c r="P134" s="19">
        <f t="shared" si="66"/>
        <v>56.161833333333334</v>
      </c>
      <c r="Q134" s="19">
        <f t="shared" si="67"/>
        <v>0</v>
      </c>
      <c r="R134" s="19"/>
      <c r="S134" s="19">
        <f t="shared" si="68"/>
        <v>0</v>
      </c>
      <c r="T134" s="19">
        <v>1</v>
      </c>
      <c r="U134" s="19">
        <f t="shared" si="69"/>
        <v>0</v>
      </c>
      <c r="V134" s="19"/>
      <c r="W134" s="19">
        <f t="shared" si="70"/>
        <v>6739.42</v>
      </c>
      <c r="X134" s="19">
        <f t="shared" si="71"/>
        <v>6739.42</v>
      </c>
      <c r="Y134" s="19">
        <v>1</v>
      </c>
      <c r="Z134" s="19">
        <f t="shared" si="72"/>
        <v>6739.42</v>
      </c>
      <c r="AA134" s="19">
        <f t="shared" si="73"/>
        <v>6739.42</v>
      </c>
      <c r="AB134" s="19">
        <f t="shared" si="74"/>
        <v>0</v>
      </c>
      <c r="AC134" s="310">
        <f t="shared" si="75"/>
        <v>2000.5833333333333</v>
      </c>
      <c r="AD134" s="310">
        <f t="shared" si="76"/>
        <v>2016.5</v>
      </c>
      <c r="AE134" s="310">
        <f t="shared" si="77"/>
        <v>2010.5833333333333</v>
      </c>
      <c r="AF134" s="310">
        <f t="shared" si="78"/>
        <v>2015.5</v>
      </c>
      <c r="AG134" s="310">
        <f t="shared" si="79"/>
        <v>-8.3333333333333329E-2</v>
      </c>
    </row>
    <row r="135" spans="1:33">
      <c r="A135" s="306"/>
      <c r="C135" s="331" t="s">
        <v>803</v>
      </c>
      <c r="D135" s="314">
        <v>2000</v>
      </c>
      <c r="E135" s="306">
        <v>10</v>
      </c>
      <c r="F135" s="352">
        <v>0</v>
      </c>
      <c r="G135" s="352"/>
      <c r="H135" s="314" t="s">
        <v>722</v>
      </c>
      <c r="I135" s="314">
        <v>10</v>
      </c>
      <c r="J135" s="308">
        <f t="shared" si="64"/>
        <v>2010</v>
      </c>
      <c r="K135" s="353"/>
      <c r="L135" s="306"/>
      <c r="M135" s="333">
        <v>1459.35</v>
      </c>
      <c r="N135" s="21"/>
      <c r="O135" s="19">
        <f t="shared" si="65"/>
        <v>1459.35</v>
      </c>
      <c r="P135" s="19">
        <f t="shared" si="66"/>
        <v>12.161250000000001</v>
      </c>
      <c r="Q135" s="19">
        <f t="shared" si="67"/>
        <v>0</v>
      </c>
      <c r="R135" s="19"/>
      <c r="S135" s="19">
        <f t="shared" si="68"/>
        <v>0</v>
      </c>
      <c r="T135" s="19">
        <v>1</v>
      </c>
      <c r="U135" s="19">
        <f t="shared" si="69"/>
        <v>0</v>
      </c>
      <c r="V135" s="19"/>
      <c r="W135" s="19">
        <f t="shared" si="70"/>
        <v>1459.35</v>
      </c>
      <c r="X135" s="19">
        <f t="shared" si="71"/>
        <v>1459.35</v>
      </c>
      <c r="Y135" s="19">
        <v>1</v>
      </c>
      <c r="Z135" s="19">
        <f t="shared" si="72"/>
        <v>1459.35</v>
      </c>
      <c r="AA135" s="19">
        <f t="shared" si="73"/>
        <v>1459.35</v>
      </c>
      <c r="AB135" s="19">
        <f t="shared" si="74"/>
        <v>0</v>
      </c>
      <c r="AC135" s="310">
        <f t="shared" si="75"/>
        <v>2000.75</v>
      </c>
      <c r="AD135" s="310">
        <f t="shared" si="76"/>
        <v>2016.5</v>
      </c>
      <c r="AE135" s="310">
        <f t="shared" si="77"/>
        <v>2010.75</v>
      </c>
      <c r="AF135" s="310">
        <f t="shared" si="78"/>
        <v>2015.5</v>
      </c>
      <c r="AG135" s="310">
        <f t="shared" si="79"/>
        <v>-8.3333333333333329E-2</v>
      </c>
    </row>
    <row r="136" spans="1:33">
      <c r="A136" s="306"/>
      <c r="C136" s="331" t="s">
        <v>806</v>
      </c>
      <c r="D136" s="314">
        <v>2000</v>
      </c>
      <c r="E136" s="306">
        <v>11</v>
      </c>
      <c r="F136" s="352">
        <v>0</v>
      </c>
      <c r="G136" s="352"/>
      <c r="H136" s="314" t="s">
        <v>722</v>
      </c>
      <c r="I136" s="314">
        <v>10</v>
      </c>
      <c r="J136" s="308">
        <f t="shared" si="64"/>
        <v>2010</v>
      </c>
      <c r="K136" s="353"/>
      <c r="L136" s="306"/>
      <c r="M136" s="333">
        <f>610*1.081</f>
        <v>659.41</v>
      </c>
      <c r="N136" s="21"/>
      <c r="O136" s="19">
        <f t="shared" si="65"/>
        <v>659.41</v>
      </c>
      <c r="P136" s="19">
        <f t="shared" si="66"/>
        <v>5.4950833333333335</v>
      </c>
      <c r="Q136" s="19">
        <f t="shared" si="67"/>
        <v>0</v>
      </c>
      <c r="R136" s="19"/>
      <c r="S136" s="19">
        <f t="shared" si="68"/>
        <v>0</v>
      </c>
      <c r="T136" s="19">
        <v>1</v>
      </c>
      <c r="U136" s="19">
        <f t="shared" si="69"/>
        <v>0</v>
      </c>
      <c r="V136" s="19"/>
      <c r="W136" s="19">
        <f t="shared" si="70"/>
        <v>659.41</v>
      </c>
      <c r="X136" s="19">
        <f t="shared" si="71"/>
        <v>659.41</v>
      </c>
      <c r="Y136" s="19">
        <v>1</v>
      </c>
      <c r="Z136" s="19">
        <f t="shared" si="72"/>
        <v>659.41</v>
      </c>
      <c r="AA136" s="19">
        <f t="shared" si="73"/>
        <v>659.41</v>
      </c>
      <c r="AB136" s="19">
        <f t="shared" si="74"/>
        <v>0</v>
      </c>
      <c r="AC136" s="310">
        <f t="shared" si="75"/>
        <v>2000.8333333333333</v>
      </c>
      <c r="AD136" s="310">
        <f t="shared" si="76"/>
        <v>2016.5</v>
      </c>
      <c r="AE136" s="310">
        <f t="shared" si="77"/>
        <v>2010.8333333333333</v>
      </c>
      <c r="AF136" s="310">
        <f t="shared" si="78"/>
        <v>2015.5</v>
      </c>
      <c r="AG136" s="310">
        <f t="shared" si="79"/>
        <v>-8.3333333333333329E-2</v>
      </c>
    </row>
    <row r="137" spans="1:33">
      <c r="A137" s="306"/>
      <c r="C137" s="331" t="s">
        <v>807</v>
      </c>
      <c r="D137" s="314">
        <v>2000</v>
      </c>
      <c r="E137" s="306">
        <v>11</v>
      </c>
      <c r="F137" s="352">
        <v>0</v>
      </c>
      <c r="G137" s="352"/>
      <c r="H137" s="314" t="s">
        <v>722</v>
      </c>
      <c r="I137" s="314">
        <v>10</v>
      </c>
      <c r="J137" s="308">
        <f t="shared" si="64"/>
        <v>2010</v>
      </c>
      <c r="K137" s="353"/>
      <c r="L137" s="306"/>
      <c r="M137" s="333">
        <f>740*1.081</f>
        <v>799.93999999999994</v>
      </c>
      <c r="N137" s="21"/>
      <c r="O137" s="19">
        <f t="shared" si="65"/>
        <v>799.93999999999994</v>
      </c>
      <c r="P137" s="19">
        <f t="shared" si="66"/>
        <v>6.6661666666666664</v>
      </c>
      <c r="Q137" s="19">
        <f t="shared" si="67"/>
        <v>0</v>
      </c>
      <c r="R137" s="19"/>
      <c r="S137" s="19">
        <f t="shared" si="68"/>
        <v>0</v>
      </c>
      <c r="T137" s="19">
        <v>1</v>
      </c>
      <c r="U137" s="19">
        <f t="shared" si="69"/>
        <v>0</v>
      </c>
      <c r="V137" s="19"/>
      <c r="W137" s="19">
        <f t="shared" si="70"/>
        <v>799.93999999999994</v>
      </c>
      <c r="X137" s="19">
        <f t="shared" si="71"/>
        <v>799.93999999999994</v>
      </c>
      <c r="Y137" s="19">
        <v>1</v>
      </c>
      <c r="Z137" s="19">
        <f t="shared" si="72"/>
        <v>799.93999999999994</v>
      </c>
      <c r="AA137" s="19">
        <f t="shared" si="73"/>
        <v>799.93999999999994</v>
      </c>
      <c r="AB137" s="19">
        <f t="shared" si="74"/>
        <v>0</v>
      </c>
      <c r="AC137" s="310">
        <f t="shared" si="75"/>
        <v>2000.8333333333333</v>
      </c>
      <c r="AD137" s="310">
        <f t="shared" si="76"/>
        <v>2016.5</v>
      </c>
      <c r="AE137" s="310">
        <f t="shared" si="77"/>
        <v>2010.8333333333333</v>
      </c>
      <c r="AF137" s="310">
        <f t="shared" si="78"/>
        <v>2015.5</v>
      </c>
      <c r="AG137" s="310">
        <f t="shared" si="79"/>
        <v>-8.3333333333333329E-2</v>
      </c>
    </row>
    <row r="138" spans="1:33">
      <c r="A138" s="306"/>
      <c r="C138" s="346" t="s">
        <v>808</v>
      </c>
      <c r="D138" s="314">
        <v>2000</v>
      </c>
      <c r="E138" s="306">
        <v>12</v>
      </c>
      <c r="F138" s="352">
        <v>0</v>
      </c>
      <c r="G138" s="352"/>
      <c r="H138" s="314" t="s">
        <v>722</v>
      </c>
      <c r="I138" s="314">
        <v>10</v>
      </c>
      <c r="J138" s="308">
        <f t="shared" si="64"/>
        <v>2010</v>
      </c>
      <c r="K138" s="353"/>
      <c r="L138" s="306"/>
      <c r="M138" s="333">
        <v>2788.98</v>
      </c>
      <c r="N138" s="21"/>
      <c r="O138" s="19">
        <f t="shared" si="65"/>
        <v>2788.98</v>
      </c>
      <c r="P138" s="19">
        <f t="shared" si="66"/>
        <v>23.241500000000002</v>
      </c>
      <c r="Q138" s="19">
        <f t="shared" si="67"/>
        <v>0</v>
      </c>
      <c r="R138" s="19"/>
      <c r="S138" s="19">
        <f t="shared" si="68"/>
        <v>0</v>
      </c>
      <c r="T138" s="19">
        <v>1</v>
      </c>
      <c r="U138" s="19">
        <f t="shared" si="69"/>
        <v>0</v>
      </c>
      <c r="V138" s="19"/>
      <c r="W138" s="19">
        <f t="shared" si="70"/>
        <v>2788.98</v>
      </c>
      <c r="X138" s="19">
        <f t="shared" si="71"/>
        <v>2788.98</v>
      </c>
      <c r="Y138" s="19">
        <v>1</v>
      </c>
      <c r="Z138" s="19">
        <f t="shared" si="72"/>
        <v>2788.98</v>
      </c>
      <c r="AA138" s="19">
        <f t="shared" si="73"/>
        <v>2788.98</v>
      </c>
      <c r="AB138" s="19">
        <f t="shared" si="74"/>
        <v>0</v>
      </c>
      <c r="AC138" s="310">
        <f t="shared" si="75"/>
        <v>2000.9166666666667</v>
      </c>
      <c r="AD138" s="310">
        <f t="shared" si="76"/>
        <v>2016.5</v>
      </c>
      <c r="AE138" s="310">
        <f t="shared" si="77"/>
        <v>2010.9166666666667</v>
      </c>
      <c r="AF138" s="310">
        <f t="shared" si="78"/>
        <v>2015.5</v>
      </c>
      <c r="AG138" s="310">
        <f t="shared" si="79"/>
        <v>-8.3333333333333329E-2</v>
      </c>
    </row>
    <row r="139" spans="1:33">
      <c r="A139" s="306"/>
      <c r="C139" s="331" t="s">
        <v>809</v>
      </c>
      <c r="D139" s="314">
        <v>2001</v>
      </c>
      <c r="E139" s="306">
        <v>3</v>
      </c>
      <c r="F139" s="352">
        <v>0</v>
      </c>
      <c r="G139" s="352"/>
      <c r="H139" s="314" t="s">
        <v>722</v>
      </c>
      <c r="I139" s="314">
        <v>10</v>
      </c>
      <c r="J139" s="308">
        <f t="shared" si="64"/>
        <v>2011</v>
      </c>
      <c r="K139" s="353"/>
      <c r="L139" s="306"/>
      <c r="M139" s="333">
        <f>795*1.081</f>
        <v>859.39499999999998</v>
      </c>
      <c r="N139" s="21"/>
      <c r="O139" s="19">
        <f t="shared" si="65"/>
        <v>859.39499999999998</v>
      </c>
      <c r="P139" s="19">
        <f t="shared" si="66"/>
        <v>7.1616249999999999</v>
      </c>
      <c r="Q139" s="19">
        <f t="shared" si="67"/>
        <v>0</v>
      </c>
      <c r="R139" s="19"/>
      <c r="S139" s="19">
        <f t="shared" si="68"/>
        <v>0</v>
      </c>
      <c r="T139" s="19">
        <v>1</v>
      </c>
      <c r="U139" s="19">
        <f t="shared" si="69"/>
        <v>0</v>
      </c>
      <c r="V139" s="19"/>
      <c r="W139" s="19">
        <f t="shared" si="70"/>
        <v>859.39499999999998</v>
      </c>
      <c r="X139" s="19">
        <f t="shared" si="71"/>
        <v>859.39499999999998</v>
      </c>
      <c r="Y139" s="19">
        <v>1</v>
      </c>
      <c r="Z139" s="19">
        <f t="shared" si="72"/>
        <v>859.39499999999998</v>
      </c>
      <c r="AA139" s="19">
        <f t="shared" si="73"/>
        <v>859.39499999999998</v>
      </c>
      <c r="AB139" s="19">
        <f t="shared" si="74"/>
        <v>0</v>
      </c>
      <c r="AC139" s="310">
        <f t="shared" si="75"/>
        <v>2001.1666666666667</v>
      </c>
      <c r="AD139" s="310">
        <f t="shared" si="76"/>
        <v>2016.5</v>
      </c>
      <c r="AE139" s="310">
        <f t="shared" si="77"/>
        <v>2011.1666666666667</v>
      </c>
      <c r="AF139" s="310">
        <f t="shared" si="78"/>
        <v>2015.5</v>
      </c>
      <c r="AG139" s="310">
        <f t="shared" si="79"/>
        <v>-8.3333333333333329E-2</v>
      </c>
    </row>
    <row r="140" spans="1:33">
      <c r="A140" s="306"/>
      <c r="C140" s="331" t="s">
        <v>810</v>
      </c>
      <c r="D140" s="314">
        <v>2001</v>
      </c>
      <c r="E140" s="306">
        <v>3</v>
      </c>
      <c r="F140" s="352">
        <v>0</v>
      </c>
      <c r="G140" s="352"/>
      <c r="H140" s="314" t="s">
        <v>722</v>
      </c>
      <c r="I140" s="314">
        <v>10</v>
      </c>
      <c r="J140" s="308">
        <f t="shared" si="64"/>
        <v>2011</v>
      </c>
      <c r="K140" s="353"/>
      <c r="L140" s="306"/>
      <c r="M140" s="333">
        <f>1440*1.081</f>
        <v>1556.6399999999999</v>
      </c>
      <c r="N140" s="21"/>
      <c r="O140" s="19">
        <f t="shared" si="65"/>
        <v>1556.6399999999999</v>
      </c>
      <c r="P140" s="19">
        <f t="shared" si="66"/>
        <v>12.972</v>
      </c>
      <c r="Q140" s="19">
        <f t="shared" si="67"/>
        <v>0</v>
      </c>
      <c r="R140" s="19"/>
      <c r="S140" s="19">
        <f t="shared" si="68"/>
        <v>0</v>
      </c>
      <c r="T140" s="19">
        <v>1</v>
      </c>
      <c r="U140" s="19">
        <f t="shared" si="69"/>
        <v>0</v>
      </c>
      <c r="V140" s="19"/>
      <c r="W140" s="19">
        <f t="shared" si="70"/>
        <v>1556.6399999999999</v>
      </c>
      <c r="X140" s="19">
        <f t="shared" si="71"/>
        <v>1556.6399999999999</v>
      </c>
      <c r="Y140" s="19">
        <v>1</v>
      </c>
      <c r="Z140" s="19">
        <f t="shared" si="72"/>
        <v>1556.6399999999999</v>
      </c>
      <c r="AA140" s="19">
        <f t="shared" si="73"/>
        <v>1556.6399999999999</v>
      </c>
      <c r="AB140" s="19">
        <f t="shared" si="74"/>
        <v>0</v>
      </c>
      <c r="AC140" s="310">
        <f t="shared" si="75"/>
        <v>2001.1666666666667</v>
      </c>
      <c r="AD140" s="310">
        <f t="shared" si="76"/>
        <v>2016.5</v>
      </c>
      <c r="AE140" s="310">
        <f t="shared" si="77"/>
        <v>2011.1666666666667</v>
      </c>
      <c r="AF140" s="310">
        <f t="shared" si="78"/>
        <v>2015.5</v>
      </c>
      <c r="AG140" s="310">
        <f t="shared" si="79"/>
        <v>-8.3333333333333329E-2</v>
      </c>
    </row>
    <row r="141" spans="1:33">
      <c r="A141" s="306"/>
      <c r="B141" s="306">
        <v>3</v>
      </c>
      <c r="C141" s="331" t="s">
        <v>811</v>
      </c>
      <c r="D141" s="314">
        <v>2003</v>
      </c>
      <c r="E141" s="306">
        <v>2</v>
      </c>
      <c r="F141" s="352">
        <v>0</v>
      </c>
      <c r="G141" s="352"/>
      <c r="H141" s="314" t="s">
        <v>722</v>
      </c>
      <c r="I141" s="314">
        <v>10</v>
      </c>
      <c r="J141" s="308">
        <f t="shared" si="64"/>
        <v>2013</v>
      </c>
      <c r="K141" s="353"/>
      <c r="L141" s="306"/>
      <c r="M141" s="333">
        <v>1261</v>
      </c>
      <c r="N141" s="21"/>
      <c r="O141" s="19">
        <f t="shared" si="65"/>
        <v>1261</v>
      </c>
      <c r="P141" s="19">
        <f t="shared" si="66"/>
        <v>10.508333333333333</v>
      </c>
      <c r="Q141" s="19">
        <f t="shared" si="67"/>
        <v>0</v>
      </c>
      <c r="R141" s="19"/>
      <c r="S141" s="19">
        <f t="shared" si="68"/>
        <v>0</v>
      </c>
      <c r="T141" s="19">
        <v>1</v>
      </c>
      <c r="U141" s="19">
        <f t="shared" si="69"/>
        <v>0</v>
      </c>
      <c r="V141" s="19"/>
      <c r="W141" s="19">
        <f t="shared" si="70"/>
        <v>1261</v>
      </c>
      <c r="X141" s="19">
        <f t="shared" si="71"/>
        <v>1261</v>
      </c>
      <c r="Y141" s="19">
        <v>1</v>
      </c>
      <c r="Z141" s="19">
        <f t="shared" si="72"/>
        <v>1261</v>
      </c>
      <c r="AA141" s="19">
        <f t="shared" si="73"/>
        <v>1261</v>
      </c>
      <c r="AB141" s="19">
        <f t="shared" si="74"/>
        <v>0</v>
      </c>
      <c r="AC141" s="310">
        <f t="shared" si="75"/>
        <v>2003.0833333333333</v>
      </c>
      <c r="AD141" s="310">
        <f t="shared" si="76"/>
        <v>2016.5</v>
      </c>
      <c r="AE141" s="310">
        <f t="shared" si="77"/>
        <v>2013.0833333333333</v>
      </c>
      <c r="AF141" s="310">
        <f t="shared" si="78"/>
        <v>2015.5</v>
      </c>
      <c r="AG141" s="310">
        <f t="shared" si="79"/>
        <v>-8.3333333333333329E-2</v>
      </c>
    </row>
    <row r="142" spans="1:33">
      <c r="A142" s="306"/>
      <c r="B142" s="306">
        <v>15</v>
      </c>
      <c r="C142" s="331" t="s">
        <v>812</v>
      </c>
      <c r="D142" s="314">
        <v>2003</v>
      </c>
      <c r="E142" s="306">
        <v>5</v>
      </c>
      <c r="F142" s="352">
        <v>0</v>
      </c>
      <c r="G142" s="352"/>
      <c r="H142" s="314" t="s">
        <v>722</v>
      </c>
      <c r="I142" s="314">
        <v>10</v>
      </c>
      <c r="J142" s="308">
        <f t="shared" si="64"/>
        <v>2013</v>
      </c>
      <c r="K142" s="353"/>
      <c r="L142" s="306"/>
      <c r="M142" s="333">
        <v>6180.08</v>
      </c>
      <c r="N142" s="21"/>
      <c r="O142" s="19">
        <f t="shared" si="65"/>
        <v>6180.08</v>
      </c>
      <c r="P142" s="19">
        <f t="shared" si="66"/>
        <v>51.500666666666667</v>
      </c>
      <c r="Q142" s="19">
        <f t="shared" si="67"/>
        <v>0</v>
      </c>
      <c r="R142" s="19"/>
      <c r="S142" s="19">
        <f t="shared" si="68"/>
        <v>0</v>
      </c>
      <c r="T142" s="19">
        <v>1</v>
      </c>
      <c r="U142" s="19">
        <f t="shared" si="69"/>
        <v>0</v>
      </c>
      <c r="V142" s="19"/>
      <c r="W142" s="19">
        <f t="shared" si="70"/>
        <v>6180.08</v>
      </c>
      <c r="X142" s="19">
        <f t="shared" si="71"/>
        <v>6180.08</v>
      </c>
      <c r="Y142" s="19">
        <v>1</v>
      </c>
      <c r="Z142" s="19">
        <f t="shared" si="72"/>
        <v>6180.08</v>
      </c>
      <c r="AA142" s="19">
        <f t="shared" si="73"/>
        <v>6180.08</v>
      </c>
      <c r="AB142" s="19">
        <f t="shared" si="74"/>
        <v>0</v>
      </c>
      <c r="AC142" s="310">
        <f t="shared" si="75"/>
        <v>2003.3333333333333</v>
      </c>
      <c r="AD142" s="310">
        <f t="shared" si="76"/>
        <v>2016.5</v>
      </c>
      <c r="AE142" s="310">
        <f t="shared" si="77"/>
        <v>2013.3333333333333</v>
      </c>
      <c r="AF142" s="310">
        <f t="shared" si="78"/>
        <v>2015.5</v>
      </c>
      <c r="AG142" s="310">
        <f t="shared" si="79"/>
        <v>-8.3333333333333329E-2</v>
      </c>
    </row>
    <row r="143" spans="1:33">
      <c r="A143" s="306"/>
      <c r="B143" s="306">
        <v>2</v>
      </c>
      <c r="C143" s="331" t="s">
        <v>813</v>
      </c>
      <c r="D143" s="314">
        <v>2003</v>
      </c>
      <c r="E143" s="306">
        <v>5</v>
      </c>
      <c r="F143" s="352">
        <v>0</v>
      </c>
      <c r="G143" s="352"/>
      <c r="H143" s="314" t="s">
        <v>722</v>
      </c>
      <c r="I143" s="314">
        <v>10</v>
      </c>
      <c r="J143" s="308">
        <f t="shared" si="64"/>
        <v>2013</v>
      </c>
      <c r="K143" s="353"/>
      <c r="L143" s="306"/>
      <c r="M143" s="333">
        <v>778.32</v>
      </c>
      <c r="N143" s="21"/>
      <c r="O143" s="19">
        <f t="shared" si="65"/>
        <v>778.32</v>
      </c>
      <c r="P143" s="19">
        <f t="shared" si="66"/>
        <v>6.4860000000000007</v>
      </c>
      <c r="Q143" s="19">
        <f t="shared" si="67"/>
        <v>0</v>
      </c>
      <c r="R143" s="19"/>
      <c r="S143" s="19">
        <f t="shared" si="68"/>
        <v>0</v>
      </c>
      <c r="T143" s="19">
        <v>1</v>
      </c>
      <c r="U143" s="19">
        <f t="shared" si="69"/>
        <v>0</v>
      </c>
      <c r="V143" s="19"/>
      <c r="W143" s="19">
        <f t="shared" si="70"/>
        <v>778.32</v>
      </c>
      <c r="X143" s="19">
        <f t="shared" si="71"/>
        <v>778.32</v>
      </c>
      <c r="Y143" s="19">
        <v>1</v>
      </c>
      <c r="Z143" s="19">
        <f t="shared" si="72"/>
        <v>778.32</v>
      </c>
      <c r="AA143" s="19">
        <f t="shared" si="73"/>
        <v>778.32</v>
      </c>
      <c r="AB143" s="19">
        <f t="shared" si="74"/>
        <v>0</v>
      </c>
      <c r="AC143" s="310">
        <f t="shared" si="75"/>
        <v>2003.3333333333333</v>
      </c>
      <c r="AD143" s="310">
        <f t="shared" si="76"/>
        <v>2016.5</v>
      </c>
      <c r="AE143" s="310">
        <f t="shared" si="77"/>
        <v>2013.3333333333333</v>
      </c>
      <c r="AF143" s="310">
        <f t="shared" si="78"/>
        <v>2015.5</v>
      </c>
      <c r="AG143" s="310">
        <f t="shared" si="79"/>
        <v>-8.3333333333333329E-2</v>
      </c>
    </row>
    <row r="144" spans="1:33">
      <c r="A144" s="306"/>
      <c r="B144" s="306">
        <v>13</v>
      </c>
      <c r="C144" s="331" t="s">
        <v>814</v>
      </c>
      <c r="D144" s="314">
        <v>2003</v>
      </c>
      <c r="E144" s="306">
        <v>7</v>
      </c>
      <c r="F144" s="352">
        <v>0</v>
      </c>
      <c r="G144" s="352"/>
      <c r="H144" s="314" t="s">
        <v>722</v>
      </c>
      <c r="I144" s="314">
        <v>7</v>
      </c>
      <c r="J144" s="308">
        <f t="shared" si="64"/>
        <v>2010</v>
      </c>
      <c r="K144" s="353"/>
      <c r="L144" s="306"/>
      <c r="M144" s="333">
        <v>2425.92</v>
      </c>
      <c r="N144" s="21"/>
      <c r="O144" s="19">
        <f t="shared" si="65"/>
        <v>2425.92</v>
      </c>
      <c r="P144" s="19">
        <f t="shared" si="66"/>
        <v>28.88</v>
      </c>
      <c r="Q144" s="19">
        <f t="shared" si="67"/>
        <v>0</v>
      </c>
      <c r="R144" s="19"/>
      <c r="S144" s="19">
        <f t="shared" si="68"/>
        <v>0</v>
      </c>
      <c r="T144" s="19">
        <v>1</v>
      </c>
      <c r="U144" s="19">
        <f t="shared" si="69"/>
        <v>0</v>
      </c>
      <c r="V144" s="19"/>
      <c r="W144" s="19">
        <f t="shared" si="70"/>
        <v>2425.92</v>
      </c>
      <c r="X144" s="19">
        <f t="shared" si="71"/>
        <v>2425.92</v>
      </c>
      <c r="Y144" s="19">
        <v>1</v>
      </c>
      <c r="Z144" s="19">
        <f t="shared" si="72"/>
        <v>2425.92</v>
      </c>
      <c r="AA144" s="19">
        <f t="shared" si="73"/>
        <v>2425.92</v>
      </c>
      <c r="AB144" s="19">
        <f t="shared" si="74"/>
        <v>0</v>
      </c>
      <c r="AC144" s="310">
        <f t="shared" si="75"/>
        <v>2003.5</v>
      </c>
      <c r="AD144" s="310">
        <f t="shared" si="76"/>
        <v>2016.5</v>
      </c>
      <c r="AE144" s="310">
        <f t="shared" si="77"/>
        <v>2010.5</v>
      </c>
      <c r="AF144" s="310">
        <f t="shared" si="78"/>
        <v>2015.5</v>
      </c>
      <c r="AG144" s="310">
        <f t="shared" si="79"/>
        <v>-8.3333333333333329E-2</v>
      </c>
    </row>
    <row r="145" spans="1:33">
      <c r="A145" s="306"/>
      <c r="B145" s="306">
        <v>1</v>
      </c>
      <c r="C145" s="331" t="s">
        <v>815</v>
      </c>
      <c r="D145" s="314">
        <v>2003</v>
      </c>
      <c r="E145" s="306">
        <v>7</v>
      </c>
      <c r="F145" s="352">
        <v>0</v>
      </c>
      <c r="G145" s="352"/>
      <c r="H145" s="314" t="s">
        <v>722</v>
      </c>
      <c r="I145" s="314">
        <v>10</v>
      </c>
      <c r="J145" s="308">
        <f t="shared" si="64"/>
        <v>2013</v>
      </c>
      <c r="K145" s="353"/>
      <c r="L145" s="306"/>
      <c r="M145" s="333">
        <v>989.12</v>
      </c>
      <c r="N145" s="21"/>
      <c r="O145" s="19">
        <f t="shared" si="65"/>
        <v>989.12</v>
      </c>
      <c r="P145" s="19">
        <f t="shared" si="66"/>
        <v>8.2426666666666666</v>
      </c>
      <c r="Q145" s="19">
        <f t="shared" si="67"/>
        <v>0</v>
      </c>
      <c r="R145" s="19"/>
      <c r="S145" s="19">
        <f t="shared" si="68"/>
        <v>0</v>
      </c>
      <c r="T145" s="19">
        <v>1</v>
      </c>
      <c r="U145" s="19">
        <f t="shared" si="69"/>
        <v>0</v>
      </c>
      <c r="V145" s="19"/>
      <c r="W145" s="19">
        <f t="shared" si="70"/>
        <v>989.12</v>
      </c>
      <c r="X145" s="19">
        <f t="shared" si="71"/>
        <v>989.12</v>
      </c>
      <c r="Y145" s="19">
        <v>1</v>
      </c>
      <c r="Z145" s="19">
        <f t="shared" si="72"/>
        <v>989.12</v>
      </c>
      <c r="AA145" s="19">
        <f t="shared" si="73"/>
        <v>989.12</v>
      </c>
      <c r="AB145" s="19">
        <f t="shared" si="74"/>
        <v>0</v>
      </c>
      <c r="AC145" s="310">
        <f t="shared" si="75"/>
        <v>2003.5</v>
      </c>
      <c r="AD145" s="310">
        <f t="shared" si="76"/>
        <v>2016.5</v>
      </c>
      <c r="AE145" s="310">
        <f t="shared" si="77"/>
        <v>2013.5</v>
      </c>
      <c r="AF145" s="310">
        <f t="shared" si="78"/>
        <v>2015.5</v>
      </c>
      <c r="AG145" s="310">
        <f t="shared" si="79"/>
        <v>-8.3333333333333329E-2</v>
      </c>
    </row>
    <row r="146" spans="1:33">
      <c r="A146" s="306"/>
      <c r="C146" s="331" t="s">
        <v>816</v>
      </c>
      <c r="D146" s="314">
        <v>2003</v>
      </c>
      <c r="E146" s="306">
        <v>7</v>
      </c>
      <c r="F146" s="352">
        <v>0</v>
      </c>
      <c r="G146" s="352"/>
      <c r="H146" s="314" t="s">
        <v>722</v>
      </c>
      <c r="I146" s="314">
        <v>10</v>
      </c>
      <c r="J146" s="308">
        <f t="shared" si="64"/>
        <v>2013</v>
      </c>
      <c r="K146" s="353"/>
      <c r="L146" s="306"/>
      <c r="M146" s="333">
        <v>4763.8500000000004</v>
      </c>
      <c r="N146" s="21"/>
      <c r="O146" s="19">
        <f t="shared" si="65"/>
        <v>4763.8500000000004</v>
      </c>
      <c r="P146" s="19">
        <f t="shared" si="66"/>
        <v>39.698750000000004</v>
      </c>
      <c r="Q146" s="19">
        <f t="shared" si="67"/>
        <v>0</v>
      </c>
      <c r="R146" s="19"/>
      <c r="S146" s="19">
        <f t="shared" si="68"/>
        <v>0</v>
      </c>
      <c r="T146" s="19">
        <v>1</v>
      </c>
      <c r="U146" s="19">
        <f t="shared" si="69"/>
        <v>0</v>
      </c>
      <c r="V146" s="19"/>
      <c r="W146" s="19">
        <f t="shared" si="70"/>
        <v>4763.8500000000004</v>
      </c>
      <c r="X146" s="19">
        <f t="shared" si="71"/>
        <v>4763.8500000000004</v>
      </c>
      <c r="Y146" s="19">
        <v>1</v>
      </c>
      <c r="Z146" s="19">
        <f t="shared" si="72"/>
        <v>4763.8500000000004</v>
      </c>
      <c r="AA146" s="19">
        <f t="shared" si="73"/>
        <v>4763.8500000000004</v>
      </c>
      <c r="AB146" s="19">
        <f t="shared" si="74"/>
        <v>0</v>
      </c>
      <c r="AC146" s="310">
        <f t="shared" si="75"/>
        <v>2003.5</v>
      </c>
      <c r="AD146" s="310">
        <f t="shared" si="76"/>
        <v>2016.5</v>
      </c>
      <c r="AE146" s="310">
        <f t="shared" si="77"/>
        <v>2013.5</v>
      </c>
      <c r="AF146" s="310">
        <f t="shared" si="78"/>
        <v>2015.5</v>
      </c>
      <c r="AG146" s="310">
        <f t="shared" si="79"/>
        <v>-8.3333333333333329E-2</v>
      </c>
    </row>
    <row r="147" spans="1:33">
      <c r="A147" s="306"/>
      <c r="B147" s="306">
        <v>2</v>
      </c>
      <c r="C147" s="331" t="s">
        <v>817</v>
      </c>
      <c r="D147" s="314">
        <v>2003</v>
      </c>
      <c r="E147" s="306">
        <v>9</v>
      </c>
      <c r="F147" s="352">
        <v>0</v>
      </c>
      <c r="G147" s="352"/>
      <c r="H147" s="314" t="s">
        <v>722</v>
      </c>
      <c r="I147" s="314">
        <v>10</v>
      </c>
      <c r="J147" s="308">
        <f t="shared" si="64"/>
        <v>2013</v>
      </c>
      <c r="K147" s="353"/>
      <c r="L147" s="306"/>
      <c r="M147" s="333">
        <v>1563.13</v>
      </c>
      <c r="N147" s="21"/>
      <c r="O147" s="19">
        <f t="shared" si="65"/>
        <v>1563.13</v>
      </c>
      <c r="P147" s="19">
        <f t="shared" si="66"/>
        <v>13.026083333333334</v>
      </c>
      <c r="Q147" s="19">
        <f t="shared" si="67"/>
        <v>0</v>
      </c>
      <c r="R147" s="19"/>
      <c r="S147" s="19">
        <f t="shared" si="68"/>
        <v>0</v>
      </c>
      <c r="T147" s="19">
        <v>1</v>
      </c>
      <c r="U147" s="19">
        <f t="shared" si="69"/>
        <v>0</v>
      </c>
      <c r="V147" s="19"/>
      <c r="W147" s="19">
        <f t="shared" si="70"/>
        <v>1563.13</v>
      </c>
      <c r="X147" s="19">
        <f t="shared" si="71"/>
        <v>1563.13</v>
      </c>
      <c r="Y147" s="19">
        <v>1</v>
      </c>
      <c r="Z147" s="19">
        <f t="shared" si="72"/>
        <v>1563.13</v>
      </c>
      <c r="AA147" s="19">
        <f t="shared" si="73"/>
        <v>1563.13</v>
      </c>
      <c r="AB147" s="19">
        <f t="shared" si="74"/>
        <v>0</v>
      </c>
      <c r="AC147" s="310">
        <f t="shared" si="75"/>
        <v>2003.6666666666667</v>
      </c>
      <c r="AD147" s="310">
        <f t="shared" si="76"/>
        <v>2016.5</v>
      </c>
      <c r="AE147" s="310">
        <f t="shared" si="77"/>
        <v>2013.6666666666667</v>
      </c>
      <c r="AF147" s="310">
        <f t="shared" si="78"/>
        <v>2015.5</v>
      </c>
      <c r="AG147" s="310">
        <f t="shared" si="79"/>
        <v>-8.3333333333333329E-2</v>
      </c>
    </row>
    <row r="148" spans="1:33">
      <c r="A148" s="306"/>
      <c r="B148" s="306">
        <v>2</v>
      </c>
      <c r="C148" s="331" t="s">
        <v>796</v>
      </c>
      <c r="D148" s="314">
        <v>2003</v>
      </c>
      <c r="E148" s="306">
        <v>9</v>
      </c>
      <c r="F148" s="352">
        <v>0</v>
      </c>
      <c r="G148" s="352"/>
      <c r="H148" s="314" t="s">
        <v>722</v>
      </c>
      <c r="I148" s="314">
        <v>10</v>
      </c>
      <c r="J148" s="308">
        <f t="shared" si="64"/>
        <v>2013</v>
      </c>
      <c r="K148" s="353"/>
      <c r="L148" s="306"/>
      <c r="M148" s="333">
        <v>1714.47</v>
      </c>
      <c r="N148" s="21"/>
      <c r="O148" s="19">
        <f t="shared" si="65"/>
        <v>1714.47</v>
      </c>
      <c r="P148" s="19">
        <f t="shared" si="66"/>
        <v>14.28725</v>
      </c>
      <c r="Q148" s="19">
        <f t="shared" si="67"/>
        <v>0</v>
      </c>
      <c r="R148" s="19"/>
      <c r="S148" s="19">
        <f t="shared" si="68"/>
        <v>0</v>
      </c>
      <c r="T148" s="19">
        <v>1</v>
      </c>
      <c r="U148" s="19">
        <f t="shared" si="69"/>
        <v>0</v>
      </c>
      <c r="V148" s="19"/>
      <c r="W148" s="19">
        <f t="shared" si="70"/>
        <v>1714.47</v>
      </c>
      <c r="X148" s="19">
        <f t="shared" si="71"/>
        <v>1714.47</v>
      </c>
      <c r="Y148" s="19">
        <v>1</v>
      </c>
      <c r="Z148" s="19">
        <f t="shared" si="72"/>
        <v>1714.47</v>
      </c>
      <c r="AA148" s="19">
        <f t="shared" si="73"/>
        <v>1714.47</v>
      </c>
      <c r="AB148" s="19">
        <f t="shared" si="74"/>
        <v>0</v>
      </c>
      <c r="AC148" s="310">
        <f t="shared" si="75"/>
        <v>2003.6666666666667</v>
      </c>
      <c r="AD148" s="310">
        <f t="shared" si="76"/>
        <v>2016.5</v>
      </c>
      <c r="AE148" s="310">
        <f t="shared" si="77"/>
        <v>2013.6666666666667</v>
      </c>
      <c r="AF148" s="310">
        <f t="shared" si="78"/>
        <v>2015.5</v>
      </c>
      <c r="AG148" s="310">
        <f t="shared" si="79"/>
        <v>-8.3333333333333329E-2</v>
      </c>
    </row>
    <row r="149" spans="1:33">
      <c r="A149" s="306"/>
      <c r="B149" s="306">
        <v>3</v>
      </c>
      <c r="C149" s="331" t="s">
        <v>811</v>
      </c>
      <c r="D149" s="314">
        <v>2003</v>
      </c>
      <c r="E149" s="306">
        <v>9</v>
      </c>
      <c r="F149" s="352">
        <v>0</v>
      </c>
      <c r="G149" s="352"/>
      <c r="H149" s="314" t="s">
        <v>722</v>
      </c>
      <c r="I149" s="314">
        <v>10</v>
      </c>
      <c r="J149" s="308">
        <f t="shared" si="64"/>
        <v>2013</v>
      </c>
      <c r="K149" s="353"/>
      <c r="L149" s="306"/>
      <c r="M149" s="333">
        <v>1092.8900000000001</v>
      </c>
      <c r="N149" s="21"/>
      <c r="O149" s="19">
        <f t="shared" si="65"/>
        <v>1092.8900000000001</v>
      </c>
      <c r="P149" s="19">
        <f t="shared" si="66"/>
        <v>9.1074166666666674</v>
      </c>
      <c r="Q149" s="19">
        <f t="shared" si="67"/>
        <v>0</v>
      </c>
      <c r="R149" s="19"/>
      <c r="S149" s="19">
        <f t="shared" si="68"/>
        <v>0</v>
      </c>
      <c r="T149" s="19">
        <v>1</v>
      </c>
      <c r="U149" s="19">
        <f t="shared" si="69"/>
        <v>0</v>
      </c>
      <c r="V149" s="19"/>
      <c r="W149" s="19">
        <f t="shared" si="70"/>
        <v>1092.8900000000001</v>
      </c>
      <c r="X149" s="19">
        <f t="shared" si="71"/>
        <v>1092.8900000000001</v>
      </c>
      <c r="Y149" s="19">
        <v>1</v>
      </c>
      <c r="Z149" s="19">
        <f t="shared" si="72"/>
        <v>1092.8900000000001</v>
      </c>
      <c r="AA149" s="19">
        <f t="shared" si="73"/>
        <v>1092.8900000000001</v>
      </c>
      <c r="AB149" s="19">
        <f t="shared" si="74"/>
        <v>0</v>
      </c>
      <c r="AC149" s="310">
        <f t="shared" si="75"/>
        <v>2003.6666666666667</v>
      </c>
      <c r="AD149" s="310">
        <f t="shared" si="76"/>
        <v>2016.5</v>
      </c>
      <c r="AE149" s="310">
        <f t="shared" si="77"/>
        <v>2013.6666666666667</v>
      </c>
      <c r="AF149" s="310">
        <f t="shared" si="78"/>
        <v>2015.5</v>
      </c>
      <c r="AG149" s="310">
        <f t="shared" si="79"/>
        <v>-8.3333333333333329E-2</v>
      </c>
    </row>
    <row r="150" spans="1:33">
      <c r="A150" s="306"/>
      <c r="B150" s="306">
        <v>10</v>
      </c>
      <c r="C150" s="331" t="s">
        <v>818</v>
      </c>
      <c r="D150" s="314">
        <v>2004</v>
      </c>
      <c r="E150" s="306">
        <v>7</v>
      </c>
      <c r="F150" s="352">
        <v>0</v>
      </c>
      <c r="G150" s="352"/>
      <c r="H150" s="314" t="s">
        <v>722</v>
      </c>
      <c r="I150" s="314">
        <v>10</v>
      </c>
      <c r="J150" s="308">
        <f t="shared" si="64"/>
        <v>2014</v>
      </c>
      <c r="K150" s="353"/>
      <c r="L150" s="306"/>
      <c r="M150" s="333">
        <v>3950</v>
      </c>
      <c r="N150" s="21"/>
      <c r="O150" s="19">
        <f t="shared" si="65"/>
        <v>3950</v>
      </c>
      <c r="P150" s="19">
        <f t="shared" si="66"/>
        <v>32.916666666666664</v>
      </c>
      <c r="Q150" s="19">
        <f t="shared" si="67"/>
        <v>0</v>
      </c>
      <c r="R150" s="19"/>
      <c r="S150" s="19">
        <f t="shared" si="68"/>
        <v>0</v>
      </c>
      <c r="T150" s="19">
        <v>1</v>
      </c>
      <c r="U150" s="19">
        <f t="shared" si="69"/>
        <v>0</v>
      </c>
      <c r="V150" s="19"/>
      <c r="W150" s="19">
        <f t="shared" si="70"/>
        <v>3950</v>
      </c>
      <c r="X150" s="19">
        <f t="shared" si="71"/>
        <v>3950</v>
      </c>
      <c r="Y150" s="19">
        <v>1</v>
      </c>
      <c r="Z150" s="19">
        <f t="shared" si="72"/>
        <v>3950</v>
      </c>
      <c r="AA150" s="19">
        <f t="shared" si="73"/>
        <v>3950</v>
      </c>
      <c r="AB150" s="19">
        <f t="shared" si="74"/>
        <v>0</v>
      </c>
      <c r="AC150" s="310">
        <f t="shared" si="75"/>
        <v>2004.5</v>
      </c>
      <c r="AD150" s="310">
        <f t="shared" si="76"/>
        <v>2016.5</v>
      </c>
      <c r="AE150" s="310">
        <f t="shared" si="77"/>
        <v>2014.5</v>
      </c>
      <c r="AF150" s="310">
        <f t="shared" si="78"/>
        <v>2015.5</v>
      </c>
      <c r="AG150" s="310">
        <f t="shared" si="79"/>
        <v>-8.3333333333333329E-2</v>
      </c>
    </row>
    <row r="151" spans="1:33">
      <c r="A151" s="306"/>
      <c r="B151" s="306">
        <v>4</v>
      </c>
      <c r="C151" s="331" t="s">
        <v>819</v>
      </c>
      <c r="D151" s="314">
        <v>2004</v>
      </c>
      <c r="E151" s="306">
        <v>7</v>
      </c>
      <c r="F151" s="352">
        <v>0</v>
      </c>
      <c r="G151" s="352"/>
      <c r="H151" s="314" t="s">
        <v>722</v>
      </c>
      <c r="I151" s="314">
        <v>10</v>
      </c>
      <c r="J151" s="308">
        <f t="shared" si="64"/>
        <v>2014</v>
      </c>
      <c r="K151" s="353"/>
      <c r="L151" s="306"/>
      <c r="M151" s="333">
        <v>3040</v>
      </c>
      <c r="N151" s="21"/>
      <c r="O151" s="19">
        <f t="shared" si="65"/>
        <v>3040</v>
      </c>
      <c r="P151" s="19">
        <f t="shared" si="66"/>
        <v>25.333333333333332</v>
      </c>
      <c r="Q151" s="19">
        <f t="shared" si="67"/>
        <v>0</v>
      </c>
      <c r="R151" s="19"/>
      <c r="S151" s="19">
        <f t="shared" si="68"/>
        <v>0</v>
      </c>
      <c r="T151" s="19">
        <v>1</v>
      </c>
      <c r="U151" s="19">
        <f t="shared" si="69"/>
        <v>0</v>
      </c>
      <c r="V151" s="19"/>
      <c r="W151" s="19">
        <f t="shared" si="70"/>
        <v>3040</v>
      </c>
      <c r="X151" s="19">
        <f t="shared" si="71"/>
        <v>3040</v>
      </c>
      <c r="Y151" s="19">
        <v>1</v>
      </c>
      <c r="Z151" s="19">
        <f t="shared" si="72"/>
        <v>3040</v>
      </c>
      <c r="AA151" s="19">
        <f t="shared" si="73"/>
        <v>3040</v>
      </c>
      <c r="AB151" s="19">
        <f t="shared" si="74"/>
        <v>0</v>
      </c>
      <c r="AC151" s="310">
        <f t="shared" si="75"/>
        <v>2004.5</v>
      </c>
      <c r="AD151" s="310">
        <f t="shared" si="76"/>
        <v>2016.5</v>
      </c>
      <c r="AE151" s="310">
        <f t="shared" si="77"/>
        <v>2014.5</v>
      </c>
      <c r="AF151" s="310">
        <f t="shared" si="78"/>
        <v>2015.5</v>
      </c>
      <c r="AG151" s="310">
        <f t="shared" si="79"/>
        <v>-8.3333333333333329E-2</v>
      </c>
    </row>
    <row r="152" spans="1:33">
      <c r="A152" s="306"/>
      <c r="B152" s="306">
        <v>5</v>
      </c>
      <c r="C152" s="331" t="s">
        <v>820</v>
      </c>
      <c r="D152" s="314">
        <v>2004</v>
      </c>
      <c r="E152" s="306">
        <v>7</v>
      </c>
      <c r="F152" s="352">
        <v>0</v>
      </c>
      <c r="G152" s="352"/>
      <c r="H152" s="314" t="s">
        <v>722</v>
      </c>
      <c r="I152" s="314">
        <v>10</v>
      </c>
      <c r="J152" s="308">
        <f t="shared" si="64"/>
        <v>2014</v>
      </c>
      <c r="K152" s="353"/>
      <c r="L152" s="306"/>
      <c r="M152" s="333">
        <v>1925</v>
      </c>
      <c r="N152" s="21"/>
      <c r="O152" s="19">
        <f t="shared" si="65"/>
        <v>1925</v>
      </c>
      <c r="P152" s="19">
        <f t="shared" si="66"/>
        <v>16.041666666666668</v>
      </c>
      <c r="Q152" s="19">
        <f t="shared" si="67"/>
        <v>0</v>
      </c>
      <c r="R152" s="19"/>
      <c r="S152" s="19">
        <f t="shared" si="68"/>
        <v>0</v>
      </c>
      <c r="T152" s="19">
        <v>1</v>
      </c>
      <c r="U152" s="19">
        <f t="shared" si="69"/>
        <v>0</v>
      </c>
      <c r="V152" s="19"/>
      <c r="W152" s="19">
        <f t="shared" si="70"/>
        <v>1925</v>
      </c>
      <c r="X152" s="19">
        <f t="shared" si="71"/>
        <v>1925</v>
      </c>
      <c r="Y152" s="19">
        <v>1</v>
      </c>
      <c r="Z152" s="19">
        <f t="shared" si="72"/>
        <v>1925</v>
      </c>
      <c r="AA152" s="19">
        <f t="shared" si="73"/>
        <v>1925</v>
      </c>
      <c r="AB152" s="19">
        <f t="shared" si="74"/>
        <v>0</v>
      </c>
      <c r="AC152" s="310">
        <f t="shared" si="75"/>
        <v>2004.5</v>
      </c>
      <c r="AD152" s="310">
        <f t="shared" si="76"/>
        <v>2016.5</v>
      </c>
      <c r="AE152" s="310">
        <f t="shared" si="77"/>
        <v>2014.5</v>
      </c>
      <c r="AF152" s="310">
        <f t="shared" si="78"/>
        <v>2015.5</v>
      </c>
      <c r="AG152" s="310">
        <f t="shared" si="79"/>
        <v>-8.3333333333333329E-2</v>
      </c>
    </row>
    <row r="153" spans="1:33">
      <c r="A153" s="306"/>
      <c r="B153" s="306">
        <v>6</v>
      </c>
      <c r="C153" s="331" t="s">
        <v>821</v>
      </c>
      <c r="D153" s="314">
        <v>2004</v>
      </c>
      <c r="E153" s="306">
        <v>7</v>
      </c>
      <c r="F153" s="352">
        <v>0</v>
      </c>
      <c r="G153" s="352"/>
      <c r="H153" s="314" t="s">
        <v>722</v>
      </c>
      <c r="I153" s="314">
        <v>10</v>
      </c>
      <c r="J153" s="308">
        <f t="shared" si="64"/>
        <v>2014</v>
      </c>
      <c r="K153" s="353"/>
      <c r="L153" s="306"/>
      <c r="M153" s="333">
        <v>4590</v>
      </c>
      <c r="N153" s="21"/>
      <c r="O153" s="19">
        <f t="shared" si="65"/>
        <v>4590</v>
      </c>
      <c r="P153" s="19">
        <f t="shared" si="66"/>
        <v>38.25</v>
      </c>
      <c r="Q153" s="19">
        <f t="shared" si="67"/>
        <v>0</v>
      </c>
      <c r="R153" s="19"/>
      <c r="S153" s="19">
        <f t="shared" si="68"/>
        <v>0</v>
      </c>
      <c r="T153" s="19">
        <v>1</v>
      </c>
      <c r="U153" s="19">
        <f t="shared" si="69"/>
        <v>0</v>
      </c>
      <c r="V153" s="19"/>
      <c r="W153" s="19">
        <f t="shared" si="70"/>
        <v>4590</v>
      </c>
      <c r="X153" s="19">
        <f t="shared" si="71"/>
        <v>4590</v>
      </c>
      <c r="Y153" s="19">
        <v>1</v>
      </c>
      <c r="Z153" s="19">
        <f t="shared" si="72"/>
        <v>4590</v>
      </c>
      <c r="AA153" s="19">
        <f t="shared" si="73"/>
        <v>4590</v>
      </c>
      <c r="AB153" s="19">
        <f t="shared" si="74"/>
        <v>0</v>
      </c>
      <c r="AC153" s="310">
        <f t="shared" si="75"/>
        <v>2004.5</v>
      </c>
      <c r="AD153" s="310">
        <f t="shared" si="76"/>
        <v>2016.5</v>
      </c>
      <c r="AE153" s="310">
        <f t="shared" si="77"/>
        <v>2014.5</v>
      </c>
      <c r="AF153" s="310">
        <f t="shared" si="78"/>
        <v>2015.5</v>
      </c>
      <c r="AG153" s="310">
        <f t="shared" si="79"/>
        <v>-8.3333333333333329E-2</v>
      </c>
    </row>
    <row r="154" spans="1:33">
      <c r="A154" s="306"/>
      <c r="B154" s="306">
        <v>3</v>
      </c>
      <c r="C154" s="331" t="s">
        <v>822</v>
      </c>
      <c r="D154" s="314">
        <v>2004</v>
      </c>
      <c r="E154" s="306">
        <v>8</v>
      </c>
      <c r="F154" s="352">
        <v>0</v>
      </c>
      <c r="G154" s="352"/>
      <c r="H154" s="314" t="s">
        <v>722</v>
      </c>
      <c r="I154" s="314">
        <v>10</v>
      </c>
      <c r="J154" s="308">
        <f t="shared" si="64"/>
        <v>2014</v>
      </c>
      <c r="K154" s="353"/>
      <c r="L154" s="306"/>
      <c r="M154" s="333">
        <v>2745</v>
      </c>
      <c r="N154" s="21"/>
      <c r="O154" s="19">
        <f t="shared" si="65"/>
        <v>2745</v>
      </c>
      <c r="P154" s="19">
        <f t="shared" si="66"/>
        <v>22.875</v>
      </c>
      <c r="Q154" s="19">
        <f t="shared" si="67"/>
        <v>0</v>
      </c>
      <c r="R154" s="19"/>
      <c r="S154" s="19">
        <f t="shared" si="68"/>
        <v>0</v>
      </c>
      <c r="T154" s="19">
        <v>1</v>
      </c>
      <c r="U154" s="19">
        <f t="shared" si="69"/>
        <v>0</v>
      </c>
      <c r="V154" s="19"/>
      <c r="W154" s="19">
        <f t="shared" si="70"/>
        <v>2745</v>
      </c>
      <c r="X154" s="19">
        <f t="shared" si="71"/>
        <v>2745</v>
      </c>
      <c r="Y154" s="19">
        <v>1</v>
      </c>
      <c r="Z154" s="19">
        <f t="shared" si="72"/>
        <v>2745</v>
      </c>
      <c r="AA154" s="19">
        <f t="shared" si="73"/>
        <v>2745</v>
      </c>
      <c r="AB154" s="19">
        <f t="shared" si="74"/>
        <v>0</v>
      </c>
      <c r="AC154" s="310">
        <f t="shared" si="75"/>
        <v>2004.5833333333333</v>
      </c>
      <c r="AD154" s="310">
        <f t="shared" si="76"/>
        <v>2016.5</v>
      </c>
      <c r="AE154" s="310">
        <f t="shared" si="77"/>
        <v>2014.5833333333333</v>
      </c>
      <c r="AF154" s="310">
        <f t="shared" si="78"/>
        <v>2015.5</v>
      </c>
      <c r="AG154" s="310">
        <f t="shared" si="79"/>
        <v>-8.3333333333333329E-2</v>
      </c>
    </row>
    <row r="155" spans="1:33">
      <c r="A155" s="306"/>
      <c r="B155" s="306">
        <v>8</v>
      </c>
      <c r="C155" s="346" t="s">
        <v>823</v>
      </c>
      <c r="D155" s="314">
        <v>2005</v>
      </c>
      <c r="E155" s="306">
        <v>3</v>
      </c>
      <c r="F155" s="352">
        <v>0</v>
      </c>
      <c r="G155" s="352"/>
      <c r="H155" s="314" t="s">
        <v>722</v>
      </c>
      <c r="I155" s="314">
        <v>10</v>
      </c>
      <c r="J155" s="308">
        <f t="shared" si="64"/>
        <v>2015</v>
      </c>
      <c r="K155" s="353"/>
      <c r="L155" s="306"/>
      <c r="M155" s="333">
        <v>6400</v>
      </c>
      <c r="N155" s="21"/>
      <c r="O155" s="19">
        <f t="shared" si="65"/>
        <v>6400</v>
      </c>
      <c r="P155" s="19">
        <f t="shared" si="66"/>
        <v>53.333333333333336</v>
      </c>
      <c r="Q155" s="19">
        <f t="shared" si="67"/>
        <v>0</v>
      </c>
      <c r="R155" s="19"/>
      <c r="S155" s="19">
        <f t="shared" si="68"/>
        <v>0</v>
      </c>
      <c r="T155" s="19">
        <v>1</v>
      </c>
      <c r="U155" s="19">
        <f t="shared" si="69"/>
        <v>0</v>
      </c>
      <c r="V155" s="19"/>
      <c r="W155" s="19">
        <f t="shared" si="70"/>
        <v>6400</v>
      </c>
      <c r="X155" s="19">
        <f t="shared" si="71"/>
        <v>6400</v>
      </c>
      <c r="Y155" s="19">
        <v>1</v>
      </c>
      <c r="Z155" s="19">
        <f t="shared" si="72"/>
        <v>6400</v>
      </c>
      <c r="AA155" s="19">
        <f t="shared" si="73"/>
        <v>6400</v>
      </c>
      <c r="AB155" s="19">
        <f t="shared" si="74"/>
        <v>0</v>
      </c>
      <c r="AC155" s="310">
        <f t="shared" si="75"/>
        <v>2005.1666666666667</v>
      </c>
      <c r="AD155" s="310">
        <f t="shared" si="76"/>
        <v>2016.5</v>
      </c>
      <c r="AE155" s="310">
        <f t="shared" si="77"/>
        <v>2015.1666666666667</v>
      </c>
      <c r="AF155" s="310">
        <f t="shared" si="78"/>
        <v>2015.5</v>
      </c>
      <c r="AG155" s="310">
        <f t="shared" si="79"/>
        <v>-8.3333333333333329E-2</v>
      </c>
    </row>
    <row r="156" spans="1:33">
      <c r="A156" s="306"/>
      <c r="B156" s="306">
        <v>3</v>
      </c>
      <c r="C156" s="331" t="s">
        <v>824</v>
      </c>
      <c r="D156" s="314">
        <v>2005</v>
      </c>
      <c r="E156" s="306">
        <v>5</v>
      </c>
      <c r="F156" s="352">
        <v>0</v>
      </c>
      <c r="G156" s="352"/>
      <c r="H156" s="314" t="s">
        <v>722</v>
      </c>
      <c r="I156" s="314">
        <v>10</v>
      </c>
      <c r="J156" s="308">
        <f t="shared" si="64"/>
        <v>2015</v>
      </c>
      <c r="K156" s="353"/>
      <c r="L156" s="306"/>
      <c r="M156" s="333">
        <v>2469</v>
      </c>
      <c r="N156" s="21"/>
      <c r="O156" s="19">
        <f t="shared" si="65"/>
        <v>2469</v>
      </c>
      <c r="P156" s="19">
        <f t="shared" si="66"/>
        <v>20.574999999999999</v>
      </c>
      <c r="Q156" s="19">
        <f t="shared" si="67"/>
        <v>0</v>
      </c>
      <c r="R156" s="19"/>
      <c r="S156" s="19">
        <f t="shared" si="68"/>
        <v>0</v>
      </c>
      <c r="T156" s="19">
        <v>1</v>
      </c>
      <c r="U156" s="19">
        <f t="shared" si="69"/>
        <v>0</v>
      </c>
      <c r="V156" s="19"/>
      <c r="W156" s="19">
        <f t="shared" si="70"/>
        <v>2469</v>
      </c>
      <c r="X156" s="19">
        <f t="shared" si="71"/>
        <v>2469</v>
      </c>
      <c r="Y156" s="19">
        <v>1</v>
      </c>
      <c r="Z156" s="19">
        <f t="shared" si="72"/>
        <v>2469</v>
      </c>
      <c r="AA156" s="19">
        <f t="shared" si="73"/>
        <v>2469</v>
      </c>
      <c r="AB156" s="19">
        <f t="shared" si="74"/>
        <v>0</v>
      </c>
      <c r="AC156" s="310">
        <f t="shared" si="75"/>
        <v>2005.3333333333333</v>
      </c>
      <c r="AD156" s="310">
        <f t="shared" si="76"/>
        <v>2016.5</v>
      </c>
      <c r="AE156" s="310">
        <f t="shared" si="77"/>
        <v>2015.3333333333333</v>
      </c>
      <c r="AF156" s="310">
        <f t="shared" si="78"/>
        <v>2015.5</v>
      </c>
      <c r="AG156" s="310">
        <f t="shared" si="79"/>
        <v>-8.3333333333333329E-2</v>
      </c>
    </row>
    <row r="157" spans="1:33">
      <c r="A157" s="306"/>
      <c r="B157" s="306">
        <v>2</v>
      </c>
      <c r="C157" s="331" t="s">
        <v>825</v>
      </c>
      <c r="D157" s="314">
        <v>2005</v>
      </c>
      <c r="E157" s="306">
        <v>5</v>
      </c>
      <c r="F157" s="352">
        <v>0</v>
      </c>
      <c r="G157" s="352"/>
      <c r="H157" s="314" t="s">
        <v>722</v>
      </c>
      <c r="I157" s="314">
        <v>10</v>
      </c>
      <c r="J157" s="308">
        <f t="shared" si="64"/>
        <v>2015</v>
      </c>
      <c r="K157" s="353"/>
      <c r="L157" s="306"/>
      <c r="M157" s="333">
        <v>863</v>
      </c>
      <c r="N157" s="21"/>
      <c r="O157" s="19">
        <f t="shared" si="65"/>
        <v>863</v>
      </c>
      <c r="P157" s="19">
        <f t="shared" si="66"/>
        <v>7.1916666666666664</v>
      </c>
      <c r="Q157" s="19">
        <f t="shared" si="67"/>
        <v>0</v>
      </c>
      <c r="R157" s="19"/>
      <c r="S157" s="19">
        <f t="shared" si="68"/>
        <v>0</v>
      </c>
      <c r="T157" s="19">
        <v>1</v>
      </c>
      <c r="U157" s="19">
        <f t="shared" si="69"/>
        <v>0</v>
      </c>
      <c r="V157" s="19"/>
      <c r="W157" s="19">
        <f t="shared" si="70"/>
        <v>863</v>
      </c>
      <c r="X157" s="19">
        <f t="shared" si="71"/>
        <v>863</v>
      </c>
      <c r="Y157" s="19">
        <v>1</v>
      </c>
      <c r="Z157" s="19">
        <f t="shared" si="72"/>
        <v>863</v>
      </c>
      <c r="AA157" s="19">
        <f t="shared" si="73"/>
        <v>863</v>
      </c>
      <c r="AB157" s="19">
        <f t="shared" si="74"/>
        <v>0</v>
      </c>
      <c r="AC157" s="310">
        <f t="shared" si="75"/>
        <v>2005.3333333333333</v>
      </c>
      <c r="AD157" s="310">
        <f t="shared" si="76"/>
        <v>2016.5</v>
      </c>
      <c r="AE157" s="310">
        <f t="shared" si="77"/>
        <v>2015.3333333333333</v>
      </c>
      <c r="AF157" s="310">
        <f t="shared" si="78"/>
        <v>2015.5</v>
      </c>
      <c r="AG157" s="310">
        <f t="shared" si="79"/>
        <v>-8.3333333333333329E-2</v>
      </c>
    </row>
    <row r="158" spans="1:33">
      <c r="A158" s="306"/>
      <c r="B158" s="306">
        <v>3</v>
      </c>
      <c r="C158" s="331" t="s">
        <v>824</v>
      </c>
      <c r="D158" s="314">
        <v>2005</v>
      </c>
      <c r="E158" s="306">
        <v>8</v>
      </c>
      <c r="F158" s="352">
        <v>0</v>
      </c>
      <c r="G158" s="352"/>
      <c r="H158" s="314" t="s">
        <v>722</v>
      </c>
      <c r="I158" s="314">
        <v>10</v>
      </c>
      <c r="J158" s="308">
        <f t="shared" si="64"/>
        <v>2015</v>
      </c>
      <c r="K158" s="353"/>
      <c r="L158" s="306"/>
      <c r="M158" s="333">
        <v>2469</v>
      </c>
      <c r="N158" s="21"/>
      <c r="O158" s="19">
        <f t="shared" si="65"/>
        <v>2469</v>
      </c>
      <c r="P158" s="19">
        <f t="shared" si="66"/>
        <v>20.574999999999999</v>
      </c>
      <c r="Q158" s="19">
        <f t="shared" si="67"/>
        <v>20.574999999981287</v>
      </c>
      <c r="R158" s="19"/>
      <c r="S158" s="19">
        <f t="shared" si="68"/>
        <v>20.574999999981287</v>
      </c>
      <c r="T158" s="19">
        <v>1</v>
      </c>
      <c r="U158" s="19">
        <f t="shared" si="69"/>
        <v>20.574999999981287</v>
      </c>
      <c r="V158" s="19"/>
      <c r="W158" s="19">
        <f t="shared" si="70"/>
        <v>2448.4250000000188</v>
      </c>
      <c r="X158" s="19">
        <f t="shared" si="71"/>
        <v>2448.4250000000188</v>
      </c>
      <c r="Y158" s="19">
        <v>1</v>
      </c>
      <c r="Z158" s="19">
        <f t="shared" si="72"/>
        <v>2448.4250000000188</v>
      </c>
      <c r="AA158" s="19">
        <f t="shared" si="73"/>
        <v>2469</v>
      </c>
      <c r="AB158" s="19">
        <f t="shared" si="74"/>
        <v>10.287499999990587</v>
      </c>
      <c r="AC158" s="310">
        <f t="shared" si="75"/>
        <v>2005.5833333333333</v>
      </c>
      <c r="AD158" s="310">
        <f t="shared" si="76"/>
        <v>2016.5</v>
      </c>
      <c r="AE158" s="310">
        <f t="shared" si="77"/>
        <v>2015.5833333333333</v>
      </c>
      <c r="AF158" s="310">
        <f t="shared" si="78"/>
        <v>2015.5</v>
      </c>
      <c r="AG158" s="310">
        <f t="shared" si="79"/>
        <v>-8.3333333333333329E-2</v>
      </c>
    </row>
    <row r="159" spans="1:33">
      <c r="A159" s="306"/>
      <c r="B159" s="306">
        <v>4</v>
      </c>
      <c r="C159" s="331" t="s">
        <v>824</v>
      </c>
      <c r="D159" s="314">
        <v>2006</v>
      </c>
      <c r="E159" s="306">
        <v>2</v>
      </c>
      <c r="F159" s="352">
        <v>0</v>
      </c>
      <c r="G159" s="352"/>
      <c r="H159" s="314" t="s">
        <v>722</v>
      </c>
      <c r="I159" s="314">
        <v>10</v>
      </c>
      <c r="J159" s="308">
        <f t="shared" si="64"/>
        <v>2016</v>
      </c>
      <c r="K159" s="353"/>
      <c r="L159" s="306"/>
      <c r="M159" s="333">
        <v>2588.33</v>
      </c>
      <c r="N159" s="21"/>
      <c r="O159" s="19">
        <f t="shared" si="65"/>
        <v>2588.33</v>
      </c>
      <c r="P159" s="19">
        <f t="shared" si="66"/>
        <v>21.569416666666665</v>
      </c>
      <c r="Q159" s="19">
        <f t="shared" si="67"/>
        <v>150.98591666664703</v>
      </c>
      <c r="R159" s="19"/>
      <c r="S159" s="19">
        <f t="shared" si="68"/>
        <v>150.98591666664703</v>
      </c>
      <c r="T159" s="19">
        <v>1</v>
      </c>
      <c r="U159" s="19">
        <f t="shared" si="69"/>
        <v>150.98591666664703</v>
      </c>
      <c r="V159" s="19"/>
      <c r="W159" s="19">
        <f t="shared" si="70"/>
        <v>2437.344083333353</v>
      </c>
      <c r="X159" s="19">
        <f t="shared" si="71"/>
        <v>2437.344083333353</v>
      </c>
      <c r="Y159" s="19">
        <v>1</v>
      </c>
      <c r="Z159" s="19">
        <f t="shared" si="72"/>
        <v>2437.344083333353</v>
      </c>
      <c r="AA159" s="19">
        <f t="shared" si="73"/>
        <v>2588.33</v>
      </c>
      <c r="AB159" s="19">
        <f t="shared" si="74"/>
        <v>75.492958333323486</v>
      </c>
      <c r="AC159" s="310">
        <f t="shared" si="75"/>
        <v>2006.0833333333333</v>
      </c>
      <c r="AD159" s="310">
        <f t="shared" si="76"/>
        <v>2016.5</v>
      </c>
      <c r="AE159" s="310">
        <f t="shared" si="77"/>
        <v>2016.0833333333333</v>
      </c>
      <c r="AF159" s="310">
        <f t="shared" si="78"/>
        <v>2015.5</v>
      </c>
      <c r="AG159" s="310">
        <f t="shared" si="79"/>
        <v>-8.3333333333333329E-2</v>
      </c>
    </row>
    <row r="160" spans="1:33">
      <c r="A160" s="306"/>
      <c r="B160" s="306">
        <v>4</v>
      </c>
      <c r="C160" s="331" t="s">
        <v>825</v>
      </c>
      <c r="D160" s="314">
        <v>2006</v>
      </c>
      <c r="E160" s="306">
        <v>2</v>
      </c>
      <c r="F160" s="352">
        <v>0</v>
      </c>
      <c r="G160" s="352"/>
      <c r="H160" s="314" t="s">
        <v>722</v>
      </c>
      <c r="I160" s="314">
        <v>10</v>
      </c>
      <c r="J160" s="308">
        <f t="shared" si="64"/>
        <v>2016</v>
      </c>
      <c r="K160" s="353"/>
      <c r="L160" s="306"/>
      <c r="M160" s="333">
        <v>3127.61</v>
      </c>
      <c r="N160" s="21"/>
      <c r="O160" s="19">
        <f t="shared" si="65"/>
        <v>3127.61</v>
      </c>
      <c r="P160" s="19">
        <f t="shared" si="66"/>
        <v>26.063416666666669</v>
      </c>
      <c r="Q160" s="19">
        <f t="shared" si="67"/>
        <v>182.44391666664296</v>
      </c>
      <c r="R160" s="19"/>
      <c r="S160" s="19">
        <f t="shared" si="68"/>
        <v>182.44391666664296</v>
      </c>
      <c r="T160" s="19">
        <v>1</v>
      </c>
      <c r="U160" s="19">
        <f t="shared" si="69"/>
        <v>182.44391666664296</v>
      </c>
      <c r="V160" s="19"/>
      <c r="W160" s="19">
        <f t="shared" si="70"/>
        <v>2945.1660833333572</v>
      </c>
      <c r="X160" s="19">
        <f t="shared" si="71"/>
        <v>2945.1660833333572</v>
      </c>
      <c r="Y160" s="19">
        <v>1</v>
      </c>
      <c r="Z160" s="19">
        <f t="shared" si="72"/>
        <v>2945.1660833333572</v>
      </c>
      <c r="AA160" s="19">
        <f t="shared" si="73"/>
        <v>3127.61</v>
      </c>
      <c r="AB160" s="19">
        <f t="shared" si="74"/>
        <v>91.221958333321481</v>
      </c>
      <c r="AC160" s="310">
        <f t="shared" si="75"/>
        <v>2006.0833333333333</v>
      </c>
      <c r="AD160" s="310">
        <f t="shared" si="76"/>
        <v>2016.5</v>
      </c>
      <c r="AE160" s="310">
        <f t="shared" si="77"/>
        <v>2016.0833333333333</v>
      </c>
      <c r="AF160" s="310">
        <f t="shared" si="78"/>
        <v>2015.5</v>
      </c>
      <c r="AG160" s="310">
        <f t="shared" si="79"/>
        <v>-8.3333333333333329E-2</v>
      </c>
    </row>
    <row r="161" spans="1:33">
      <c r="A161" s="306"/>
      <c r="B161" s="306">
        <v>8</v>
      </c>
      <c r="C161" s="331" t="s">
        <v>826</v>
      </c>
      <c r="D161" s="314">
        <v>2006</v>
      </c>
      <c r="E161" s="306">
        <v>3</v>
      </c>
      <c r="F161" s="352">
        <v>0</v>
      </c>
      <c r="G161" s="352"/>
      <c r="H161" s="314" t="s">
        <v>722</v>
      </c>
      <c r="I161" s="314">
        <v>10</v>
      </c>
      <c r="J161" s="308">
        <f t="shared" si="64"/>
        <v>2016</v>
      </c>
      <c r="K161" s="353"/>
      <c r="L161" s="306"/>
      <c r="M161" s="333">
        <v>3749.76</v>
      </c>
      <c r="N161" s="21"/>
      <c r="O161" s="19">
        <f t="shared" si="65"/>
        <v>3749.76</v>
      </c>
      <c r="P161" s="19">
        <f t="shared" si="66"/>
        <v>31.248000000000001</v>
      </c>
      <c r="Q161" s="19">
        <f t="shared" si="67"/>
        <v>249.98400000002843</v>
      </c>
      <c r="R161" s="19"/>
      <c r="S161" s="19">
        <f t="shared" si="68"/>
        <v>249.98400000002843</v>
      </c>
      <c r="T161" s="19">
        <v>1</v>
      </c>
      <c r="U161" s="19">
        <f t="shared" si="69"/>
        <v>249.98400000002843</v>
      </c>
      <c r="V161" s="19"/>
      <c r="W161" s="19">
        <f t="shared" si="70"/>
        <v>3499.7759999999716</v>
      </c>
      <c r="X161" s="19">
        <f t="shared" si="71"/>
        <v>3499.7759999999716</v>
      </c>
      <c r="Y161" s="19">
        <v>1</v>
      </c>
      <c r="Z161" s="19">
        <f t="shared" si="72"/>
        <v>3499.7759999999716</v>
      </c>
      <c r="AA161" s="19">
        <f t="shared" si="73"/>
        <v>3749.76</v>
      </c>
      <c r="AB161" s="19">
        <f t="shared" si="74"/>
        <v>124.99200000001429</v>
      </c>
      <c r="AC161" s="310">
        <f t="shared" si="75"/>
        <v>2006.1666666666667</v>
      </c>
      <c r="AD161" s="310">
        <f t="shared" si="76"/>
        <v>2016.5</v>
      </c>
      <c r="AE161" s="310">
        <f t="shared" si="77"/>
        <v>2016.1666666666667</v>
      </c>
      <c r="AF161" s="310">
        <f t="shared" si="78"/>
        <v>2015.5</v>
      </c>
      <c r="AG161" s="310">
        <f t="shared" si="79"/>
        <v>-8.3333333333333329E-2</v>
      </c>
    </row>
    <row r="162" spans="1:33">
      <c r="A162" s="306"/>
      <c r="B162" s="306">
        <v>13</v>
      </c>
      <c r="C162" s="331" t="s">
        <v>827</v>
      </c>
      <c r="D162" s="314">
        <v>2006</v>
      </c>
      <c r="E162" s="306">
        <v>4</v>
      </c>
      <c r="F162" s="352">
        <v>0</v>
      </c>
      <c r="G162" s="352"/>
      <c r="H162" s="314" t="s">
        <v>722</v>
      </c>
      <c r="I162" s="314">
        <v>10</v>
      </c>
      <c r="J162" s="308">
        <f t="shared" si="64"/>
        <v>2016</v>
      </c>
      <c r="K162" s="353"/>
      <c r="L162" s="306"/>
      <c r="M162" s="333">
        <f>5005+430.43</f>
        <v>5435.43</v>
      </c>
      <c r="N162" s="21"/>
      <c r="O162" s="19">
        <f t="shared" si="65"/>
        <v>5435.43</v>
      </c>
      <c r="P162" s="19">
        <f t="shared" si="66"/>
        <v>45.295250000000003</v>
      </c>
      <c r="Q162" s="19">
        <f t="shared" si="67"/>
        <v>407.65725000000003</v>
      </c>
      <c r="R162" s="19"/>
      <c r="S162" s="19">
        <f t="shared" si="68"/>
        <v>407.65725000000003</v>
      </c>
      <c r="T162" s="19">
        <v>1</v>
      </c>
      <c r="U162" s="19">
        <f t="shared" si="69"/>
        <v>407.65725000000003</v>
      </c>
      <c r="V162" s="19"/>
      <c r="W162" s="19">
        <f t="shared" si="70"/>
        <v>5027.7727500000001</v>
      </c>
      <c r="X162" s="19">
        <f t="shared" si="71"/>
        <v>5027.7727500000001</v>
      </c>
      <c r="Y162" s="19">
        <v>1</v>
      </c>
      <c r="Z162" s="19">
        <f t="shared" si="72"/>
        <v>5027.7727500000001</v>
      </c>
      <c r="AA162" s="19">
        <f t="shared" si="73"/>
        <v>5435.43</v>
      </c>
      <c r="AB162" s="19">
        <f t="shared" si="74"/>
        <v>203.8286250000001</v>
      </c>
      <c r="AC162" s="310">
        <f t="shared" si="75"/>
        <v>2006.25</v>
      </c>
      <c r="AD162" s="310">
        <f t="shared" si="76"/>
        <v>2016.5</v>
      </c>
      <c r="AE162" s="310">
        <f t="shared" si="77"/>
        <v>2016.25</v>
      </c>
      <c r="AF162" s="310">
        <f t="shared" si="78"/>
        <v>2015.5</v>
      </c>
      <c r="AG162" s="310">
        <f t="shared" si="79"/>
        <v>-8.3333333333333329E-2</v>
      </c>
    </row>
    <row r="163" spans="1:33">
      <c r="A163" s="306"/>
      <c r="B163" s="306">
        <v>5</v>
      </c>
      <c r="C163" s="331" t="s">
        <v>828</v>
      </c>
      <c r="D163" s="314">
        <v>2006</v>
      </c>
      <c r="E163" s="306">
        <v>4</v>
      </c>
      <c r="F163" s="352">
        <v>0</v>
      </c>
      <c r="G163" s="352"/>
      <c r="H163" s="314" t="s">
        <v>722</v>
      </c>
      <c r="I163" s="314">
        <v>10</v>
      </c>
      <c r="J163" s="308">
        <f t="shared" si="64"/>
        <v>2016</v>
      </c>
      <c r="K163" s="353"/>
      <c r="L163" s="306"/>
      <c r="M163" s="333">
        <f>2075+178.45</f>
        <v>2253.4499999999998</v>
      </c>
      <c r="N163" s="21"/>
      <c r="O163" s="19">
        <f t="shared" si="65"/>
        <v>2253.4499999999998</v>
      </c>
      <c r="P163" s="19">
        <f t="shared" si="66"/>
        <v>18.778749999999999</v>
      </c>
      <c r="Q163" s="19">
        <f t="shared" si="67"/>
        <v>169.00874999999999</v>
      </c>
      <c r="R163" s="19"/>
      <c r="S163" s="19">
        <f t="shared" si="68"/>
        <v>169.00874999999999</v>
      </c>
      <c r="T163" s="19">
        <v>1</v>
      </c>
      <c r="U163" s="19">
        <f t="shared" si="69"/>
        <v>169.00874999999999</v>
      </c>
      <c r="V163" s="19"/>
      <c r="W163" s="19">
        <f t="shared" si="70"/>
        <v>2084.4412499999999</v>
      </c>
      <c r="X163" s="19">
        <f t="shared" si="71"/>
        <v>2084.4412499999999</v>
      </c>
      <c r="Y163" s="19">
        <v>1</v>
      </c>
      <c r="Z163" s="19">
        <f t="shared" si="72"/>
        <v>2084.4412499999999</v>
      </c>
      <c r="AA163" s="19">
        <f t="shared" si="73"/>
        <v>2253.4499999999998</v>
      </c>
      <c r="AB163" s="19">
        <f t="shared" si="74"/>
        <v>84.504374999999982</v>
      </c>
      <c r="AC163" s="310">
        <f t="shared" si="75"/>
        <v>2006.25</v>
      </c>
      <c r="AD163" s="310">
        <f t="shared" si="76"/>
        <v>2016.5</v>
      </c>
      <c r="AE163" s="310">
        <f t="shared" si="77"/>
        <v>2016.25</v>
      </c>
      <c r="AF163" s="310">
        <f t="shared" si="78"/>
        <v>2015.5</v>
      </c>
      <c r="AG163" s="310">
        <f t="shared" si="79"/>
        <v>-8.3333333333333329E-2</v>
      </c>
    </row>
    <row r="164" spans="1:33">
      <c r="A164" s="306"/>
      <c r="B164" s="306">
        <v>2</v>
      </c>
      <c r="C164" s="331" t="s">
        <v>824</v>
      </c>
      <c r="D164" s="314">
        <v>2006</v>
      </c>
      <c r="E164" s="306">
        <v>4</v>
      </c>
      <c r="F164" s="352">
        <v>0</v>
      </c>
      <c r="G164" s="352"/>
      <c r="H164" s="314" t="s">
        <v>722</v>
      </c>
      <c r="I164" s="314">
        <v>10</v>
      </c>
      <c r="J164" s="308">
        <f t="shared" si="64"/>
        <v>2016</v>
      </c>
      <c r="K164" s="353"/>
      <c r="L164" s="306"/>
      <c r="M164" s="333">
        <f>1660+142.76</f>
        <v>1802.76</v>
      </c>
      <c r="N164" s="21"/>
      <c r="O164" s="19">
        <f t="shared" si="65"/>
        <v>1802.76</v>
      </c>
      <c r="P164" s="19">
        <f t="shared" si="66"/>
        <v>15.023000000000001</v>
      </c>
      <c r="Q164" s="19">
        <f t="shared" si="67"/>
        <v>135.20700000000002</v>
      </c>
      <c r="R164" s="19"/>
      <c r="S164" s="19">
        <f t="shared" si="68"/>
        <v>135.20700000000002</v>
      </c>
      <c r="T164" s="19">
        <v>1</v>
      </c>
      <c r="U164" s="19">
        <f t="shared" si="69"/>
        <v>135.20700000000002</v>
      </c>
      <c r="V164" s="19"/>
      <c r="W164" s="19">
        <f t="shared" si="70"/>
        <v>1667.5529999999999</v>
      </c>
      <c r="X164" s="19">
        <f t="shared" si="71"/>
        <v>1667.5529999999999</v>
      </c>
      <c r="Y164" s="19">
        <v>1</v>
      </c>
      <c r="Z164" s="19">
        <f t="shared" si="72"/>
        <v>1667.5529999999999</v>
      </c>
      <c r="AA164" s="19">
        <f t="shared" si="73"/>
        <v>1802.76</v>
      </c>
      <c r="AB164" s="19">
        <f t="shared" si="74"/>
        <v>67.603500000000054</v>
      </c>
      <c r="AC164" s="310">
        <f t="shared" si="75"/>
        <v>2006.25</v>
      </c>
      <c r="AD164" s="310">
        <f t="shared" si="76"/>
        <v>2016.5</v>
      </c>
      <c r="AE164" s="310">
        <f t="shared" si="77"/>
        <v>2016.25</v>
      </c>
      <c r="AF164" s="310">
        <f t="shared" si="78"/>
        <v>2015.5</v>
      </c>
      <c r="AG164" s="310">
        <f t="shared" si="79"/>
        <v>-8.3333333333333329E-2</v>
      </c>
    </row>
    <row r="165" spans="1:33">
      <c r="A165" s="306"/>
      <c r="B165" s="306">
        <v>8</v>
      </c>
      <c r="C165" s="331" t="s">
        <v>824</v>
      </c>
      <c r="D165" s="314">
        <v>2006</v>
      </c>
      <c r="E165" s="306">
        <v>8</v>
      </c>
      <c r="F165" s="352">
        <v>0</v>
      </c>
      <c r="G165" s="352"/>
      <c r="H165" s="314" t="s">
        <v>722</v>
      </c>
      <c r="I165" s="314">
        <v>10</v>
      </c>
      <c r="J165" s="308">
        <f t="shared" si="64"/>
        <v>2016</v>
      </c>
      <c r="K165" s="353"/>
      <c r="L165" s="306"/>
      <c r="M165" s="333">
        <v>4912</v>
      </c>
      <c r="N165" s="21"/>
      <c r="O165" s="19">
        <f t="shared" si="65"/>
        <v>4912</v>
      </c>
      <c r="P165" s="19">
        <f t="shared" si="66"/>
        <v>40.93333333333333</v>
      </c>
      <c r="Q165" s="19">
        <f t="shared" si="67"/>
        <v>491.19999999999993</v>
      </c>
      <c r="R165" s="19"/>
      <c r="S165" s="19">
        <f t="shared" si="68"/>
        <v>491.19999999999993</v>
      </c>
      <c r="T165" s="19">
        <v>1</v>
      </c>
      <c r="U165" s="19">
        <f t="shared" si="69"/>
        <v>491.19999999999993</v>
      </c>
      <c r="V165" s="19"/>
      <c r="W165" s="19">
        <f t="shared" si="70"/>
        <v>4379.8666666667032</v>
      </c>
      <c r="X165" s="19">
        <f t="shared" si="71"/>
        <v>4379.8666666667032</v>
      </c>
      <c r="Y165" s="19">
        <v>1</v>
      </c>
      <c r="Z165" s="19">
        <f t="shared" si="72"/>
        <v>4379.8666666667032</v>
      </c>
      <c r="AA165" s="19">
        <f t="shared" si="73"/>
        <v>4871.066666666703</v>
      </c>
      <c r="AB165" s="19">
        <f t="shared" si="74"/>
        <v>286.53333333329692</v>
      </c>
      <c r="AC165" s="310">
        <f t="shared" si="75"/>
        <v>2006.5833333333333</v>
      </c>
      <c r="AD165" s="310">
        <f t="shared" si="76"/>
        <v>2016.5</v>
      </c>
      <c r="AE165" s="310">
        <f t="shared" si="77"/>
        <v>2016.5833333333333</v>
      </c>
      <c r="AF165" s="310">
        <f t="shared" si="78"/>
        <v>2015.5</v>
      </c>
      <c r="AG165" s="310">
        <f t="shared" si="79"/>
        <v>-8.3333333333333329E-2</v>
      </c>
    </row>
    <row r="166" spans="1:33">
      <c r="A166" s="306"/>
      <c r="B166" s="306">
        <v>2</v>
      </c>
      <c r="C166" s="331" t="s">
        <v>825</v>
      </c>
      <c r="D166" s="314">
        <v>2006</v>
      </c>
      <c r="E166" s="306">
        <v>8</v>
      </c>
      <c r="F166" s="352">
        <v>0</v>
      </c>
      <c r="G166" s="352"/>
      <c r="H166" s="314" t="s">
        <v>722</v>
      </c>
      <c r="I166" s="314">
        <v>10</v>
      </c>
      <c r="J166" s="308">
        <f t="shared" si="64"/>
        <v>2016</v>
      </c>
      <c r="K166" s="353"/>
      <c r="L166" s="306"/>
      <c r="M166" s="333">
        <v>1454</v>
      </c>
      <c r="N166" s="21"/>
      <c r="O166" s="19">
        <f t="shared" si="65"/>
        <v>1454</v>
      </c>
      <c r="P166" s="19">
        <f t="shared" si="66"/>
        <v>12.116666666666667</v>
      </c>
      <c r="Q166" s="19">
        <f t="shared" si="67"/>
        <v>145.4</v>
      </c>
      <c r="R166" s="19"/>
      <c r="S166" s="19">
        <f t="shared" si="68"/>
        <v>145.4</v>
      </c>
      <c r="T166" s="19">
        <v>1</v>
      </c>
      <c r="U166" s="19">
        <f t="shared" si="69"/>
        <v>145.4</v>
      </c>
      <c r="V166" s="19"/>
      <c r="W166" s="19">
        <f t="shared" si="70"/>
        <v>1296.4833333333445</v>
      </c>
      <c r="X166" s="19">
        <f t="shared" si="71"/>
        <v>1296.4833333333445</v>
      </c>
      <c r="Y166" s="19">
        <v>1</v>
      </c>
      <c r="Z166" s="19">
        <f t="shared" si="72"/>
        <v>1296.4833333333445</v>
      </c>
      <c r="AA166" s="19">
        <f t="shared" si="73"/>
        <v>1441.8833333333446</v>
      </c>
      <c r="AB166" s="19">
        <f t="shared" si="74"/>
        <v>84.816666666655465</v>
      </c>
      <c r="AC166" s="310">
        <f t="shared" si="75"/>
        <v>2006.5833333333333</v>
      </c>
      <c r="AD166" s="310">
        <f t="shared" si="76"/>
        <v>2016.5</v>
      </c>
      <c r="AE166" s="310">
        <f t="shared" si="77"/>
        <v>2016.5833333333333</v>
      </c>
      <c r="AF166" s="310">
        <f t="shared" si="78"/>
        <v>2015.5</v>
      </c>
      <c r="AG166" s="310">
        <f t="shared" si="79"/>
        <v>-8.3333333333333329E-2</v>
      </c>
    </row>
    <row r="167" spans="1:33">
      <c r="A167" s="306"/>
      <c r="B167" s="306">
        <v>2</v>
      </c>
      <c r="C167" s="331" t="s">
        <v>827</v>
      </c>
      <c r="D167" s="314">
        <v>2007</v>
      </c>
      <c r="E167" s="306">
        <v>1</v>
      </c>
      <c r="F167" s="352">
        <v>0</v>
      </c>
      <c r="G167" s="352"/>
      <c r="H167" s="314" t="s">
        <v>722</v>
      </c>
      <c r="I167" s="314">
        <v>10</v>
      </c>
      <c r="J167" s="308">
        <f t="shared" si="64"/>
        <v>2017</v>
      </c>
      <c r="K167" s="353"/>
      <c r="L167" s="306"/>
      <c r="M167" s="333">
        <v>860</v>
      </c>
      <c r="N167" s="21"/>
      <c r="O167" s="19">
        <f t="shared" si="65"/>
        <v>860</v>
      </c>
      <c r="P167" s="19">
        <f t="shared" si="66"/>
        <v>7.166666666666667</v>
      </c>
      <c r="Q167" s="19">
        <f t="shared" si="67"/>
        <v>86</v>
      </c>
      <c r="R167" s="19"/>
      <c r="S167" s="19">
        <f t="shared" si="68"/>
        <v>86</v>
      </c>
      <c r="T167" s="19">
        <v>1</v>
      </c>
      <c r="U167" s="19">
        <f t="shared" si="69"/>
        <v>86</v>
      </c>
      <c r="V167" s="19"/>
      <c r="W167" s="19">
        <f t="shared" si="70"/>
        <v>731</v>
      </c>
      <c r="X167" s="19">
        <f t="shared" si="71"/>
        <v>731</v>
      </c>
      <c r="Y167" s="19">
        <v>1</v>
      </c>
      <c r="Z167" s="19">
        <f t="shared" si="72"/>
        <v>731</v>
      </c>
      <c r="AA167" s="19">
        <f t="shared" si="73"/>
        <v>817</v>
      </c>
      <c r="AB167" s="19">
        <f t="shared" si="74"/>
        <v>86</v>
      </c>
      <c r="AC167" s="310">
        <f t="shared" si="75"/>
        <v>2007</v>
      </c>
      <c r="AD167" s="310">
        <f t="shared" si="76"/>
        <v>2016.5</v>
      </c>
      <c r="AE167" s="310">
        <f t="shared" si="77"/>
        <v>2017</v>
      </c>
      <c r="AF167" s="310">
        <f t="shared" si="78"/>
        <v>2015.5</v>
      </c>
      <c r="AG167" s="310">
        <f t="shared" si="79"/>
        <v>-8.3333333333333329E-2</v>
      </c>
    </row>
    <row r="168" spans="1:33">
      <c r="A168" s="306"/>
      <c r="B168" s="306">
        <v>2</v>
      </c>
      <c r="C168" s="331" t="s">
        <v>828</v>
      </c>
      <c r="D168" s="314">
        <v>2007</v>
      </c>
      <c r="E168" s="306">
        <v>1</v>
      </c>
      <c r="F168" s="352">
        <v>0</v>
      </c>
      <c r="G168" s="352"/>
      <c r="H168" s="314" t="s">
        <v>722</v>
      </c>
      <c r="I168" s="314">
        <v>10</v>
      </c>
      <c r="J168" s="308">
        <f t="shared" si="64"/>
        <v>2017</v>
      </c>
      <c r="K168" s="353"/>
      <c r="L168" s="306"/>
      <c r="M168" s="333">
        <v>900</v>
      </c>
      <c r="N168" s="21"/>
      <c r="O168" s="19">
        <f t="shared" si="65"/>
        <v>900</v>
      </c>
      <c r="P168" s="19">
        <f t="shared" si="66"/>
        <v>7.5</v>
      </c>
      <c r="Q168" s="19">
        <f t="shared" si="67"/>
        <v>90</v>
      </c>
      <c r="R168" s="19"/>
      <c r="S168" s="19">
        <f t="shared" si="68"/>
        <v>90</v>
      </c>
      <c r="T168" s="19">
        <v>1</v>
      </c>
      <c r="U168" s="19">
        <f t="shared" si="69"/>
        <v>90</v>
      </c>
      <c r="V168" s="19"/>
      <c r="W168" s="19">
        <f t="shared" si="70"/>
        <v>765</v>
      </c>
      <c r="X168" s="19">
        <f t="shared" si="71"/>
        <v>765</v>
      </c>
      <c r="Y168" s="19">
        <v>1</v>
      </c>
      <c r="Z168" s="19">
        <f t="shared" si="72"/>
        <v>765</v>
      </c>
      <c r="AA168" s="19">
        <f t="shared" si="73"/>
        <v>855</v>
      </c>
      <c r="AB168" s="19">
        <f t="shared" si="74"/>
        <v>90</v>
      </c>
      <c r="AC168" s="310">
        <f t="shared" si="75"/>
        <v>2007</v>
      </c>
      <c r="AD168" s="310">
        <f t="shared" si="76"/>
        <v>2016.5</v>
      </c>
      <c r="AE168" s="310">
        <f t="shared" si="77"/>
        <v>2017</v>
      </c>
      <c r="AF168" s="310">
        <f t="shared" si="78"/>
        <v>2015.5</v>
      </c>
      <c r="AG168" s="310">
        <f t="shared" si="79"/>
        <v>-8.3333333333333329E-2</v>
      </c>
    </row>
    <row r="169" spans="1:33">
      <c r="A169" s="306"/>
      <c r="B169" s="306">
        <v>3</v>
      </c>
      <c r="C169" s="331" t="s">
        <v>826</v>
      </c>
      <c r="D169" s="314">
        <v>2007</v>
      </c>
      <c r="E169" s="306">
        <v>1</v>
      </c>
      <c r="F169" s="352">
        <v>0</v>
      </c>
      <c r="G169" s="352"/>
      <c r="H169" s="314" t="s">
        <v>722</v>
      </c>
      <c r="I169" s="314">
        <v>10</v>
      </c>
      <c r="J169" s="308">
        <f t="shared" si="64"/>
        <v>2017</v>
      </c>
      <c r="K169" s="353"/>
      <c r="L169" s="306"/>
      <c r="M169" s="333">
        <v>1410</v>
      </c>
      <c r="N169" s="21"/>
      <c r="O169" s="19">
        <f t="shared" si="65"/>
        <v>1410</v>
      </c>
      <c r="P169" s="19">
        <f t="shared" si="66"/>
        <v>11.75</v>
      </c>
      <c r="Q169" s="19">
        <f t="shared" si="67"/>
        <v>141</v>
      </c>
      <c r="R169" s="19"/>
      <c r="S169" s="19">
        <f t="shared" si="68"/>
        <v>141</v>
      </c>
      <c r="T169" s="19">
        <v>1</v>
      </c>
      <c r="U169" s="19">
        <f t="shared" si="69"/>
        <v>141</v>
      </c>
      <c r="V169" s="19"/>
      <c r="W169" s="19">
        <f t="shared" si="70"/>
        <v>1198.5</v>
      </c>
      <c r="X169" s="19">
        <f t="shared" si="71"/>
        <v>1198.5</v>
      </c>
      <c r="Y169" s="19">
        <v>1</v>
      </c>
      <c r="Z169" s="19">
        <f t="shared" si="72"/>
        <v>1198.5</v>
      </c>
      <c r="AA169" s="19">
        <f t="shared" si="73"/>
        <v>1339.5</v>
      </c>
      <c r="AB169" s="19">
        <f t="shared" si="74"/>
        <v>141</v>
      </c>
      <c r="AC169" s="310">
        <f t="shared" si="75"/>
        <v>2007</v>
      </c>
      <c r="AD169" s="310">
        <f t="shared" si="76"/>
        <v>2016.5</v>
      </c>
      <c r="AE169" s="310">
        <f t="shared" si="77"/>
        <v>2017</v>
      </c>
      <c r="AF169" s="310">
        <f t="shared" si="78"/>
        <v>2015.5</v>
      </c>
      <c r="AG169" s="310">
        <f t="shared" si="79"/>
        <v>-8.3333333333333329E-2</v>
      </c>
    </row>
    <row r="170" spans="1:33">
      <c r="A170" s="306"/>
      <c r="B170" s="306">
        <v>12</v>
      </c>
      <c r="C170" s="331" t="s">
        <v>827</v>
      </c>
      <c r="D170" s="314">
        <v>2007</v>
      </c>
      <c r="E170" s="306">
        <v>7</v>
      </c>
      <c r="F170" s="352">
        <v>0</v>
      </c>
      <c r="G170" s="352"/>
      <c r="H170" s="314" t="s">
        <v>722</v>
      </c>
      <c r="I170" s="314">
        <v>10</v>
      </c>
      <c r="J170" s="308">
        <f t="shared" si="64"/>
        <v>2017</v>
      </c>
      <c r="K170" s="353"/>
      <c r="L170" s="306"/>
      <c r="M170" s="333">
        <v>5539</v>
      </c>
      <c r="N170" s="21"/>
      <c r="O170" s="19">
        <f t="shared" si="65"/>
        <v>5539</v>
      </c>
      <c r="P170" s="19">
        <f t="shared" si="66"/>
        <v>46.158333333333331</v>
      </c>
      <c r="Q170" s="19">
        <f t="shared" si="67"/>
        <v>553.9</v>
      </c>
      <c r="R170" s="19"/>
      <c r="S170" s="19">
        <f t="shared" si="68"/>
        <v>553.9</v>
      </c>
      <c r="T170" s="19">
        <v>1</v>
      </c>
      <c r="U170" s="19">
        <f t="shared" si="69"/>
        <v>553.9</v>
      </c>
      <c r="V170" s="19"/>
      <c r="W170" s="19">
        <f t="shared" si="70"/>
        <v>4431.2</v>
      </c>
      <c r="X170" s="19">
        <f t="shared" si="71"/>
        <v>4431.2</v>
      </c>
      <c r="Y170" s="19">
        <v>1</v>
      </c>
      <c r="Z170" s="19">
        <f t="shared" si="72"/>
        <v>4431.2</v>
      </c>
      <c r="AA170" s="19">
        <f t="shared" si="73"/>
        <v>4985.0999999999995</v>
      </c>
      <c r="AB170" s="19">
        <f t="shared" si="74"/>
        <v>830.85000000000036</v>
      </c>
      <c r="AC170" s="310">
        <f t="shared" si="75"/>
        <v>2007.5</v>
      </c>
      <c r="AD170" s="310">
        <f t="shared" si="76"/>
        <v>2016.5</v>
      </c>
      <c r="AE170" s="310">
        <f t="shared" si="77"/>
        <v>2017.5</v>
      </c>
      <c r="AF170" s="310">
        <f t="shared" si="78"/>
        <v>2015.5</v>
      </c>
      <c r="AG170" s="310">
        <f t="shared" si="79"/>
        <v>-8.3333333333333329E-2</v>
      </c>
    </row>
    <row r="171" spans="1:33">
      <c r="A171" s="306"/>
      <c r="B171" s="306">
        <v>3</v>
      </c>
      <c r="C171" s="331" t="s">
        <v>828</v>
      </c>
      <c r="D171" s="314">
        <v>2007</v>
      </c>
      <c r="E171" s="306">
        <v>7</v>
      </c>
      <c r="F171" s="352">
        <v>0</v>
      </c>
      <c r="G171" s="352"/>
      <c r="H171" s="314" t="s">
        <v>722</v>
      </c>
      <c r="I171" s="314">
        <v>10</v>
      </c>
      <c r="J171" s="308">
        <f t="shared" si="64"/>
        <v>2017</v>
      </c>
      <c r="K171" s="353"/>
      <c r="L171" s="306"/>
      <c r="M171" s="333">
        <f>1335*1.086</f>
        <v>1449.8100000000002</v>
      </c>
      <c r="N171" s="21"/>
      <c r="O171" s="19">
        <f t="shared" si="65"/>
        <v>1449.8100000000002</v>
      </c>
      <c r="P171" s="19">
        <f t="shared" si="66"/>
        <v>12.081750000000001</v>
      </c>
      <c r="Q171" s="19">
        <f t="shared" si="67"/>
        <v>144.98100000000002</v>
      </c>
      <c r="R171" s="19"/>
      <c r="S171" s="19">
        <f t="shared" si="68"/>
        <v>144.98100000000002</v>
      </c>
      <c r="T171" s="19">
        <v>1</v>
      </c>
      <c r="U171" s="19">
        <f t="shared" si="69"/>
        <v>144.98100000000002</v>
      </c>
      <c r="V171" s="19"/>
      <c r="W171" s="19">
        <f t="shared" si="70"/>
        <v>1159.8480000000002</v>
      </c>
      <c r="X171" s="19">
        <f t="shared" si="71"/>
        <v>1159.8480000000002</v>
      </c>
      <c r="Y171" s="19">
        <v>1</v>
      </c>
      <c r="Z171" s="19">
        <f t="shared" si="72"/>
        <v>1159.8480000000002</v>
      </c>
      <c r="AA171" s="19">
        <f t="shared" si="73"/>
        <v>1304.8290000000002</v>
      </c>
      <c r="AB171" s="19">
        <f t="shared" si="74"/>
        <v>217.47149999999999</v>
      </c>
      <c r="AC171" s="310">
        <f t="shared" si="75"/>
        <v>2007.5</v>
      </c>
      <c r="AD171" s="310">
        <f t="shared" si="76"/>
        <v>2016.5</v>
      </c>
      <c r="AE171" s="310">
        <f t="shared" si="77"/>
        <v>2017.5</v>
      </c>
      <c r="AF171" s="310">
        <f t="shared" si="78"/>
        <v>2015.5</v>
      </c>
      <c r="AG171" s="310">
        <f t="shared" si="79"/>
        <v>-8.3333333333333329E-2</v>
      </c>
    </row>
    <row r="172" spans="1:33">
      <c r="A172" s="306"/>
      <c r="B172" s="306">
        <v>2</v>
      </c>
      <c r="C172" s="331" t="s">
        <v>826</v>
      </c>
      <c r="D172" s="314">
        <v>2007</v>
      </c>
      <c r="E172" s="306">
        <v>7</v>
      </c>
      <c r="F172" s="352">
        <v>0</v>
      </c>
      <c r="G172" s="352"/>
      <c r="H172" s="314" t="s">
        <v>722</v>
      </c>
      <c r="I172" s="314">
        <v>10</v>
      </c>
      <c r="J172" s="308">
        <f t="shared" si="64"/>
        <v>2017</v>
      </c>
      <c r="K172" s="353"/>
      <c r="L172" s="306"/>
      <c r="M172" s="333">
        <f>930*1.086</f>
        <v>1009.98</v>
      </c>
      <c r="N172" s="21"/>
      <c r="O172" s="19">
        <f t="shared" si="65"/>
        <v>1009.98</v>
      </c>
      <c r="P172" s="19">
        <f t="shared" si="66"/>
        <v>8.416500000000001</v>
      </c>
      <c r="Q172" s="19">
        <f t="shared" si="67"/>
        <v>100.99800000000002</v>
      </c>
      <c r="R172" s="19"/>
      <c r="S172" s="19">
        <f t="shared" si="68"/>
        <v>100.99800000000002</v>
      </c>
      <c r="T172" s="19">
        <v>1</v>
      </c>
      <c r="U172" s="19">
        <f t="shared" si="69"/>
        <v>100.99800000000002</v>
      </c>
      <c r="V172" s="19"/>
      <c r="W172" s="19">
        <f t="shared" si="70"/>
        <v>807.98400000000015</v>
      </c>
      <c r="X172" s="19">
        <f t="shared" si="71"/>
        <v>807.98400000000015</v>
      </c>
      <c r="Y172" s="19">
        <v>1</v>
      </c>
      <c r="Z172" s="19">
        <f t="shared" si="72"/>
        <v>807.98400000000015</v>
      </c>
      <c r="AA172" s="19">
        <f t="shared" si="73"/>
        <v>908.9820000000002</v>
      </c>
      <c r="AB172" s="19">
        <f t="shared" si="74"/>
        <v>151.49699999999984</v>
      </c>
      <c r="AC172" s="310">
        <f t="shared" si="75"/>
        <v>2007.5</v>
      </c>
      <c r="AD172" s="310">
        <f t="shared" si="76"/>
        <v>2016.5</v>
      </c>
      <c r="AE172" s="310">
        <f t="shared" si="77"/>
        <v>2017.5</v>
      </c>
      <c r="AF172" s="310">
        <f t="shared" si="78"/>
        <v>2015.5</v>
      </c>
      <c r="AG172" s="310">
        <f t="shared" si="79"/>
        <v>-8.3333333333333329E-2</v>
      </c>
    </row>
    <row r="173" spans="1:33">
      <c r="A173" s="306"/>
      <c r="B173" s="306">
        <v>2</v>
      </c>
      <c r="C173" s="331" t="s">
        <v>826</v>
      </c>
      <c r="D173" s="314">
        <v>2007</v>
      </c>
      <c r="E173" s="306">
        <v>7</v>
      </c>
      <c r="F173" s="352">
        <v>0</v>
      </c>
      <c r="G173" s="352"/>
      <c r="H173" s="314" t="s">
        <v>722</v>
      </c>
      <c r="I173" s="314">
        <v>10</v>
      </c>
      <c r="J173" s="308">
        <f t="shared" si="64"/>
        <v>2017</v>
      </c>
      <c r="K173" s="353"/>
      <c r="L173" s="306"/>
      <c r="M173" s="333">
        <f>930*1.086</f>
        <v>1009.98</v>
      </c>
      <c r="N173" s="21"/>
      <c r="O173" s="19">
        <f t="shared" si="65"/>
        <v>1009.98</v>
      </c>
      <c r="P173" s="19">
        <f t="shared" si="66"/>
        <v>8.416500000000001</v>
      </c>
      <c r="Q173" s="19">
        <f t="shared" si="67"/>
        <v>100.99800000000002</v>
      </c>
      <c r="R173" s="19"/>
      <c r="S173" s="19">
        <f t="shared" si="68"/>
        <v>100.99800000000002</v>
      </c>
      <c r="T173" s="19">
        <v>1</v>
      </c>
      <c r="U173" s="19">
        <f t="shared" si="69"/>
        <v>100.99800000000002</v>
      </c>
      <c r="V173" s="19"/>
      <c r="W173" s="19">
        <f t="shared" si="70"/>
        <v>807.98400000000015</v>
      </c>
      <c r="X173" s="19">
        <f t="shared" si="71"/>
        <v>807.98400000000015</v>
      </c>
      <c r="Y173" s="19">
        <v>1</v>
      </c>
      <c r="Z173" s="19">
        <f t="shared" si="72"/>
        <v>807.98400000000015</v>
      </c>
      <c r="AA173" s="19">
        <f t="shared" si="73"/>
        <v>908.9820000000002</v>
      </c>
      <c r="AB173" s="19">
        <f t="shared" si="74"/>
        <v>151.49699999999984</v>
      </c>
      <c r="AC173" s="310">
        <f t="shared" si="75"/>
        <v>2007.5</v>
      </c>
      <c r="AD173" s="310">
        <f t="shared" si="76"/>
        <v>2016.5</v>
      </c>
      <c r="AE173" s="310">
        <f t="shared" si="77"/>
        <v>2017.5</v>
      </c>
      <c r="AF173" s="310">
        <f t="shared" si="78"/>
        <v>2015.5</v>
      </c>
      <c r="AG173" s="310">
        <f t="shared" si="79"/>
        <v>-8.3333333333333329E-2</v>
      </c>
    </row>
    <row r="174" spans="1:33">
      <c r="A174" s="306"/>
      <c r="B174" s="306">
        <v>3</v>
      </c>
      <c r="C174" s="331" t="s">
        <v>824</v>
      </c>
      <c r="D174" s="314">
        <v>2007</v>
      </c>
      <c r="E174" s="306">
        <v>8</v>
      </c>
      <c r="F174" s="352">
        <v>0</v>
      </c>
      <c r="G174" s="352"/>
      <c r="H174" s="314" t="s">
        <v>722</v>
      </c>
      <c r="I174" s="314">
        <v>10</v>
      </c>
      <c r="J174" s="308">
        <f t="shared" si="64"/>
        <v>2017</v>
      </c>
      <c r="K174" s="353"/>
      <c r="L174" s="306"/>
      <c r="M174" s="333">
        <f>1668+148.32+127.14</f>
        <v>1943.46</v>
      </c>
      <c r="N174" s="21"/>
      <c r="O174" s="19">
        <f t="shared" si="65"/>
        <v>1943.46</v>
      </c>
      <c r="P174" s="19">
        <f t="shared" si="66"/>
        <v>16.195499999999999</v>
      </c>
      <c r="Q174" s="19">
        <f t="shared" si="67"/>
        <v>194.346</v>
      </c>
      <c r="R174" s="19"/>
      <c r="S174" s="19">
        <f t="shared" si="68"/>
        <v>194.346</v>
      </c>
      <c r="T174" s="19">
        <v>1</v>
      </c>
      <c r="U174" s="19">
        <f t="shared" si="69"/>
        <v>194.346</v>
      </c>
      <c r="V174" s="19"/>
      <c r="W174" s="19">
        <f t="shared" si="70"/>
        <v>1538.5725000000145</v>
      </c>
      <c r="X174" s="19">
        <f t="shared" si="71"/>
        <v>1538.5725000000145</v>
      </c>
      <c r="Y174" s="19">
        <v>1</v>
      </c>
      <c r="Z174" s="19">
        <f t="shared" si="72"/>
        <v>1538.5725000000145</v>
      </c>
      <c r="AA174" s="19">
        <f t="shared" si="73"/>
        <v>1732.9185000000145</v>
      </c>
      <c r="AB174" s="19">
        <f t="shared" si="74"/>
        <v>307.71449999998549</v>
      </c>
      <c r="AC174" s="310">
        <f t="shared" si="75"/>
        <v>2007.5833333333333</v>
      </c>
      <c r="AD174" s="310">
        <f t="shared" si="76"/>
        <v>2016.5</v>
      </c>
      <c r="AE174" s="310">
        <f t="shared" si="77"/>
        <v>2017.5833333333333</v>
      </c>
      <c r="AF174" s="310">
        <f t="shared" si="78"/>
        <v>2015.5</v>
      </c>
      <c r="AG174" s="310">
        <f t="shared" si="79"/>
        <v>-8.3333333333333329E-2</v>
      </c>
    </row>
    <row r="175" spans="1:33">
      <c r="A175" s="306"/>
      <c r="B175" s="306">
        <v>6</v>
      </c>
      <c r="C175" s="331" t="s">
        <v>825</v>
      </c>
      <c r="D175" s="314">
        <v>2007</v>
      </c>
      <c r="E175" s="306">
        <v>8</v>
      </c>
      <c r="F175" s="352">
        <v>0</v>
      </c>
      <c r="G175" s="352"/>
      <c r="H175" s="314" t="s">
        <v>722</v>
      </c>
      <c r="I175" s="314">
        <v>10</v>
      </c>
      <c r="J175" s="308">
        <f t="shared" si="64"/>
        <v>2017</v>
      </c>
      <c r="K175" s="353"/>
      <c r="L175" s="306"/>
      <c r="M175" s="333">
        <f>6639.35-M174</f>
        <v>4695.8900000000003</v>
      </c>
      <c r="N175" s="21"/>
      <c r="O175" s="19">
        <f t="shared" si="65"/>
        <v>4695.8900000000003</v>
      </c>
      <c r="P175" s="19">
        <f t="shared" si="66"/>
        <v>39.132416666666671</v>
      </c>
      <c r="Q175" s="19">
        <f t="shared" si="67"/>
        <v>469.58900000000006</v>
      </c>
      <c r="R175" s="19"/>
      <c r="S175" s="19">
        <f t="shared" si="68"/>
        <v>469.58900000000006</v>
      </c>
      <c r="T175" s="19">
        <v>1</v>
      </c>
      <c r="U175" s="19">
        <f t="shared" si="69"/>
        <v>469.58900000000006</v>
      </c>
      <c r="V175" s="19"/>
      <c r="W175" s="19">
        <f t="shared" si="70"/>
        <v>3717.5795833333696</v>
      </c>
      <c r="X175" s="19">
        <f t="shared" si="71"/>
        <v>3717.5795833333696</v>
      </c>
      <c r="Y175" s="19">
        <v>1</v>
      </c>
      <c r="Z175" s="19">
        <f t="shared" si="72"/>
        <v>3717.5795833333696</v>
      </c>
      <c r="AA175" s="19">
        <f t="shared" si="73"/>
        <v>4187.1685833333695</v>
      </c>
      <c r="AB175" s="19">
        <f t="shared" si="74"/>
        <v>743.5159166666308</v>
      </c>
      <c r="AC175" s="310">
        <f t="shared" si="75"/>
        <v>2007.5833333333333</v>
      </c>
      <c r="AD175" s="310">
        <f t="shared" si="76"/>
        <v>2016.5</v>
      </c>
      <c r="AE175" s="310">
        <f t="shared" si="77"/>
        <v>2017.5833333333333</v>
      </c>
      <c r="AF175" s="310">
        <f t="shared" si="78"/>
        <v>2015.5</v>
      </c>
      <c r="AG175" s="310">
        <f t="shared" si="79"/>
        <v>-8.3333333333333329E-2</v>
      </c>
    </row>
    <row r="176" spans="1:33">
      <c r="A176" s="306"/>
      <c r="B176" s="306">
        <v>10</v>
      </c>
      <c r="C176" s="331" t="s">
        <v>829</v>
      </c>
      <c r="D176" s="314">
        <v>2009</v>
      </c>
      <c r="E176" s="306">
        <v>4</v>
      </c>
      <c r="F176" s="352">
        <v>0</v>
      </c>
      <c r="G176" s="352"/>
      <c r="H176" s="314" t="s">
        <v>722</v>
      </c>
      <c r="I176" s="314">
        <v>5</v>
      </c>
      <c r="J176" s="308">
        <f t="shared" si="64"/>
        <v>2014</v>
      </c>
      <c r="K176" s="353"/>
      <c r="L176" s="306"/>
      <c r="M176" s="333">
        <v>1005</v>
      </c>
      <c r="N176" s="21"/>
      <c r="O176" s="19">
        <f t="shared" si="65"/>
        <v>1005</v>
      </c>
      <c r="P176" s="19">
        <f t="shared" si="66"/>
        <v>16.75</v>
      </c>
      <c r="Q176" s="19">
        <f t="shared" si="67"/>
        <v>0</v>
      </c>
      <c r="R176" s="19"/>
      <c r="S176" s="19">
        <f t="shared" si="68"/>
        <v>0</v>
      </c>
      <c r="T176" s="19">
        <v>1</v>
      </c>
      <c r="U176" s="19">
        <f t="shared" si="69"/>
        <v>0</v>
      </c>
      <c r="V176" s="19"/>
      <c r="W176" s="19">
        <f t="shared" si="70"/>
        <v>1005</v>
      </c>
      <c r="X176" s="19">
        <f t="shared" si="71"/>
        <v>1005</v>
      </c>
      <c r="Y176" s="19">
        <v>1</v>
      </c>
      <c r="Z176" s="19">
        <f t="shared" si="72"/>
        <v>1005</v>
      </c>
      <c r="AA176" s="19">
        <f t="shared" si="73"/>
        <v>1005</v>
      </c>
      <c r="AB176" s="19">
        <f t="shared" si="74"/>
        <v>0</v>
      </c>
      <c r="AC176" s="310">
        <f t="shared" si="75"/>
        <v>2009.25</v>
      </c>
      <c r="AD176" s="310">
        <f t="shared" si="76"/>
        <v>2016.5</v>
      </c>
      <c r="AE176" s="310">
        <f t="shared" si="77"/>
        <v>2014.25</v>
      </c>
      <c r="AF176" s="310">
        <f t="shared" si="78"/>
        <v>2015.5</v>
      </c>
      <c r="AG176" s="310">
        <f t="shared" si="79"/>
        <v>-8.3333333333333329E-2</v>
      </c>
    </row>
    <row r="177" spans="1:33">
      <c r="A177" s="306"/>
      <c r="B177" s="306">
        <v>5</v>
      </c>
      <c r="C177" s="331" t="s">
        <v>830</v>
      </c>
      <c r="D177" s="314">
        <v>2009</v>
      </c>
      <c r="E177" s="306">
        <v>4</v>
      </c>
      <c r="F177" s="352">
        <v>0</v>
      </c>
      <c r="G177" s="352"/>
      <c r="H177" s="314" t="s">
        <v>722</v>
      </c>
      <c r="I177" s="314">
        <v>5</v>
      </c>
      <c r="J177" s="308">
        <f t="shared" si="64"/>
        <v>2014</v>
      </c>
      <c r="K177" s="353"/>
      <c r="L177" s="306"/>
      <c r="M177" s="333">
        <v>588</v>
      </c>
      <c r="N177" s="21"/>
      <c r="O177" s="19">
        <f t="shared" si="65"/>
        <v>588</v>
      </c>
      <c r="P177" s="19">
        <f t="shared" si="66"/>
        <v>9.7999999999999989</v>
      </c>
      <c r="Q177" s="19">
        <f t="shared" si="67"/>
        <v>0</v>
      </c>
      <c r="R177" s="19"/>
      <c r="S177" s="19">
        <f t="shared" si="68"/>
        <v>0</v>
      </c>
      <c r="T177" s="19">
        <v>1</v>
      </c>
      <c r="U177" s="19">
        <f t="shared" si="69"/>
        <v>0</v>
      </c>
      <c r="V177" s="19"/>
      <c r="W177" s="19">
        <f t="shared" si="70"/>
        <v>588</v>
      </c>
      <c r="X177" s="19">
        <f t="shared" si="71"/>
        <v>588</v>
      </c>
      <c r="Y177" s="19">
        <v>1</v>
      </c>
      <c r="Z177" s="19">
        <f t="shared" si="72"/>
        <v>588</v>
      </c>
      <c r="AA177" s="19">
        <f t="shared" si="73"/>
        <v>588</v>
      </c>
      <c r="AB177" s="19">
        <f t="shared" si="74"/>
        <v>0</v>
      </c>
      <c r="AC177" s="310">
        <f t="shared" si="75"/>
        <v>2009.25</v>
      </c>
      <c r="AD177" s="310">
        <f t="shared" si="76"/>
        <v>2016.5</v>
      </c>
      <c r="AE177" s="310">
        <f t="shared" si="77"/>
        <v>2014.25</v>
      </c>
      <c r="AF177" s="310">
        <f t="shared" si="78"/>
        <v>2015.5</v>
      </c>
      <c r="AG177" s="310">
        <f t="shared" si="79"/>
        <v>-8.3333333333333329E-2</v>
      </c>
    </row>
    <row r="178" spans="1:33">
      <c r="A178" s="306"/>
      <c r="B178" s="306">
        <v>4</v>
      </c>
      <c r="C178" s="331" t="s">
        <v>831</v>
      </c>
      <c r="D178" s="314">
        <v>2009</v>
      </c>
      <c r="E178" s="306">
        <v>4</v>
      </c>
      <c r="F178" s="352">
        <v>0</v>
      </c>
      <c r="G178" s="352"/>
      <c r="H178" s="314" t="s">
        <v>722</v>
      </c>
      <c r="I178" s="314">
        <v>5</v>
      </c>
      <c r="J178" s="308">
        <f t="shared" si="64"/>
        <v>2014</v>
      </c>
      <c r="K178" s="353"/>
      <c r="L178" s="306"/>
      <c r="M178" s="333">
        <v>873</v>
      </c>
      <c r="N178" s="21"/>
      <c r="O178" s="19">
        <f t="shared" si="65"/>
        <v>873</v>
      </c>
      <c r="P178" s="19">
        <f t="shared" si="66"/>
        <v>14.549999999999999</v>
      </c>
      <c r="Q178" s="19">
        <f t="shared" si="67"/>
        <v>0</v>
      </c>
      <c r="R178" s="19"/>
      <c r="S178" s="19">
        <f t="shared" si="68"/>
        <v>0</v>
      </c>
      <c r="T178" s="19">
        <v>1</v>
      </c>
      <c r="U178" s="19">
        <f t="shared" si="69"/>
        <v>0</v>
      </c>
      <c r="V178" s="19"/>
      <c r="W178" s="19">
        <f t="shared" si="70"/>
        <v>873</v>
      </c>
      <c r="X178" s="19">
        <f t="shared" si="71"/>
        <v>873</v>
      </c>
      <c r="Y178" s="19">
        <v>1</v>
      </c>
      <c r="Z178" s="19">
        <f t="shared" si="72"/>
        <v>873</v>
      </c>
      <c r="AA178" s="19">
        <f t="shared" si="73"/>
        <v>873</v>
      </c>
      <c r="AB178" s="19">
        <f t="shared" si="74"/>
        <v>0</v>
      </c>
      <c r="AC178" s="310">
        <f t="shared" si="75"/>
        <v>2009.25</v>
      </c>
      <c r="AD178" s="310">
        <f t="shared" si="76"/>
        <v>2016.5</v>
      </c>
      <c r="AE178" s="310">
        <f t="shared" si="77"/>
        <v>2014.25</v>
      </c>
      <c r="AF178" s="310">
        <f t="shared" si="78"/>
        <v>2015.5</v>
      </c>
      <c r="AG178" s="310">
        <f t="shared" si="79"/>
        <v>-8.3333333333333329E-2</v>
      </c>
    </row>
    <row r="179" spans="1:33">
      <c r="A179" s="306"/>
      <c r="B179" s="306">
        <v>6</v>
      </c>
      <c r="C179" s="331" t="s">
        <v>832</v>
      </c>
      <c r="D179" s="314">
        <v>2009</v>
      </c>
      <c r="E179" s="306">
        <v>4</v>
      </c>
      <c r="F179" s="352">
        <v>0</v>
      </c>
      <c r="G179" s="352"/>
      <c r="H179" s="314" t="s">
        <v>722</v>
      </c>
      <c r="I179" s="314">
        <v>5</v>
      </c>
      <c r="J179" s="308">
        <f t="shared" si="64"/>
        <v>2014</v>
      </c>
      <c r="K179" s="353"/>
      <c r="L179" s="306"/>
      <c r="M179" s="333">
        <v>1560</v>
      </c>
      <c r="N179" s="21"/>
      <c r="O179" s="19">
        <f t="shared" si="65"/>
        <v>1560</v>
      </c>
      <c r="P179" s="19">
        <f t="shared" si="66"/>
        <v>26</v>
      </c>
      <c r="Q179" s="19">
        <f t="shared" si="67"/>
        <v>0</v>
      </c>
      <c r="R179" s="19"/>
      <c r="S179" s="19">
        <f t="shared" si="68"/>
        <v>0</v>
      </c>
      <c r="T179" s="19">
        <v>1</v>
      </c>
      <c r="U179" s="19">
        <f t="shared" si="69"/>
        <v>0</v>
      </c>
      <c r="V179" s="19"/>
      <c r="W179" s="19">
        <f t="shared" si="70"/>
        <v>1560</v>
      </c>
      <c r="X179" s="19">
        <f t="shared" si="71"/>
        <v>1560</v>
      </c>
      <c r="Y179" s="19">
        <v>1</v>
      </c>
      <c r="Z179" s="19">
        <f t="shared" si="72"/>
        <v>1560</v>
      </c>
      <c r="AA179" s="19">
        <f t="shared" si="73"/>
        <v>1560</v>
      </c>
      <c r="AB179" s="19">
        <f t="shared" si="74"/>
        <v>0</v>
      </c>
      <c r="AC179" s="310">
        <f t="shared" si="75"/>
        <v>2009.25</v>
      </c>
      <c r="AD179" s="310">
        <f t="shared" si="76"/>
        <v>2016.5</v>
      </c>
      <c r="AE179" s="310">
        <f t="shared" si="77"/>
        <v>2014.25</v>
      </c>
      <c r="AF179" s="310">
        <f t="shared" si="78"/>
        <v>2015.5</v>
      </c>
      <c r="AG179" s="310">
        <f t="shared" si="79"/>
        <v>-8.3333333333333329E-2</v>
      </c>
    </row>
    <row r="180" spans="1:33">
      <c r="A180" s="306"/>
      <c r="B180" s="306">
        <v>7</v>
      </c>
      <c r="C180" s="331" t="s">
        <v>827</v>
      </c>
      <c r="D180" s="314">
        <v>2010</v>
      </c>
      <c r="E180" s="306">
        <v>5</v>
      </c>
      <c r="F180" s="352">
        <v>0</v>
      </c>
      <c r="G180" s="352"/>
      <c r="H180" s="314" t="s">
        <v>722</v>
      </c>
      <c r="I180" s="314">
        <v>10</v>
      </c>
      <c r="J180" s="308">
        <f t="shared" si="64"/>
        <v>2020</v>
      </c>
      <c r="K180" s="353"/>
      <c r="L180" s="306"/>
      <c r="M180" s="333">
        <v>2792</v>
      </c>
      <c r="N180" s="21"/>
      <c r="O180" s="19">
        <f t="shared" si="65"/>
        <v>2792</v>
      </c>
      <c r="P180" s="19">
        <f t="shared" si="66"/>
        <v>23.266666666666666</v>
      </c>
      <c r="Q180" s="19">
        <f t="shared" si="67"/>
        <v>279.2</v>
      </c>
      <c r="R180" s="19"/>
      <c r="S180" s="19">
        <f t="shared" si="68"/>
        <v>279.2</v>
      </c>
      <c r="T180" s="19">
        <v>1</v>
      </c>
      <c r="U180" s="19">
        <f t="shared" si="69"/>
        <v>279.2</v>
      </c>
      <c r="V180" s="19"/>
      <c r="W180" s="19">
        <f t="shared" si="70"/>
        <v>1442.5333333333544</v>
      </c>
      <c r="X180" s="19">
        <f t="shared" si="71"/>
        <v>1442.5333333333544</v>
      </c>
      <c r="Y180" s="19">
        <v>1</v>
      </c>
      <c r="Z180" s="19">
        <f t="shared" si="72"/>
        <v>1442.5333333333544</v>
      </c>
      <c r="AA180" s="19">
        <f t="shared" si="73"/>
        <v>1721.7333333333545</v>
      </c>
      <c r="AB180" s="19">
        <f t="shared" si="74"/>
        <v>1209.8666666666454</v>
      </c>
      <c r="AC180" s="310">
        <f t="shared" si="75"/>
        <v>2010.3333333333333</v>
      </c>
      <c r="AD180" s="310">
        <f t="shared" si="76"/>
        <v>2016.5</v>
      </c>
      <c r="AE180" s="310">
        <f t="shared" si="77"/>
        <v>2020.3333333333333</v>
      </c>
      <c r="AF180" s="310">
        <f t="shared" si="78"/>
        <v>2015.5</v>
      </c>
      <c r="AG180" s="310">
        <f t="shared" si="79"/>
        <v>-8.3333333333333329E-2</v>
      </c>
    </row>
    <row r="181" spans="1:33">
      <c r="A181" s="306"/>
      <c r="B181" s="306">
        <v>3</v>
      </c>
      <c r="C181" s="331" t="s">
        <v>828</v>
      </c>
      <c r="D181" s="314">
        <v>2010</v>
      </c>
      <c r="E181" s="306">
        <v>5</v>
      </c>
      <c r="F181" s="352">
        <v>0</v>
      </c>
      <c r="G181" s="352"/>
      <c r="H181" s="314" t="s">
        <v>722</v>
      </c>
      <c r="I181" s="314">
        <v>10</v>
      </c>
      <c r="J181" s="308">
        <f t="shared" si="64"/>
        <v>2020</v>
      </c>
      <c r="K181" s="353"/>
      <c r="L181" s="306"/>
      <c r="M181" s="333">
        <v>1294</v>
      </c>
      <c r="N181" s="21"/>
      <c r="O181" s="19">
        <f t="shared" si="65"/>
        <v>1294</v>
      </c>
      <c r="P181" s="19">
        <f t="shared" si="66"/>
        <v>10.783333333333333</v>
      </c>
      <c r="Q181" s="19">
        <f t="shared" si="67"/>
        <v>129.4</v>
      </c>
      <c r="R181" s="19"/>
      <c r="S181" s="19">
        <f t="shared" si="68"/>
        <v>129.4</v>
      </c>
      <c r="T181" s="19">
        <v>1</v>
      </c>
      <c r="U181" s="19">
        <f t="shared" si="69"/>
        <v>129.4</v>
      </c>
      <c r="V181" s="19"/>
      <c r="W181" s="19">
        <f t="shared" si="70"/>
        <v>668.5666666666765</v>
      </c>
      <c r="X181" s="19">
        <f t="shared" si="71"/>
        <v>668.5666666666765</v>
      </c>
      <c r="Y181" s="19">
        <v>1</v>
      </c>
      <c r="Z181" s="19">
        <f t="shared" si="72"/>
        <v>668.5666666666765</v>
      </c>
      <c r="AA181" s="19">
        <f t="shared" si="73"/>
        <v>797.96666666667647</v>
      </c>
      <c r="AB181" s="19">
        <f t="shared" si="74"/>
        <v>560.73333333332357</v>
      </c>
      <c r="AC181" s="310">
        <f t="shared" si="75"/>
        <v>2010.3333333333333</v>
      </c>
      <c r="AD181" s="310">
        <f t="shared" si="76"/>
        <v>2016.5</v>
      </c>
      <c r="AE181" s="310">
        <f t="shared" si="77"/>
        <v>2020.3333333333333</v>
      </c>
      <c r="AF181" s="310">
        <f t="shared" si="78"/>
        <v>2015.5</v>
      </c>
      <c r="AG181" s="310">
        <f t="shared" si="79"/>
        <v>-8.3333333333333329E-2</v>
      </c>
    </row>
    <row r="182" spans="1:33">
      <c r="A182" s="306"/>
      <c r="B182" s="306">
        <v>3</v>
      </c>
      <c r="C182" s="331" t="s">
        <v>828</v>
      </c>
      <c r="D182" s="314">
        <v>2011</v>
      </c>
      <c r="E182" s="306">
        <v>1</v>
      </c>
      <c r="F182" s="352">
        <v>0</v>
      </c>
      <c r="G182" s="352"/>
      <c r="H182" s="314" t="s">
        <v>722</v>
      </c>
      <c r="I182" s="314">
        <v>10</v>
      </c>
      <c r="J182" s="308">
        <f t="shared" si="64"/>
        <v>2021</v>
      </c>
      <c r="K182" s="353"/>
      <c r="L182" s="306"/>
      <c r="M182" s="333">
        <v>1623.47</v>
      </c>
      <c r="N182" s="21"/>
      <c r="O182" s="19">
        <f t="shared" si="65"/>
        <v>1623.47</v>
      </c>
      <c r="P182" s="19">
        <f t="shared" si="66"/>
        <v>13.528916666666667</v>
      </c>
      <c r="Q182" s="19">
        <f t="shared" si="67"/>
        <v>162.34700000000001</v>
      </c>
      <c r="R182" s="19"/>
      <c r="S182" s="19">
        <f t="shared" si="68"/>
        <v>162.34700000000001</v>
      </c>
      <c r="T182" s="19">
        <v>1</v>
      </c>
      <c r="U182" s="19">
        <f t="shared" si="69"/>
        <v>162.34700000000001</v>
      </c>
      <c r="V182" s="19"/>
      <c r="W182" s="19">
        <f t="shared" si="70"/>
        <v>730.56150000000002</v>
      </c>
      <c r="X182" s="19">
        <f t="shared" si="71"/>
        <v>730.56150000000002</v>
      </c>
      <c r="Y182" s="19">
        <v>1</v>
      </c>
      <c r="Z182" s="19">
        <f t="shared" si="72"/>
        <v>730.56150000000002</v>
      </c>
      <c r="AA182" s="19">
        <f t="shared" si="73"/>
        <v>892.9085</v>
      </c>
      <c r="AB182" s="19">
        <f t="shared" si="74"/>
        <v>811.73500000000001</v>
      </c>
      <c r="AC182" s="310">
        <f t="shared" si="75"/>
        <v>2011</v>
      </c>
      <c r="AD182" s="310">
        <f t="shared" si="76"/>
        <v>2016.5</v>
      </c>
      <c r="AE182" s="310">
        <f t="shared" si="77"/>
        <v>2021</v>
      </c>
      <c r="AF182" s="310">
        <f t="shared" si="78"/>
        <v>2015.5</v>
      </c>
      <c r="AG182" s="310">
        <f t="shared" si="79"/>
        <v>-8.3333333333333329E-2</v>
      </c>
    </row>
    <row r="183" spans="1:33">
      <c r="A183" s="306"/>
      <c r="B183" s="306">
        <v>2</v>
      </c>
      <c r="C183" s="331" t="s">
        <v>826</v>
      </c>
      <c r="D183" s="314">
        <v>2011</v>
      </c>
      <c r="E183" s="306">
        <v>1</v>
      </c>
      <c r="F183" s="352">
        <v>0</v>
      </c>
      <c r="G183" s="352"/>
      <c r="H183" s="314" t="s">
        <v>722</v>
      </c>
      <c r="I183" s="314">
        <v>10</v>
      </c>
      <c r="J183" s="308">
        <f t="shared" si="64"/>
        <v>2021</v>
      </c>
      <c r="K183" s="353"/>
      <c r="L183" s="306"/>
      <c r="M183" s="333">
        <v>1636.4</v>
      </c>
      <c r="N183" s="21"/>
      <c r="O183" s="19">
        <f t="shared" si="65"/>
        <v>1636.4</v>
      </c>
      <c r="P183" s="19">
        <f t="shared" si="66"/>
        <v>13.636666666666668</v>
      </c>
      <c r="Q183" s="19">
        <f t="shared" si="67"/>
        <v>163.64000000000001</v>
      </c>
      <c r="R183" s="19"/>
      <c r="S183" s="19">
        <f t="shared" si="68"/>
        <v>163.64000000000001</v>
      </c>
      <c r="T183" s="19">
        <v>1</v>
      </c>
      <c r="U183" s="19">
        <f t="shared" si="69"/>
        <v>163.64000000000001</v>
      </c>
      <c r="V183" s="19"/>
      <c r="W183" s="19">
        <f t="shared" si="70"/>
        <v>736.38000000000011</v>
      </c>
      <c r="X183" s="19">
        <f t="shared" si="71"/>
        <v>736.38000000000011</v>
      </c>
      <c r="Y183" s="19">
        <v>1</v>
      </c>
      <c r="Z183" s="19">
        <f t="shared" si="72"/>
        <v>736.38000000000011</v>
      </c>
      <c r="AA183" s="19">
        <f t="shared" si="73"/>
        <v>900.0200000000001</v>
      </c>
      <c r="AB183" s="19">
        <f t="shared" si="74"/>
        <v>818.2</v>
      </c>
      <c r="AC183" s="310">
        <f t="shared" si="75"/>
        <v>2011</v>
      </c>
      <c r="AD183" s="310">
        <f t="shared" si="76"/>
        <v>2016.5</v>
      </c>
      <c r="AE183" s="310">
        <f t="shared" si="77"/>
        <v>2021</v>
      </c>
      <c r="AF183" s="310">
        <f t="shared" si="78"/>
        <v>2015.5</v>
      </c>
      <c r="AG183" s="310">
        <f t="shared" si="79"/>
        <v>-8.3333333333333329E-2</v>
      </c>
    </row>
    <row r="184" spans="1:33">
      <c r="A184" s="306"/>
      <c r="B184" s="306">
        <v>4</v>
      </c>
      <c r="C184" s="331" t="s">
        <v>828</v>
      </c>
      <c r="D184" s="314">
        <v>2011</v>
      </c>
      <c r="E184" s="306">
        <v>12</v>
      </c>
      <c r="F184" s="352">
        <v>0</v>
      </c>
      <c r="G184" s="352"/>
      <c r="H184" s="314" t="s">
        <v>722</v>
      </c>
      <c r="I184" s="314">
        <v>10</v>
      </c>
      <c r="J184" s="308">
        <f t="shared" si="64"/>
        <v>2021</v>
      </c>
      <c r="K184" s="353"/>
      <c r="L184" s="306"/>
      <c r="M184" s="333">
        <v>2165</v>
      </c>
      <c r="N184" s="21"/>
      <c r="O184" s="19">
        <f t="shared" si="65"/>
        <v>2165</v>
      </c>
      <c r="P184" s="19">
        <f t="shared" si="66"/>
        <v>18.041666666666668</v>
      </c>
      <c r="Q184" s="19">
        <f t="shared" si="67"/>
        <v>216.5</v>
      </c>
      <c r="R184" s="19"/>
      <c r="S184" s="19">
        <f t="shared" si="68"/>
        <v>216.5</v>
      </c>
      <c r="T184" s="19">
        <v>1</v>
      </c>
      <c r="U184" s="19">
        <f t="shared" si="69"/>
        <v>216.5</v>
      </c>
      <c r="V184" s="19"/>
      <c r="W184" s="19">
        <f t="shared" si="70"/>
        <v>775.79166666665026</v>
      </c>
      <c r="X184" s="19">
        <f t="shared" si="71"/>
        <v>775.79166666665026</v>
      </c>
      <c r="Y184" s="19">
        <v>1</v>
      </c>
      <c r="Z184" s="19">
        <f t="shared" si="72"/>
        <v>775.79166666665026</v>
      </c>
      <c r="AA184" s="19">
        <f t="shared" si="73"/>
        <v>992.29166666665026</v>
      </c>
      <c r="AB184" s="19">
        <f t="shared" si="74"/>
        <v>1280.9583333333499</v>
      </c>
      <c r="AC184" s="310">
        <f t="shared" si="75"/>
        <v>2011.9166666666667</v>
      </c>
      <c r="AD184" s="310">
        <f t="shared" si="76"/>
        <v>2016.5</v>
      </c>
      <c r="AE184" s="310">
        <f t="shared" si="77"/>
        <v>2021.9166666666667</v>
      </c>
      <c r="AF184" s="310">
        <f t="shared" si="78"/>
        <v>2015.5</v>
      </c>
      <c r="AG184" s="310">
        <f t="shared" si="79"/>
        <v>-8.3333333333333329E-2</v>
      </c>
    </row>
    <row r="185" spans="1:33">
      <c r="A185" s="306"/>
      <c r="B185" s="306">
        <v>4</v>
      </c>
      <c r="C185" s="331" t="s">
        <v>824</v>
      </c>
      <c r="D185" s="314">
        <v>2011</v>
      </c>
      <c r="E185" s="306">
        <v>12</v>
      </c>
      <c r="F185" s="352">
        <v>0</v>
      </c>
      <c r="G185" s="352"/>
      <c r="H185" s="314" t="s">
        <v>722</v>
      </c>
      <c r="I185" s="314">
        <v>10</v>
      </c>
      <c r="J185" s="308">
        <f t="shared" si="64"/>
        <v>2021</v>
      </c>
      <c r="K185" s="353"/>
      <c r="L185" s="306"/>
      <c r="M185" s="333">
        <v>3060.43</v>
      </c>
      <c r="N185" s="21"/>
      <c r="O185" s="19">
        <f t="shared" si="65"/>
        <v>3060.43</v>
      </c>
      <c r="P185" s="19">
        <f t="shared" si="66"/>
        <v>25.503583333333335</v>
      </c>
      <c r="Q185" s="19">
        <f t="shared" si="67"/>
        <v>306.04300000000001</v>
      </c>
      <c r="R185" s="19"/>
      <c r="S185" s="19">
        <f t="shared" si="68"/>
        <v>306.04300000000001</v>
      </c>
      <c r="T185" s="19">
        <v>1</v>
      </c>
      <c r="U185" s="19">
        <f t="shared" si="69"/>
        <v>306.04300000000001</v>
      </c>
      <c r="V185" s="19"/>
      <c r="W185" s="19">
        <f t="shared" si="70"/>
        <v>1096.6540833333102</v>
      </c>
      <c r="X185" s="19">
        <f t="shared" si="71"/>
        <v>1096.6540833333102</v>
      </c>
      <c r="Y185" s="19">
        <v>1</v>
      </c>
      <c r="Z185" s="19">
        <f t="shared" si="72"/>
        <v>1096.6540833333102</v>
      </c>
      <c r="AA185" s="19">
        <f t="shared" si="73"/>
        <v>1402.6970833333103</v>
      </c>
      <c r="AB185" s="19">
        <f t="shared" si="74"/>
        <v>1810.7544166666896</v>
      </c>
      <c r="AC185" s="310">
        <f t="shared" si="75"/>
        <v>2011.9166666666667</v>
      </c>
      <c r="AD185" s="310">
        <f t="shared" si="76"/>
        <v>2016.5</v>
      </c>
      <c r="AE185" s="310">
        <f t="shared" si="77"/>
        <v>2021.9166666666667</v>
      </c>
      <c r="AF185" s="310">
        <f t="shared" si="78"/>
        <v>2015.5</v>
      </c>
      <c r="AG185" s="310">
        <f t="shared" si="79"/>
        <v>-8.3333333333333329E-2</v>
      </c>
    </row>
    <row r="186" spans="1:33">
      <c r="A186" s="306"/>
      <c r="B186" s="306">
        <v>3</v>
      </c>
      <c r="C186" s="331" t="s">
        <v>825</v>
      </c>
      <c r="D186" s="314">
        <v>2011</v>
      </c>
      <c r="E186" s="306">
        <v>12</v>
      </c>
      <c r="F186" s="352">
        <v>0</v>
      </c>
      <c r="G186" s="352"/>
      <c r="H186" s="314" t="s">
        <v>722</v>
      </c>
      <c r="I186" s="314">
        <v>10</v>
      </c>
      <c r="J186" s="308">
        <f t="shared" si="64"/>
        <v>2021</v>
      </c>
      <c r="K186" s="353"/>
      <c r="L186" s="306"/>
      <c r="M186" s="333">
        <v>2347.9499999999998</v>
      </c>
      <c r="N186" s="21"/>
      <c r="O186" s="19">
        <f t="shared" si="65"/>
        <v>2347.9499999999998</v>
      </c>
      <c r="P186" s="19">
        <f t="shared" si="66"/>
        <v>19.56625</v>
      </c>
      <c r="Q186" s="19">
        <f t="shared" si="67"/>
        <v>234.79500000000002</v>
      </c>
      <c r="R186" s="19"/>
      <c r="S186" s="19">
        <f t="shared" si="68"/>
        <v>234.79500000000002</v>
      </c>
      <c r="T186" s="19">
        <v>1</v>
      </c>
      <c r="U186" s="19">
        <f t="shared" si="69"/>
        <v>234.79500000000002</v>
      </c>
      <c r="V186" s="19"/>
      <c r="W186" s="19">
        <f t="shared" si="70"/>
        <v>841.34874999998226</v>
      </c>
      <c r="X186" s="19">
        <f t="shared" si="71"/>
        <v>841.34874999998226</v>
      </c>
      <c r="Y186" s="19">
        <v>1</v>
      </c>
      <c r="Z186" s="19">
        <f t="shared" si="72"/>
        <v>841.34874999998226</v>
      </c>
      <c r="AA186" s="19">
        <f t="shared" si="73"/>
        <v>1076.1437499999822</v>
      </c>
      <c r="AB186" s="19">
        <f t="shared" si="74"/>
        <v>1389.2037500000174</v>
      </c>
      <c r="AC186" s="310">
        <f t="shared" si="75"/>
        <v>2011.9166666666667</v>
      </c>
      <c r="AD186" s="310">
        <f t="shared" si="76"/>
        <v>2016.5</v>
      </c>
      <c r="AE186" s="310">
        <f t="shared" si="77"/>
        <v>2021.9166666666667</v>
      </c>
      <c r="AF186" s="310">
        <f t="shared" si="78"/>
        <v>2015.5</v>
      </c>
      <c r="AG186" s="310">
        <f t="shared" si="79"/>
        <v>-8.3333333333333329E-2</v>
      </c>
    </row>
    <row r="187" spans="1:33">
      <c r="A187" s="306"/>
      <c r="B187" s="306">
        <v>3</v>
      </c>
      <c r="C187" s="331" t="s">
        <v>827</v>
      </c>
      <c r="D187" s="314">
        <v>2012</v>
      </c>
      <c r="E187" s="306">
        <v>11</v>
      </c>
      <c r="F187" s="352">
        <v>0</v>
      </c>
      <c r="G187" s="352"/>
      <c r="H187" s="314" t="s">
        <v>722</v>
      </c>
      <c r="I187" s="314">
        <v>10</v>
      </c>
      <c r="J187" s="308">
        <f t="shared" si="64"/>
        <v>2022</v>
      </c>
      <c r="K187" s="353"/>
      <c r="L187" s="306"/>
      <c r="M187" s="333">
        <v>1342</v>
      </c>
      <c r="N187" s="21"/>
      <c r="O187" s="19">
        <f t="shared" si="65"/>
        <v>1342</v>
      </c>
      <c r="P187" s="19">
        <f t="shared" si="66"/>
        <v>11.183333333333332</v>
      </c>
      <c r="Q187" s="19">
        <f t="shared" si="67"/>
        <v>134.19999999999999</v>
      </c>
      <c r="R187" s="19"/>
      <c r="S187" s="19">
        <f t="shared" si="68"/>
        <v>134.19999999999999</v>
      </c>
      <c r="T187" s="19">
        <v>1</v>
      </c>
      <c r="U187" s="19">
        <f t="shared" si="69"/>
        <v>134.19999999999999</v>
      </c>
      <c r="V187" s="19"/>
      <c r="W187" s="19">
        <f t="shared" si="70"/>
        <v>357.86666666667679</v>
      </c>
      <c r="X187" s="19">
        <f t="shared" si="71"/>
        <v>357.86666666667679</v>
      </c>
      <c r="Y187" s="19">
        <v>1</v>
      </c>
      <c r="Z187" s="19">
        <f t="shared" si="72"/>
        <v>357.86666666667679</v>
      </c>
      <c r="AA187" s="19">
        <f t="shared" si="73"/>
        <v>492.06666666667678</v>
      </c>
      <c r="AB187" s="19">
        <f t="shared" si="74"/>
        <v>917.03333333332318</v>
      </c>
      <c r="AC187" s="310">
        <f t="shared" si="75"/>
        <v>2012.8333333333333</v>
      </c>
      <c r="AD187" s="310">
        <f t="shared" si="76"/>
        <v>2016.5</v>
      </c>
      <c r="AE187" s="310">
        <f t="shared" si="77"/>
        <v>2022.8333333333333</v>
      </c>
      <c r="AF187" s="310">
        <f t="shared" si="78"/>
        <v>2015.5</v>
      </c>
      <c r="AG187" s="310">
        <f t="shared" si="79"/>
        <v>-8.3333333333333329E-2</v>
      </c>
    </row>
    <row r="188" spans="1:33">
      <c r="A188" s="306"/>
      <c r="B188" s="306">
        <v>5</v>
      </c>
      <c r="C188" s="331" t="s">
        <v>826</v>
      </c>
      <c r="D188" s="314">
        <v>2012</v>
      </c>
      <c r="E188" s="306">
        <v>11</v>
      </c>
      <c r="F188" s="352">
        <v>0</v>
      </c>
      <c r="G188" s="352"/>
      <c r="H188" s="314" t="s">
        <v>722</v>
      </c>
      <c r="I188" s="314">
        <v>10</v>
      </c>
      <c r="J188" s="308">
        <f t="shared" si="64"/>
        <v>2022</v>
      </c>
      <c r="K188" s="353"/>
      <c r="L188" s="306"/>
      <c r="M188" s="333">
        <v>2485</v>
      </c>
      <c r="N188" s="21"/>
      <c r="O188" s="19">
        <f t="shared" si="65"/>
        <v>2485</v>
      </c>
      <c r="P188" s="19">
        <f t="shared" si="66"/>
        <v>20.708333333333332</v>
      </c>
      <c r="Q188" s="19">
        <f t="shared" si="67"/>
        <v>248.5</v>
      </c>
      <c r="R188" s="19"/>
      <c r="S188" s="19">
        <f t="shared" si="68"/>
        <v>248.5</v>
      </c>
      <c r="T188" s="19">
        <v>1</v>
      </c>
      <c r="U188" s="19">
        <f t="shared" si="69"/>
        <v>248.5</v>
      </c>
      <c r="V188" s="19"/>
      <c r="W188" s="19">
        <f t="shared" si="70"/>
        <v>662.6666666666855</v>
      </c>
      <c r="X188" s="19">
        <f t="shared" si="71"/>
        <v>662.6666666666855</v>
      </c>
      <c r="Y188" s="19">
        <v>1</v>
      </c>
      <c r="Z188" s="19">
        <f t="shared" si="72"/>
        <v>662.6666666666855</v>
      </c>
      <c r="AA188" s="19">
        <f t="shared" si="73"/>
        <v>911.1666666666855</v>
      </c>
      <c r="AB188" s="19">
        <f t="shared" si="74"/>
        <v>1698.0833333333144</v>
      </c>
      <c r="AC188" s="310">
        <f t="shared" si="75"/>
        <v>2012.8333333333333</v>
      </c>
      <c r="AD188" s="310">
        <f t="shared" si="76"/>
        <v>2016.5</v>
      </c>
      <c r="AE188" s="310">
        <f t="shared" si="77"/>
        <v>2022.8333333333333</v>
      </c>
      <c r="AF188" s="310">
        <f t="shared" si="78"/>
        <v>2015.5</v>
      </c>
      <c r="AG188" s="310">
        <f t="shared" si="79"/>
        <v>-8.3333333333333329E-2</v>
      </c>
    </row>
    <row r="189" spans="1:33">
      <c r="A189" s="306"/>
      <c r="B189" s="306">
        <v>8</v>
      </c>
      <c r="C189" s="331" t="s">
        <v>827</v>
      </c>
      <c r="D189" s="314">
        <v>2014</v>
      </c>
      <c r="E189" s="306">
        <v>12</v>
      </c>
      <c r="F189" s="352">
        <v>0</v>
      </c>
      <c r="G189" s="352"/>
      <c r="H189" s="314" t="s">
        <v>722</v>
      </c>
      <c r="I189" s="314">
        <v>10</v>
      </c>
      <c r="J189" s="308">
        <f t="shared" si="64"/>
        <v>2024</v>
      </c>
      <c r="K189" s="353"/>
      <c r="L189" s="306"/>
      <c r="M189" s="333">
        <v>4064.06</v>
      </c>
      <c r="N189" s="21"/>
      <c r="O189" s="19">
        <f t="shared" si="65"/>
        <v>4064.06</v>
      </c>
      <c r="P189" s="19">
        <f t="shared" si="66"/>
        <v>33.86716666666667</v>
      </c>
      <c r="Q189" s="19">
        <f t="shared" si="67"/>
        <v>406.40600000000006</v>
      </c>
      <c r="R189" s="19"/>
      <c r="S189" s="19">
        <f t="shared" si="68"/>
        <v>406.40600000000006</v>
      </c>
      <c r="T189" s="19">
        <v>1</v>
      </c>
      <c r="U189" s="19">
        <f t="shared" si="69"/>
        <v>406.40600000000006</v>
      </c>
      <c r="V189" s="19"/>
      <c r="W189" s="19">
        <f t="shared" si="70"/>
        <v>237.07016666663588</v>
      </c>
      <c r="X189" s="19">
        <f t="shared" si="71"/>
        <v>237.07016666663588</v>
      </c>
      <c r="Y189" s="19">
        <v>1</v>
      </c>
      <c r="Z189" s="19">
        <f t="shared" si="72"/>
        <v>237.07016666663588</v>
      </c>
      <c r="AA189" s="19">
        <f t="shared" si="73"/>
        <v>643.47616666663589</v>
      </c>
      <c r="AB189" s="19">
        <f t="shared" si="74"/>
        <v>3623.786833333364</v>
      </c>
      <c r="AC189" s="310">
        <f t="shared" si="75"/>
        <v>2014.9166666666667</v>
      </c>
      <c r="AD189" s="310">
        <f t="shared" si="76"/>
        <v>2016.5</v>
      </c>
      <c r="AE189" s="310">
        <f t="shared" si="77"/>
        <v>2024.9166666666667</v>
      </c>
      <c r="AF189" s="310">
        <f t="shared" si="78"/>
        <v>2015.5</v>
      </c>
      <c r="AG189" s="310">
        <f t="shared" si="79"/>
        <v>-8.3333333333333329E-2</v>
      </c>
    </row>
    <row r="190" spans="1:33">
      <c r="A190" s="306"/>
      <c r="B190" s="306">
        <v>3</v>
      </c>
      <c r="C190" s="331" t="s">
        <v>828</v>
      </c>
      <c r="D190" s="314">
        <v>2014</v>
      </c>
      <c r="E190" s="306">
        <v>12</v>
      </c>
      <c r="F190" s="352">
        <v>0</v>
      </c>
      <c r="G190" s="352"/>
      <c r="H190" s="314" t="s">
        <v>722</v>
      </c>
      <c r="I190" s="314">
        <v>10</v>
      </c>
      <c r="J190" s="308">
        <f t="shared" si="64"/>
        <v>2024</v>
      </c>
      <c r="K190" s="353"/>
      <c r="L190" s="306"/>
      <c r="M190" s="333">
        <v>1656.89</v>
      </c>
      <c r="N190" s="21"/>
      <c r="O190" s="19">
        <f t="shared" si="65"/>
        <v>1656.89</v>
      </c>
      <c r="P190" s="19">
        <f t="shared" si="66"/>
        <v>13.807416666666668</v>
      </c>
      <c r="Q190" s="19">
        <f t="shared" si="67"/>
        <v>165.68900000000002</v>
      </c>
      <c r="R190" s="19"/>
      <c r="S190" s="19">
        <f t="shared" si="68"/>
        <v>165.68900000000002</v>
      </c>
      <c r="T190" s="19">
        <v>1</v>
      </c>
      <c r="U190" s="19">
        <f t="shared" si="69"/>
        <v>165.68900000000002</v>
      </c>
      <c r="V190" s="19"/>
      <c r="W190" s="19">
        <f t="shared" si="70"/>
        <v>96.651916666654117</v>
      </c>
      <c r="X190" s="19">
        <f t="shared" si="71"/>
        <v>96.651916666654117</v>
      </c>
      <c r="Y190" s="19">
        <v>1</v>
      </c>
      <c r="Z190" s="19">
        <f t="shared" si="72"/>
        <v>96.651916666654117</v>
      </c>
      <c r="AA190" s="19">
        <f t="shared" si="73"/>
        <v>262.34091666665415</v>
      </c>
      <c r="AB190" s="19">
        <f t="shared" si="74"/>
        <v>1477.393583333346</v>
      </c>
      <c r="AC190" s="310">
        <f t="shared" si="75"/>
        <v>2014.9166666666667</v>
      </c>
      <c r="AD190" s="310">
        <f t="shared" si="76"/>
        <v>2016.5</v>
      </c>
      <c r="AE190" s="310">
        <f t="shared" si="77"/>
        <v>2024.9166666666667</v>
      </c>
      <c r="AF190" s="310">
        <f t="shared" si="78"/>
        <v>2015.5</v>
      </c>
      <c r="AG190" s="310">
        <f t="shared" si="79"/>
        <v>-8.3333333333333329E-2</v>
      </c>
    </row>
    <row r="191" spans="1:33">
      <c r="A191" s="306"/>
      <c r="B191" s="306">
        <v>2</v>
      </c>
      <c r="C191" s="331" t="s">
        <v>824</v>
      </c>
      <c r="D191" s="314">
        <v>2014</v>
      </c>
      <c r="E191" s="306">
        <v>12</v>
      </c>
      <c r="F191" s="352">
        <v>0</v>
      </c>
      <c r="G191" s="352"/>
      <c r="H191" s="314" t="s">
        <v>722</v>
      </c>
      <c r="I191" s="314">
        <v>10</v>
      </c>
      <c r="J191" s="308">
        <f t="shared" si="64"/>
        <v>2024</v>
      </c>
      <c r="K191" s="353"/>
      <c r="L191" s="306"/>
      <c r="M191" s="333">
        <v>1621.31</v>
      </c>
      <c r="N191" s="21"/>
      <c r="O191" s="19">
        <f t="shared" si="65"/>
        <v>1621.31</v>
      </c>
      <c r="P191" s="19">
        <f t="shared" si="66"/>
        <v>13.510916666666667</v>
      </c>
      <c r="Q191" s="19">
        <f t="shared" si="67"/>
        <v>162.131</v>
      </c>
      <c r="R191" s="19"/>
      <c r="S191" s="19">
        <f t="shared" si="68"/>
        <v>162.131</v>
      </c>
      <c r="T191" s="19">
        <v>1</v>
      </c>
      <c r="U191" s="19">
        <f t="shared" si="69"/>
        <v>162.131</v>
      </c>
      <c r="V191" s="19"/>
      <c r="W191" s="19">
        <f t="shared" si="70"/>
        <v>94.576416666654382</v>
      </c>
      <c r="X191" s="19">
        <f t="shared" si="71"/>
        <v>94.576416666654382</v>
      </c>
      <c r="Y191" s="19">
        <v>1</v>
      </c>
      <c r="Z191" s="19">
        <f t="shared" si="72"/>
        <v>94.576416666654382</v>
      </c>
      <c r="AA191" s="19">
        <f t="shared" si="73"/>
        <v>256.70741666665435</v>
      </c>
      <c r="AB191" s="19">
        <f t="shared" si="74"/>
        <v>1445.6680833333455</v>
      </c>
      <c r="AC191" s="310">
        <f t="shared" si="75"/>
        <v>2014.9166666666667</v>
      </c>
      <c r="AD191" s="310">
        <f t="shared" si="76"/>
        <v>2016.5</v>
      </c>
      <c r="AE191" s="310">
        <f t="shared" si="77"/>
        <v>2024.9166666666667</v>
      </c>
      <c r="AF191" s="310">
        <f t="shared" si="78"/>
        <v>2015.5</v>
      </c>
      <c r="AG191" s="310">
        <f t="shared" si="79"/>
        <v>-8.3333333333333329E-2</v>
      </c>
    </row>
    <row r="192" spans="1:33">
      <c r="A192" s="306"/>
      <c r="B192" s="306">
        <v>2</v>
      </c>
      <c r="C192" s="331" t="s">
        <v>825</v>
      </c>
      <c r="D192" s="314">
        <v>2014</v>
      </c>
      <c r="E192" s="306">
        <v>12</v>
      </c>
      <c r="F192" s="352">
        <v>0</v>
      </c>
      <c r="G192" s="352"/>
      <c r="H192" s="314" t="s">
        <v>722</v>
      </c>
      <c r="I192" s="314">
        <v>10</v>
      </c>
      <c r="J192" s="308">
        <f t="shared" ref="J192:J198" si="80">D192+I192</f>
        <v>2024</v>
      </c>
      <c r="K192" s="353"/>
      <c r="L192" s="306"/>
      <c r="M192" s="333">
        <v>1892.97</v>
      </c>
      <c r="N192" s="21"/>
      <c r="O192" s="19">
        <f t="shared" ref="O192:O198" si="81">M192-M192*F192</f>
        <v>1892.97</v>
      </c>
      <c r="P192" s="19">
        <f t="shared" ref="P192:P198" si="82">O192/I192/12</f>
        <v>15.774749999999999</v>
      </c>
      <c r="Q192" s="19">
        <f t="shared" ref="Q192:Q198" si="83">IF(N192&gt;0,0,IF(OR(AC192&gt;AD192,AE192&lt;AF192),0,IF(AND(AE192&gt;=AF192,AE192&lt;=AD192),P192*((AE192-AF192)*12),IF(AND(AF192&lt;=AC192,AD192&gt;=AC192),((AD192-AC192)*12)*P192,IF(AE192&gt;AD192,12*P192,0)))))</f>
        <v>189.297</v>
      </c>
      <c r="R192" s="19"/>
      <c r="S192" s="19">
        <f t="shared" ref="S192:S198" si="84">IF(R192&gt;0,R192,Q192)</f>
        <v>189.297</v>
      </c>
      <c r="T192" s="19">
        <v>1</v>
      </c>
      <c r="U192" s="19">
        <f t="shared" ref="U192:U198" si="85">T192*SUM(Q192:R192)</f>
        <v>189.297</v>
      </c>
      <c r="V192" s="19"/>
      <c r="W192" s="19">
        <f t="shared" ref="W192:W198" si="86">IF(AC192&gt;AD192,0,IF(AE192&lt;AF192,O192,IF(AND(AE192&gt;=AF192,AE192&lt;=AD192),(O192-S192),IF(AND(AF192&lt;=AC192,AD192&gt;=AC192),0,IF(AE192&gt;AD192,((AF192-AC192)*12)*P192,0)))))</f>
        <v>110.42324999998564</v>
      </c>
      <c r="X192" s="19">
        <f t="shared" ref="X192:X198" si="87">W192*T192</f>
        <v>110.42324999998564</v>
      </c>
      <c r="Y192" s="19">
        <v>1</v>
      </c>
      <c r="Z192" s="19">
        <f t="shared" ref="Z192:Z198" si="88">X192*Y192</f>
        <v>110.42324999998564</v>
      </c>
      <c r="AA192" s="19">
        <f t="shared" ref="AA192:AA198" si="89">IF(N192&gt;0,0,Z192+U192*Y192)*Y192</f>
        <v>299.72024999998564</v>
      </c>
      <c r="AB192" s="19">
        <f t="shared" ref="AB192:AB198" si="90">IF(N192&gt;0,(M192-Z192)/2,IF(AC192&gt;=AF192,(((M192*T192)*Y192)-AA192)/2,((((M192*T192)*Y192)-Z192)+(((M192*T192)*Y192)-AA192))/2))</f>
        <v>1687.8982500000143</v>
      </c>
      <c r="AC192" s="310">
        <f t="shared" ref="AC192:AC198" si="91">$D192+(($E192-1)/12)</f>
        <v>2014.9166666666667</v>
      </c>
      <c r="AD192" s="310">
        <f t="shared" ref="AD192:AD198" si="92">($O$5+1)-($O$2/12)</f>
        <v>2016.5</v>
      </c>
      <c r="AE192" s="310">
        <f t="shared" ref="AE192:AE198" si="93">$J192+(($E192-1)/12)</f>
        <v>2024.9166666666667</v>
      </c>
      <c r="AF192" s="310">
        <f t="shared" ref="AF192:AF198" si="94">$O$4+($O$3/12)</f>
        <v>2015.5</v>
      </c>
      <c r="AG192" s="310">
        <f t="shared" ref="AG192:AG198" si="95">$K192+(($L192-1)/12)</f>
        <v>-8.3333333333333329E-2</v>
      </c>
    </row>
    <row r="193" spans="1:33">
      <c r="A193" s="306"/>
      <c r="B193" s="306">
        <v>6</v>
      </c>
      <c r="C193" s="331" t="s">
        <v>833</v>
      </c>
      <c r="D193" s="314">
        <v>2015</v>
      </c>
      <c r="E193" s="306">
        <v>10</v>
      </c>
      <c r="F193" s="352">
        <v>0</v>
      </c>
      <c r="G193" s="352"/>
      <c r="H193" s="314" t="s">
        <v>722</v>
      </c>
      <c r="I193" s="314">
        <v>10</v>
      </c>
      <c r="J193" s="308">
        <f t="shared" si="80"/>
        <v>2025</v>
      </c>
      <c r="K193" s="353"/>
      <c r="L193" s="306"/>
      <c r="M193" s="333">
        <v>3148.08</v>
      </c>
      <c r="N193" s="21"/>
      <c r="O193" s="19">
        <f t="shared" si="81"/>
        <v>3148.08</v>
      </c>
      <c r="P193" s="19">
        <f t="shared" si="82"/>
        <v>26.233999999999998</v>
      </c>
      <c r="Q193" s="19">
        <f t="shared" si="83"/>
        <v>236.10599999999999</v>
      </c>
      <c r="R193" s="19"/>
      <c r="S193" s="19">
        <f t="shared" si="84"/>
        <v>236.10599999999999</v>
      </c>
      <c r="T193" s="19">
        <v>1</v>
      </c>
      <c r="U193" s="19">
        <f t="shared" si="85"/>
        <v>236.10599999999999</v>
      </c>
      <c r="V193" s="19"/>
      <c r="W193" s="19">
        <f t="shared" si="86"/>
        <v>0</v>
      </c>
      <c r="X193" s="19">
        <f t="shared" si="87"/>
        <v>0</v>
      </c>
      <c r="Y193" s="19">
        <v>1</v>
      </c>
      <c r="Z193" s="19">
        <f t="shared" si="88"/>
        <v>0</v>
      </c>
      <c r="AA193" s="19">
        <f t="shared" si="89"/>
        <v>236.10599999999999</v>
      </c>
      <c r="AB193" s="19">
        <f t="shared" si="90"/>
        <v>1455.9870000000001</v>
      </c>
      <c r="AC193" s="310">
        <f t="shared" si="91"/>
        <v>2015.75</v>
      </c>
      <c r="AD193" s="310">
        <f t="shared" si="92"/>
        <v>2016.5</v>
      </c>
      <c r="AE193" s="310">
        <f t="shared" si="93"/>
        <v>2025.75</v>
      </c>
      <c r="AF193" s="310">
        <f t="shared" si="94"/>
        <v>2015.5</v>
      </c>
      <c r="AG193" s="310">
        <f t="shared" si="95"/>
        <v>-8.3333333333333329E-2</v>
      </c>
    </row>
    <row r="194" spans="1:33">
      <c r="A194" s="306"/>
      <c r="B194" s="306">
        <v>6</v>
      </c>
      <c r="C194" s="331" t="s">
        <v>834</v>
      </c>
      <c r="D194" s="314">
        <v>2015</v>
      </c>
      <c r="E194" s="306">
        <v>10</v>
      </c>
      <c r="F194" s="352">
        <v>0</v>
      </c>
      <c r="G194" s="352"/>
      <c r="H194" s="314" t="s">
        <v>722</v>
      </c>
      <c r="I194" s="314">
        <v>10</v>
      </c>
      <c r="J194" s="308">
        <f t="shared" si="80"/>
        <v>2025</v>
      </c>
      <c r="K194" s="353"/>
      <c r="L194" s="306"/>
      <c r="M194" s="333">
        <v>4592.3999999999996</v>
      </c>
      <c r="N194" s="21"/>
      <c r="O194" s="19">
        <f t="shared" si="81"/>
        <v>4592.3999999999996</v>
      </c>
      <c r="P194" s="19">
        <f t="shared" si="82"/>
        <v>38.269999999999996</v>
      </c>
      <c r="Q194" s="19">
        <f t="shared" si="83"/>
        <v>344.42999999999995</v>
      </c>
      <c r="R194" s="19"/>
      <c r="S194" s="19">
        <f t="shared" si="84"/>
        <v>344.42999999999995</v>
      </c>
      <c r="T194" s="19">
        <v>1</v>
      </c>
      <c r="U194" s="19">
        <f t="shared" si="85"/>
        <v>344.42999999999995</v>
      </c>
      <c r="V194" s="19"/>
      <c r="W194" s="19">
        <f t="shared" si="86"/>
        <v>0</v>
      </c>
      <c r="X194" s="19">
        <f t="shared" si="87"/>
        <v>0</v>
      </c>
      <c r="Y194" s="19">
        <v>1</v>
      </c>
      <c r="Z194" s="19">
        <f t="shared" si="88"/>
        <v>0</v>
      </c>
      <c r="AA194" s="19">
        <f t="shared" si="89"/>
        <v>344.42999999999995</v>
      </c>
      <c r="AB194" s="19">
        <f t="shared" si="90"/>
        <v>2123.9849999999997</v>
      </c>
      <c r="AC194" s="310">
        <f t="shared" si="91"/>
        <v>2015.75</v>
      </c>
      <c r="AD194" s="310">
        <f t="shared" si="92"/>
        <v>2016.5</v>
      </c>
      <c r="AE194" s="310">
        <f t="shared" si="93"/>
        <v>2025.75</v>
      </c>
      <c r="AF194" s="310">
        <f t="shared" si="94"/>
        <v>2015.5</v>
      </c>
      <c r="AG194" s="310">
        <f t="shared" si="95"/>
        <v>-8.3333333333333329E-2</v>
      </c>
    </row>
    <row r="195" spans="1:33">
      <c r="A195" s="306"/>
      <c r="B195" s="306">
        <v>4</v>
      </c>
      <c r="C195" s="331" t="s">
        <v>835</v>
      </c>
      <c r="D195" s="314">
        <v>2015</v>
      </c>
      <c r="E195" s="306">
        <v>10</v>
      </c>
      <c r="F195" s="352">
        <v>0</v>
      </c>
      <c r="G195" s="352"/>
      <c r="H195" s="314" t="s">
        <v>722</v>
      </c>
      <c r="I195" s="314">
        <v>10</v>
      </c>
      <c r="J195" s="308">
        <f t="shared" si="80"/>
        <v>2025</v>
      </c>
      <c r="K195" s="353"/>
      <c r="L195" s="306"/>
      <c r="M195" s="333">
        <v>3647.51</v>
      </c>
      <c r="N195" s="21"/>
      <c r="O195" s="19">
        <f t="shared" si="81"/>
        <v>3647.51</v>
      </c>
      <c r="P195" s="19">
        <f t="shared" si="82"/>
        <v>30.395916666666668</v>
      </c>
      <c r="Q195" s="19">
        <f t="shared" si="83"/>
        <v>273.56325000000004</v>
      </c>
      <c r="R195" s="19"/>
      <c r="S195" s="19">
        <f t="shared" si="84"/>
        <v>273.56325000000004</v>
      </c>
      <c r="T195" s="19">
        <v>1</v>
      </c>
      <c r="U195" s="19">
        <f t="shared" si="85"/>
        <v>273.56325000000004</v>
      </c>
      <c r="V195" s="19"/>
      <c r="W195" s="19">
        <f t="shared" si="86"/>
        <v>0</v>
      </c>
      <c r="X195" s="19">
        <f t="shared" si="87"/>
        <v>0</v>
      </c>
      <c r="Y195" s="19">
        <v>1</v>
      </c>
      <c r="Z195" s="19">
        <f t="shared" si="88"/>
        <v>0</v>
      </c>
      <c r="AA195" s="19">
        <f t="shared" si="89"/>
        <v>273.56325000000004</v>
      </c>
      <c r="AB195" s="19">
        <f t="shared" si="90"/>
        <v>1686.973375</v>
      </c>
      <c r="AC195" s="310">
        <f t="shared" si="91"/>
        <v>2015.75</v>
      </c>
      <c r="AD195" s="310">
        <f t="shared" si="92"/>
        <v>2016.5</v>
      </c>
      <c r="AE195" s="310">
        <f t="shared" si="93"/>
        <v>2025.75</v>
      </c>
      <c r="AF195" s="310">
        <f t="shared" si="94"/>
        <v>2015.5</v>
      </c>
      <c r="AG195" s="310">
        <f t="shared" si="95"/>
        <v>-8.3333333333333329E-2</v>
      </c>
    </row>
    <row r="196" spans="1:33">
      <c r="A196" s="306"/>
      <c r="B196" s="306">
        <v>6</v>
      </c>
      <c r="C196" s="331" t="s">
        <v>836</v>
      </c>
      <c r="D196" s="314">
        <v>2015</v>
      </c>
      <c r="E196" s="306">
        <v>10</v>
      </c>
      <c r="F196" s="352">
        <v>0</v>
      </c>
      <c r="G196" s="352"/>
      <c r="H196" s="314" t="s">
        <v>722</v>
      </c>
      <c r="I196" s="314">
        <v>10</v>
      </c>
      <c r="J196" s="308">
        <f t="shared" si="80"/>
        <v>2025</v>
      </c>
      <c r="K196" s="353"/>
      <c r="L196" s="306"/>
      <c r="M196" s="333">
        <v>2781.24</v>
      </c>
      <c r="N196" s="21"/>
      <c r="O196" s="19">
        <f t="shared" si="81"/>
        <v>2781.24</v>
      </c>
      <c r="P196" s="19">
        <f t="shared" si="82"/>
        <v>23.176999999999996</v>
      </c>
      <c r="Q196" s="19">
        <f t="shared" si="83"/>
        <v>208.59299999999996</v>
      </c>
      <c r="R196" s="19"/>
      <c r="S196" s="19">
        <f t="shared" si="84"/>
        <v>208.59299999999996</v>
      </c>
      <c r="T196" s="19">
        <v>1</v>
      </c>
      <c r="U196" s="19">
        <f t="shared" si="85"/>
        <v>208.59299999999996</v>
      </c>
      <c r="V196" s="19"/>
      <c r="W196" s="19">
        <f t="shared" si="86"/>
        <v>0</v>
      </c>
      <c r="X196" s="19">
        <f t="shared" si="87"/>
        <v>0</v>
      </c>
      <c r="Y196" s="19">
        <v>1</v>
      </c>
      <c r="Z196" s="19">
        <f t="shared" si="88"/>
        <v>0</v>
      </c>
      <c r="AA196" s="19">
        <f t="shared" si="89"/>
        <v>208.59299999999996</v>
      </c>
      <c r="AB196" s="19">
        <f t="shared" si="90"/>
        <v>1286.3235</v>
      </c>
      <c r="AC196" s="310">
        <f t="shared" si="91"/>
        <v>2015.75</v>
      </c>
      <c r="AD196" s="310">
        <f t="shared" si="92"/>
        <v>2016.5</v>
      </c>
      <c r="AE196" s="310">
        <f t="shared" si="93"/>
        <v>2025.75</v>
      </c>
      <c r="AF196" s="310">
        <f t="shared" si="94"/>
        <v>2015.5</v>
      </c>
      <c r="AG196" s="310">
        <f t="shared" si="95"/>
        <v>-8.3333333333333329E-2</v>
      </c>
    </row>
    <row r="197" spans="1:33">
      <c r="A197" s="306"/>
      <c r="B197" s="306">
        <v>1</v>
      </c>
      <c r="C197" s="331" t="s">
        <v>837</v>
      </c>
      <c r="D197" s="314">
        <v>2015</v>
      </c>
      <c r="E197" s="306">
        <v>10</v>
      </c>
      <c r="F197" s="352">
        <v>0</v>
      </c>
      <c r="G197" s="352"/>
      <c r="H197" s="314" t="s">
        <v>722</v>
      </c>
      <c r="I197" s="314">
        <v>10</v>
      </c>
      <c r="J197" s="308">
        <f t="shared" si="80"/>
        <v>2025</v>
      </c>
      <c r="K197" s="353"/>
      <c r="L197" s="306"/>
      <c r="M197" s="333">
        <v>1588.97</v>
      </c>
      <c r="N197" s="21"/>
      <c r="O197" s="19">
        <f t="shared" si="81"/>
        <v>1588.97</v>
      </c>
      <c r="P197" s="19">
        <f t="shared" si="82"/>
        <v>13.241416666666666</v>
      </c>
      <c r="Q197" s="19">
        <f t="shared" si="83"/>
        <v>119.17274999999999</v>
      </c>
      <c r="R197" s="19"/>
      <c r="S197" s="19">
        <f t="shared" si="84"/>
        <v>119.17274999999999</v>
      </c>
      <c r="T197" s="19">
        <v>1</v>
      </c>
      <c r="U197" s="19">
        <f t="shared" si="85"/>
        <v>119.17274999999999</v>
      </c>
      <c r="V197" s="19"/>
      <c r="W197" s="19">
        <f t="shared" si="86"/>
        <v>0</v>
      </c>
      <c r="X197" s="19">
        <f t="shared" si="87"/>
        <v>0</v>
      </c>
      <c r="Y197" s="19">
        <v>1</v>
      </c>
      <c r="Z197" s="19">
        <f t="shared" si="88"/>
        <v>0</v>
      </c>
      <c r="AA197" s="19">
        <f t="shared" si="89"/>
        <v>119.17274999999999</v>
      </c>
      <c r="AB197" s="19">
        <f t="shared" si="90"/>
        <v>734.89862500000004</v>
      </c>
      <c r="AC197" s="310">
        <f t="shared" si="91"/>
        <v>2015.75</v>
      </c>
      <c r="AD197" s="310">
        <f t="shared" si="92"/>
        <v>2016.5</v>
      </c>
      <c r="AE197" s="310">
        <f t="shared" si="93"/>
        <v>2025.75</v>
      </c>
      <c r="AF197" s="310">
        <f t="shared" si="94"/>
        <v>2015.5</v>
      </c>
      <c r="AG197" s="310">
        <f t="shared" si="95"/>
        <v>-8.3333333333333329E-2</v>
      </c>
    </row>
    <row r="198" spans="1:33">
      <c r="A198" s="306"/>
      <c r="B198" s="306">
        <v>10</v>
      </c>
      <c r="C198" s="331" t="s">
        <v>838</v>
      </c>
      <c r="D198" s="314">
        <v>2015</v>
      </c>
      <c r="E198" s="306">
        <v>10</v>
      </c>
      <c r="F198" s="352">
        <v>0</v>
      </c>
      <c r="G198" s="352"/>
      <c r="H198" s="314" t="s">
        <v>722</v>
      </c>
      <c r="I198" s="314">
        <v>10</v>
      </c>
      <c r="J198" s="308">
        <f t="shared" si="80"/>
        <v>2025</v>
      </c>
      <c r="K198" s="353"/>
      <c r="L198" s="306"/>
      <c r="M198" s="333">
        <v>14261.94</v>
      </c>
      <c r="N198" s="21"/>
      <c r="O198" s="19">
        <f t="shared" si="81"/>
        <v>14261.94</v>
      </c>
      <c r="P198" s="19">
        <f t="shared" si="82"/>
        <v>118.84949999999999</v>
      </c>
      <c r="Q198" s="19">
        <f t="shared" si="83"/>
        <v>1069.6454999999999</v>
      </c>
      <c r="R198" s="19"/>
      <c r="S198" s="19">
        <f t="shared" si="84"/>
        <v>1069.6454999999999</v>
      </c>
      <c r="T198" s="19">
        <v>1</v>
      </c>
      <c r="U198" s="19">
        <f t="shared" si="85"/>
        <v>1069.6454999999999</v>
      </c>
      <c r="V198" s="19"/>
      <c r="W198" s="19">
        <f t="shared" si="86"/>
        <v>0</v>
      </c>
      <c r="X198" s="19">
        <f t="shared" si="87"/>
        <v>0</v>
      </c>
      <c r="Y198" s="19">
        <v>1</v>
      </c>
      <c r="Z198" s="19">
        <f t="shared" si="88"/>
        <v>0</v>
      </c>
      <c r="AA198" s="19">
        <f t="shared" si="89"/>
        <v>1069.6454999999999</v>
      </c>
      <c r="AB198" s="19">
        <f t="shared" si="90"/>
        <v>6596.14725</v>
      </c>
      <c r="AC198" s="310">
        <f t="shared" si="91"/>
        <v>2015.75</v>
      </c>
      <c r="AD198" s="310">
        <f t="shared" si="92"/>
        <v>2016.5</v>
      </c>
      <c r="AE198" s="310">
        <f t="shared" si="93"/>
        <v>2025.75</v>
      </c>
      <c r="AF198" s="310">
        <f t="shared" si="94"/>
        <v>2015.5</v>
      </c>
      <c r="AG198" s="310">
        <f t="shared" si="95"/>
        <v>-8.3333333333333329E-2</v>
      </c>
    </row>
    <row r="199" spans="1:33">
      <c r="A199" s="306"/>
      <c r="C199" s="331"/>
      <c r="D199" s="314"/>
      <c r="E199" s="306"/>
      <c r="F199" s="352"/>
      <c r="G199" s="352"/>
      <c r="H199" s="314"/>
      <c r="I199" s="314"/>
      <c r="J199" s="308"/>
      <c r="K199" s="353"/>
      <c r="L199" s="306"/>
      <c r="M199" s="333"/>
      <c r="N199" s="21"/>
      <c r="O199" s="19"/>
      <c r="P199" s="19"/>
      <c r="Q199" s="19"/>
      <c r="R199" s="19"/>
      <c r="S199" s="19"/>
      <c r="T199" s="19"/>
      <c r="U199" s="19"/>
      <c r="V199" s="19"/>
      <c r="W199" s="19"/>
      <c r="X199" s="19"/>
      <c r="Y199" s="19"/>
      <c r="Z199" s="19"/>
      <c r="AA199" s="19"/>
      <c r="AB199" s="19"/>
      <c r="AC199" s="310"/>
      <c r="AD199" s="310"/>
      <c r="AE199" s="310"/>
      <c r="AF199" s="310"/>
      <c r="AG199" s="310"/>
    </row>
    <row r="200" spans="1:33">
      <c r="A200" s="306"/>
      <c r="B200" s="354"/>
      <c r="C200" s="355"/>
      <c r="D200" s="356"/>
      <c r="E200" s="355"/>
      <c r="F200" s="352"/>
      <c r="G200" s="352"/>
      <c r="H200" s="357"/>
      <c r="I200" s="355"/>
      <c r="J200" s="308"/>
      <c r="K200" s="353"/>
      <c r="L200" s="306"/>
      <c r="M200" s="333"/>
      <c r="N200" s="21"/>
      <c r="O200" s="19"/>
      <c r="P200" s="19"/>
      <c r="Q200" s="19"/>
      <c r="R200" s="19"/>
      <c r="S200" s="19"/>
      <c r="T200" s="19"/>
      <c r="U200" s="19"/>
      <c r="V200" s="19"/>
      <c r="W200" s="19"/>
      <c r="X200" s="19"/>
      <c r="Y200" s="19"/>
      <c r="Z200" s="19"/>
      <c r="AA200" s="19"/>
      <c r="AB200" s="19"/>
      <c r="AC200" s="310"/>
      <c r="AD200" s="310"/>
      <c r="AE200" s="310"/>
      <c r="AF200" s="310"/>
      <c r="AG200" s="310"/>
    </row>
    <row r="201" spans="1:33">
      <c r="A201" s="306"/>
      <c r="B201" s="354"/>
      <c r="C201" s="341" t="s">
        <v>839</v>
      </c>
      <c r="D201" s="358"/>
      <c r="E201" s="359"/>
      <c r="F201" s="343"/>
      <c r="G201" s="343"/>
      <c r="H201" s="343"/>
      <c r="I201" s="342"/>
      <c r="J201" s="360"/>
      <c r="K201" s="361"/>
      <c r="L201" s="343"/>
      <c r="M201" s="362">
        <f>SUM(M64:M200)</f>
        <v>357212.18500000006</v>
      </c>
      <c r="N201" s="363"/>
      <c r="O201" s="362">
        <f>SUM(O64:O200)</f>
        <v>357212.18500000006</v>
      </c>
      <c r="P201" s="362">
        <f>SUM(P64:P200)</f>
        <v>3412.0845535714293</v>
      </c>
      <c r="Q201" s="362">
        <f>SUM(Q64:Q200)</f>
        <v>8883.9323333332995</v>
      </c>
      <c r="R201" s="362"/>
      <c r="S201" s="362">
        <f>SUM(S64:S200)</f>
        <v>8883.9323333332995</v>
      </c>
      <c r="T201" s="362"/>
      <c r="U201" s="362">
        <f>SUM(U64:U200)</f>
        <v>8883.9323333332995</v>
      </c>
      <c r="V201" s="362"/>
      <c r="W201" s="362">
        <f>SUM(W64:W200)</f>
        <v>301395.69233333349</v>
      </c>
      <c r="X201" s="362">
        <f>SUM(X64:X200)</f>
        <v>301395.69233333349</v>
      </c>
      <c r="Y201" s="362"/>
      <c r="Z201" s="362">
        <f>SUM(Z64:Z200)</f>
        <v>301395.69233333349</v>
      </c>
      <c r="AA201" s="362">
        <f>SUM(AA64:AA200)</f>
        <v>310279.62466666696</v>
      </c>
      <c r="AB201" s="362">
        <f>SUM(AB64:AB200)</f>
        <v>36364.456499999949</v>
      </c>
      <c r="AC201" s="306"/>
      <c r="AD201" s="306"/>
      <c r="AE201" s="306"/>
      <c r="AF201" s="306"/>
      <c r="AG201" s="306"/>
    </row>
    <row r="202" spans="1:33">
      <c r="A202" s="306"/>
      <c r="B202" s="354"/>
      <c r="C202" s="319"/>
      <c r="D202" s="364"/>
      <c r="E202" s="354"/>
      <c r="F202" s="306"/>
      <c r="G202" s="306"/>
      <c r="H202" s="306"/>
      <c r="I202" s="314"/>
      <c r="J202" s="308"/>
      <c r="K202" s="365"/>
      <c r="L202" s="306"/>
      <c r="M202" s="366"/>
      <c r="N202" s="21"/>
      <c r="O202" s="366"/>
      <c r="P202" s="366"/>
      <c r="Q202" s="366"/>
      <c r="R202" s="366"/>
      <c r="S202" s="366"/>
      <c r="T202" s="366"/>
      <c r="U202" s="366"/>
      <c r="V202" s="366"/>
      <c r="W202" s="366"/>
      <c r="X202" s="366"/>
      <c r="Y202" s="366"/>
      <c r="Z202" s="366"/>
      <c r="AA202" s="366"/>
      <c r="AB202" s="366"/>
      <c r="AC202" s="306"/>
      <c r="AD202" s="306"/>
      <c r="AE202" s="306"/>
      <c r="AF202" s="306"/>
      <c r="AG202" s="306"/>
    </row>
    <row r="203" spans="1:33">
      <c r="A203" s="306"/>
      <c r="C203" s="306"/>
      <c r="D203" s="306"/>
      <c r="E203" s="306"/>
      <c r="F203" s="314"/>
      <c r="G203" s="306"/>
      <c r="H203" s="306"/>
      <c r="I203" s="306"/>
      <c r="J203" s="308"/>
      <c r="K203" s="306"/>
      <c r="L203" s="306"/>
      <c r="M203" s="21"/>
      <c r="N203" s="21"/>
      <c r="O203" s="21"/>
      <c r="P203" s="21"/>
      <c r="Q203" s="21"/>
      <c r="R203" s="21"/>
      <c r="S203" s="21"/>
      <c r="T203" s="21"/>
      <c r="U203" s="21"/>
      <c r="V203" s="21"/>
      <c r="W203" s="21"/>
      <c r="X203" s="21"/>
      <c r="Y203" s="21"/>
      <c r="Z203" s="21"/>
      <c r="AA203" s="21"/>
      <c r="AB203" s="21"/>
      <c r="AC203" s="306"/>
      <c r="AD203" s="306"/>
      <c r="AE203" s="306"/>
      <c r="AF203" s="306"/>
      <c r="AG203" s="306"/>
    </row>
    <row r="204" spans="1:33">
      <c r="A204" s="335"/>
      <c r="C204" s="319" t="s">
        <v>840</v>
      </c>
      <c r="D204" s="306"/>
      <c r="E204" s="306"/>
      <c r="F204" s="314"/>
      <c r="G204" s="306"/>
      <c r="H204" s="306"/>
      <c r="I204" s="306"/>
      <c r="J204" s="308"/>
      <c r="K204" s="306"/>
      <c r="L204" s="306"/>
      <c r="M204" s="21"/>
      <c r="N204" s="21"/>
      <c r="O204" s="21"/>
      <c r="P204" s="21"/>
      <c r="Q204" s="21"/>
      <c r="R204" s="21"/>
      <c r="S204" s="21"/>
      <c r="T204" s="21"/>
      <c r="U204" s="21"/>
      <c r="V204" s="21"/>
      <c r="W204" s="21"/>
      <c r="X204" s="21"/>
      <c r="Y204" s="21"/>
      <c r="Z204" s="21"/>
      <c r="AA204" s="21"/>
      <c r="AB204" s="21"/>
      <c r="AC204" s="306"/>
      <c r="AD204" s="306"/>
      <c r="AE204" s="306"/>
      <c r="AF204" s="306"/>
      <c r="AG204" s="306"/>
    </row>
    <row r="205" spans="1:33">
      <c r="A205" s="306"/>
      <c r="B205" s="306">
        <f>325+350</f>
        <v>675</v>
      </c>
      <c r="C205" s="331" t="s">
        <v>841</v>
      </c>
      <c r="D205" s="314">
        <v>2005</v>
      </c>
      <c r="E205" s="306">
        <v>3</v>
      </c>
      <c r="F205" s="352">
        <v>0</v>
      </c>
      <c r="G205" s="352"/>
      <c r="H205" s="314" t="s">
        <v>722</v>
      </c>
      <c r="I205" s="314">
        <v>10</v>
      </c>
      <c r="J205" s="308">
        <f t="shared" ref="J205:J214" si="96">D205+I205</f>
        <v>2015</v>
      </c>
      <c r="K205" s="353"/>
      <c r="L205" s="306"/>
      <c r="M205" s="333">
        <v>25795.88</v>
      </c>
      <c r="N205" s="21"/>
      <c r="O205" s="19">
        <f t="shared" ref="O205:O214" si="97">M205-M205*F205</f>
        <v>25795.88</v>
      </c>
      <c r="P205" s="19">
        <f t="shared" ref="P205:P214" si="98">O205/I205/12</f>
        <v>214.96566666666669</v>
      </c>
      <c r="Q205" s="19">
        <f t="shared" ref="Q205:Q214" si="99">IF(N205&gt;0,0,IF(OR(AC205&gt;AD205,AE205&lt;AF205),0,IF(AND(AE205&gt;=AF205,AE205&lt;=AD205),P205*((AE205-AF205)*12),IF(AND(AF205&lt;=AC205,AD205&gt;=AC205),((AD205-AC205)*12)*P205,IF(AE205&gt;AD205,12*P205,0)))))</f>
        <v>0</v>
      </c>
      <c r="R205" s="19"/>
      <c r="S205" s="19">
        <f t="shared" ref="S205:S214" si="100">IF(R205&gt;0,R205,Q205)</f>
        <v>0</v>
      </c>
      <c r="T205" s="19">
        <v>1</v>
      </c>
      <c r="U205" s="19">
        <f t="shared" ref="U205:U214" si="101">T205*SUM(Q205:R205)</f>
        <v>0</v>
      </c>
      <c r="V205" s="19"/>
      <c r="W205" s="19">
        <f t="shared" ref="W205:W214" si="102">IF(AC205&gt;AD205,0,IF(AE205&lt;AF205,O205,IF(AND(AE205&gt;=AF205,AE205&lt;=AD205),(O205-S205),IF(AND(AF205&lt;=AC205,AD205&gt;=AC205),0,IF(AE205&gt;AD205,((AF205-AC205)*12)*P205,0)))))</f>
        <v>25795.88</v>
      </c>
      <c r="X205" s="19">
        <f t="shared" ref="X205:X214" si="103">W205*T205</f>
        <v>25795.88</v>
      </c>
      <c r="Y205" s="19">
        <v>1</v>
      </c>
      <c r="Z205" s="19">
        <f t="shared" ref="Z205:Z214" si="104">X205*Y205</f>
        <v>25795.88</v>
      </c>
      <c r="AA205" s="19">
        <f t="shared" ref="AA205:AA214" si="105">IF(N205&gt;0,0,Z205+U205*Y205)*Y205</f>
        <v>25795.88</v>
      </c>
      <c r="AB205" s="19">
        <f t="shared" ref="AB205:AB214" si="106">IF(N205&gt;0,(M205-Z205)/2,IF(AC205&gt;=AF205,(((M205*T205)*Y205)-AA205)/2,((((M205*T205)*Y205)-Z205)+(((M205*T205)*Y205)-AA205))/2))</f>
        <v>0</v>
      </c>
      <c r="AC205" s="310">
        <f t="shared" ref="AC205:AC214" si="107">$D205+(($E205-1)/12)</f>
        <v>2005.1666666666667</v>
      </c>
      <c r="AD205" s="310">
        <f t="shared" ref="AD205:AD214" si="108">($O$5+1)-($O$2/12)</f>
        <v>2016.5</v>
      </c>
      <c r="AE205" s="310">
        <f t="shared" ref="AE205:AE214" si="109">$J205+(($E205-1)/12)</f>
        <v>2015.1666666666667</v>
      </c>
      <c r="AF205" s="310">
        <f t="shared" ref="AF205:AF214" si="110">$O$4+($O$3/12)</f>
        <v>2015.5</v>
      </c>
      <c r="AG205" s="310">
        <f t="shared" ref="AG205:AG214" si="111">$K205+(($L205-1)/12)</f>
        <v>-8.3333333333333329E-2</v>
      </c>
    </row>
    <row r="206" spans="1:33">
      <c r="A206" s="306"/>
      <c r="B206" s="306">
        <v>150</v>
      </c>
      <c r="C206" s="331" t="s">
        <v>842</v>
      </c>
      <c r="D206" s="314">
        <v>2005</v>
      </c>
      <c r="E206" s="306">
        <v>12</v>
      </c>
      <c r="F206" s="352">
        <v>0</v>
      </c>
      <c r="G206" s="352"/>
      <c r="H206" s="314" t="s">
        <v>722</v>
      </c>
      <c r="I206" s="314">
        <v>10</v>
      </c>
      <c r="J206" s="308">
        <f t="shared" si="96"/>
        <v>2015</v>
      </c>
      <c r="K206" s="353"/>
      <c r="L206" s="306"/>
      <c r="M206" s="333">
        <v>10022.94</v>
      </c>
      <c r="N206" s="21"/>
      <c r="O206" s="19">
        <f t="shared" si="97"/>
        <v>10022.94</v>
      </c>
      <c r="P206" s="19">
        <f t="shared" si="98"/>
        <v>83.524500000000003</v>
      </c>
      <c r="Q206" s="19">
        <f t="shared" si="99"/>
        <v>417.622500000076</v>
      </c>
      <c r="R206" s="19"/>
      <c r="S206" s="19">
        <f t="shared" si="100"/>
        <v>417.622500000076</v>
      </c>
      <c r="T206" s="19">
        <v>1</v>
      </c>
      <c r="U206" s="19">
        <f t="shared" si="101"/>
        <v>417.622500000076</v>
      </c>
      <c r="V206" s="19"/>
      <c r="W206" s="19">
        <f t="shared" si="102"/>
        <v>9605.3174999999246</v>
      </c>
      <c r="X206" s="19">
        <f t="shared" si="103"/>
        <v>9605.3174999999246</v>
      </c>
      <c r="Y206" s="19">
        <v>1</v>
      </c>
      <c r="Z206" s="19">
        <f t="shared" si="104"/>
        <v>9605.3174999999246</v>
      </c>
      <c r="AA206" s="19">
        <f t="shared" si="105"/>
        <v>10022.94</v>
      </c>
      <c r="AB206" s="19">
        <f t="shared" si="106"/>
        <v>208.81125000003794</v>
      </c>
      <c r="AC206" s="310">
        <f t="shared" si="107"/>
        <v>2005.9166666666667</v>
      </c>
      <c r="AD206" s="310">
        <f t="shared" si="108"/>
        <v>2016.5</v>
      </c>
      <c r="AE206" s="310">
        <f t="shared" si="109"/>
        <v>2015.9166666666667</v>
      </c>
      <c r="AF206" s="310">
        <f t="shared" si="110"/>
        <v>2015.5</v>
      </c>
      <c r="AG206" s="310">
        <f t="shared" si="111"/>
        <v>-8.3333333333333329E-2</v>
      </c>
    </row>
    <row r="207" spans="1:33">
      <c r="A207" s="306"/>
      <c r="B207" s="306">
        <v>325</v>
      </c>
      <c r="C207" s="331" t="s">
        <v>842</v>
      </c>
      <c r="D207" s="314">
        <v>2006</v>
      </c>
      <c r="E207" s="306">
        <v>2</v>
      </c>
      <c r="F207" s="352">
        <v>0</v>
      </c>
      <c r="G207" s="352"/>
      <c r="H207" s="314" t="s">
        <v>722</v>
      </c>
      <c r="I207" s="314">
        <v>10</v>
      </c>
      <c r="J207" s="308">
        <f t="shared" si="96"/>
        <v>2016</v>
      </c>
      <c r="K207" s="353"/>
      <c r="L207" s="306"/>
      <c r="M207" s="333">
        <v>17320.62</v>
      </c>
      <c r="N207" s="21"/>
      <c r="O207" s="19">
        <f t="shared" si="97"/>
        <v>17320.62</v>
      </c>
      <c r="P207" s="19">
        <f t="shared" si="98"/>
        <v>144.33849999999998</v>
      </c>
      <c r="Q207" s="19">
        <f t="shared" si="99"/>
        <v>1010.3694999998686</v>
      </c>
      <c r="R207" s="19"/>
      <c r="S207" s="19">
        <f t="shared" si="100"/>
        <v>1010.3694999998686</v>
      </c>
      <c r="T207" s="19">
        <v>1</v>
      </c>
      <c r="U207" s="19">
        <f t="shared" si="101"/>
        <v>1010.3694999998686</v>
      </c>
      <c r="V207" s="19"/>
      <c r="W207" s="19">
        <f t="shared" si="102"/>
        <v>16310.250500000131</v>
      </c>
      <c r="X207" s="19">
        <f t="shared" si="103"/>
        <v>16310.250500000131</v>
      </c>
      <c r="Y207" s="19">
        <v>1</v>
      </c>
      <c r="Z207" s="19">
        <f t="shared" si="104"/>
        <v>16310.250500000131</v>
      </c>
      <c r="AA207" s="19">
        <f t="shared" si="105"/>
        <v>17320.62</v>
      </c>
      <c r="AB207" s="19">
        <f t="shared" si="106"/>
        <v>505.18474999993396</v>
      </c>
      <c r="AC207" s="310">
        <f t="shared" si="107"/>
        <v>2006.0833333333333</v>
      </c>
      <c r="AD207" s="310">
        <f t="shared" si="108"/>
        <v>2016.5</v>
      </c>
      <c r="AE207" s="310">
        <f t="shared" si="109"/>
        <v>2016.0833333333333</v>
      </c>
      <c r="AF207" s="310">
        <f t="shared" si="110"/>
        <v>2015.5</v>
      </c>
      <c r="AG207" s="310">
        <f t="shared" si="111"/>
        <v>-8.3333333333333329E-2</v>
      </c>
    </row>
    <row r="208" spans="1:33">
      <c r="A208" s="306"/>
      <c r="B208" s="306">
        <v>427</v>
      </c>
      <c r="C208" s="331" t="s">
        <v>842</v>
      </c>
      <c r="D208" s="314">
        <v>2006</v>
      </c>
      <c r="E208" s="306">
        <v>4</v>
      </c>
      <c r="F208" s="352">
        <v>0</v>
      </c>
      <c r="G208" s="352"/>
      <c r="H208" s="314" t="s">
        <v>722</v>
      </c>
      <c r="I208" s="314">
        <v>10</v>
      </c>
      <c r="J208" s="308">
        <f t="shared" si="96"/>
        <v>2016</v>
      </c>
      <c r="K208" s="353"/>
      <c r="L208" s="306"/>
      <c r="M208" s="333">
        <v>24016.26</v>
      </c>
      <c r="N208" s="21"/>
      <c r="O208" s="19">
        <f t="shared" si="97"/>
        <v>24016.26</v>
      </c>
      <c r="P208" s="19">
        <f t="shared" si="98"/>
        <v>200.13549999999998</v>
      </c>
      <c r="Q208" s="19">
        <f t="shared" si="99"/>
        <v>1801.2194999999997</v>
      </c>
      <c r="R208" s="19"/>
      <c r="S208" s="19">
        <f t="shared" si="100"/>
        <v>1801.2194999999997</v>
      </c>
      <c r="T208" s="19">
        <v>1</v>
      </c>
      <c r="U208" s="19">
        <f t="shared" si="101"/>
        <v>1801.2194999999997</v>
      </c>
      <c r="V208" s="19"/>
      <c r="W208" s="19">
        <f t="shared" si="102"/>
        <v>22215.040499999999</v>
      </c>
      <c r="X208" s="19">
        <f t="shared" si="103"/>
        <v>22215.040499999999</v>
      </c>
      <c r="Y208" s="19">
        <v>1</v>
      </c>
      <c r="Z208" s="19">
        <f t="shared" si="104"/>
        <v>22215.040499999999</v>
      </c>
      <c r="AA208" s="19">
        <f t="shared" si="105"/>
        <v>24016.26</v>
      </c>
      <c r="AB208" s="19">
        <f t="shared" si="106"/>
        <v>900.60974999999962</v>
      </c>
      <c r="AC208" s="310">
        <f t="shared" si="107"/>
        <v>2006.25</v>
      </c>
      <c r="AD208" s="310">
        <f t="shared" si="108"/>
        <v>2016.5</v>
      </c>
      <c r="AE208" s="310">
        <f t="shared" si="109"/>
        <v>2016.25</v>
      </c>
      <c r="AF208" s="310">
        <f t="shared" si="110"/>
        <v>2015.5</v>
      </c>
      <c r="AG208" s="310">
        <f t="shared" si="111"/>
        <v>-8.3333333333333329E-2</v>
      </c>
    </row>
    <row r="209" spans="1:35">
      <c r="A209" s="306"/>
      <c r="B209" s="306">
        <v>300</v>
      </c>
      <c r="C209" s="331" t="s">
        <v>842</v>
      </c>
      <c r="D209" s="314">
        <v>2007</v>
      </c>
      <c r="E209" s="306">
        <v>12</v>
      </c>
      <c r="F209" s="352">
        <v>0</v>
      </c>
      <c r="G209" s="352"/>
      <c r="H209" s="314" t="s">
        <v>722</v>
      </c>
      <c r="I209" s="314">
        <v>10</v>
      </c>
      <c r="J209" s="308">
        <f t="shared" si="96"/>
        <v>2017</v>
      </c>
      <c r="K209" s="353"/>
      <c r="L209" s="306"/>
      <c r="M209" s="333">
        <f>17653.66</f>
        <v>17653.66</v>
      </c>
      <c r="N209" s="21"/>
      <c r="O209" s="19">
        <f t="shared" si="97"/>
        <v>17653.66</v>
      </c>
      <c r="P209" s="19">
        <f t="shared" si="98"/>
        <v>147.11383333333333</v>
      </c>
      <c r="Q209" s="19">
        <f t="shared" si="99"/>
        <v>1765.366</v>
      </c>
      <c r="R209" s="19"/>
      <c r="S209" s="19">
        <f t="shared" si="100"/>
        <v>1765.366</v>
      </c>
      <c r="T209" s="19">
        <v>1</v>
      </c>
      <c r="U209" s="19">
        <f t="shared" si="101"/>
        <v>1765.366</v>
      </c>
      <c r="V209" s="19"/>
      <c r="W209" s="19">
        <f t="shared" si="102"/>
        <v>13387.358833333199</v>
      </c>
      <c r="X209" s="19">
        <f t="shared" si="103"/>
        <v>13387.358833333199</v>
      </c>
      <c r="Y209" s="19">
        <v>1</v>
      </c>
      <c r="Z209" s="19">
        <f t="shared" si="104"/>
        <v>13387.358833333199</v>
      </c>
      <c r="AA209" s="19">
        <f t="shared" si="105"/>
        <v>15152.724833333199</v>
      </c>
      <c r="AB209" s="19">
        <f t="shared" si="106"/>
        <v>3383.6181666668008</v>
      </c>
      <c r="AC209" s="310">
        <f t="shared" si="107"/>
        <v>2007.9166666666667</v>
      </c>
      <c r="AD209" s="310">
        <f t="shared" si="108"/>
        <v>2016.5</v>
      </c>
      <c r="AE209" s="310">
        <f t="shared" si="109"/>
        <v>2017.9166666666667</v>
      </c>
      <c r="AF209" s="310">
        <f t="shared" si="110"/>
        <v>2015.5</v>
      </c>
      <c r="AG209" s="310">
        <f t="shared" si="111"/>
        <v>-8.3333333333333329E-2</v>
      </c>
    </row>
    <row r="210" spans="1:35">
      <c r="A210" s="306"/>
      <c r="B210" s="306">
        <v>289</v>
      </c>
      <c r="C210" s="331" t="s">
        <v>845</v>
      </c>
      <c r="D210" s="314">
        <v>2009</v>
      </c>
      <c r="E210" s="306">
        <v>6</v>
      </c>
      <c r="F210" s="352">
        <v>0</v>
      </c>
      <c r="G210" s="352"/>
      <c r="H210" s="314" t="s">
        <v>722</v>
      </c>
      <c r="I210" s="314">
        <v>10</v>
      </c>
      <c r="J210" s="308">
        <f t="shared" si="96"/>
        <v>2019</v>
      </c>
      <c r="K210" s="353"/>
      <c r="L210" s="306"/>
      <c r="M210" s="333">
        <f>289*51.76</f>
        <v>14958.64</v>
      </c>
      <c r="N210" s="21"/>
      <c r="O210" s="19">
        <f t="shared" si="97"/>
        <v>14958.64</v>
      </c>
      <c r="P210" s="19">
        <f t="shared" si="98"/>
        <v>124.65533333333333</v>
      </c>
      <c r="Q210" s="19">
        <f t="shared" si="99"/>
        <v>1495.864</v>
      </c>
      <c r="R210" s="19"/>
      <c r="S210" s="19">
        <f t="shared" si="100"/>
        <v>1495.864</v>
      </c>
      <c r="T210" s="19">
        <v>1</v>
      </c>
      <c r="U210" s="19">
        <f t="shared" si="101"/>
        <v>1495.864</v>
      </c>
      <c r="V210" s="19"/>
      <c r="W210" s="19">
        <f t="shared" si="102"/>
        <v>9099.8393333332206</v>
      </c>
      <c r="X210" s="19">
        <f t="shared" si="103"/>
        <v>9099.8393333332206</v>
      </c>
      <c r="Y210" s="19">
        <v>1</v>
      </c>
      <c r="Z210" s="19">
        <f t="shared" si="104"/>
        <v>9099.8393333332206</v>
      </c>
      <c r="AA210" s="19">
        <f t="shared" si="105"/>
        <v>10595.70333333322</v>
      </c>
      <c r="AB210" s="19">
        <f t="shared" si="106"/>
        <v>5110.8686666667791</v>
      </c>
      <c r="AC210" s="310">
        <f t="shared" si="107"/>
        <v>2009.4166666666667</v>
      </c>
      <c r="AD210" s="310">
        <f t="shared" si="108"/>
        <v>2016.5</v>
      </c>
      <c r="AE210" s="310">
        <f t="shared" si="109"/>
        <v>2019.4166666666667</v>
      </c>
      <c r="AF210" s="310">
        <f t="shared" si="110"/>
        <v>2015.5</v>
      </c>
      <c r="AG210" s="310">
        <f t="shared" si="111"/>
        <v>-8.3333333333333329E-2</v>
      </c>
    </row>
    <row r="211" spans="1:35">
      <c r="A211" s="306"/>
      <c r="B211" s="306">
        <v>238</v>
      </c>
      <c r="C211" s="331" t="s">
        <v>842</v>
      </c>
      <c r="D211" s="314">
        <v>2011</v>
      </c>
      <c r="E211" s="306">
        <v>11</v>
      </c>
      <c r="F211" s="352">
        <v>0</v>
      </c>
      <c r="G211" s="352"/>
      <c r="H211" s="314" t="s">
        <v>722</v>
      </c>
      <c r="I211" s="314">
        <v>10</v>
      </c>
      <c r="J211" s="308">
        <f t="shared" si="96"/>
        <v>2021</v>
      </c>
      <c r="K211" s="353"/>
      <c r="L211" s="306"/>
      <c r="M211" s="333">
        <f>11941.29+4.62*238</f>
        <v>13040.85</v>
      </c>
      <c r="N211" s="21"/>
      <c r="O211" s="19">
        <f t="shared" si="97"/>
        <v>13040.85</v>
      </c>
      <c r="P211" s="19">
        <f t="shared" si="98"/>
        <v>108.67375</v>
      </c>
      <c r="Q211" s="19">
        <f t="shared" si="99"/>
        <v>1304.085</v>
      </c>
      <c r="R211" s="19"/>
      <c r="S211" s="19">
        <f t="shared" si="100"/>
        <v>1304.085</v>
      </c>
      <c r="T211" s="19">
        <v>1</v>
      </c>
      <c r="U211" s="19">
        <f t="shared" si="101"/>
        <v>1304.085</v>
      </c>
      <c r="V211" s="19"/>
      <c r="W211" s="19">
        <f t="shared" si="102"/>
        <v>4781.6450000000987</v>
      </c>
      <c r="X211" s="19">
        <f t="shared" si="103"/>
        <v>4781.6450000000987</v>
      </c>
      <c r="Y211" s="19">
        <v>1</v>
      </c>
      <c r="Z211" s="19">
        <f t="shared" si="104"/>
        <v>4781.6450000000987</v>
      </c>
      <c r="AA211" s="19">
        <f t="shared" si="105"/>
        <v>6085.7300000000987</v>
      </c>
      <c r="AB211" s="19">
        <f t="shared" si="106"/>
        <v>7607.1624999999021</v>
      </c>
      <c r="AC211" s="310">
        <f t="shared" si="107"/>
        <v>2011.8333333333333</v>
      </c>
      <c r="AD211" s="310">
        <f t="shared" si="108"/>
        <v>2016.5</v>
      </c>
      <c r="AE211" s="310">
        <f t="shared" si="109"/>
        <v>2021.8333333333333</v>
      </c>
      <c r="AF211" s="310">
        <f t="shared" si="110"/>
        <v>2015.5</v>
      </c>
      <c r="AG211" s="310">
        <f t="shared" si="111"/>
        <v>-8.3333333333333329E-2</v>
      </c>
    </row>
    <row r="212" spans="1:35">
      <c r="B212" s="306">
        <v>90</v>
      </c>
      <c r="C212" s="331" t="s">
        <v>847</v>
      </c>
      <c r="D212" s="314">
        <v>2013</v>
      </c>
      <c r="E212" s="306">
        <v>7</v>
      </c>
      <c r="F212" s="352">
        <v>0</v>
      </c>
      <c r="G212" s="352"/>
      <c r="H212" s="314" t="s">
        <v>722</v>
      </c>
      <c r="I212" s="314">
        <v>10</v>
      </c>
      <c r="J212" s="308">
        <f t="shared" si="96"/>
        <v>2023</v>
      </c>
      <c r="K212" s="353"/>
      <c r="L212" s="306"/>
      <c r="M212" s="333">
        <v>13689.69</v>
      </c>
      <c r="N212" s="21"/>
      <c r="O212" s="19">
        <f t="shared" si="97"/>
        <v>13689.69</v>
      </c>
      <c r="P212" s="19">
        <f t="shared" si="98"/>
        <v>114.08075000000001</v>
      </c>
      <c r="Q212" s="19">
        <f t="shared" si="99"/>
        <v>1368.9690000000001</v>
      </c>
      <c r="R212" s="19"/>
      <c r="S212" s="19">
        <f t="shared" si="100"/>
        <v>1368.9690000000001</v>
      </c>
      <c r="T212" s="19">
        <v>1</v>
      </c>
      <c r="U212" s="19">
        <f t="shared" si="101"/>
        <v>1368.9690000000001</v>
      </c>
      <c r="V212" s="19"/>
      <c r="W212" s="19">
        <f t="shared" si="102"/>
        <v>2737.9380000000001</v>
      </c>
      <c r="X212" s="19">
        <f t="shared" si="103"/>
        <v>2737.9380000000001</v>
      </c>
      <c r="Y212" s="19">
        <v>1</v>
      </c>
      <c r="Z212" s="19">
        <f t="shared" si="104"/>
        <v>2737.9380000000001</v>
      </c>
      <c r="AA212" s="19">
        <f t="shared" si="105"/>
        <v>4106.9070000000002</v>
      </c>
      <c r="AB212" s="19">
        <f t="shared" si="106"/>
        <v>10267.2675</v>
      </c>
      <c r="AC212" s="310">
        <f t="shared" si="107"/>
        <v>2013.5</v>
      </c>
      <c r="AD212" s="310">
        <f t="shared" si="108"/>
        <v>2016.5</v>
      </c>
      <c r="AE212" s="310">
        <f t="shared" si="109"/>
        <v>2023.5</v>
      </c>
      <c r="AF212" s="310">
        <f t="shared" si="110"/>
        <v>2015.5</v>
      </c>
      <c r="AG212" s="310">
        <f t="shared" si="111"/>
        <v>-8.3333333333333329E-2</v>
      </c>
    </row>
    <row r="213" spans="1:35">
      <c r="A213" s="306"/>
      <c r="B213" s="306">
        <v>350</v>
      </c>
      <c r="C213" s="331" t="s">
        <v>847</v>
      </c>
      <c r="D213" s="314">
        <v>2014</v>
      </c>
      <c r="E213" s="306">
        <v>7</v>
      </c>
      <c r="F213" s="352">
        <v>0</v>
      </c>
      <c r="G213" s="352"/>
      <c r="H213" s="314" t="s">
        <v>722</v>
      </c>
      <c r="I213" s="314">
        <v>10</v>
      </c>
      <c r="J213" s="308">
        <f t="shared" si="96"/>
        <v>2024</v>
      </c>
      <c r="K213" s="353"/>
      <c r="L213" s="306"/>
      <c r="M213" s="333">
        <v>19892.87</v>
      </c>
      <c r="N213" s="21"/>
      <c r="O213" s="19">
        <f t="shared" si="97"/>
        <v>19892.87</v>
      </c>
      <c r="P213" s="19">
        <f t="shared" si="98"/>
        <v>165.77391666666665</v>
      </c>
      <c r="Q213" s="19">
        <f t="shared" si="99"/>
        <v>1989.2869999999998</v>
      </c>
      <c r="R213" s="19"/>
      <c r="S213" s="19">
        <f t="shared" si="100"/>
        <v>1989.2869999999998</v>
      </c>
      <c r="T213" s="19">
        <v>1</v>
      </c>
      <c r="U213" s="19">
        <f t="shared" si="101"/>
        <v>1989.2869999999998</v>
      </c>
      <c r="V213" s="19"/>
      <c r="W213" s="19">
        <f t="shared" si="102"/>
        <v>1989.2869999999998</v>
      </c>
      <c r="X213" s="19">
        <f t="shared" si="103"/>
        <v>1989.2869999999998</v>
      </c>
      <c r="Y213" s="19">
        <v>1</v>
      </c>
      <c r="Z213" s="19">
        <f t="shared" si="104"/>
        <v>1989.2869999999998</v>
      </c>
      <c r="AA213" s="19">
        <f t="shared" si="105"/>
        <v>3978.5739999999996</v>
      </c>
      <c r="AB213" s="19">
        <f t="shared" si="106"/>
        <v>16908.9395</v>
      </c>
      <c r="AC213" s="310">
        <f t="shared" si="107"/>
        <v>2014.5</v>
      </c>
      <c r="AD213" s="310">
        <f t="shared" si="108"/>
        <v>2016.5</v>
      </c>
      <c r="AE213" s="310">
        <f t="shared" si="109"/>
        <v>2024.5</v>
      </c>
      <c r="AF213" s="310">
        <f t="shared" si="110"/>
        <v>2015.5</v>
      </c>
      <c r="AG213" s="310">
        <f t="shared" si="111"/>
        <v>-8.3333333333333329E-2</v>
      </c>
    </row>
    <row r="214" spans="1:35">
      <c r="A214" s="306"/>
      <c r="B214" s="306">
        <v>100</v>
      </c>
      <c r="C214" s="331" t="s">
        <v>849</v>
      </c>
      <c r="D214" s="314">
        <v>2015</v>
      </c>
      <c r="E214" s="306">
        <v>11</v>
      </c>
      <c r="F214" s="352">
        <v>0</v>
      </c>
      <c r="G214" s="352"/>
      <c r="H214" s="314" t="s">
        <v>722</v>
      </c>
      <c r="I214" s="314">
        <v>10</v>
      </c>
      <c r="J214" s="308">
        <f t="shared" si="96"/>
        <v>2025</v>
      </c>
      <c r="K214" s="353"/>
      <c r="L214" s="306"/>
      <c r="M214" s="333">
        <v>5641.04</v>
      </c>
      <c r="N214" s="21"/>
      <c r="O214" s="19">
        <f t="shared" si="97"/>
        <v>5641.04</v>
      </c>
      <c r="P214" s="19">
        <f t="shared" si="98"/>
        <v>47.00866666666667</v>
      </c>
      <c r="Q214" s="19">
        <f t="shared" si="99"/>
        <v>376.06933333337611</v>
      </c>
      <c r="R214" s="19"/>
      <c r="S214" s="19">
        <f t="shared" si="100"/>
        <v>376.06933333337611</v>
      </c>
      <c r="T214" s="19">
        <v>1</v>
      </c>
      <c r="U214" s="19">
        <f t="shared" si="101"/>
        <v>376.06933333337611</v>
      </c>
      <c r="V214" s="19"/>
      <c r="W214" s="19">
        <f t="shared" si="102"/>
        <v>0</v>
      </c>
      <c r="X214" s="19">
        <f t="shared" si="103"/>
        <v>0</v>
      </c>
      <c r="Y214" s="19">
        <v>1</v>
      </c>
      <c r="Z214" s="19">
        <f t="shared" si="104"/>
        <v>0</v>
      </c>
      <c r="AA214" s="19">
        <f t="shared" si="105"/>
        <v>376.06933333337611</v>
      </c>
      <c r="AB214" s="19">
        <f t="shared" si="106"/>
        <v>2632.4853333333122</v>
      </c>
      <c r="AC214" s="310">
        <f t="shared" si="107"/>
        <v>2015.8333333333333</v>
      </c>
      <c r="AD214" s="310">
        <f t="shared" si="108"/>
        <v>2016.5</v>
      </c>
      <c r="AE214" s="310">
        <f t="shared" si="109"/>
        <v>2025.8333333333333</v>
      </c>
      <c r="AF214" s="310">
        <f t="shared" si="110"/>
        <v>2015.5</v>
      </c>
      <c r="AG214" s="310">
        <f t="shared" si="111"/>
        <v>-8.3333333333333329E-2</v>
      </c>
    </row>
    <row r="215" spans="1:35" s="306" customFormat="1">
      <c r="C215" s="331"/>
      <c r="D215" s="314"/>
      <c r="F215" s="332"/>
      <c r="G215" s="314"/>
      <c r="H215" s="314"/>
      <c r="I215" s="314"/>
      <c r="J215" s="318"/>
      <c r="M215" s="333"/>
      <c r="N215" s="333"/>
      <c r="O215" s="19"/>
      <c r="P215" s="19"/>
      <c r="Q215" s="19"/>
      <c r="R215" s="19"/>
      <c r="S215" s="19"/>
      <c r="T215" s="19"/>
      <c r="U215" s="19"/>
      <c r="V215" s="19"/>
      <c r="W215" s="19"/>
      <c r="X215" s="19"/>
      <c r="Y215" s="19"/>
      <c r="Z215" s="19"/>
      <c r="AA215" s="19"/>
      <c r="AB215" s="19"/>
      <c r="AC215" s="310"/>
      <c r="AD215" s="310"/>
      <c r="AE215" s="310"/>
      <c r="AF215" s="310"/>
      <c r="AG215" s="310"/>
    </row>
    <row r="216" spans="1:35" s="306" customFormat="1">
      <c r="C216" s="341" t="s">
        <v>850</v>
      </c>
      <c r="D216" s="342"/>
      <c r="E216" s="343"/>
      <c r="F216" s="344"/>
      <c r="G216" s="342"/>
      <c r="H216" s="342"/>
      <c r="I216" s="342"/>
      <c r="J216" s="345"/>
      <c r="K216" s="343"/>
      <c r="L216" s="343"/>
      <c r="M216" s="339">
        <f>SUM(M205:M215)</f>
        <v>162032.45000000001</v>
      </c>
      <c r="N216" s="339"/>
      <c r="O216" s="339">
        <f>SUM(O205:O215)</f>
        <v>162032.45000000001</v>
      </c>
      <c r="P216" s="339">
        <f>SUM(P205:P215)</f>
        <v>1350.2704166666667</v>
      </c>
      <c r="Q216" s="339">
        <f>SUM(Q205:Q215)</f>
        <v>11528.851833333321</v>
      </c>
      <c r="R216" s="339"/>
      <c r="S216" s="339">
        <f>SUM(S205:S215)</f>
        <v>11528.851833333321</v>
      </c>
      <c r="T216" s="339"/>
      <c r="U216" s="339">
        <f>SUM(U205:U215)</f>
        <v>11528.851833333321</v>
      </c>
      <c r="V216" s="339"/>
      <c r="W216" s="339">
        <f t="shared" ref="W216:AB216" si="112">SUM(W205:W215)</f>
        <v>105922.55666666657</v>
      </c>
      <c r="X216" s="339">
        <f t="shared" si="112"/>
        <v>105922.55666666657</v>
      </c>
      <c r="Y216" s="339">
        <f t="shared" si="112"/>
        <v>10</v>
      </c>
      <c r="Z216" s="339">
        <f t="shared" si="112"/>
        <v>105922.55666666657</v>
      </c>
      <c r="AA216" s="339">
        <f t="shared" si="112"/>
        <v>117451.40849999989</v>
      </c>
      <c r="AB216" s="339">
        <f t="shared" si="112"/>
        <v>47524.947416666764</v>
      </c>
      <c r="AC216" s="310"/>
      <c r="AD216" s="310"/>
      <c r="AE216" s="310"/>
      <c r="AF216" s="310"/>
      <c r="AG216" s="310"/>
    </row>
    <row r="217" spans="1:35">
      <c r="A217" s="306"/>
      <c r="C217" s="306"/>
      <c r="D217" s="306"/>
      <c r="E217" s="306"/>
      <c r="F217" s="314"/>
      <c r="G217" s="306"/>
      <c r="H217" s="306"/>
      <c r="I217" s="306"/>
      <c r="J217" s="308"/>
      <c r="K217" s="306"/>
      <c r="L217" s="306"/>
      <c r="M217" s="21"/>
      <c r="N217" s="21"/>
      <c r="O217" s="21"/>
      <c r="P217" s="21"/>
      <c r="Q217" s="21"/>
      <c r="R217" s="21"/>
      <c r="S217" s="21"/>
      <c r="T217" s="21"/>
      <c r="U217" s="21"/>
      <c r="V217" s="21"/>
      <c r="W217" s="21"/>
      <c r="X217" s="21"/>
      <c r="Y217" s="21"/>
      <c r="Z217" s="21"/>
      <c r="AA217" s="21"/>
      <c r="AB217" s="21"/>
      <c r="AC217" s="306"/>
      <c r="AD217" s="306"/>
      <c r="AE217" s="306"/>
      <c r="AF217" s="306"/>
      <c r="AG217" s="306"/>
      <c r="AI217" s="1123"/>
    </row>
    <row r="218" spans="1:35">
      <c r="A218" s="335"/>
      <c r="C218" s="319" t="s">
        <v>915</v>
      </c>
      <c r="D218" s="306"/>
      <c r="E218" s="306"/>
      <c r="F218" s="314"/>
      <c r="G218" s="306"/>
      <c r="H218" s="306"/>
      <c r="I218" s="306"/>
      <c r="J218" s="308"/>
      <c r="K218" s="306"/>
      <c r="L218" s="306"/>
      <c r="M218" s="21"/>
      <c r="N218" s="21"/>
      <c r="O218" s="21"/>
      <c r="P218" s="21"/>
      <c r="Q218" s="21"/>
      <c r="R218" s="21"/>
      <c r="S218" s="21"/>
      <c r="T218" s="21"/>
      <c r="U218" s="21"/>
      <c r="V218" s="21"/>
      <c r="W218" s="21"/>
      <c r="X218" s="21"/>
      <c r="Y218" s="21"/>
      <c r="Z218" s="21"/>
      <c r="AA218" s="21"/>
      <c r="AB218" s="21"/>
      <c r="AC218" s="306"/>
      <c r="AD218" s="306"/>
      <c r="AE218" s="306"/>
      <c r="AF218" s="306"/>
      <c r="AG218" s="306"/>
    </row>
    <row r="219" spans="1:35">
      <c r="A219" s="306"/>
      <c r="B219" s="306">
        <v>350</v>
      </c>
      <c r="C219" s="331" t="s">
        <v>843</v>
      </c>
      <c r="D219" s="314">
        <v>2006</v>
      </c>
      <c r="E219" s="306">
        <v>2</v>
      </c>
      <c r="F219" s="352">
        <v>0</v>
      </c>
      <c r="G219" s="352"/>
      <c r="H219" s="314" t="s">
        <v>722</v>
      </c>
      <c r="I219" s="314">
        <v>10</v>
      </c>
      <c r="J219" s="308">
        <f t="shared" ref="J219:J225" si="113">D219+I219</f>
        <v>2016</v>
      </c>
      <c r="K219" s="353"/>
      <c r="L219" s="306"/>
      <c r="M219" s="333">
        <v>17146.62</v>
      </c>
      <c r="N219" s="21"/>
      <c r="O219" s="19">
        <f t="shared" ref="O219:O225" si="114">M219-M219*F219</f>
        <v>17146.62</v>
      </c>
      <c r="P219" s="19">
        <f t="shared" ref="P219:P225" si="115">O219/I219/12</f>
        <v>142.88849999999999</v>
      </c>
      <c r="Q219" s="19">
        <f t="shared" ref="Q219:Q225" si="116">IF(N219&gt;0,0,IF(OR(AC219&gt;AD219,AE219&lt;AF219),0,IF(AND(AE219&gt;=AF219,AE219&lt;=AD219),P219*((AE219-AF219)*12),IF(AND(AF219&lt;=AC219,AD219&gt;=AC219),((AD219-AC219)*12)*P219,IF(AE219&gt;AD219,12*P219,0)))))</f>
        <v>1000.21949999987</v>
      </c>
      <c r="R219" s="19"/>
      <c r="S219" s="19">
        <f t="shared" ref="S219:S225" si="117">IF(R219&gt;0,R219,Q219)</f>
        <v>1000.21949999987</v>
      </c>
      <c r="T219" s="19">
        <v>1</v>
      </c>
      <c r="U219" s="19">
        <f t="shared" ref="U219:U225" si="118">T219*SUM(Q219:R219)</f>
        <v>1000.21949999987</v>
      </c>
      <c r="V219" s="19"/>
      <c r="W219" s="19">
        <f t="shared" ref="W219:W225" si="119">IF(AC219&gt;AD219,0,IF(AE219&lt;AF219,O219,IF(AND(AE219&gt;=AF219,AE219&lt;=AD219),(O219-S219),IF(AND(AF219&lt;=AC219,AD219&gt;=AC219),0,IF(AE219&gt;AD219,((AF219-AC219)*12)*P219,0)))))</f>
        <v>16146.400500000129</v>
      </c>
      <c r="X219" s="19">
        <f t="shared" ref="X219:X225" si="120">W219*T219</f>
        <v>16146.400500000129</v>
      </c>
      <c r="Y219" s="19">
        <v>1</v>
      </c>
      <c r="Z219" s="19">
        <f t="shared" ref="Z219:Z225" si="121">X219*Y219</f>
        <v>16146.400500000129</v>
      </c>
      <c r="AA219" s="19">
        <f t="shared" ref="AA219:AA225" si="122">IF(N219&gt;0,0,Z219+U219*Y219)*Y219</f>
        <v>17146.62</v>
      </c>
      <c r="AB219" s="19">
        <f t="shared" ref="AB219:AB225" si="123">IF(N219&gt;0,(M219-Z219)/2,IF(AC219&gt;=AF219,(((M219*T219)*Y219)-AA219)/2,((((M219*T219)*Y219)-Z219)+(((M219*T219)*Y219)-AA219))/2))</f>
        <v>500.10974999993505</v>
      </c>
      <c r="AC219" s="310">
        <f t="shared" ref="AC219:AC225" si="124">$D219+(($E219-1)/12)</f>
        <v>2006.0833333333333</v>
      </c>
      <c r="AD219" s="310">
        <f t="shared" ref="AD219:AD225" si="125">($O$5+1)-($O$2/12)</f>
        <v>2016.5</v>
      </c>
      <c r="AE219" s="310">
        <f t="shared" ref="AE219:AE225" si="126">$J219+(($E219-1)/12)</f>
        <v>2016.0833333333333</v>
      </c>
      <c r="AF219" s="310">
        <f t="shared" ref="AF219:AF225" si="127">$O$4+($O$3/12)</f>
        <v>2015.5</v>
      </c>
      <c r="AG219" s="310">
        <f t="shared" ref="AG219:AG225" si="128">$K219+(($L219-1)/12)</f>
        <v>-8.3333333333333329E-2</v>
      </c>
    </row>
    <row r="220" spans="1:35">
      <c r="A220" s="306"/>
      <c r="B220" s="306">
        <v>165</v>
      </c>
      <c r="C220" s="331" t="s">
        <v>843</v>
      </c>
      <c r="D220" s="314">
        <v>2007</v>
      </c>
      <c r="E220" s="306">
        <v>12</v>
      </c>
      <c r="F220" s="352">
        <v>0</v>
      </c>
      <c r="G220" s="352"/>
      <c r="H220" s="314" t="s">
        <v>722</v>
      </c>
      <c r="I220" s="314">
        <v>10</v>
      </c>
      <c r="J220" s="308">
        <f t="shared" si="113"/>
        <v>2017</v>
      </c>
      <c r="K220" s="353"/>
      <c r="L220" s="306"/>
      <c r="M220" s="333">
        <v>8921.85</v>
      </c>
      <c r="N220" s="21"/>
      <c r="O220" s="19">
        <f t="shared" si="114"/>
        <v>8921.85</v>
      </c>
      <c r="P220" s="19">
        <f t="shared" si="115"/>
        <v>74.34875000000001</v>
      </c>
      <c r="Q220" s="19">
        <f t="shared" si="116"/>
        <v>892.18500000000017</v>
      </c>
      <c r="R220" s="19"/>
      <c r="S220" s="19">
        <f t="shared" si="117"/>
        <v>892.18500000000017</v>
      </c>
      <c r="T220" s="19">
        <v>1</v>
      </c>
      <c r="U220" s="19">
        <f t="shared" si="118"/>
        <v>892.18500000000017</v>
      </c>
      <c r="V220" s="19"/>
      <c r="W220" s="19">
        <f t="shared" si="119"/>
        <v>6765.7362499999335</v>
      </c>
      <c r="X220" s="19">
        <f t="shared" si="120"/>
        <v>6765.7362499999335</v>
      </c>
      <c r="Y220" s="19">
        <v>1</v>
      </c>
      <c r="Z220" s="19">
        <f t="shared" si="121"/>
        <v>6765.7362499999335</v>
      </c>
      <c r="AA220" s="19">
        <f t="shared" si="122"/>
        <v>7657.9212499999339</v>
      </c>
      <c r="AB220" s="19">
        <f t="shared" si="123"/>
        <v>1710.0212500000666</v>
      </c>
      <c r="AC220" s="310">
        <f t="shared" si="124"/>
        <v>2007.9166666666667</v>
      </c>
      <c r="AD220" s="310">
        <f t="shared" si="125"/>
        <v>2016.5</v>
      </c>
      <c r="AE220" s="310">
        <f t="shared" si="126"/>
        <v>2017.9166666666667</v>
      </c>
      <c r="AF220" s="310">
        <f t="shared" si="127"/>
        <v>2015.5</v>
      </c>
      <c r="AG220" s="310">
        <f t="shared" si="128"/>
        <v>-8.3333333333333329E-2</v>
      </c>
    </row>
    <row r="221" spans="1:35">
      <c r="A221" s="306"/>
      <c r="B221" s="306">
        <v>165</v>
      </c>
      <c r="C221" s="331" t="s">
        <v>844</v>
      </c>
      <c r="D221" s="314">
        <v>2009</v>
      </c>
      <c r="E221" s="306">
        <v>6</v>
      </c>
      <c r="F221" s="352">
        <v>0</v>
      </c>
      <c r="G221" s="352"/>
      <c r="H221" s="314" t="s">
        <v>722</v>
      </c>
      <c r="I221" s="314">
        <v>10</v>
      </c>
      <c r="J221" s="308">
        <f t="shared" si="113"/>
        <v>2019</v>
      </c>
      <c r="K221" s="353"/>
      <c r="L221" s="306"/>
      <c r="M221" s="333">
        <f>165*50.1-3</f>
        <v>8263.5</v>
      </c>
      <c r="N221" s="21"/>
      <c r="O221" s="19">
        <f t="shared" si="114"/>
        <v>8263.5</v>
      </c>
      <c r="P221" s="19">
        <f t="shared" si="115"/>
        <v>68.862499999999997</v>
      </c>
      <c r="Q221" s="19">
        <f t="shared" si="116"/>
        <v>826.34999999999991</v>
      </c>
      <c r="R221" s="19"/>
      <c r="S221" s="19">
        <f t="shared" si="117"/>
        <v>826.34999999999991</v>
      </c>
      <c r="T221" s="19">
        <v>1</v>
      </c>
      <c r="U221" s="19">
        <f t="shared" si="118"/>
        <v>826.34999999999991</v>
      </c>
      <c r="V221" s="19"/>
      <c r="W221" s="19">
        <f t="shared" si="119"/>
        <v>5026.9624999999369</v>
      </c>
      <c r="X221" s="19">
        <f t="shared" si="120"/>
        <v>5026.9624999999369</v>
      </c>
      <c r="Y221" s="19">
        <v>1</v>
      </c>
      <c r="Z221" s="19">
        <f t="shared" si="121"/>
        <v>5026.9624999999369</v>
      </c>
      <c r="AA221" s="19">
        <f t="shared" si="122"/>
        <v>5853.3124999999363</v>
      </c>
      <c r="AB221" s="19">
        <f t="shared" si="123"/>
        <v>2823.3625000000634</v>
      </c>
      <c r="AC221" s="310">
        <f t="shared" si="124"/>
        <v>2009.4166666666667</v>
      </c>
      <c r="AD221" s="310">
        <f t="shared" si="125"/>
        <v>2016.5</v>
      </c>
      <c r="AE221" s="310">
        <f t="shared" si="126"/>
        <v>2019.4166666666667</v>
      </c>
      <c r="AF221" s="310">
        <f t="shared" si="127"/>
        <v>2015.5</v>
      </c>
      <c r="AG221" s="310">
        <f t="shared" si="128"/>
        <v>-8.3333333333333329E-2</v>
      </c>
    </row>
    <row r="222" spans="1:35">
      <c r="A222" s="306"/>
      <c r="B222" s="306">
        <v>296</v>
      </c>
      <c r="C222" s="331" t="s">
        <v>843</v>
      </c>
      <c r="D222" s="314">
        <v>2011</v>
      </c>
      <c r="E222" s="306">
        <v>11</v>
      </c>
      <c r="F222" s="352">
        <v>0</v>
      </c>
      <c r="G222" s="352"/>
      <c r="H222" s="314" t="s">
        <v>722</v>
      </c>
      <c r="I222" s="314">
        <v>10</v>
      </c>
      <c r="J222" s="308">
        <f t="shared" si="113"/>
        <v>2021</v>
      </c>
      <c r="K222" s="353"/>
      <c r="L222" s="306"/>
      <c r="M222" s="333">
        <f>13493.98+4.62*296-1</f>
        <v>14860.5</v>
      </c>
      <c r="N222" s="21"/>
      <c r="O222" s="19">
        <f t="shared" si="114"/>
        <v>14860.5</v>
      </c>
      <c r="P222" s="19">
        <f t="shared" si="115"/>
        <v>123.83749999999999</v>
      </c>
      <c r="Q222" s="19">
        <f t="shared" si="116"/>
        <v>1486.05</v>
      </c>
      <c r="R222" s="19"/>
      <c r="S222" s="19">
        <f t="shared" si="117"/>
        <v>1486.05</v>
      </c>
      <c r="T222" s="19">
        <v>1</v>
      </c>
      <c r="U222" s="19">
        <f t="shared" si="118"/>
        <v>1486.05</v>
      </c>
      <c r="V222" s="19"/>
      <c r="W222" s="19">
        <f t="shared" si="119"/>
        <v>5448.8500000001122</v>
      </c>
      <c r="X222" s="19">
        <f t="shared" si="120"/>
        <v>5448.8500000001122</v>
      </c>
      <c r="Y222" s="19">
        <v>1</v>
      </c>
      <c r="Z222" s="19">
        <f t="shared" si="121"/>
        <v>5448.8500000001122</v>
      </c>
      <c r="AA222" s="19">
        <f t="shared" si="122"/>
        <v>6934.9000000001124</v>
      </c>
      <c r="AB222" s="19">
        <f t="shared" si="123"/>
        <v>8668.6249999998872</v>
      </c>
      <c r="AC222" s="310">
        <f t="shared" si="124"/>
        <v>2011.8333333333333</v>
      </c>
      <c r="AD222" s="310">
        <f t="shared" si="125"/>
        <v>2016.5</v>
      </c>
      <c r="AE222" s="310">
        <f t="shared" si="126"/>
        <v>2021.8333333333333</v>
      </c>
      <c r="AF222" s="310">
        <f t="shared" si="127"/>
        <v>2015.5</v>
      </c>
      <c r="AG222" s="310">
        <f t="shared" si="128"/>
        <v>-8.3333333333333329E-2</v>
      </c>
    </row>
    <row r="223" spans="1:35">
      <c r="B223" s="306">
        <v>90</v>
      </c>
      <c r="C223" s="331" t="s">
        <v>846</v>
      </c>
      <c r="D223" s="314">
        <v>2013</v>
      </c>
      <c r="E223" s="306">
        <v>7</v>
      </c>
      <c r="F223" s="352">
        <v>0</v>
      </c>
      <c r="G223" s="352"/>
      <c r="H223" s="314" t="s">
        <v>722</v>
      </c>
      <c r="I223" s="314">
        <v>10</v>
      </c>
      <c r="J223" s="308">
        <f t="shared" si="113"/>
        <v>2023</v>
      </c>
      <c r="K223" s="353"/>
      <c r="L223" s="306"/>
      <c r="M223" s="333">
        <v>5310</v>
      </c>
      <c r="N223" s="21"/>
      <c r="O223" s="19">
        <f t="shared" si="114"/>
        <v>5310</v>
      </c>
      <c r="P223" s="19">
        <f t="shared" si="115"/>
        <v>44.25</v>
      </c>
      <c r="Q223" s="19">
        <f t="shared" si="116"/>
        <v>531</v>
      </c>
      <c r="R223" s="19"/>
      <c r="S223" s="19">
        <f t="shared" si="117"/>
        <v>531</v>
      </c>
      <c r="T223" s="19">
        <v>1</v>
      </c>
      <c r="U223" s="19">
        <f t="shared" si="118"/>
        <v>531</v>
      </c>
      <c r="V223" s="19"/>
      <c r="W223" s="19">
        <f t="shared" si="119"/>
        <v>1062</v>
      </c>
      <c r="X223" s="19">
        <f t="shared" si="120"/>
        <v>1062</v>
      </c>
      <c r="Y223" s="19">
        <v>1</v>
      </c>
      <c r="Z223" s="19">
        <f t="shared" si="121"/>
        <v>1062</v>
      </c>
      <c r="AA223" s="19">
        <f t="shared" si="122"/>
        <v>1593</v>
      </c>
      <c r="AB223" s="19">
        <f t="shared" si="123"/>
        <v>3982.5</v>
      </c>
      <c r="AC223" s="310">
        <f t="shared" si="124"/>
        <v>2013.5</v>
      </c>
      <c r="AD223" s="310">
        <f t="shared" si="125"/>
        <v>2016.5</v>
      </c>
      <c r="AE223" s="310">
        <f t="shared" si="126"/>
        <v>2023.5</v>
      </c>
      <c r="AF223" s="310">
        <f t="shared" si="127"/>
        <v>2015.5</v>
      </c>
      <c r="AG223" s="310">
        <f t="shared" si="128"/>
        <v>-8.3333333333333329E-2</v>
      </c>
    </row>
    <row r="224" spans="1:35">
      <c r="A224" s="306"/>
      <c r="B224" s="306">
        <v>180</v>
      </c>
      <c r="C224" s="331" t="s">
        <v>846</v>
      </c>
      <c r="D224" s="314">
        <v>2014</v>
      </c>
      <c r="E224" s="306">
        <v>7</v>
      </c>
      <c r="F224" s="352">
        <v>0</v>
      </c>
      <c r="G224" s="352"/>
      <c r="H224" s="314" t="s">
        <v>722</v>
      </c>
      <c r="I224" s="314">
        <v>10</v>
      </c>
      <c r="J224" s="308">
        <f t="shared" si="113"/>
        <v>2024</v>
      </c>
      <c r="K224" s="353"/>
      <c r="L224" s="306"/>
      <c r="M224" s="333">
        <v>9383</v>
      </c>
      <c r="N224" s="21"/>
      <c r="O224" s="19">
        <f t="shared" si="114"/>
        <v>9383</v>
      </c>
      <c r="P224" s="19">
        <f t="shared" si="115"/>
        <v>78.191666666666663</v>
      </c>
      <c r="Q224" s="19">
        <f t="shared" si="116"/>
        <v>938.3</v>
      </c>
      <c r="R224" s="19"/>
      <c r="S224" s="19">
        <f t="shared" si="117"/>
        <v>938.3</v>
      </c>
      <c r="T224" s="19">
        <v>1</v>
      </c>
      <c r="U224" s="19">
        <f t="shared" si="118"/>
        <v>938.3</v>
      </c>
      <c r="V224" s="19"/>
      <c r="W224" s="19">
        <f t="shared" si="119"/>
        <v>938.3</v>
      </c>
      <c r="X224" s="19">
        <f t="shared" si="120"/>
        <v>938.3</v>
      </c>
      <c r="Y224" s="19">
        <v>1</v>
      </c>
      <c r="Z224" s="19">
        <f t="shared" si="121"/>
        <v>938.3</v>
      </c>
      <c r="AA224" s="19">
        <f t="shared" si="122"/>
        <v>1876.6</v>
      </c>
      <c r="AB224" s="19">
        <f t="shared" si="123"/>
        <v>7975.55</v>
      </c>
      <c r="AC224" s="310">
        <f t="shared" si="124"/>
        <v>2014.5</v>
      </c>
      <c r="AD224" s="310">
        <f t="shared" si="125"/>
        <v>2016.5</v>
      </c>
      <c r="AE224" s="310">
        <f t="shared" si="126"/>
        <v>2024.5</v>
      </c>
      <c r="AF224" s="310">
        <f t="shared" si="127"/>
        <v>2015.5</v>
      </c>
      <c r="AG224" s="310">
        <f t="shared" si="128"/>
        <v>-8.3333333333333329E-2</v>
      </c>
    </row>
    <row r="225" spans="1:33">
      <c r="A225" s="306"/>
      <c r="B225" s="306">
        <v>100</v>
      </c>
      <c r="C225" s="331" t="s">
        <v>848</v>
      </c>
      <c r="D225" s="314">
        <v>2015</v>
      </c>
      <c r="E225" s="306">
        <v>11</v>
      </c>
      <c r="F225" s="352">
        <v>0</v>
      </c>
      <c r="G225" s="352"/>
      <c r="H225" s="314" t="s">
        <v>722</v>
      </c>
      <c r="I225" s="314">
        <v>10</v>
      </c>
      <c r="J225" s="308">
        <f t="shared" si="113"/>
        <v>2025</v>
      </c>
      <c r="K225" s="353"/>
      <c r="L225" s="306"/>
      <c r="M225" s="333">
        <v>5371.53</v>
      </c>
      <c r="N225" s="21"/>
      <c r="O225" s="19">
        <f t="shared" si="114"/>
        <v>5371.53</v>
      </c>
      <c r="P225" s="19">
        <f t="shared" si="115"/>
        <v>44.762750000000004</v>
      </c>
      <c r="Q225" s="19">
        <f t="shared" si="116"/>
        <v>358.10200000004073</v>
      </c>
      <c r="R225" s="19"/>
      <c r="S225" s="19">
        <f t="shared" si="117"/>
        <v>358.10200000004073</v>
      </c>
      <c r="T225" s="19">
        <v>1</v>
      </c>
      <c r="U225" s="19">
        <f t="shared" si="118"/>
        <v>358.10200000004073</v>
      </c>
      <c r="V225" s="19"/>
      <c r="W225" s="19">
        <f t="shared" si="119"/>
        <v>0</v>
      </c>
      <c r="X225" s="19">
        <f t="shared" si="120"/>
        <v>0</v>
      </c>
      <c r="Y225" s="19">
        <v>1</v>
      </c>
      <c r="Z225" s="19">
        <f t="shared" si="121"/>
        <v>0</v>
      </c>
      <c r="AA225" s="19">
        <f t="shared" si="122"/>
        <v>358.10200000004073</v>
      </c>
      <c r="AB225" s="19">
        <f t="shared" si="123"/>
        <v>2506.7139999999795</v>
      </c>
      <c r="AC225" s="310">
        <f t="shared" si="124"/>
        <v>2015.8333333333333</v>
      </c>
      <c r="AD225" s="310">
        <f t="shared" si="125"/>
        <v>2016.5</v>
      </c>
      <c r="AE225" s="310">
        <f t="shared" si="126"/>
        <v>2025.8333333333333</v>
      </c>
      <c r="AF225" s="310">
        <f t="shared" si="127"/>
        <v>2015.5</v>
      </c>
      <c r="AG225" s="310">
        <f t="shared" si="128"/>
        <v>-8.3333333333333329E-2</v>
      </c>
    </row>
    <row r="226" spans="1:33" s="306" customFormat="1">
      <c r="C226" s="331"/>
      <c r="D226" s="314"/>
      <c r="F226" s="332"/>
      <c r="G226" s="314"/>
      <c r="H226" s="314"/>
      <c r="I226" s="314"/>
      <c r="J226" s="318"/>
      <c r="M226" s="333"/>
      <c r="N226" s="333"/>
      <c r="O226" s="19"/>
      <c r="P226" s="19"/>
      <c r="Q226" s="19"/>
      <c r="R226" s="19"/>
      <c r="S226" s="19"/>
      <c r="T226" s="19"/>
      <c r="U226" s="19"/>
      <c r="V226" s="19"/>
      <c r="W226" s="19"/>
      <c r="X226" s="19"/>
      <c r="Y226" s="19"/>
      <c r="Z226" s="19"/>
      <c r="AA226" s="19"/>
      <c r="AB226" s="19"/>
      <c r="AC226" s="310"/>
      <c r="AD226" s="310"/>
      <c r="AE226" s="310"/>
      <c r="AF226" s="310"/>
      <c r="AG226" s="310"/>
    </row>
    <row r="227" spans="1:33" s="306" customFormat="1">
      <c r="C227" s="341" t="s">
        <v>917</v>
      </c>
      <c r="D227" s="342"/>
      <c r="E227" s="343"/>
      <c r="F227" s="344"/>
      <c r="G227" s="342"/>
      <c r="H227" s="342"/>
      <c r="I227" s="342"/>
      <c r="J227" s="345"/>
      <c r="K227" s="343"/>
      <c r="L227" s="343"/>
      <c r="M227" s="339">
        <f>SUM(M219:M226)</f>
        <v>69257</v>
      </c>
      <c r="N227" s="339"/>
      <c r="O227" s="339">
        <f>SUM(O219:O226)</f>
        <v>69257</v>
      </c>
      <c r="P227" s="339">
        <f>SUM(P219:P226)</f>
        <v>577.14166666666665</v>
      </c>
      <c r="Q227" s="339">
        <f>SUM(Q219:Q226)</f>
        <v>6032.2064999999111</v>
      </c>
      <c r="R227" s="339"/>
      <c r="S227" s="339">
        <f>SUM(S219:S226)</f>
        <v>6032.2064999999111</v>
      </c>
      <c r="T227" s="339"/>
      <c r="U227" s="339">
        <f>SUM(U219:U226)</f>
        <v>6032.2064999999111</v>
      </c>
      <c r="V227" s="339"/>
      <c r="W227" s="339">
        <f t="shared" ref="W227:AB227" si="129">SUM(W219:W226)</f>
        <v>35388.249250000117</v>
      </c>
      <c r="X227" s="339">
        <f t="shared" si="129"/>
        <v>35388.249250000117</v>
      </c>
      <c r="Y227" s="339">
        <f t="shared" si="129"/>
        <v>7</v>
      </c>
      <c r="Z227" s="339">
        <f t="shared" si="129"/>
        <v>35388.249250000117</v>
      </c>
      <c r="AA227" s="339">
        <f t="shared" si="129"/>
        <v>41420.455750000023</v>
      </c>
      <c r="AB227" s="339">
        <f t="shared" si="129"/>
        <v>28166.882499999931</v>
      </c>
      <c r="AC227" s="310"/>
      <c r="AD227" s="310"/>
      <c r="AE227" s="310"/>
      <c r="AF227" s="310"/>
      <c r="AG227" s="310"/>
    </row>
    <row r="228" spans="1:33">
      <c r="A228" s="306"/>
      <c r="C228" s="306"/>
      <c r="D228" s="306"/>
      <c r="E228" s="306"/>
      <c r="F228" s="314"/>
      <c r="G228" s="306"/>
      <c r="H228" s="306"/>
      <c r="I228" s="306"/>
      <c r="J228" s="308"/>
      <c r="K228" s="306"/>
      <c r="L228" s="306"/>
      <c r="M228" s="21"/>
      <c r="N228" s="21"/>
      <c r="O228" s="21"/>
      <c r="P228" s="21"/>
      <c r="Q228" s="21"/>
      <c r="R228" s="21"/>
      <c r="S228" s="21"/>
      <c r="T228" s="21"/>
      <c r="U228" s="21"/>
      <c r="V228" s="21"/>
      <c r="W228" s="21"/>
      <c r="X228" s="21"/>
      <c r="Y228" s="21"/>
      <c r="Z228" s="21"/>
      <c r="AA228" s="21"/>
      <c r="AB228" s="21"/>
      <c r="AC228" s="306"/>
      <c r="AD228" s="306"/>
      <c r="AE228" s="306"/>
      <c r="AF228" s="306"/>
      <c r="AG228" s="306"/>
    </row>
    <row r="229" spans="1:33">
      <c r="A229" s="306"/>
      <c r="F229" s="306"/>
      <c r="G229" s="306"/>
      <c r="H229" s="352"/>
      <c r="I229" s="314"/>
      <c r="J229" s="367"/>
      <c r="K229" s="368"/>
      <c r="L229" s="306"/>
      <c r="M229" s="21"/>
      <c r="N229" s="21"/>
      <c r="O229" s="21"/>
      <c r="P229" s="21"/>
      <c r="Q229" s="21"/>
      <c r="R229" s="21"/>
      <c r="S229" s="21"/>
      <c r="T229" s="21"/>
      <c r="U229" s="21"/>
      <c r="V229" s="21"/>
      <c r="W229" s="21"/>
      <c r="X229" s="21"/>
      <c r="Y229" s="21"/>
      <c r="Z229" s="21"/>
      <c r="AA229" s="21"/>
      <c r="AB229" s="21"/>
      <c r="AC229" s="306"/>
      <c r="AD229" s="306"/>
      <c r="AE229" s="306"/>
      <c r="AF229" s="306"/>
      <c r="AG229" s="306"/>
    </row>
    <row r="230" spans="1:33">
      <c r="A230" s="306"/>
      <c r="C230" s="335" t="s">
        <v>751</v>
      </c>
      <c r="D230" s="314"/>
      <c r="E230" s="306"/>
      <c r="F230" s="306"/>
      <c r="G230" s="306"/>
      <c r="H230" s="306"/>
      <c r="I230" s="314"/>
      <c r="J230" s="308"/>
      <c r="K230" s="353"/>
      <c r="L230" s="306"/>
      <c r="M230" s="333"/>
      <c r="N230" s="21"/>
      <c r="O230" s="21"/>
      <c r="P230" s="21"/>
      <c r="Q230" s="21"/>
      <c r="R230" s="21"/>
      <c r="S230" s="21"/>
      <c r="T230" s="21"/>
      <c r="U230" s="21"/>
      <c r="V230" s="21"/>
      <c r="W230" s="21"/>
      <c r="X230" s="21"/>
      <c r="Y230" s="21"/>
      <c r="Z230" s="21"/>
      <c r="AA230" s="21"/>
      <c r="AB230" s="21"/>
      <c r="AC230" s="306"/>
      <c r="AD230" s="306"/>
      <c r="AE230" s="306"/>
      <c r="AF230" s="306"/>
      <c r="AG230" s="306"/>
    </row>
    <row r="231" spans="1:33">
      <c r="A231" s="306"/>
      <c r="B231" s="306">
        <v>1</v>
      </c>
      <c r="C231" s="331" t="s">
        <v>851</v>
      </c>
      <c r="D231" s="314">
        <v>1996</v>
      </c>
      <c r="E231" s="306">
        <v>7</v>
      </c>
      <c r="F231" s="352">
        <v>0</v>
      </c>
      <c r="G231" s="352"/>
      <c r="H231" s="314" t="s">
        <v>722</v>
      </c>
      <c r="I231" s="314">
        <v>10</v>
      </c>
      <c r="J231" s="308">
        <f t="shared" ref="J231:J244" si="130">D231+I231</f>
        <v>2006</v>
      </c>
      <c r="K231" s="368"/>
      <c r="L231" s="306"/>
      <c r="M231" s="21">
        <v>6298</v>
      </c>
      <c r="N231" s="21"/>
      <c r="O231" s="19">
        <f t="shared" ref="O231:O244" si="131">M231-M231*F231</f>
        <v>6298</v>
      </c>
      <c r="P231" s="19">
        <f t="shared" ref="P231:P244" si="132">O231/I231/12</f>
        <v>52.483333333333327</v>
      </c>
      <c r="Q231" s="19">
        <f t="shared" ref="Q231:Q244" si="133">IF(N231&gt;0,0,IF(OR(AC231&gt;AD231,AE231&lt;AF231),0,IF(AND(AE231&gt;=AF231,AE231&lt;=AD231),P231*((AE231-AF231)*12),IF(AND(AF231&lt;=AC231,AD231&gt;=AC231),((AD231-AC231)*12)*P231,IF(AE231&gt;AD231,12*P231,0)))))</f>
        <v>0</v>
      </c>
      <c r="R231" s="19"/>
      <c r="S231" s="19">
        <f t="shared" ref="S231:S244" si="134">IF(R231&gt;0,R231,Q231)</f>
        <v>0</v>
      </c>
      <c r="T231" s="19">
        <v>1</v>
      </c>
      <c r="U231" s="19">
        <f t="shared" ref="U231:U244" si="135">T231*SUM(Q231:R231)</f>
        <v>0</v>
      </c>
      <c r="V231" s="19"/>
      <c r="W231" s="19">
        <f t="shared" ref="W231:W244" si="136">IF(AC231&gt;AD231,0,IF(AE231&lt;AF231,O231,IF(AND(AE231&gt;=AF231,AE231&lt;=AD231),(O231-S231),IF(AND(AF231&lt;=AC231,AD231&gt;=AC231),0,IF(AE231&gt;AD231,((AF231-AC231)*12)*P231,0)))))</f>
        <v>6298</v>
      </c>
      <c r="X231" s="19">
        <f t="shared" ref="X231:X244" si="137">W231*T231</f>
        <v>6298</v>
      </c>
      <c r="Y231" s="19">
        <v>1</v>
      </c>
      <c r="Z231" s="19">
        <f t="shared" ref="Z231:Z244" si="138">X231*Y231</f>
        <v>6298</v>
      </c>
      <c r="AA231" s="19">
        <f t="shared" ref="AA231:AA244" si="139">IF(N231&gt;0,0,Z231+U231*Y231)*Y231</f>
        <v>6298</v>
      </c>
      <c r="AB231" s="19">
        <f t="shared" ref="AB231:AB244" si="140">IF(N231&gt;0,(M231-Z231)/2,IF(AC231&gt;=AF231,(((M231*T231)*Y231)-AA231)/2,((((M231*T231)*Y231)-Z231)+(((M231*T231)*Y231)-AA231))/2))</f>
        <v>0</v>
      </c>
      <c r="AC231" s="310">
        <f t="shared" ref="AC231:AC244" si="141">$D231+(($E231-1)/12)</f>
        <v>1996.5</v>
      </c>
      <c r="AD231" s="310">
        <f t="shared" ref="AD231:AD244" si="142">($O$5+1)-($O$2/12)</f>
        <v>2016.5</v>
      </c>
      <c r="AE231" s="310">
        <f t="shared" ref="AE231:AE244" si="143">$J231+(($E231-1)/12)</f>
        <v>2006.5</v>
      </c>
      <c r="AF231" s="310">
        <f t="shared" ref="AF231:AF244" si="144">$O$4+($O$3/12)</f>
        <v>2015.5</v>
      </c>
      <c r="AG231" s="310">
        <f t="shared" ref="AG231:AG244" si="145">$K231+(($L231-1)/12)</f>
        <v>-8.3333333333333329E-2</v>
      </c>
    </row>
    <row r="232" spans="1:33">
      <c r="A232" s="306"/>
      <c r="B232" s="306">
        <v>1</v>
      </c>
      <c r="C232" s="331" t="str">
        <f>+C231</f>
        <v>1-25 Yd Rolloff</v>
      </c>
      <c r="D232" s="314">
        <v>1999</v>
      </c>
      <c r="E232" s="306">
        <v>3</v>
      </c>
      <c r="F232" s="352">
        <v>0</v>
      </c>
      <c r="G232" s="352"/>
      <c r="H232" s="314" t="s">
        <v>722</v>
      </c>
      <c r="I232" s="314">
        <v>10</v>
      </c>
      <c r="J232" s="308">
        <f t="shared" si="130"/>
        <v>2009</v>
      </c>
      <c r="K232" s="368"/>
      <c r="L232" s="306"/>
      <c r="M232" s="21">
        <v>5823.93</v>
      </c>
      <c r="N232" s="21"/>
      <c r="O232" s="19">
        <f t="shared" si="131"/>
        <v>5823.93</v>
      </c>
      <c r="P232" s="19">
        <f t="shared" si="132"/>
        <v>48.53275</v>
      </c>
      <c r="Q232" s="19">
        <f t="shared" si="133"/>
        <v>0</v>
      </c>
      <c r="R232" s="19"/>
      <c r="S232" s="19">
        <f t="shared" si="134"/>
        <v>0</v>
      </c>
      <c r="T232" s="19">
        <v>1</v>
      </c>
      <c r="U232" s="19">
        <f t="shared" si="135"/>
        <v>0</v>
      </c>
      <c r="V232" s="19"/>
      <c r="W232" s="19">
        <f t="shared" si="136"/>
        <v>5823.93</v>
      </c>
      <c r="X232" s="19">
        <f t="shared" si="137"/>
        <v>5823.93</v>
      </c>
      <c r="Y232" s="19">
        <v>1</v>
      </c>
      <c r="Z232" s="19">
        <f t="shared" si="138"/>
        <v>5823.93</v>
      </c>
      <c r="AA232" s="19">
        <f t="shared" si="139"/>
        <v>5823.93</v>
      </c>
      <c r="AB232" s="19">
        <f t="shared" si="140"/>
        <v>0</v>
      </c>
      <c r="AC232" s="310">
        <f t="shared" si="141"/>
        <v>1999.1666666666667</v>
      </c>
      <c r="AD232" s="310">
        <f t="shared" si="142"/>
        <v>2016.5</v>
      </c>
      <c r="AE232" s="310">
        <f t="shared" si="143"/>
        <v>2009.1666666666667</v>
      </c>
      <c r="AF232" s="310">
        <f t="shared" si="144"/>
        <v>2015.5</v>
      </c>
      <c r="AG232" s="310">
        <f t="shared" si="145"/>
        <v>-8.3333333333333329E-2</v>
      </c>
    </row>
    <row r="233" spans="1:33">
      <c r="A233" s="306"/>
      <c r="B233" s="306">
        <v>1</v>
      </c>
      <c r="C233" s="331" t="str">
        <f>+C232</f>
        <v>1-25 Yd Rolloff</v>
      </c>
      <c r="D233" s="314">
        <v>1999</v>
      </c>
      <c r="E233" s="306">
        <v>4</v>
      </c>
      <c r="F233" s="352">
        <v>0</v>
      </c>
      <c r="G233" s="352"/>
      <c r="H233" s="314" t="s">
        <v>722</v>
      </c>
      <c r="I233" s="314">
        <v>10</v>
      </c>
      <c r="J233" s="308">
        <f t="shared" si="130"/>
        <v>2009</v>
      </c>
      <c r="K233" s="368"/>
      <c r="L233" s="306"/>
      <c r="M233" s="21">
        <v>5323.93</v>
      </c>
      <c r="N233" s="21"/>
      <c r="O233" s="19">
        <f t="shared" si="131"/>
        <v>5323.93</v>
      </c>
      <c r="P233" s="19">
        <f t="shared" si="132"/>
        <v>44.366083333333336</v>
      </c>
      <c r="Q233" s="19">
        <f t="shared" si="133"/>
        <v>0</v>
      </c>
      <c r="R233" s="19"/>
      <c r="S233" s="19">
        <f t="shared" si="134"/>
        <v>0</v>
      </c>
      <c r="T233" s="19">
        <v>1</v>
      </c>
      <c r="U233" s="19">
        <f t="shared" si="135"/>
        <v>0</v>
      </c>
      <c r="V233" s="19"/>
      <c r="W233" s="19">
        <f t="shared" si="136"/>
        <v>5323.93</v>
      </c>
      <c r="X233" s="19">
        <f t="shared" si="137"/>
        <v>5323.93</v>
      </c>
      <c r="Y233" s="19">
        <v>1</v>
      </c>
      <c r="Z233" s="19">
        <f t="shared" si="138"/>
        <v>5323.93</v>
      </c>
      <c r="AA233" s="19">
        <f t="shared" si="139"/>
        <v>5323.93</v>
      </c>
      <c r="AB233" s="19">
        <f t="shared" si="140"/>
        <v>0</v>
      </c>
      <c r="AC233" s="310">
        <f t="shared" si="141"/>
        <v>1999.25</v>
      </c>
      <c r="AD233" s="310">
        <f t="shared" si="142"/>
        <v>2016.5</v>
      </c>
      <c r="AE233" s="310">
        <f t="shared" si="143"/>
        <v>2009.25</v>
      </c>
      <c r="AF233" s="310">
        <f t="shared" si="144"/>
        <v>2015.5</v>
      </c>
      <c r="AG233" s="310">
        <f t="shared" si="145"/>
        <v>-8.3333333333333329E-2</v>
      </c>
    </row>
    <row r="234" spans="1:33">
      <c r="A234" s="306"/>
      <c r="B234" s="306">
        <v>1</v>
      </c>
      <c r="C234" s="331" t="s">
        <v>852</v>
      </c>
      <c r="D234" s="314">
        <v>1999</v>
      </c>
      <c r="E234" s="306">
        <v>11</v>
      </c>
      <c r="F234" s="352">
        <v>0</v>
      </c>
      <c r="G234" s="352"/>
      <c r="H234" s="314" t="s">
        <v>722</v>
      </c>
      <c r="I234" s="314">
        <v>10</v>
      </c>
      <c r="J234" s="308">
        <f t="shared" si="130"/>
        <v>2009</v>
      </c>
      <c r="K234" s="368"/>
      <c r="L234" s="306"/>
      <c r="M234" s="21">
        <v>6957</v>
      </c>
      <c r="N234" s="21"/>
      <c r="O234" s="19">
        <f t="shared" si="131"/>
        <v>6957</v>
      </c>
      <c r="P234" s="19">
        <f t="shared" si="132"/>
        <v>57.975000000000001</v>
      </c>
      <c r="Q234" s="19">
        <f t="shared" si="133"/>
        <v>0</v>
      </c>
      <c r="R234" s="19"/>
      <c r="S234" s="19">
        <f t="shared" si="134"/>
        <v>0</v>
      </c>
      <c r="T234" s="19">
        <v>1</v>
      </c>
      <c r="U234" s="19">
        <f t="shared" si="135"/>
        <v>0</v>
      </c>
      <c r="V234" s="19"/>
      <c r="W234" s="19">
        <f t="shared" si="136"/>
        <v>6957</v>
      </c>
      <c r="X234" s="19">
        <f t="shared" si="137"/>
        <v>6957</v>
      </c>
      <c r="Y234" s="19">
        <v>1</v>
      </c>
      <c r="Z234" s="19">
        <f t="shared" si="138"/>
        <v>6957</v>
      </c>
      <c r="AA234" s="19">
        <f t="shared" si="139"/>
        <v>6957</v>
      </c>
      <c r="AB234" s="19">
        <f t="shared" si="140"/>
        <v>0</v>
      </c>
      <c r="AC234" s="310">
        <f t="shared" si="141"/>
        <v>1999.8333333333333</v>
      </c>
      <c r="AD234" s="310">
        <f t="shared" si="142"/>
        <v>2016.5</v>
      </c>
      <c r="AE234" s="310">
        <f t="shared" si="143"/>
        <v>2009.8333333333333</v>
      </c>
      <c r="AF234" s="310">
        <f t="shared" si="144"/>
        <v>2015.5</v>
      </c>
      <c r="AG234" s="310">
        <f t="shared" si="145"/>
        <v>-8.3333333333333329E-2</v>
      </c>
    </row>
    <row r="235" spans="1:33">
      <c r="A235" s="306"/>
      <c r="B235" s="306">
        <v>1</v>
      </c>
      <c r="C235" s="331" t="str">
        <f>+C232</f>
        <v>1-25 Yd Rolloff</v>
      </c>
      <c r="D235" s="314">
        <v>2000</v>
      </c>
      <c r="E235" s="306">
        <v>4</v>
      </c>
      <c r="F235" s="352">
        <v>0</v>
      </c>
      <c r="G235" s="352"/>
      <c r="H235" s="314" t="s">
        <v>722</v>
      </c>
      <c r="I235" s="314">
        <v>10</v>
      </c>
      <c r="J235" s="308">
        <f t="shared" si="130"/>
        <v>2010</v>
      </c>
      <c r="K235" s="368"/>
      <c r="L235" s="306"/>
      <c r="M235" s="21">
        <v>5642.82</v>
      </c>
      <c r="N235" s="21"/>
      <c r="O235" s="19">
        <f t="shared" si="131"/>
        <v>5642.82</v>
      </c>
      <c r="P235" s="19">
        <f t="shared" si="132"/>
        <v>47.023499999999991</v>
      </c>
      <c r="Q235" s="19">
        <f t="shared" si="133"/>
        <v>0</v>
      </c>
      <c r="R235" s="19"/>
      <c r="S235" s="19">
        <f t="shared" si="134"/>
        <v>0</v>
      </c>
      <c r="T235" s="19">
        <v>1</v>
      </c>
      <c r="U235" s="19">
        <f t="shared" si="135"/>
        <v>0</v>
      </c>
      <c r="V235" s="19"/>
      <c r="W235" s="19">
        <f t="shared" si="136"/>
        <v>5642.82</v>
      </c>
      <c r="X235" s="19">
        <f t="shared" si="137"/>
        <v>5642.82</v>
      </c>
      <c r="Y235" s="19">
        <v>1</v>
      </c>
      <c r="Z235" s="19">
        <f t="shared" si="138"/>
        <v>5642.82</v>
      </c>
      <c r="AA235" s="19">
        <f t="shared" si="139"/>
        <v>5642.82</v>
      </c>
      <c r="AB235" s="19">
        <f t="shared" si="140"/>
        <v>0</v>
      </c>
      <c r="AC235" s="310">
        <f t="shared" si="141"/>
        <v>2000.25</v>
      </c>
      <c r="AD235" s="310">
        <f t="shared" si="142"/>
        <v>2016.5</v>
      </c>
      <c r="AE235" s="310">
        <f t="shared" si="143"/>
        <v>2010.25</v>
      </c>
      <c r="AF235" s="310">
        <f t="shared" si="144"/>
        <v>2015.5</v>
      </c>
      <c r="AG235" s="310">
        <f t="shared" si="145"/>
        <v>-8.3333333333333329E-2</v>
      </c>
    </row>
    <row r="236" spans="1:33">
      <c r="A236" s="306"/>
      <c r="B236" s="306">
        <v>1</v>
      </c>
      <c r="C236" s="331" t="s">
        <v>853</v>
      </c>
      <c r="D236" s="314">
        <v>2003</v>
      </c>
      <c r="E236" s="306">
        <v>1</v>
      </c>
      <c r="F236" s="352">
        <v>0</v>
      </c>
      <c r="G236" s="352"/>
      <c r="H236" s="314" t="s">
        <v>722</v>
      </c>
      <c r="I236" s="314">
        <v>10</v>
      </c>
      <c r="J236" s="308">
        <f t="shared" si="130"/>
        <v>2013</v>
      </c>
      <c r="K236" s="368"/>
      <c r="L236" s="306"/>
      <c r="M236" s="21">
        <v>5200</v>
      </c>
      <c r="N236" s="21"/>
      <c r="O236" s="19">
        <f t="shared" si="131"/>
        <v>5200</v>
      </c>
      <c r="P236" s="19">
        <f t="shared" si="132"/>
        <v>43.333333333333336</v>
      </c>
      <c r="Q236" s="19">
        <f t="shared" si="133"/>
        <v>0</v>
      </c>
      <c r="R236" s="19"/>
      <c r="S236" s="19">
        <f t="shared" si="134"/>
        <v>0</v>
      </c>
      <c r="T236" s="19">
        <v>1</v>
      </c>
      <c r="U236" s="19">
        <f t="shared" si="135"/>
        <v>0</v>
      </c>
      <c r="V236" s="19"/>
      <c r="W236" s="19">
        <f t="shared" si="136"/>
        <v>5200</v>
      </c>
      <c r="X236" s="19">
        <f t="shared" si="137"/>
        <v>5200</v>
      </c>
      <c r="Y236" s="19">
        <v>1</v>
      </c>
      <c r="Z236" s="19">
        <f t="shared" si="138"/>
        <v>5200</v>
      </c>
      <c r="AA236" s="19">
        <f t="shared" si="139"/>
        <v>5200</v>
      </c>
      <c r="AB236" s="19">
        <f t="shared" si="140"/>
        <v>0</v>
      </c>
      <c r="AC236" s="310">
        <f t="shared" si="141"/>
        <v>2003</v>
      </c>
      <c r="AD236" s="310">
        <f t="shared" si="142"/>
        <v>2016.5</v>
      </c>
      <c r="AE236" s="310">
        <f t="shared" si="143"/>
        <v>2013</v>
      </c>
      <c r="AF236" s="310">
        <f t="shared" si="144"/>
        <v>2015.5</v>
      </c>
      <c r="AG236" s="310">
        <f t="shared" si="145"/>
        <v>-8.3333333333333329E-2</v>
      </c>
    </row>
    <row r="237" spans="1:33">
      <c r="A237" s="306"/>
      <c r="B237" s="306">
        <v>3</v>
      </c>
      <c r="C237" s="331" t="s">
        <v>854</v>
      </c>
      <c r="D237" s="314">
        <v>2003</v>
      </c>
      <c r="E237" s="306">
        <v>1</v>
      </c>
      <c r="F237" s="352">
        <v>0</v>
      </c>
      <c r="G237" s="352"/>
      <c r="H237" s="314" t="s">
        <v>722</v>
      </c>
      <c r="I237" s="314">
        <v>10</v>
      </c>
      <c r="J237" s="308">
        <f t="shared" si="130"/>
        <v>2013</v>
      </c>
      <c r="K237" s="368"/>
      <c r="L237" s="306"/>
      <c r="M237" s="21">
        <f>5400+5400+5400</f>
        <v>16200</v>
      </c>
      <c r="N237" s="21"/>
      <c r="O237" s="19">
        <f t="shared" si="131"/>
        <v>16200</v>
      </c>
      <c r="P237" s="19">
        <f t="shared" si="132"/>
        <v>135</v>
      </c>
      <c r="Q237" s="19">
        <f t="shared" si="133"/>
        <v>0</v>
      </c>
      <c r="R237" s="19"/>
      <c r="S237" s="19">
        <f t="shared" si="134"/>
        <v>0</v>
      </c>
      <c r="T237" s="19">
        <v>1</v>
      </c>
      <c r="U237" s="19">
        <f t="shared" si="135"/>
        <v>0</v>
      </c>
      <c r="V237" s="19"/>
      <c r="W237" s="19">
        <f t="shared" si="136"/>
        <v>16200</v>
      </c>
      <c r="X237" s="19">
        <f t="shared" si="137"/>
        <v>16200</v>
      </c>
      <c r="Y237" s="19">
        <v>1</v>
      </c>
      <c r="Z237" s="19">
        <f t="shared" si="138"/>
        <v>16200</v>
      </c>
      <c r="AA237" s="19">
        <f t="shared" si="139"/>
        <v>16200</v>
      </c>
      <c r="AB237" s="19">
        <f t="shared" si="140"/>
        <v>0</v>
      </c>
      <c r="AC237" s="310">
        <f t="shared" si="141"/>
        <v>2003</v>
      </c>
      <c r="AD237" s="310">
        <f t="shared" si="142"/>
        <v>2016.5</v>
      </c>
      <c r="AE237" s="310">
        <f t="shared" si="143"/>
        <v>2013</v>
      </c>
      <c r="AF237" s="310">
        <f t="shared" si="144"/>
        <v>2015.5</v>
      </c>
      <c r="AG237" s="310">
        <f t="shared" si="145"/>
        <v>-8.3333333333333329E-2</v>
      </c>
    </row>
    <row r="238" spans="1:33">
      <c r="A238" s="306"/>
      <c r="B238" s="306">
        <v>1</v>
      </c>
      <c r="C238" s="331" t="s">
        <v>855</v>
      </c>
      <c r="D238" s="314">
        <v>2003</v>
      </c>
      <c r="E238" s="306">
        <v>7</v>
      </c>
      <c r="F238" s="352">
        <v>0</v>
      </c>
      <c r="G238" s="352"/>
      <c r="H238" s="314" t="s">
        <v>722</v>
      </c>
      <c r="I238" s="314">
        <v>10</v>
      </c>
      <c r="J238" s="308">
        <f t="shared" si="130"/>
        <v>2013</v>
      </c>
      <c r="K238" s="368"/>
      <c r="L238" s="306"/>
      <c r="M238" s="21">
        <v>1096.42</v>
      </c>
      <c r="N238" s="21"/>
      <c r="O238" s="19">
        <f t="shared" si="131"/>
        <v>1096.42</v>
      </c>
      <c r="P238" s="19">
        <f t="shared" si="132"/>
        <v>9.1368333333333336</v>
      </c>
      <c r="Q238" s="19">
        <f t="shared" si="133"/>
        <v>0</v>
      </c>
      <c r="R238" s="19"/>
      <c r="S238" s="19">
        <f t="shared" si="134"/>
        <v>0</v>
      </c>
      <c r="T238" s="19">
        <v>1</v>
      </c>
      <c r="U238" s="19">
        <f t="shared" si="135"/>
        <v>0</v>
      </c>
      <c r="V238" s="19"/>
      <c r="W238" s="19">
        <f t="shared" si="136"/>
        <v>1096.42</v>
      </c>
      <c r="X238" s="19">
        <f t="shared" si="137"/>
        <v>1096.42</v>
      </c>
      <c r="Y238" s="19">
        <v>1</v>
      </c>
      <c r="Z238" s="19">
        <f t="shared" si="138"/>
        <v>1096.42</v>
      </c>
      <c r="AA238" s="19">
        <f t="shared" si="139"/>
        <v>1096.42</v>
      </c>
      <c r="AB238" s="19">
        <f t="shared" si="140"/>
        <v>0</v>
      </c>
      <c r="AC238" s="310">
        <f t="shared" si="141"/>
        <v>2003.5</v>
      </c>
      <c r="AD238" s="310">
        <f t="shared" si="142"/>
        <v>2016.5</v>
      </c>
      <c r="AE238" s="310">
        <f t="shared" si="143"/>
        <v>2013.5</v>
      </c>
      <c r="AF238" s="310">
        <f t="shared" si="144"/>
        <v>2015.5</v>
      </c>
      <c r="AG238" s="310">
        <f t="shared" si="145"/>
        <v>-8.3333333333333329E-2</v>
      </c>
    </row>
    <row r="239" spans="1:33" s="306" customFormat="1" ht="12" customHeight="1">
      <c r="B239" s="306">
        <v>1</v>
      </c>
      <c r="C239" s="331" t="s">
        <v>856</v>
      </c>
      <c r="D239" s="314">
        <v>2004</v>
      </c>
      <c r="E239" s="306">
        <v>7</v>
      </c>
      <c r="F239" s="352">
        <v>0</v>
      </c>
      <c r="G239" s="352"/>
      <c r="H239" s="314" t="s">
        <v>722</v>
      </c>
      <c r="I239" s="314">
        <v>10</v>
      </c>
      <c r="J239" s="308">
        <f t="shared" si="130"/>
        <v>2014</v>
      </c>
      <c r="K239" s="368"/>
      <c r="M239" s="21">
        <v>6750</v>
      </c>
      <c r="N239" s="21"/>
      <c r="O239" s="19">
        <f t="shared" si="131"/>
        <v>6750</v>
      </c>
      <c r="P239" s="19">
        <f t="shared" si="132"/>
        <v>56.25</v>
      </c>
      <c r="Q239" s="19">
        <f t="shared" si="133"/>
        <v>0</v>
      </c>
      <c r="R239" s="19"/>
      <c r="S239" s="19">
        <f t="shared" si="134"/>
        <v>0</v>
      </c>
      <c r="T239" s="19">
        <v>1</v>
      </c>
      <c r="U239" s="19">
        <f t="shared" si="135"/>
        <v>0</v>
      </c>
      <c r="V239" s="19"/>
      <c r="W239" s="19">
        <f t="shared" si="136"/>
        <v>6750</v>
      </c>
      <c r="X239" s="19">
        <f t="shared" si="137"/>
        <v>6750</v>
      </c>
      <c r="Y239" s="19">
        <v>1</v>
      </c>
      <c r="Z239" s="19">
        <f t="shared" si="138"/>
        <v>6750</v>
      </c>
      <c r="AA239" s="19">
        <f t="shared" si="139"/>
        <v>6750</v>
      </c>
      <c r="AB239" s="19">
        <f t="shared" si="140"/>
        <v>0</v>
      </c>
      <c r="AC239" s="310">
        <f t="shared" si="141"/>
        <v>2004.5</v>
      </c>
      <c r="AD239" s="310">
        <f t="shared" si="142"/>
        <v>2016.5</v>
      </c>
      <c r="AE239" s="310">
        <f t="shared" si="143"/>
        <v>2014.5</v>
      </c>
      <c r="AF239" s="310">
        <f t="shared" si="144"/>
        <v>2015.5</v>
      </c>
      <c r="AG239" s="310">
        <f t="shared" si="145"/>
        <v>-8.3333333333333329E-2</v>
      </c>
    </row>
    <row r="240" spans="1:33" s="306" customFormat="1">
      <c r="B240" s="306">
        <v>1</v>
      </c>
      <c r="C240" s="331" t="s">
        <v>857</v>
      </c>
      <c r="D240" s="314">
        <v>2004</v>
      </c>
      <c r="E240" s="306">
        <v>8</v>
      </c>
      <c r="F240" s="352">
        <v>0</v>
      </c>
      <c r="G240" s="352"/>
      <c r="H240" s="314" t="s">
        <v>722</v>
      </c>
      <c r="I240" s="314">
        <v>10</v>
      </c>
      <c r="J240" s="308">
        <f t="shared" si="130"/>
        <v>2014</v>
      </c>
      <c r="K240" s="368"/>
      <c r="M240" s="21">
        <v>5500</v>
      </c>
      <c r="N240" s="21"/>
      <c r="O240" s="19">
        <f t="shared" si="131"/>
        <v>5500</v>
      </c>
      <c r="P240" s="19">
        <f t="shared" si="132"/>
        <v>45.833333333333336</v>
      </c>
      <c r="Q240" s="19">
        <f t="shared" si="133"/>
        <v>0</v>
      </c>
      <c r="R240" s="19"/>
      <c r="S240" s="19">
        <f t="shared" si="134"/>
        <v>0</v>
      </c>
      <c r="T240" s="19">
        <v>1</v>
      </c>
      <c r="U240" s="19">
        <f t="shared" si="135"/>
        <v>0</v>
      </c>
      <c r="V240" s="19"/>
      <c r="W240" s="19">
        <f t="shared" si="136"/>
        <v>5500</v>
      </c>
      <c r="X240" s="19">
        <f t="shared" si="137"/>
        <v>5500</v>
      </c>
      <c r="Y240" s="19">
        <v>1</v>
      </c>
      <c r="Z240" s="19">
        <f t="shared" si="138"/>
        <v>5500</v>
      </c>
      <c r="AA240" s="19">
        <f t="shared" si="139"/>
        <v>5500</v>
      </c>
      <c r="AB240" s="19">
        <f t="shared" si="140"/>
        <v>0</v>
      </c>
      <c r="AC240" s="310">
        <f t="shared" si="141"/>
        <v>2004.5833333333333</v>
      </c>
      <c r="AD240" s="310">
        <f t="shared" si="142"/>
        <v>2016.5</v>
      </c>
      <c r="AE240" s="310">
        <f t="shared" si="143"/>
        <v>2014.5833333333333</v>
      </c>
      <c r="AF240" s="310">
        <f t="shared" si="144"/>
        <v>2015.5</v>
      </c>
      <c r="AG240" s="310">
        <f t="shared" si="145"/>
        <v>-8.3333333333333329E-2</v>
      </c>
    </row>
    <row r="241" spans="1:33" s="306" customFormat="1">
      <c r="B241" s="306">
        <v>1</v>
      </c>
      <c r="C241" s="331" t="s">
        <v>858</v>
      </c>
      <c r="D241" s="314">
        <v>2004</v>
      </c>
      <c r="E241" s="306">
        <v>8</v>
      </c>
      <c r="F241" s="352">
        <v>0</v>
      </c>
      <c r="G241" s="352"/>
      <c r="H241" s="314" t="s">
        <v>722</v>
      </c>
      <c r="I241" s="314">
        <v>10</v>
      </c>
      <c r="J241" s="308">
        <f t="shared" si="130"/>
        <v>2014</v>
      </c>
      <c r="K241" s="368"/>
      <c r="M241" s="21">
        <v>1055</v>
      </c>
      <c r="N241" s="21"/>
      <c r="O241" s="19">
        <f t="shared" si="131"/>
        <v>1055</v>
      </c>
      <c r="P241" s="19">
        <f t="shared" si="132"/>
        <v>8.7916666666666661</v>
      </c>
      <c r="Q241" s="19">
        <f t="shared" si="133"/>
        <v>0</v>
      </c>
      <c r="R241" s="19"/>
      <c r="S241" s="19">
        <f t="shared" si="134"/>
        <v>0</v>
      </c>
      <c r="T241" s="19">
        <v>1</v>
      </c>
      <c r="U241" s="19">
        <f t="shared" si="135"/>
        <v>0</v>
      </c>
      <c r="V241" s="19"/>
      <c r="W241" s="19">
        <f t="shared" si="136"/>
        <v>1055</v>
      </c>
      <c r="X241" s="19">
        <f t="shared" si="137"/>
        <v>1055</v>
      </c>
      <c r="Y241" s="19">
        <v>1</v>
      </c>
      <c r="Z241" s="19">
        <f t="shared" si="138"/>
        <v>1055</v>
      </c>
      <c r="AA241" s="19">
        <f t="shared" si="139"/>
        <v>1055</v>
      </c>
      <c r="AB241" s="19">
        <f t="shared" si="140"/>
        <v>0</v>
      </c>
      <c r="AC241" s="310">
        <f t="shared" si="141"/>
        <v>2004.5833333333333</v>
      </c>
      <c r="AD241" s="310">
        <f t="shared" si="142"/>
        <v>2016.5</v>
      </c>
      <c r="AE241" s="310">
        <f t="shared" si="143"/>
        <v>2014.5833333333333</v>
      </c>
      <c r="AF241" s="310">
        <f t="shared" si="144"/>
        <v>2015.5</v>
      </c>
      <c r="AG241" s="310">
        <f t="shared" si="145"/>
        <v>-8.3333333333333329E-2</v>
      </c>
    </row>
    <row r="242" spans="1:33" s="306" customFormat="1">
      <c r="B242" s="306">
        <v>2</v>
      </c>
      <c r="C242" s="331" t="s">
        <v>857</v>
      </c>
      <c r="D242" s="314">
        <v>2007</v>
      </c>
      <c r="E242" s="306">
        <v>6</v>
      </c>
      <c r="F242" s="352">
        <v>0</v>
      </c>
      <c r="G242" s="352"/>
      <c r="H242" s="314" t="s">
        <v>722</v>
      </c>
      <c r="I242" s="314">
        <v>10</v>
      </c>
      <c r="J242" s="308">
        <f t="shared" si="130"/>
        <v>2017</v>
      </c>
      <c r="K242" s="368"/>
      <c r="M242" s="21">
        <v>13490</v>
      </c>
      <c r="N242" s="21"/>
      <c r="O242" s="19">
        <f t="shared" si="131"/>
        <v>13490</v>
      </c>
      <c r="P242" s="19">
        <f t="shared" si="132"/>
        <v>112.41666666666667</v>
      </c>
      <c r="Q242" s="19">
        <f t="shared" si="133"/>
        <v>1349</v>
      </c>
      <c r="R242" s="19"/>
      <c r="S242" s="19">
        <f t="shared" si="134"/>
        <v>1349</v>
      </c>
      <c r="T242" s="19">
        <v>1</v>
      </c>
      <c r="U242" s="19">
        <f t="shared" si="135"/>
        <v>1349</v>
      </c>
      <c r="V242" s="19"/>
      <c r="W242" s="19">
        <f t="shared" si="136"/>
        <v>10904.416666666564</v>
      </c>
      <c r="X242" s="19">
        <f t="shared" si="137"/>
        <v>10904.416666666564</v>
      </c>
      <c r="Y242" s="19">
        <v>1</v>
      </c>
      <c r="Z242" s="19">
        <f t="shared" si="138"/>
        <v>10904.416666666564</v>
      </c>
      <c r="AA242" s="19">
        <f t="shared" si="139"/>
        <v>12253.416666666564</v>
      </c>
      <c r="AB242" s="19">
        <f t="shared" si="140"/>
        <v>1911.0833333334358</v>
      </c>
      <c r="AC242" s="310">
        <f t="shared" si="141"/>
        <v>2007.4166666666667</v>
      </c>
      <c r="AD242" s="310">
        <f t="shared" si="142"/>
        <v>2016.5</v>
      </c>
      <c r="AE242" s="310">
        <f t="shared" si="143"/>
        <v>2017.4166666666667</v>
      </c>
      <c r="AF242" s="310">
        <f t="shared" si="144"/>
        <v>2015.5</v>
      </c>
      <c r="AG242" s="310">
        <f t="shared" si="145"/>
        <v>-8.3333333333333329E-2</v>
      </c>
    </row>
    <row r="243" spans="1:33" s="306" customFormat="1">
      <c r="B243" s="306">
        <v>1</v>
      </c>
      <c r="C243" s="331" t="s">
        <v>859</v>
      </c>
      <c r="D243" s="314">
        <v>2007</v>
      </c>
      <c r="E243" s="306">
        <v>6</v>
      </c>
      <c r="F243" s="352">
        <v>0</v>
      </c>
      <c r="G243" s="352"/>
      <c r="H243" s="314" t="s">
        <v>722</v>
      </c>
      <c r="I243" s="314">
        <v>10</v>
      </c>
      <c r="J243" s="308">
        <f t="shared" si="130"/>
        <v>2017</v>
      </c>
      <c r="K243" s="368"/>
      <c r="M243" s="21">
        <v>7750</v>
      </c>
      <c r="N243" s="21"/>
      <c r="O243" s="19">
        <f t="shared" si="131"/>
        <v>7750</v>
      </c>
      <c r="P243" s="19">
        <f t="shared" si="132"/>
        <v>64.583333333333329</v>
      </c>
      <c r="Q243" s="19">
        <f t="shared" si="133"/>
        <v>775</v>
      </c>
      <c r="R243" s="19"/>
      <c r="S243" s="19">
        <f t="shared" si="134"/>
        <v>775</v>
      </c>
      <c r="T243" s="19">
        <v>1</v>
      </c>
      <c r="U243" s="19">
        <f t="shared" si="135"/>
        <v>775</v>
      </c>
      <c r="V243" s="19"/>
      <c r="W243" s="19">
        <f t="shared" si="136"/>
        <v>6264.5833333332739</v>
      </c>
      <c r="X243" s="19">
        <f t="shared" si="137"/>
        <v>6264.5833333332739</v>
      </c>
      <c r="Y243" s="19">
        <v>1</v>
      </c>
      <c r="Z243" s="19">
        <f t="shared" si="138"/>
        <v>6264.5833333332739</v>
      </c>
      <c r="AA243" s="19">
        <f t="shared" si="139"/>
        <v>7039.5833333332739</v>
      </c>
      <c r="AB243" s="19">
        <f t="shared" si="140"/>
        <v>1097.9166666667261</v>
      </c>
      <c r="AC243" s="310">
        <f t="shared" si="141"/>
        <v>2007.4166666666667</v>
      </c>
      <c r="AD243" s="310">
        <f t="shared" si="142"/>
        <v>2016.5</v>
      </c>
      <c r="AE243" s="310">
        <f t="shared" si="143"/>
        <v>2017.4166666666667</v>
      </c>
      <c r="AF243" s="310">
        <f t="shared" si="144"/>
        <v>2015.5</v>
      </c>
      <c r="AG243" s="310">
        <f t="shared" si="145"/>
        <v>-8.3333333333333329E-2</v>
      </c>
    </row>
    <row r="244" spans="1:33" s="306" customFormat="1">
      <c r="B244" s="306">
        <v>2</v>
      </c>
      <c r="C244" s="331" t="s">
        <v>860</v>
      </c>
      <c r="D244" s="314">
        <v>2014</v>
      </c>
      <c r="E244" s="306">
        <v>12</v>
      </c>
      <c r="F244" s="352">
        <v>0</v>
      </c>
      <c r="G244" s="352"/>
      <c r="H244" s="314" t="s">
        <v>722</v>
      </c>
      <c r="I244" s="314">
        <v>10</v>
      </c>
      <c r="J244" s="308">
        <f t="shared" si="130"/>
        <v>2024</v>
      </c>
      <c r="K244" s="368"/>
      <c r="M244" s="21">
        <v>16536.52</v>
      </c>
      <c r="N244" s="21"/>
      <c r="O244" s="19">
        <f t="shared" si="131"/>
        <v>16536.52</v>
      </c>
      <c r="P244" s="19">
        <f t="shared" si="132"/>
        <v>137.80433333333335</v>
      </c>
      <c r="Q244" s="19">
        <f t="shared" si="133"/>
        <v>1653.652</v>
      </c>
      <c r="R244" s="19"/>
      <c r="S244" s="19">
        <f t="shared" si="134"/>
        <v>1653.652</v>
      </c>
      <c r="T244" s="19">
        <v>1</v>
      </c>
      <c r="U244" s="19">
        <f t="shared" si="135"/>
        <v>1653.652</v>
      </c>
      <c r="V244" s="19"/>
      <c r="W244" s="19">
        <f t="shared" si="136"/>
        <v>964.63033333320811</v>
      </c>
      <c r="X244" s="19">
        <f t="shared" si="137"/>
        <v>964.63033333320811</v>
      </c>
      <c r="Y244" s="19">
        <v>1</v>
      </c>
      <c r="Z244" s="19">
        <f t="shared" si="138"/>
        <v>964.63033333320811</v>
      </c>
      <c r="AA244" s="19">
        <f t="shared" si="139"/>
        <v>2618.282333333208</v>
      </c>
      <c r="AB244" s="19">
        <f t="shared" si="140"/>
        <v>14745.063666666792</v>
      </c>
      <c r="AC244" s="310">
        <f t="shared" si="141"/>
        <v>2014.9166666666667</v>
      </c>
      <c r="AD244" s="310">
        <f t="shared" si="142"/>
        <v>2016.5</v>
      </c>
      <c r="AE244" s="310">
        <f t="shared" si="143"/>
        <v>2024.9166666666667</v>
      </c>
      <c r="AF244" s="310">
        <f t="shared" si="144"/>
        <v>2015.5</v>
      </c>
      <c r="AG244" s="310">
        <f t="shared" si="145"/>
        <v>-8.3333333333333329E-2</v>
      </c>
    </row>
    <row r="245" spans="1:33" s="306" customFormat="1">
      <c r="C245" s="331"/>
      <c r="D245" s="314"/>
      <c r="F245" s="352"/>
      <c r="G245" s="352"/>
      <c r="H245" s="314"/>
      <c r="I245" s="314"/>
      <c r="J245" s="308"/>
      <c r="K245" s="368"/>
      <c r="M245" s="21"/>
      <c r="N245" s="21"/>
      <c r="O245" s="19"/>
      <c r="P245" s="19"/>
      <c r="Q245" s="19"/>
      <c r="R245" s="19"/>
      <c r="S245" s="19"/>
      <c r="T245" s="19"/>
      <c r="U245" s="19"/>
      <c r="V245" s="19"/>
      <c r="W245" s="19"/>
      <c r="X245" s="19"/>
      <c r="Y245" s="19"/>
      <c r="Z245" s="19"/>
      <c r="AA245" s="19"/>
      <c r="AB245" s="19"/>
      <c r="AC245" s="310"/>
      <c r="AD245" s="310"/>
      <c r="AE245" s="310"/>
      <c r="AF245" s="310"/>
      <c r="AG245" s="310"/>
    </row>
    <row r="246" spans="1:33">
      <c r="A246" s="306"/>
      <c r="C246" s="331"/>
      <c r="D246" s="314"/>
      <c r="E246" s="306"/>
      <c r="F246" s="352"/>
      <c r="G246" s="352"/>
      <c r="H246" s="314"/>
      <c r="I246" s="314"/>
      <c r="J246" s="308"/>
      <c r="K246" s="368"/>
      <c r="L246" s="306"/>
      <c r="M246" s="21"/>
      <c r="N246" s="21"/>
      <c r="O246" s="21"/>
      <c r="P246" s="21"/>
      <c r="Q246" s="21"/>
      <c r="R246" s="21"/>
      <c r="S246" s="21"/>
      <c r="T246" s="21"/>
      <c r="U246" s="21"/>
      <c r="V246" s="21"/>
      <c r="W246" s="21"/>
      <c r="X246" s="21"/>
      <c r="Y246" s="21"/>
      <c r="Z246" s="21"/>
      <c r="AA246" s="21"/>
      <c r="AB246" s="21"/>
      <c r="AC246" s="306"/>
      <c r="AD246" s="306"/>
      <c r="AE246" s="306"/>
      <c r="AF246" s="306"/>
      <c r="AG246" s="306"/>
    </row>
    <row r="247" spans="1:33">
      <c r="A247" s="306"/>
      <c r="B247" s="335">
        <f>SUM(B231:B243)</f>
        <v>16</v>
      </c>
      <c r="C247" s="341" t="s">
        <v>861</v>
      </c>
      <c r="D247" s="342"/>
      <c r="E247" s="343"/>
      <c r="F247" s="343"/>
      <c r="G247" s="343"/>
      <c r="H247" s="343"/>
      <c r="I247" s="342"/>
      <c r="J247" s="360"/>
      <c r="K247" s="361"/>
      <c r="L247" s="343"/>
      <c r="M247" s="362">
        <f>SUM(M230:M246)</f>
        <v>103623.62000000001</v>
      </c>
      <c r="N247" s="363"/>
      <c r="O247" s="362">
        <f>SUM(O230:O246)</f>
        <v>103623.62000000001</v>
      </c>
      <c r="P247" s="362">
        <f>SUM(P230:P246)</f>
        <v>863.53016666666667</v>
      </c>
      <c r="Q247" s="362">
        <f>SUM(Q230:Q246)</f>
        <v>3777.652</v>
      </c>
      <c r="R247" s="362"/>
      <c r="S247" s="362">
        <f>SUM(S230:S246)</f>
        <v>3777.652</v>
      </c>
      <c r="T247" s="362"/>
      <c r="U247" s="362">
        <f>SUM(U230:U246)</f>
        <v>3777.652</v>
      </c>
      <c r="V247" s="363"/>
      <c r="W247" s="363"/>
      <c r="X247" s="363"/>
      <c r="Y247" s="363"/>
      <c r="Z247" s="362">
        <f>SUM(Z230:Z246)</f>
        <v>83980.730333333049</v>
      </c>
      <c r="AA247" s="362">
        <f>SUM(AA230:AA246)</f>
        <v>87758.382333333051</v>
      </c>
      <c r="AB247" s="362">
        <f>SUM(AB230:AB246)</f>
        <v>17754.063666666952</v>
      </c>
      <c r="AC247" s="306"/>
      <c r="AD247" s="306"/>
      <c r="AE247" s="306"/>
      <c r="AF247" s="306"/>
      <c r="AG247" s="306"/>
    </row>
    <row r="248" spans="1:33">
      <c r="A248" s="306"/>
      <c r="B248" s="369"/>
      <c r="C248" s="355"/>
      <c r="D248" s="314"/>
      <c r="E248" s="306"/>
      <c r="F248" s="306"/>
      <c r="G248" s="306"/>
      <c r="H248" s="306"/>
      <c r="I248" s="314"/>
      <c r="J248" s="308"/>
      <c r="K248" s="365"/>
      <c r="L248" s="306"/>
      <c r="M248" s="366"/>
      <c r="N248" s="21"/>
      <c r="O248" s="21"/>
      <c r="P248" s="21"/>
      <c r="Q248" s="21"/>
      <c r="R248" s="21"/>
      <c r="S248" s="21"/>
      <c r="T248" s="21"/>
      <c r="U248" s="21"/>
      <c r="V248" s="21"/>
      <c r="W248" s="21"/>
      <c r="X248" s="21"/>
      <c r="Y248" s="21"/>
      <c r="Z248" s="21"/>
      <c r="AA248" s="21"/>
      <c r="AB248" s="21"/>
      <c r="AC248" s="306"/>
      <c r="AD248" s="306"/>
      <c r="AE248" s="306"/>
      <c r="AF248" s="306"/>
      <c r="AG248" s="306"/>
    </row>
    <row r="249" spans="1:33">
      <c r="A249" s="306"/>
      <c r="C249" s="319"/>
      <c r="D249" s="314"/>
      <c r="E249" s="306"/>
      <c r="F249" s="306"/>
      <c r="G249" s="306"/>
      <c r="H249" s="306"/>
      <c r="I249" s="314"/>
      <c r="J249" s="308"/>
      <c r="K249" s="365"/>
      <c r="L249" s="306"/>
      <c r="M249" s="366"/>
      <c r="N249" s="21"/>
      <c r="O249" s="21"/>
      <c r="P249" s="21"/>
      <c r="Q249" s="21"/>
      <c r="R249" s="21"/>
      <c r="S249" s="21"/>
      <c r="T249" s="21"/>
      <c r="U249" s="21"/>
      <c r="V249" s="21"/>
      <c r="W249" s="21"/>
      <c r="X249" s="21"/>
      <c r="Y249" s="21"/>
      <c r="Z249" s="21"/>
      <c r="AA249" s="21"/>
      <c r="AB249" s="21"/>
      <c r="AC249" s="306"/>
      <c r="AD249" s="306"/>
      <c r="AE249" s="306"/>
      <c r="AF249" s="306"/>
      <c r="AG249" s="306"/>
    </row>
    <row r="250" spans="1:33">
      <c r="A250" s="306"/>
      <c r="C250" s="319" t="s">
        <v>862</v>
      </c>
      <c r="D250" s="314"/>
      <c r="E250" s="306"/>
      <c r="F250" s="306"/>
      <c r="G250" s="306"/>
      <c r="H250" s="306"/>
      <c r="I250" s="314"/>
      <c r="J250" s="308"/>
      <c r="K250" s="365"/>
      <c r="L250" s="306"/>
      <c r="M250" s="366"/>
      <c r="N250" s="21"/>
      <c r="O250" s="21"/>
      <c r="P250" s="21"/>
      <c r="Q250" s="21"/>
      <c r="R250" s="21"/>
      <c r="S250" s="21"/>
      <c r="T250" s="21"/>
      <c r="U250" s="21"/>
      <c r="V250" s="21"/>
      <c r="W250" s="21"/>
      <c r="X250" s="21"/>
      <c r="Y250" s="21"/>
      <c r="Z250" s="21"/>
      <c r="AA250" s="21"/>
      <c r="AB250" s="21"/>
      <c r="AC250" s="306"/>
      <c r="AD250" s="306"/>
      <c r="AE250" s="306"/>
      <c r="AF250" s="306"/>
      <c r="AG250" s="306"/>
    </row>
    <row r="251" spans="1:33">
      <c r="A251" s="306"/>
      <c r="C251" s="331" t="s">
        <v>863</v>
      </c>
      <c r="D251" s="314">
        <v>2004</v>
      </c>
      <c r="E251" s="306">
        <v>8</v>
      </c>
      <c r="F251" s="352">
        <v>0.2</v>
      </c>
      <c r="G251" s="352"/>
      <c r="H251" s="314" t="s">
        <v>722</v>
      </c>
      <c r="I251" s="314">
        <v>7</v>
      </c>
      <c r="J251" s="308">
        <f>D251+I251</f>
        <v>2011</v>
      </c>
      <c r="K251" s="353"/>
      <c r="L251" s="306"/>
      <c r="M251" s="333">
        <f>15000+18940</f>
        <v>33940</v>
      </c>
      <c r="N251" s="21"/>
      <c r="O251" s="19">
        <f>M251-M251*F251</f>
        <v>27152</v>
      </c>
      <c r="P251" s="19">
        <f>O251/I251/12</f>
        <v>323.23809523809524</v>
      </c>
      <c r="Q251" s="19">
        <f>IF(N251&gt;0,0,IF(OR(AC251&gt;AD251,AE251&lt;AF251),0,IF(AND(AE251&gt;=AF251,AE251&lt;=AD251),P251*((AE251-AF251)*12),IF(AND(AF251&lt;=AC251,AD251&gt;=AC251),((AD251-AC251)*12)*P251,IF(AE251&gt;AD251,12*P251,0)))))</f>
        <v>0</v>
      </c>
      <c r="R251" s="19"/>
      <c r="S251" s="19">
        <f>IF(R251&gt;0,R251,Q251)</f>
        <v>0</v>
      </c>
      <c r="T251" s="19">
        <v>1</v>
      </c>
      <c r="U251" s="19">
        <f>T251*SUM(Q251:R251)</f>
        <v>0</v>
      </c>
      <c r="V251" s="19"/>
      <c r="W251" s="19">
        <f>IF(AC251&gt;AD251,0,IF(AE251&lt;AF251,O251,IF(AND(AE251&gt;=AF251,AE251&lt;=AD251),(O251-S251),IF(AND(AF251&lt;=AC251,AD251&gt;=AC251),0,IF(AE251&gt;AD251,((AF251-AC251)*12)*P251,0)))))</f>
        <v>27152</v>
      </c>
      <c r="X251" s="19">
        <f>W251*T251</f>
        <v>27152</v>
      </c>
      <c r="Y251" s="19">
        <v>1</v>
      </c>
      <c r="Z251" s="19">
        <f>X251*Y251</f>
        <v>27152</v>
      </c>
      <c r="AA251" s="19">
        <f>IF(N251&gt;0,0,Z251+U251*Y251)*Y251</f>
        <v>27152</v>
      </c>
      <c r="AB251" s="19">
        <f>IF(N251&gt;0,(M251-Z251)/2,IF(AC251&gt;=AF251,(((M251*T251)*Y251)-AA251)/2,((((M251*T251)*Y251)-Z251)+(((M251*T251)*Y251)-AA251))/2))</f>
        <v>6788</v>
      </c>
      <c r="AC251" s="310">
        <f>$D251+(($E251-1)/12)</f>
        <v>2004.5833333333333</v>
      </c>
      <c r="AD251" s="310">
        <f>($O$5+1)-($O$2/12)</f>
        <v>2016.5</v>
      </c>
      <c r="AE251" s="310">
        <f>$J251+(($E251-1)/12)</f>
        <v>2011.5833333333333</v>
      </c>
      <c r="AF251" s="310">
        <f>$O$4+($O$3/12)</f>
        <v>2015.5</v>
      </c>
      <c r="AG251" s="310">
        <f>$K251+(($L251-1)/12)</f>
        <v>-8.3333333333333329E-2</v>
      </c>
    </row>
    <row r="252" spans="1:33">
      <c r="A252" s="306"/>
      <c r="C252" s="331"/>
      <c r="D252" s="314"/>
      <c r="E252" s="306"/>
      <c r="F252" s="352"/>
      <c r="G252" s="352"/>
      <c r="H252" s="314"/>
      <c r="I252" s="314"/>
      <c r="J252" s="308"/>
      <c r="K252" s="353"/>
      <c r="L252" s="306"/>
      <c r="M252" s="333"/>
      <c r="N252" s="21"/>
      <c r="O252" s="19"/>
      <c r="P252" s="19"/>
      <c r="Q252" s="19"/>
      <c r="R252" s="19"/>
      <c r="S252" s="19"/>
      <c r="T252" s="19"/>
      <c r="U252" s="19"/>
      <c r="V252" s="19"/>
      <c r="W252" s="19"/>
      <c r="X252" s="19"/>
      <c r="Y252" s="19"/>
      <c r="Z252" s="19"/>
      <c r="AA252" s="19"/>
      <c r="AB252" s="19"/>
      <c r="AC252" s="310"/>
      <c r="AD252" s="310"/>
      <c r="AE252" s="310"/>
      <c r="AF252" s="310"/>
      <c r="AG252" s="310"/>
    </row>
    <row r="253" spans="1:33">
      <c r="A253" s="306"/>
      <c r="C253" s="341" t="s">
        <v>3</v>
      </c>
      <c r="D253" s="342"/>
      <c r="E253" s="343"/>
      <c r="F253" s="370"/>
      <c r="G253" s="370"/>
      <c r="H253" s="342"/>
      <c r="I253" s="342"/>
      <c r="J253" s="360"/>
      <c r="K253" s="371"/>
      <c r="L253" s="343"/>
      <c r="M253" s="362">
        <f>SUM(M251:M252)</f>
        <v>33940</v>
      </c>
      <c r="N253" s="363"/>
      <c r="O253" s="362">
        <f>SUM(O251:O252)</f>
        <v>27152</v>
      </c>
      <c r="P253" s="362">
        <f>SUM(P251:P252)</f>
        <v>323.23809523809524</v>
      </c>
      <c r="Q253" s="362">
        <f>SUM(Q251:Q252)</f>
        <v>0</v>
      </c>
      <c r="R253" s="372"/>
      <c r="S253" s="372"/>
      <c r="T253" s="372"/>
      <c r="U253" s="372"/>
      <c r="V253" s="372"/>
      <c r="W253" s="372"/>
      <c r="X253" s="372"/>
      <c r="Y253" s="372"/>
      <c r="Z253" s="362">
        <f>SUM(Z251:Z252)</f>
        <v>27152</v>
      </c>
      <c r="AA253" s="362">
        <f>SUM(AA251:AA252)</f>
        <v>27152</v>
      </c>
      <c r="AB253" s="362">
        <f>SUM(AB251:AB252)</f>
        <v>6788</v>
      </c>
      <c r="AC253" s="310"/>
      <c r="AD253" s="310"/>
      <c r="AE253" s="310"/>
      <c r="AF253" s="310"/>
      <c r="AG253" s="310"/>
    </row>
    <row r="254" spans="1:33">
      <c r="A254" s="306"/>
      <c r="C254" s="319"/>
      <c r="D254" s="314"/>
      <c r="E254" s="306"/>
      <c r="F254" s="306"/>
      <c r="G254" s="306"/>
      <c r="H254" s="306"/>
      <c r="I254" s="314"/>
      <c r="J254" s="308"/>
      <c r="K254" s="365"/>
      <c r="L254" s="306"/>
      <c r="M254" s="366"/>
      <c r="N254" s="21"/>
      <c r="O254" s="21"/>
      <c r="P254" s="21"/>
      <c r="Q254" s="21"/>
      <c r="R254" s="21"/>
      <c r="S254" s="21"/>
      <c r="T254" s="21"/>
      <c r="U254" s="21"/>
      <c r="V254" s="21"/>
      <c r="W254" s="21"/>
      <c r="X254" s="21"/>
      <c r="Y254" s="21"/>
      <c r="Z254" s="21"/>
      <c r="AA254" s="21"/>
      <c r="AB254" s="21"/>
      <c r="AC254" s="306"/>
      <c r="AD254" s="306"/>
      <c r="AE254" s="306"/>
      <c r="AF254" s="306"/>
      <c r="AG254" s="306"/>
    </row>
    <row r="255" spans="1:33">
      <c r="A255" s="306"/>
      <c r="C255" s="306"/>
      <c r="D255" s="314"/>
      <c r="E255" s="306"/>
      <c r="F255" s="306"/>
      <c r="G255" s="306"/>
      <c r="H255" s="306"/>
      <c r="I255" s="314"/>
      <c r="J255" s="308"/>
      <c r="K255" s="373"/>
      <c r="L255" s="306"/>
      <c r="M255" s="374"/>
      <c r="N255" s="21"/>
      <c r="O255" s="21"/>
      <c r="P255" s="21"/>
      <c r="Q255" s="21"/>
      <c r="R255" s="21"/>
      <c r="S255" s="21"/>
      <c r="T255" s="21"/>
      <c r="U255" s="21"/>
      <c r="V255" s="21"/>
      <c r="W255" s="21"/>
      <c r="X255" s="21"/>
      <c r="Y255" s="21"/>
      <c r="Z255" s="21"/>
      <c r="AA255" s="21"/>
      <c r="AB255" s="21"/>
      <c r="AC255" s="306"/>
      <c r="AD255" s="306"/>
      <c r="AE255" s="306"/>
      <c r="AF255" s="306"/>
      <c r="AG255" s="306"/>
    </row>
    <row r="256" spans="1:33">
      <c r="A256" s="306"/>
      <c r="C256" s="319" t="s">
        <v>864</v>
      </c>
      <c r="D256" s="314"/>
      <c r="E256" s="306"/>
      <c r="F256" s="306"/>
      <c r="G256" s="306"/>
      <c r="H256" s="306"/>
      <c r="I256" s="314"/>
      <c r="J256" s="308"/>
      <c r="K256" s="373"/>
      <c r="L256" s="306"/>
      <c r="M256" s="374"/>
      <c r="N256" s="21"/>
      <c r="O256" s="21"/>
      <c r="P256" s="21"/>
      <c r="Q256" s="21"/>
      <c r="R256" s="21"/>
      <c r="S256" s="21"/>
      <c r="T256" s="21"/>
      <c r="U256" s="21"/>
      <c r="V256" s="21"/>
      <c r="W256" s="21"/>
      <c r="X256" s="21"/>
      <c r="Y256" s="21"/>
      <c r="Z256" s="21"/>
      <c r="AA256" s="21"/>
      <c r="AB256" s="21"/>
      <c r="AC256" s="306"/>
      <c r="AD256" s="306"/>
      <c r="AE256" s="306"/>
      <c r="AF256" s="306"/>
      <c r="AG256" s="306"/>
    </row>
    <row r="257" spans="1:33">
      <c r="A257" s="306"/>
      <c r="C257" s="331" t="s">
        <v>865</v>
      </c>
      <c r="D257" s="314">
        <v>1992</v>
      </c>
      <c r="E257" s="306">
        <v>7</v>
      </c>
      <c r="F257" s="352">
        <v>0.2</v>
      </c>
      <c r="G257" s="352"/>
      <c r="H257" s="314" t="s">
        <v>722</v>
      </c>
      <c r="I257" s="314">
        <v>7</v>
      </c>
      <c r="J257" s="308">
        <f t="shared" ref="J257:J267" si="146">D257+I257</f>
        <v>1999</v>
      </c>
      <c r="K257" s="353"/>
      <c r="L257" s="306"/>
      <c r="M257" s="333">
        <v>20010</v>
      </c>
      <c r="N257" s="21"/>
      <c r="O257" s="19">
        <f t="shared" ref="O257:O267" si="147">M257-M257*F257</f>
        <v>16008</v>
      </c>
      <c r="P257" s="19">
        <f t="shared" ref="P257:P267" si="148">O257/I257/12</f>
        <v>190.57142857142856</v>
      </c>
      <c r="Q257" s="19">
        <f t="shared" ref="Q257:Q267" si="149">IF(N257&gt;0,0,IF(OR(AC257&gt;AD257,AE257&lt;AF257),0,IF(AND(AE257&gt;=AF257,AE257&lt;=AD257),P257*((AE257-AF257)*12),IF(AND(AF257&lt;=AC257,AD257&gt;=AC257),((AD257-AC257)*12)*P257,IF(AE257&gt;AD257,12*P257,0)))))</f>
        <v>0</v>
      </c>
      <c r="R257" s="19"/>
      <c r="S257" s="19">
        <f t="shared" ref="S257:S267" si="150">IF(R257&gt;0,R257,Q257)</f>
        <v>0</v>
      </c>
      <c r="T257" s="19">
        <v>1</v>
      </c>
      <c r="U257" s="19">
        <f t="shared" ref="U257:U267" si="151">T257*SUM(Q257:R257)</f>
        <v>0</v>
      </c>
      <c r="V257" s="19"/>
      <c r="W257" s="19">
        <f t="shared" ref="W257:W267" si="152">IF(AC257&gt;AD257,0,IF(AE257&lt;AF257,O257,IF(AND(AE257&gt;=AF257,AE257&lt;=AD257),(O257-S257),IF(AND(AF257&lt;=AC257,AD257&gt;=AC257),0,IF(AE257&gt;AD257,((AF257-AC257)*12)*P257,0)))))</f>
        <v>16008</v>
      </c>
      <c r="X257" s="19">
        <f t="shared" ref="X257:X267" si="153">W257*T257</f>
        <v>16008</v>
      </c>
      <c r="Y257" s="19">
        <v>1</v>
      </c>
      <c r="Z257" s="19">
        <f t="shared" ref="Z257:Z267" si="154">X257*Y257</f>
        <v>16008</v>
      </c>
      <c r="AA257" s="19">
        <f t="shared" ref="AA257:AA267" si="155">IF(N257&gt;0,0,Z257+U257*Y257)*Y257</f>
        <v>16008</v>
      </c>
      <c r="AB257" s="19">
        <f t="shared" ref="AB257:AB267" si="156">IF(N257&gt;0,(M257-Z257)/2,IF(AC257&gt;=AF257,(((M257*T257)*Y257)-AA257)/2,((((M257*T257)*Y257)-Z257)+(((M257*T257)*Y257)-AA257))/2))</f>
        <v>4002</v>
      </c>
      <c r="AC257" s="310">
        <f t="shared" ref="AC257:AC272" si="157">$D257+(($E257-1)/12)</f>
        <v>1992.5</v>
      </c>
      <c r="AD257" s="310">
        <f t="shared" ref="AD257:AD272" si="158">($O$5+1)-($O$2/12)</f>
        <v>2016.5</v>
      </c>
      <c r="AE257" s="310">
        <f t="shared" ref="AE257:AE272" si="159">$J257+(($E257-1)/12)</f>
        <v>1999.5</v>
      </c>
      <c r="AF257" s="310">
        <f t="shared" ref="AF257:AF272" si="160">$O$4+($O$3/12)</f>
        <v>2015.5</v>
      </c>
      <c r="AG257" s="310">
        <f t="shared" ref="AG257:AG272" si="161">$K257+(($L257-1)/12)</f>
        <v>-8.3333333333333329E-2</v>
      </c>
    </row>
    <row r="258" spans="1:33">
      <c r="A258" s="306"/>
      <c r="C258" s="331" t="s">
        <v>866</v>
      </c>
      <c r="D258" s="314">
        <v>1992</v>
      </c>
      <c r="E258" s="306">
        <v>5</v>
      </c>
      <c r="F258" s="352">
        <v>0.2</v>
      </c>
      <c r="G258" s="352"/>
      <c r="H258" s="314" t="s">
        <v>722</v>
      </c>
      <c r="I258" s="314">
        <v>7</v>
      </c>
      <c r="J258" s="308">
        <f t="shared" si="146"/>
        <v>1999</v>
      </c>
      <c r="K258" s="353"/>
      <c r="L258" s="306"/>
      <c r="M258" s="333">
        <v>44068</v>
      </c>
      <c r="N258" s="21"/>
      <c r="O258" s="19">
        <f t="shared" si="147"/>
        <v>35254.400000000001</v>
      </c>
      <c r="P258" s="19">
        <f t="shared" si="148"/>
        <v>419.69523809523815</v>
      </c>
      <c r="Q258" s="19">
        <f t="shared" si="149"/>
        <v>0</v>
      </c>
      <c r="R258" s="19"/>
      <c r="S258" s="19">
        <f t="shared" si="150"/>
        <v>0</v>
      </c>
      <c r="T258" s="19">
        <v>1</v>
      </c>
      <c r="U258" s="19">
        <f t="shared" si="151"/>
        <v>0</v>
      </c>
      <c r="V258" s="19"/>
      <c r="W258" s="19">
        <f t="shared" si="152"/>
        <v>35254.400000000001</v>
      </c>
      <c r="X258" s="19">
        <f t="shared" si="153"/>
        <v>35254.400000000001</v>
      </c>
      <c r="Y258" s="19">
        <v>1</v>
      </c>
      <c r="Z258" s="19">
        <f t="shared" si="154"/>
        <v>35254.400000000001</v>
      </c>
      <c r="AA258" s="19">
        <f t="shared" si="155"/>
        <v>35254.400000000001</v>
      </c>
      <c r="AB258" s="19">
        <f t="shared" si="156"/>
        <v>8813.5999999999985</v>
      </c>
      <c r="AC258" s="310">
        <f t="shared" si="157"/>
        <v>1992.3333333333333</v>
      </c>
      <c r="AD258" s="310">
        <f t="shared" si="158"/>
        <v>2016.5</v>
      </c>
      <c r="AE258" s="310">
        <f t="shared" si="159"/>
        <v>1999.3333333333333</v>
      </c>
      <c r="AF258" s="310">
        <f t="shared" si="160"/>
        <v>2015.5</v>
      </c>
      <c r="AG258" s="310">
        <f t="shared" si="161"/>
        <v>-8.3333333333333329E-2</v>
      </c>
    </row>
    <row r="259" spans="1:33">
      <c r="A259" s="306"/>
      <c r="C259" s="331" t="s">
        <v>867</v>
      </c>
      <c r="D259" s="314">
        <v>1996</v>
      </c>
      <c r="E259" s="306">
        <v>12</v>
      </c>
      <c r="F259" s="352">
        <v>0.3</v>
      </c>
      <c r="G259" s="352"/>
      <c r="H259" s="314" t="s">
        <v>722</v>
      </c>
      <c r="I259" s="314">
        <v>7</v>
      </c>
      <c r="J259" s="308">
        <f t="shared" si="146"/>
        <v>2003</v>
      </c>
      <c r="K259" s="353"/>
      <c r="L259" s="306"/>
      <c r="M259" s="333">
        <v>800</v>
      </c>
      <c r="N259" s="21"/>
      <c r="O259" s="19">
        <f t="shared" si="147"/>
        <v>560</v>
      </c>
      <c r="P259" s="19">
        <f t="shared" si="148"/>
        <v>6.666666666666667</v>
      </c>
      <c r="Q259" s="19">
        <f t="shared" si="149"/>
        <v>0</v>
      </c>
      <c r="R259" s="19"/>
      <c r="S259" s="19">
        <f t="shared" si="150"/>
        <v>0</v>
      </c>
      <c r="T259" s="19">
        <v>1</v>
      </c>
      <c r="U259" s="19">
        <f t="shared" si="151"/>
        <v>0</v>
      </c>
      <c r="V259" s="19"/>
      <c r="W259" s="19">
        <f t="shared" si="152"/>
        <v>560</v>
      </c>
      <c r="X259" s="19">
        <f t="shared" si="153"/>
        <v>560</v>
      </c>
      <c r="Y259" s="19">
        <v>1</v>
      </c>
      <c r="Z259" s="19">
        <f t="shared" si="154"/>
        <v>560</v>
      </c>
      <c r="AA259" s="19">
        <f t="shared" si="155"/>
        <v>560</v>
      </c>
      <c r="AB259" s="19">
        <f t="shared" si="156"/>
        <v>240</v>
      </c>
      <c r="AC259" s="310">
        <f t="shared" si="157"/>
        <v>1996.9166666666667</v>
      </c>
      <c r="AD259" s="310">
        <f t="shared" si="158"/>
        <v>2016.5</v>
      </c>
      <c r="AE259" s="310">
        <f t="shared" si="159"/>
        <v>2003.9166666666667</v>
      </c>
      <c r="AF259" s="310">
        <f t="shared" si="160"/>
        <v>2015.5</v>
      </c>
      <c r="AG259" s="310">
        <f t="shared" si="161"/>
        <v>-8.3333333333333329E-2</v>
      </c>
    </row>
    <row r="260" spans="1:33">
      <c r="A260" s="306"/>
      <c r="C260" s="331" t="s">
        <v>868</v>
      </c>
      <c r="D260" s="314">
        <v>2001</v>
      </c>
      <c r="E260" s="306">
        <v>2</v>
      </c>
      <c r="F260" s="352">
        <v>0</v>
      </c>
      <c r="G260" s="352"/>
      <c r="H260" s="314" t="s">
        <v>722</v>
      </c>
      <c r="I260" s="314">
        <v>7</v>
      </c>
      <c r="J260" s="308">
        <f t="shared" si="146"/>
        <v>2008</v>
      </c>
      <c r="K260" s="353"/>
      <c r="L260" s="306"/>
      <c r="M260" s="333">
        <v>4462.29</v>
      </c>
      <c r="N260" s="21"/>
      <c r="O260" s="19">
        <f t="shared" si="147"/>
        <v>4462.29</v>
      </c>
      <c r="P260" s="19">
        <f t="shared" si="148"/>
        <v>53.122500000000002</v>
      </c>
      <c r="Q260" s="19">
        <f t="shared" si="149"/>
        <v>0</v>
      </c>
      <c r="R260" s="19"/>
      <c r="S260" s="19">
        <f t="shared" si="150"/>
        <v>0</v>
      </c>
      <c r="T260" s="19">
        <v>1</v>
      </c>
      <c r="U260" s="19">
        <f t="shared" si="151"/>
        <v>0</v>
      </c>
      <c r="V260" s="19"/>
      <c r="W260" s="19">
        <f t="shared" si="152"/>
        <v>4462.29</v>
      </c>
      <c r="X260" s="19">
        <f t="shared" si="153"/>
        <v>4462.29</v>
      </c>
      <c r="Y260" s="19">
        <v>1</v>
      </c>
      <c r="Z260" s="19">
        <f t="shared" si="154"/>
        <v>4462.29</v>
      </c>
      <c r="AA260" s="19">
        <f t="shared" si="155"/>
        <v>4462.29</v>
      </c>
      <c r="AB260" s="19">
        <f t="shared" si="156"/>
        <v>0</v>
      </c>
      <c r="AC260" s="310">
        <f t="shared" si="157"/>
        <v>2001.0833333333333</v>
      </c>
      <c r="AD260" s="310">
        <f t="shared" si="158"/>
        <v>2016.5</v>
      </c>
      <c r="AE260" s="310">
        <f t="shared" si="159"/>
        <v>2008.0833333333333</v>
      </c>
      <c r="AF260" s="310">
        <f t="shared" si="160"/>
        <v>2015.5</v>
      </c>
      <c r="AG260" s="310">
        <f t="shared" si="161"/>
        <v>-8.3333333333333329E-2</v>
      </c>
    </row>
    <row r="261" spans="1:33">
      <c r="A261" s="306"/>
      <c r="C261" s="306" t="s">
        <v>869</v>
      </c>
      <c r="D261" s="314">
        <v>2002</v>
      </c>
      <c r="E261" s="306">
        <v>1</v>
      </c>
      <c r="F261" s="352">
        <v>0</v>
      </c>
      <c r="G261" s="352"/>
      <c r="H261" s="314" t="s">
        <v>722</v>
      </c>
      <c r="I261" s="314">
        <v>7</v>
      </c>
      <c r="J261" s="308">
        <f t="shared" si="146"/>
        <v>2009</v>
      </c>
      <c r="K261" s="368"/>
      <c r="L261" s="306"/>
      <c r="M261" s="21">
        <v>5000</v>
      </c>
      <c r="N261" s="21"/>
      <c r="O261" s="19">
        <f t="shared" si="147"/>
        <v>5000</v>
      </c>
      <c r="P261" s="19">
        <f t="shared" si="148"/>
        <v>59.523809523809526</v>
      </c>
      <c r="Q261" s="19">
        <f t="shared" si="149"/>
        <v>0</v>
      </c>
      <c r="R261" s="19"/>
      <c r="S261" s="19">
        <f t="shared" si="150"/>
        <v>0</v>
      </c>
      <c r="T261" s="19">
        <v>1</v>
      </c>
      <c r="U261" s="19">
        <f t="shared" si="151"/>
        <v>0</v>
      </c>
      <c r="V261" s="19"/>
      <c r="W261" s="19">
        <f t="shared" si="152"/>
        <v>5000</v>
      </c>
      <c r="X261" s="19">
        <f t="shared" si="153"/>
        <v>5000</v>
      </c>
      <c r="Y261" s="19">
        <v>1</v>
      </c>
      <c r="Z261" s="19">
        <f t="shared" si="154"/>
        <v>5000</v>
      </c>
      <c r="AA261" s="19">
        <f t="shared" si="155"/>
        <v>5000</v>
      </c>
      <c r="AB261" s="19">
        <f t="shared" si="156"/>
        <v>0</v>
      </c>
      <c r="AC261" s="310">
        <f t="shared" si="157"/>
        <v>2002</v>
      </c>
      <c r="AD261" s="310">
        <f t="shared" si="158"/>
        <v>2016.5</v>
      </c>
      <c r="AE261" s="310">
        <f t="shared" si="159"/>
        <v>2009</v>
      </c>
      <c r="AF261" s="310">
        <f t="shared" si="160"/>
        <v>2015.5</v>
      </c>
      <c r="AG261" s="310">
        <f t="shared" si="161"/>
        <v>-8.3333333333333329E-2</v>
      </c>
    </row>
    <row r="262" spans="1:33">
      <c r="A262" s="306"/>
      <c r="C262" s="306" t="s">
        <v>870</v>
      </c>
      <c r="D262" s="314">
        <v>2004</v>
      </c>
      <c r="E262" s="306">
        <v>7</v>
      </c>
      <c r="F262" s="352">
        <v>0</v>
      </c>
      <c r="G262" s="352"/>
      <c r="H262" s="314" t="s">
        <v>722</v>
      </c>
      <c r="I262" s="314">
        <v>7</v>
      </c>
      <c r="J262" s="308">
        <f t="shared" si="146"/>
        <v>2011</v>
      </c>
      <c r="K262" s="368"/>
      <c r="L262" s="306"/>
      <c r="M262" s="21">
        <v>318</v>
      </c>
      <c r="N262" s="21"/>
      <c r="O262" s="19">
        <f t="shared" si="147"/>
        <v>318</v>
      </c>
      <c r="P262" s="19">
        <f t="shared" si="148"/>
        <v>3.785714285714286</v>
      </c>
      <c r="Q262" s="19">
        <f t="shared" si="149"/>
        <v>0</v>
      </c>
      <c r="R262" s="19"/>
      <c r="S262" s="19">
        <f t="shared" si="150"/>
        <v>0</v>
      </c>
      <c r="T262" s="19">
        <v>1</v>
      </c>
      <c r="U262" s="19">
        <f t="shared" si="151"/>
        <v>0</v>
      </c>
      <c r="V262" s="19"/>
      <c r="W262" s="19">
        <f t="shared" si="152"/>
        <v>318</v>
      </c>
      <c r="X262" s="19">
        <f t="shared" si="153"/>
        <v>318</v>
      </c>
      <c r="Y262" s="19">
        <v>1</v>
      </c>
      <c r="Z262" s="19">
        <f t="shared" si="154"/>
        <v>318</v>
      </c>
      <c r="AA262" s="19">
        <f t="shared" si="155"/>
        <v>318</v>
      </c>
      <c r="AB262" s="19">
        <f t="shared" si="156"/>
        <v>0</v>
      </c>
      <c r="AC262" s="310">
        <f t="shared" si="157"/>
        <v>2004.5</v>
      </c>
      <c r="AD262" s="310">
        <f t="shared" si="158"/>
        <v>2016.5</v>
      </c>
      <c r="AE262" s="310">
        <f t="shared" si="159"/>
        <v>2011.5</v>
      </c>
      <c r="AF262" s="310">
        <f t="shared" si="160"/>
        <v>2015.5</v>
      </c>
      <c r="AG262" s="310">
        <f t="shared" si="161"/>
        <v>-8.3333333333333329E-2</v>
      </c>
    </row>
    <row r="263" spans="1:33">
      <c r="A263" s="306"/>
      <c r="C263" s="306" t="s">
        <v>871</v>
      </c>
      <c r="D263" s="314">
        <v>2004</v>
      </c>
      <c r="E263" s="306">
        <v>7</v>
      </c>
      <c r="F263" s="352">
        <v>0</v>
      </c>
      <c r="G263" s="352"/>
      <c r="H263" s="314" t="s">
        <v>722</v>
      </c>
      <c r="I263" s="314">
        <v>7</v>
      </c>
      <c r="J263" s="308">
        <f t="shared" si="146"/>
        <v>2011</v>
      </c>
      <c r="K263" s="368"/>
      <c r="L263" s="306"/>
      <c r="M263" s="21">
        <v>229</v>
      </c>
      <c r="N263" s="21"/>
      <c r="O263" s="19">
        <f t="shared" si="147"/>
        <v>229</v>
      </c>
      <c r="P263" s="19">
        <f t="shared" si="148"/>
        <v>2.7261904761904763</v>
      </c>
      <c r="Q263" s="19">
        <f t="shared" si="149"/>
        <v>0</v>
      </c>
      <c r="R263" s="19"/>
      <c r="S263" s="19">
        <f t="shared" si="150"/>
        <v>0</v>
      </c>
      <c r="T263" s="19">
        <v>1</v>
      </c>
      <c r="U263" s="19">
        <f t="shared" si="151"/>
        <v>0</v>
      </c>
      <c r="V263" s="19"/>
      <c r="W263" s="19">
        <f t="shared" si="152"/>
        <v>229</v>
      </c>
      <c r="X263" s="19">
        <f t="shared" si="153"/>
        <v>229</v>
      </c>
      <c r="Y263" s="19">
        <v>1</v>
      </c>
      <c r="Z263" s="19">
        <f t="shared" si="154"/>
        <v>229</v>
      </c>
      <c r="AA263" s="19">
        <f t="shared" si="155"/>
        <v>229</v>
      </c>
      <c r="AB263" s="19">
        <f t="shared" si="156"/>
        <v>0</v>
      </c>
      <c r="AC263" s="310">
        <f t="shared" si="157"/>
        <v>2004.5</v>
      </c>
      <c r="AD263" s="310">
        <f t="shared" si="158"/>
        <v>2016.5</v>
      </c>
      <c r="AE263" s="310">
        <f t="shared" si="159"/>
        <v>2011.5</v>
      </c>
      <c r="AF263" s="310">
        <f t="shared" si="160"/>
        <v>2015.5</v>
      </c>
      <c r="AG263" s="310">
        <f t="shared" si="161"/>
        <v>-8.3333333333333329E-2</v>
      </c>
    </row>
    <row r="264" spans="1:33">
      <c r="A264" s="306"/>
      <c r="C264" s="306" t="s">
        <v>872</v>
      </c>
      <c r="D264" s="314">
        <v>2004</v>
      </c>
      <c r="E264" s="306">
        <v>7</v>
      </c>
      <c r="F264" s="352">
        <v>0</v>
      </c>
      <c r="G264" s="352"/>
      <c r="H264" s="314" t="s">
        <v>722</v>
      </c>
      <c r="I264" s="314">
        <v>7</v>
      </c>
      <c r="J264" s="308">
        <f t="shared" si="146"/>
        <v>2011</v>
      </c>
      <c r="K264" s="368"/>
      <c r="L264" s="306"/>
      <c r="M264" s="21">
        <v>572</v>
      </c>
      <c r="N264" s="21"/>
      <c r="O264" s="19">
        <f t="shared" si="147"/>
        <v>572</v>
      </c>
      <c r="P264" s="19">
        <f t="shared" si="148"/>
        <v>6.8095238095238093</v>
      </c>
      <c r="Q264" s="19">
        <f t="shared" si="149"/>
        <v>0</v>
      </c>
      <c r="R264" s="19"/>
      <c r="S264" s="19">
        <f t="shared" si="150"/>
        <v>0</v>
      </c>
      <c r="T264" s="19">
        <v>1</v>
      </c>
      <c r="U264" s="19">
        <f t="shared" si="151"/>
        <v>0</v>
      </c>
      <c r="V264" s="19"/>
      <c r="W264" s="19">
        <f t="shared" si="152"/>
        <v>572</v>
      </c>
      <c r="X264" s="19">
        <f t="shared" si="153"/>
        <v>572</v>
      </c>
      <c r="Y264" s="19">
        <v>1</v>
      </c>
      <c r="Z264" s="19">
        <f t="shared" si="154"/>
        <v>572</v>
      </c>
      <c r="AA264" s="19">
        <f t="shared" si="155"/>
        <v>572</v>
      </c>
      <c r="AB264" s="19">
        <f t="shared" si="156"/>
        <v>0</v>
      </c>
      <c r="AC264" s="310">
        <f t="shared" si="157"/>
        <v>2004.5</v>
      </c>
      <c r="AD264" s="310">
        <f t="shared" si="158"/>
        <v>2016.5</v>
      </c>
      <c r="AE264" s="310">
        <f t="shared" si="159"/>
        <v>2011.5</v>
      </c>
      <c r="AF264" s="310">
        <f t="shared" si="160"/>
        <v>2015.5</v>
      </c>
      <c r="AG264" s="310">
        <f t="shared" si="161"/>
        <v>-8.3333333333333329E-2</v>
      </c>
    </row>
    <row r="265" spans="1:33">
      <c r="A265" s="306"/>
      <c r="C265" s="306" t="s">
        <v>873</v>
      </c>
      <c r="D265" s="314">
        <v>2004</v>
      </c>
      <c r="E265" s="306">
        <v>7</v>
      </c>
      <c r="F265" s="352">
        <v>0</v>
      </c>
      <c r="G265" s="352"/>
      <c r="H265" s="314" t="s">
        <v>722</v>
      </c>
      <c r="I265" s="314">
        <v>7</v>
      </c>
      <c r="J265" s="308">
        <f t="shared" si="146"/>
        <v>2011</v>
      </c>
      <c r="K265" s="368"/>
      <c r="L265" s="306"/>
      <c r="M265" s="21">
        <v>55</v>
      </c>
      <c r="N265" s="21"/>
      <c r="O265" s="19">
        <f t="shared" si="147"/>
        <v>55</v>
      </c>
      <c r="P265" s="19">
        <f t="shared" si="148"/>
        <v>0.65476190476190477</v>
      </c>
      <c r="Q265" s="19">
        <f t="shared" si="149"/>
        <v>0</v>
      </c>
      <c r="R265" s="19"/>
      <c r="S265" s="19">
        <f t="shared" si="150"/>
        <v>0</v>
      </c>
      <c r="T265" s="19">
        <v>1</v>
      </c>
      <c r="U265" s="19">
        <f t="shared" si="151"/>
        <v>0</v>
      </c>
      <c r="V265" s="19"/>
      <c r="W265" s="19">
        <f t="shared" si="152"/>
        <v>55</v>
      </c>
      <c r="X265" s="19">
        <f t="shared" si="153"/>
        <v>55</v>
      </c>
      <c r="Y265" s="19">
        <v>1</v>
      </c>
      <c r="Z265" s="19">
        <f t="shared" si="154"/>
        <v>55</v>
      </c>
      <c r="AA265" s="19">
        <f t="shared" si="155"/>
        <v>55</v>
      </c>
      <c r="AB265" s="19">
        <f t="shared" si="156"/>
        <v>0</v>
      </c>
      <c r="AC265" s="310">
        <f t="shared" si="157"/>
        <v>2004.5</v>
      </c>
      <c r="AD265" s="310">
        <f t="shared" si="158"/>
        <v>2016.5</v>
      </c>
      <c r="AE265" s="310">
        <f t="shared" si="159"/>
        <v>2011.5</v>
      </c>
      <c r="AF265" s="310">
        <f t="shared" si="160"/>
        <v>2015.5</v>
      </c>
      <c r="AG265" s="310">
        <f t="shared" si="161"/>
        <v>-8.3333333333333329E-2</v>
      </c>
    </row>
    <row r="266" spans="1:33">
      <c r="A266" s="306"/>
      <c r="C266" s="306" t="s">
        <v>874</v>
      </c>
      <c r="D266" s="314">
        <v>2005</v>
      </c>
      <c r="E266" s="306">
        <v>12</v>
      </c>
      <c r="F266" s="352">
        <v>0</v>
      </c>
      <c r="G266" s="352"/>
      <c r="H266" s="314"/>
      <c r="I266" s="314">
        <v>7</v>
      </c>
      <c r="J266" s="308">
        <f t="shared" si="146"/>
        <v>2012</v>
      </c>
      <c r="K266" s="368"/>
      <c r="L266" s="306"/>
      <c r="M266" s="21">
        <v>1969</v>
      </c>
      <c r="N266" s="21"/>
      <c r="O266" s="19">
        <f t="shared" si="147"/>
        <v>1969</v>
      </c>
      <c r="P266" s="19">
        <f t="shared" si="148"/>
        <v>23.44047619047619</v>
      </c>
      <c r="Q266" s="19">
        <f t="shared" si="149"/>
        <v>0</v>
      </c>
      <c r="R266" s="19"/>
      <c r="S266" s="19">
        <f t="shared" si="150"/>
        <v>0</v>
      </c>
      <c r="T266" s="19">
        <v>1</v>
      </c>
      <c r="U266" s="19">
        <f t="shared" si="151"/>
        <v>0</v>
      </c>
      <c r="V266" s="19"/>
      <c r="W266" s="19">
        <f t="shared" si="152"/>
        <v>1969</v>
      </c>
      <c r="X266" s="19">
        <f t="shared" si="153"/>
        <v>1969</v>
      </c>
      <c r="Y266" s="19">
        <v>1</v>
      </c>
      <c r="Z266" s="19">
        <f t="shared" si="154"/>
        <v>1969</v>
      </c>
      <c r="AA266" s="19">
        <f t="shared" si="155"/>
        <v>1969</v>
      </c>
      <c r="AB266" s="19">
        <f t="shared" si="156"/>
        <v>0</v>
      </c>
      <c r="AC266" s="310">
        <f t="shared" si="157"/>
        <v>2005.9166666666667</v>
      </c>
      <c r="AD266" s="310">
        <f t="shared" si="158"/>
        <v>2016.5</v>
      </c>
      <c r="AE266" s="310">
        <f t="shared" si="159"/>
        <v>2012.9166666666667</v>
      </c>
      <c r="AF266" s="310">
        <f t="shared" si="160"/>
        <v>2015.5</v>
      </c>
      <c r="AG266" s="310">
        <f t="shared" si="161"/>
        <v>-8.3333333333333329E-2</v>
      </c>
    </row>
    <row r="267" spans="1:33">
      <c r="A267" s="306"/>
      <c r="C267" s="331" t="s">
        <v>875</v>
      </c>
      <c r="D267" s="314">
        <v>2010</v>
      </c>
      <c r="E267" s="306">
        <v>1</v>
      </c>
      <c r="F267" s="352">
        <v>0</v>
      </c>
      <c r="G267" s="352"/>
      <c r="H267" s="314" t="s">
        <v>722</v>
      </c>
      <c r="I267" s="375">
        <v>10</v>
      </c>
      <c r="J267" s="308">
        <f t="shared" si="146"/>
        <v>2020</v>
      </c>
      <c r="K267" s="353"/>
      <c r="L267" s="306"/>
      <c r="M267" s="333">
        <v>2200</v>
      </c>
      <c r="N267" s="21"/>
      <c r="O267" s="19">
        <f t="shared" si="147"/>
        <v>2200</v>
      </c>
      <c r="P267" s="19">
        <f t="shared" si="148"/>
        <v>18.333333333333332</v>
      </c>
      <c r="Q267" s="19">
        <f t="shared" si="149"/>
        <v>220</v>
      </c>
      <c r="R267" s="19"/>
      <c r="S267" s="19">
        <f t="shared" si="150"/>
        <v>220</v>
      </c>
      <c r="T267" s="19">
        <v>1</v>
      </c>
      <c r="U267" s="19">
        <f t="shared" si="151"/>
        <v>220</v>
      </c>
      <c r="V267" s="19"/>
      <c r="W267" s="19">
        <f t="shared" si="152"/>
        <v>1210</v>
      </c>
      <c r="X267" s="19">
        <f t="shared" si="153"/>
        <v>1210</v>
      </c>
      <c r="Y267" s="19">
        <v>1</v>
      </c>
      <c r="Z267" s="19">
        <f t="shared" si="154"/>
        <v>1210</v>
      </c>
      <c r="AA267" s="19">
        <f t="shared" si="155"/>
        <v>1430</v>
      </c>
      <c r="AB267" s="19">
        <f t="shared" si="156"/>
        <v>880</v>
      </c>
      <c r="AC267" s="310">
        <f t="shared" si="157"/>
        <v>2010</v>
      </c>
      <c r="AD267" s="310">
        <f t="shared" si="158"/>
        <v>2016.5</v>
      </c>
      <c r="AE267" s="310">
        <f t="shared" si="159"/>
        <v>2020</v>
      </c>
      <c r="AF267" s="310">
        <f t="shared" si="160"/>
        <v>2015.5</v>
      </c>
      <c r="AG267" s="310">
        <f t="shared" si="161"/>
        <v>-8.3333333333333329E-2</v>
      </c>
    </row>
    <row r="268" spans="1:33">
      <c r="A268" s="306"/>
      <c r="C268" s="331" t="s">
        <v>876</v>
      </c>
      <c r="D268" s="314">
        <v>2011</v>
      </c>
      <c r="E268" s="306">
        <v>7</v>
      </c>
      <c r="F268" s="352">
        <v>0.33</v>
      </c>
      <c r="G268" s="352"/>
      <c r="H268" s="314" t="s">
        <v>722</v>
      </c>
      <c r="I268" s="314">
        <v>5</v>
      </c>
      <c r="J268" s="308">
        <f>D268+I268</f>
        <v>2016</v>
      </c>
      <c r="K268" s="353"/>
      <c r="L268" s="306"/>
      <c r="M268" s="333">
        <v>29999.71</v>
      </c>
      <c r="N268" s="21"/>
      <c r="O268" s="19">
        <f>M268-M268*F268</f>
        <v>20099.805699999997</v>
      </c>
      <c r="P268" s="19">
        <f>O268/I268/12</f>
        <v>334.9967616666666</v>
      </c>
      <c r="Q268" s="19">
        <f>IF(N268&gt;0,0,IF(OR(AC268&gt;AD268,AE268&lt;AF268),0,IF(AND(AE268&gt;=AF268,AE268&lt;=AD268),P268*((AE268-AF268)*12),IF(AND(AF268&lt;=AC268,AD268&gt;=AC268),((AD268-AC268)*12)*P268,IF(AE268&gt;AD268,12*P268,0)))))</f>
        <v>4019.9611399999994</v>
      </c>
      <c r="R268" s="19"/>
      <c r="S268" s="19">
        <f>IF(R268&gt;0,R268,Q268)</f>
        <v>4019.9611399999994</v>
      </c>
      <c r="T268" s="19">
        <v>1</v>
      </c>
      <c r="U268" s="19">
        <f>T268*SUM(Q268:R268)</f>
        <v>4019.9611399999994</v>
      </c>
      <c r="V268" s="19"/>
      <c r="W268" s="19">
        <f>IF(AC268&gt;AD268,0,IF(AE268&lt;AF268,O268,IF(AND(AE268&gt;=AF268,AE268&lt;=AD268),(O268-S268),IF(AND(AF268&lt;=AC268,AD268&gt;=AC268),0,IF(AE268&gt;AD268,((AF268-AC268)*12)*P268,0)))))</f>
        <v>16079.844559999998</v>
      </c>
      <c r="X268" s="19">
        <f>W268*T268</f>
        <v>16079.844559999998</v>
      </c>
      <c r="Y268" s="19">
        <v>1</v>
      </c>
      <c r="Z268" s="19">
        <f>X268*Y268</f>
        <v>16079.844559999998</v>
      </c>
      <c r="AA268" s="19">
        <f>IF(N268&gt;0,0,Z268+U268*Y268)*Y268</f>
        <v>20099.805699999997</v>
      </c>
      <c r="AB268" s="19">
        <f>IF(N268&gt;0,(M268-Z268)/2,IF(AC268&gt;=AF268,(((M268*T268)*Y268)-AA268)/2,((((M268*T268)*Y268)-Z268)+(((M268*T268)*Y268)-AA268))/2))</f>
        <v>11909.884870000002</v>
      </c>
      <c r="AC268" s="310">
        <f>$D268+(($E268-1)/12)</f>
        <v>2011.5</v>
      </c>
      <c r="AD268" s="310">
        <f>($O$5+1)-($O$2/12)</f>
        <v>2016.5</v>
      </c>
      <c r="AE268" s="310">
        <f>$J268+(($E268-1)/12)</f>
        <v>2016.5</v>
      </c>
      <c r="AF268" s="310">
        <f>$O$4+($O$3/12)</f>
        <v>2015.5</v>
      </c>
      <c r="AG268" s="310">
        <f>$K268+(($L268-1)/12)</f>
        <v>-8.3333333333333329E-2</v>
      </c>
    </row>
    <row r="269" spans="1:33">
      <c r="A269" s="306"/>
      <c r="C269" s="331" t="s">
        <v>877</v>
      </c>
      <c r="D269" s="314">
        <v>2011</v>
      </c>
      <c r="E269" s="306">
        <v>12</v>
      </c>
      <c r="F269" s="352">
        <v>0</v>
      </c>
      <c r="G269" s="352"/>
      <c r="H269" s="314" t="s">
        <v>722</v>
      </c>
      <c r="I269" s="375">
        <v>10</v>
      </c>
      <c r="J269" s="308">
        <f>D269+I269</f>
        <v>2021</v>
      </c>
      <c r="K269" s="353"/>
      <c r="L269" s="306"/>
      <c r="M269" s="333">
        <v>6996.91</v>
      </c>
      <c r="N269" s="21"/>
      <c r="O269" s="19">
        <f>M269-M269*F269</f>
        <v>6996.91</v>
      </c>
      <c r="P269" s="19">
        <f>O269/I269/12</f>
        <v>58.307583333333334</v>
      </c>
      <c r="Q269" s="19">
        <f>IF(N269&gt;0,0,IF(OR(AC269&gt;AD269,AE269&lt;AF269),0,IF(AND(AE269&gt;=AF269,AE269&lt;=AD269),P269*((AE269-AF269)*12),IF(AND(AF269&lt;=AC269,AD269&gt;=AC269),((AD269-AC269)*12)*P269,IF(AE269&gt;AD269,12*P269,0)))))</f>
        <v>699.69100000000003</v>
      </c>
      <c r="R269" s="19"/>
      <c r="S269" s="19">
        <f>IF(R269&gt;0,R269,Q269)</f>
        <v>699.69100000000003</v>
      </c>
      <c r="T269" s="19">
        <v>1</v>
      </c>
      <c r="U269" s="19">
        <f>T269*SUM(Q269:R269)</f>
        <v>699.69100000000003</v>
      </c>
      <c r="V269" s="19"/>
      <c r="W269" s="19">
        <f>IF(AC269&gt;AD269,0,IF(AE269&lt;AF269,O269,IF(AND(AE269&gt;=AF269,AE269&lt;=AD269),(O269-S269),IF(AND(AF269&lt;=AC269,AD269&gt;=AC269),0,IF(AE269&gt;AD269,((AF269-AC269)*12)*P269,0)))))</f>
        <v>2507.2260833332803</v>
      </c>
      <c r="X269" s="19">
        <f>W269*T269</f>
        <v>2507.2260833332803</v>
      </c>
      <c r="Y269" s="19">
        <v>1</v>
      </c>
      <c r="Z269" s="19">
        <f>X269*Y269</f>
        <v>2507.2260833332803</v>
      </c>
      <c r="AA269" s="19">
        <f>IF(N269&gt;0,0,Z269+U269*Y269)*Y269</f>
        <v>3206.9170833332801</v>
      </c>
      <c r="AB269" s="19">
        <f>IF(N269&gt;0,(M269-Z269)/2,IF(AC269&gt;=AF269,(((M269*T269)*Y269)-AA269)/2,((((M269*T269)*Y269)-Z269)+(((M269*T269)*Y269)-AA269))/2))</f>
        <v>4139.8384166667201</v>
      </c>
      <c r="AC269" s="310">
        <f t="shared" si="157"/>
        <v>2011.9166666666667</v>
      </c>
      <c r="AD269" s="310">
        <f t="shared" si="158"/>
        <v>2016.5</v>
      </c>
      <c r="AE269" s="310">
        <f t="shared" si="159"/>
        <v>2021.9166666666667</v>
      </c>
      <c r="AF269" s="310">
        <f t="shared" si="160"/>
        <v>2015.5</v>
      </c>
      <c r="AG269" s="310">
        <f t="shared" si="161"/>
        <v>-8.3333333333333329E-2</v>
      </c>
    </row>
    <row r="270" spans="1:33">
      <c r="A270" s="306"/>
      <c r="C270" s="331" t="s">
        <v>878</v>
      </c>
      <c r="D270" s="314">
        <v>2012</v>
      </c>
      <c r="E270" s="306">
        <v>4</v>
      </c>
      <c r="F270" s="352">
        <v>0</v>
      </c>
      <c r="G270" s="352"/>
      <c r="H270" s="314" t="s">
        <v>722</v>
      </c>
      <c r="I270" s="314">
        <v>5</v>
      </c>
      <c r="J270" s="308">
        <f>D270+I270</f>
        <v>2017</v>
      </c>
      <c r="K270" s="353"/>
      <c r="L270" s="306"/>
      <c r="M270" s="333">
        <v>466</v>
      </c>
      <c r="N270" s="21"/>
      <c r="O270" s="19">
        <f>M270-M270*F270</f>
        <v>466</v>
      </c>
      <c r="P270" s="19">
        <f>O270/I270/12</f>
        <v>7.7666666666666666</v>
      </c>
      <c r="Q270" s="19">
        <f>IF(N270&gt;0,0,IF(OR(AC270&gt;AD270,AE270&lt;AF270),0,IF(AND(AE270&gt;=AF270,AE270&lt;=AD270),P270*((AE270-AF270)*12),IF(AND(AF270&lt;=AC270,AD270&gt;=AC270),((AD270-AC270)*12)*P270,IF(AE270&gt;AD270,12*P270,0)))))</f>
        <v>93.2</v>
      </c>
      <c r="R270" s="19"/>
      <c r="S270" s="19">
        <f>IF(R270&gt;0,R270,Q270)</f>
        <v>93.2</v>
      </c>
      <c r="T270" s="19">
        <v>1</v>
      </c>
      <c r="U270" s="19">
        <f>T270*SUM(Q270:R270)</f>
        <v>93.2</v>
      </c>
      <c r="V270" s="19"/>
      <c r="W270" s="19">
        <f>IF(AC270&gt;AD270,0,IF(AE270&lt;AF270,O270,IF(AND(AE270&gt;=AF270,AE270&lt;=AD270),(O270-S270),IF(AND(AF270&lt;=AC270,AD270&gt;=AC270),0,IF(AE270&gt;AD270,((AF270-AC270)*12)*P270,0)))))</f>
        <v>302.89999999999998</v>
      </c>
      <c r="X270" s="19">
        <f>W270*T270</f>
        <v>302.89999999999998</v>
      </c>
      <c r="Y270" s="19">
        <v>1</v>
      </c>
      <c r="Z270" s="19">
        <f>X270*Y270</f>
        <v>302.89999999999998</v>
      </c>
      <c r="AA270" s="19">
        <f>IF(N270&gt;0,0,Z270+U270*Y270)*Y270</f>
        <v>396.09999999999997</v>
      </c>
      <c r="AB270" s="19">
        <f>IF(N270&gt;0,(M270-Z270)/2,IF(AC270&gt;=AF270,(((M270*T270)*Y270)-AA270)/2,((((M270*T270)*Y270)-Z270)+(((M270*T270)*Y270)-AA270))/2))</f>
        <v>116.50000000000003</v>
      </c>
      <c r="AC270" s="310">
        <f t="shared" si="157"/>
        <v>2012.25</v>
      </c>
      <c r="AD270" s="310">
        <f t="shared" si="158"/>
        <v>2016.5</v>
      </c>
      <c r="AE270" s="310">
        <f t="shared" si="159"/>
        <v>2017.25</v>
      </c>
      <c r="AF270" s="310">
        <f t="shared" si="160"/>
        <v>2015.5</v>
      </c>
      <c r="AG270" s="310">
        <f t="shared" si="161"/>
        <v>-8.3333333333333329E-2</v>
      </c>
    </row>
    <row r="271" spans="1:33">
      <c r="A271" s="306"/>
      <c r="C271" s="331" t="s">
        <v>879</v>
      </c>
      <c r="D271" s="314">
        <v>2012</v>
      </c>
      <c r="E271" s="306">
        <v>10</v>
      </c>
      <c r="F271" s="352">
        <v>0</v>
      </c>
      <c r="G271" s="352"/>
      <c r="H271" s="314" t="s">
        <v>722</v>
      </c>
      <c r="I271" s="314">
        <v>5</v>
      </c>
      <c r="J271" s="308">
        <f>D271+I271</f>
        <v>2017</v>
      </c>
      <c r="K271" s="353"/>
      <c r="L271" s="306"/>
      <c r="M271" s="333">
        <v>6022</v>
      </c>
      <c r="N271" s="21"/>
      <c r="O271" s="19">
        <f>M271-M271*F271</f>
        <v>6022</v>
      </c>
      <c r="P271" s="19">
        <f>O271/I271/12</f>
        <v>100.36666666666667</v>
      </c>
      <c r="Q271" s="19">
        <f>IF(N271&gt;0,0,IF(OR(AC271&gt;AD271,AE271&lt;AF271),0,IF(AND(AE271&gt;=AF271,AE271&lt;=AD271),P271*((AE271-AF271)*12),IF(AND(AF271&lt;=AC271,AD271&gt;=AC271),((AD271-AC271)*12)*P271,IF(AE271&gt;AD271,12*P271,0)))))</f>
        <v>1204.4000000000001</v>
      </c>
      <c r="R271" s="19"/>
      <c r="S271" s="19">
        <f>IF(R271&gt;0,R271,Q271)</f>
        <v>1204.4000000000001</v>
      </c>
      <c r="T271" s="19">
        <v>1</v>
      </c>
      <c r="U271" s="19">
        <f>T271*SUM(Q271:R271)</f>
        <v>1204.4000000000001</v>
      </c>
      <c r="V271" s="19"/>
      <c r="W271" s="19">
        <f>IF(AC271&gt;AD271,0,IF(AE271&lt;AF271,O271,IF(AND(AE271&gt;=AF271,AE271&lt;=AD271),(O271-S271),IF(AND(AF271&lt;=AC271,AD271&gt;=AC271),0,IF(AE271&gt;AD271,((AF271-AC271)*12)*P271,0)))))</f>
        <v>3312.1000000000004</v>
      </c>
      <c r="X271" s="19">
        <f>W271*T271</f>
        <v>3312.1000000000004</v>
      </c>
      <c r="Y271" s="19">
        <v>1</v>
      </c>
      <c r="Z271" s="19">
        <f>X271*Y271</f>
        <v>3312.1000000000004</v>
      </c>
      <c r="AA271" s="19">
        <f>IF(N271&gt;0,0,Z271+U271*Y271)*Y271</f>
        <v>4516.5</v>
      </c>
      <c r="AB271" s="19">
        <f>IF(N271&gt;0,(M271-Z271)/2,IF(AC271&gt;=AF271,(((M271*T271)*Y271)-AA271)/2,((((M271*T271)*Y271)-Z271)+(((M271*T271)*Y271)-AA271))/2))</f>
        <v>2107.6999999999998</v>
      </c>
      <c r="AC271" s="310">
        <f t="shared" si="157"/>
        <v>2012.75</v>
      </c>
      <c r="AD271" s="310">
        <f t="shared" si="158"/>
        <v>2016.5</v>
      </c>
      <c r="AE271" s="310">
        <f t="shared" si="159"/>
        <v>2017.75</v>
      </c>
      <c r="AF271" s="310">
        <f t="shared" si="160"/>
        <v>2015.5</v>
      </c>
      <c r="AG271" s="310">
        <f t="shared" si="161"/>
        <v>-8.3333333333333329E-2</v>
      </c>
    </row>
    <row r="272" spans="1:33">
      <c r="A272" s="306" t="s">
        <v>880</v>
      </c>
      <c r="C272" s="331" t="s">
        <v>881</v>
      </c>
      <c r="D272" s="314">
        <v>2012</v>
      </c>
      <c r="E272" s="306">
        <v>12</v>
      </c>
      <c r="F272" s="352">
        <v>0</v>
      </c>
      <c r="G272" s="352"/>
      <c r="H272" s="314" t="s">
        <v>722</v>
      </c>
      <c r="I272" s="314">
        <v>5</v>
      </c>
      <c r="J272" s="308">
        <f>D272+I272</f>
        <v>2017</v>
      </c>
      <c r="K272" s="353"/>
      <c r="L272" s="306"/>
      <c r="M272" s="333">
        <f>1245+815</f>
        <v>2060</v>
      </c>
      <c r="N272" s="21"/>
      <c r="O272" s="19">
        <f>M272-M272*F272</f>
        <v>2060</v>
      </c>
      <c r="P272" s="19">
        <f>O272/I272/12</f>
        <v>34.333333333333336</v>
      </c>
      <c r="Q272" s="19">
        <f>IF(N272&gt;0,0,IF(OR(AC272&gt;AD272,AE272&lt;AF272),0,IF(AND(AE272&gt;=AF272,AE272&lt;=AD272),P272*((AE272-AF272)*12),IF(AND(AF272&lt;=AC272,AD272&gt;=AC272),((AD272-AC272)*12)*P272,IF(AE272&gt;AD272,12*P272,0)))))</f>
        <v>412</v>
      </c>
      <c r="R272" s="19"/>
      <c r="S272" s="19">
        <f>IF(R272&gt;0,R272,Q272)</f>
        <v>412</v>
      </c>
      <c r="T272" s="19">
        <v>1</v>
      </c>
      <c r="U272" s="19">
        <f>T272*SUM(Q272:R272)</f>
        <v>412</v>
      </c>
      <c r="V272" s="19"/>
      <c r="W272" s="19">
        <f>IF(AC272&gt;AD272,0,IF(AE272&lt;AF272,O272,IF(AND(AE272&gt;=AF272,AE272&lt;=AD272),(O272-S272),IF(AND(AF272&lt;=AC272,AD272&gt;=AC272),0,IF(AE272&gt;AD272,((AF272-AC272)*12)*P272,0)))))</f>
        <v>1064.3333333333021</v>
      </c>
      <c r="X272" s="19">
        <f>W272*T272</f>
        <v>1064.3333333333021</v>
      </c>
      <c r="Y272" s="19">
        <v>1</v>
      </c>
      <c r="Z272" s="19">
        <f>X272*Y272</f>
        <v>1064.3333333333021</v>
      </c>
      <c r="AA272" s="19">
        <f>IF(N272&gt;0,0,Z272+U272*Y272)*Y272</f>
        <v>1476.3333333333021</v>
      </c>
      <c r="AB272" s="19">
        <f>IF(N272&gt;0,(M272-Z272)/2,IF(AC272&gt;=AF272,(((M272*T272)*Y272)-AA272)/2,((((M272*T272)*Y272)-Z272)+(((M272*T272)*Y272)-AA272))/2))</f>
        <v>789.66666666669789</v>
      </c>
      <c r="AC272" s="310">
        <f t="shared" si="157"/>
        <v>2012.9166666666667</v>
      </c>
      <c r="AD272" s="310">
        <f t="shared" si="158"/>
        <v>2016.5</v>
      </c>
      <c r="AE272" s="310">
        <f t="shared" si="159"/>
        <v>2017.9166666666667</v>
      </c>
      <c r="AF272" s="310">
        <f t="shared" si="160"/>
        <v>2015.5</v>
      </c>
      <c r="AG272" s="310">
        <f t="shared" si="161"/>
        <v>-8.3333333333333329E-2</v>
      </c>
    </row>
    <row r="273" spans="1:33">
      <c r="A273" s="306"/>
      <c r="C273" s="331"/>
      <c r="D273" s="314"/>
      <c r="E273" s="306"/>
      <c r="F273" s="352"/>
      <c r="G273" s="352"/>
      <c r="H273" s="314"/>
      <c r="I273" s="314"/>
      <c r="J273" s="308"/>
      <c r="K273" s="353"/>
      <c r="L273" s="306"/>
      <c r="M273" s="333"/>
      <c r="N273" s="21"/>
      <c r="O273" s="19"/>
      <c r="P273" s="19"/>
      <c r="Q273" s="19"/>
      <c r="R273" s="19"/>
      <c r="S273" s="19"/>
      <c r="T273" s="19"/>
      <c r="U273" s="19"/>
      <c r="V273" s="19"/>
      <c r="W273" s="19"/>
      <c r="X273" s="19"/>
      <c r="Y273" s="19"/>
      <c r="Z273" s="19"/>
      <c r="AA273" s="19"/>
      <c r="AB273" s="19"/>
      <c r="AC273" s="310"/>
      <c r="AD273" s="310"/>
      <c r="AE273" s="310"/>
      <c r="AF273" s="310"/>
      <c r="AG273" s="310"/>
    </row>
    <row r="274" spans="1:33">
      <c r="A274" s="306"/>
      <c r="C274" s="306"/>
      <c r="D274" s="314"/>
      <c r="E274" s="306"/>
      <c r="F274" s="352"/>
      <c r="G274" s="352"/>
      <c r="H274" s="314"/>
      <c r="I274" s="314"/>
      <c r="J274" s="308"/>
      <c r="K274" s="368"/>
      <c r="L274" s="306"/>
      <c r="M274" s="21"/>
      <c r="N274" s="21"/>
      <c r="O274" s="21"/>
      <c r="P274" s="21"/>
      <c r="Q274" s="21"/>
      <c r="R274" s="21"/>
      <c r="S274" s="21"/>
      <c r="T274" s="21"/>
      <c r="U274" s="21"/>
      <c r="V274" s="21"/>
      <c r="W274" s="21"/>
      <c r="X274" s="21"/>
      <c r="Y274" s="21"/>
      <c r="Z274" s="21"/>
      <c r="AA274" s="21"/>
      <c r="AB274" s="21"/>
      <c r="AC274" s="306"/>
      <c r="AD274" s="306"/>
      <c r="AE274" s="306"/>
      <c r="AF274" s="306"/>
      <c r="AG274" s="306"/>
    </row>
    <row r="275" spans="1:33">
      <c r="A275" s="306"/>
      <c r="C275" s="336" t="s">
        <v>882</v>
      </c>
      <c r="D275" s="342"/>
      <c r="E275" s="343"/>
      <c r="F275" s="370"/>
      <c r="G275" s="370"/>
      <c r="H275" s="342"/>
      <c r="I275" s="342"/>
      <c r="J275" s="360"/>
      <c r="K275" s="376"/>
      <c r="L275" s="343"/>
      <c r="M275" s="339">
        <f>SUM(M257:M274)</f>
        <v>125227.91</v>
      </c>
      <c r="N275" s="363"/>
      <c r="O275" s="339">
        <f t="shared" ref="O275:AA275" si="162">SUM(O257:O274)</f>
        <v>102272.4057</v>
      </c>
      <c r="P275" s="339">
        <f t="shared" si="162"/>
        <v>1321.1006545238095</v>
      </c>
      <c r="Q275" s="339">
        <f t="shared" si="162"/>
        <v>6649.2521399999987</v>
      </c>
      <c r="R275" s="339"/>
      <c r="S275" s="339">
        <f t="shared" si="162"/>
        <v>6649.2521399999987</v>
      </c>
      <c r="T275" s="339"/>
      <c r="U275" s="339">
        <f t="shared" si="162"/>
        <v>6649.2521399999987</v>
      </c>
      <c r="V275" s="339"/>
      <c r="W275" s="339">
        <f t="shared" si="162"/>
        <v>88904.093976666583</v>
      </c>
      <c r="X275" s="339">
        <f t="shared" si="162"/>
        <v>88904.093976666583</v>
      </c>
      <c r="Y275" s="339"/>
      <c r="Z275" s="339">
        <f t="shared" si="162"/>
        <v>88904.093976666583</v>
      </c>
      <c r="AA275" s="339">
        <f t="shared" si="162"/>
        <v>95553.34611666658</v>
      </c>
      <c r="AB275" s="339">
        <f>SUM(AB257:AB274)</f>
        <v>32999.189953333422</v>
      </c>
      <c r="AC275" s="306"/>
      <c r="AD275" s="306"/>
      <c r="AE275" s="306"/>
      <c r="AF275" s="306"/>
      <c r="AG275" s="306"/>
    </row>
    <row r="276" spans="1:33">
      <c r="A276" s="306"/>
      <c r="C276" s="335"/>
      <c r="D276" s="314"/>
      <c r="E276" s="306"/>
      <c r="F276" s="352"/>
      <c r="G276" s="352"/>
      <c r="H276" s="314"/>
      <c r="I276" s="314"/>
      <c r="J276" s="308"/>
      <c r="K276" s="377"/>
      <c r="L276" s="306"/>
      <c r="M276" s="29"/>
      <c r="N276" s="21"/>
      <c r="O276" s="21"/>
      <c r="P276" s="21"/>
      <c r="Q276" s="21"/>
      <c r="R276" s="21"/>
      <c r="S276" s="21"/>
      <c r="T276" s="21"/>
      <c r="U276" s="21"/>
      <c r="V276" s="21"/>
      <c r="W276" s="21"/>
      <c r="X276" s="21"/>
      <c r="Y276" s="21"/>
      <c r="Z276" s="21"/>
      <c r="AA276" s="21"/>
      <c r="AB276" s="21"/>
      <c r="AC276" s="306"/>
      <c r="AD276" s="306"/>
      <c r="AE276" s="306"/>
      <c r="AF276" s="306"/>
      <c r="AG276" s="306"/>
    </row>
    <row r="277" spans="1:33">
      <c r="A277" s="306"/>
      <c r="C277" s="319" t="s">
        <v>883</v>
      </c>
      <c r="D277" s="314"/>
      <c r="E277" s="306"/>
      <c r="F277" s="306"/>
      <c r="G277" s="306"/>
      <c r="H277" s="306"/>
      <c r="I277" s="314"/>
      <c r="J277" s="308"/>
      <c r="K277" s="306"/>
      <c r="L277" s="306"/>
      <c r="M277" s="21"/>
      <c r="N277" s="21"/>
      <c r="O277" s="21"/>
      <c r="P277" s="21"/>
      <c r="Q277" s="21"/>
      <c r="R277" s="21"/>
      <c r="S277" s="21"/>
      <c r="T277" s="21"/>
      <c r="U277" s="21"/>
      <c r="V277" s="21"/>
      <c r="W277" s="21"/>
      <c r="X277" s="21"/>
      <c r="Y277" s="21"/>
      <c r="Z277" s="21"/>
      <c r="AA277" s="21"/>
      <c r="AB277" s="21"/>
      <c r="AC277" s="306"/>
      <c r="AD277" s="306"/>
      <c r="AE277" s="306"/>
      <c r="AF277" s="306"/>
      <c r="AG277" s="306"/>
    </row>
    <row r="278" spans="1:33">
      <c r="A278" s="306"/>
      <c r="C278" s="331" t="s">
        <v>884</v>
      </c>
      <c r="D278" s="314">
        <v>2009</v>
      </c>
      <c r="E278" s="306">
        <v>2</v>
      </c>
      <c r="F278" s="352">
        <v>0</v>
      </c>
      <c r="G278" s="352"/>
      <c r="H278" s="314" t="s">
        <v>722</v>
      </c>
      <c r="I278" s="314">
        <v>3</v>
      </c>
      <c r="J278" s="308">
        <f t="shared" ref="J278:J287" si="163">D278+I278</f>
        <v>2012</v>
      </c>
      <c r="K278" s="353"/>
      <c r="L278" s="353"/>
      <c r="M278" s="333">
        <v>6775</v>
      </c>
      <c r="N278" s="21"/>
      <c r="O278" s="19">
        <f t="shared" ref="O278:O287" si="164">M278-M278*F278</f>
        <v>6775</v>
      </c>
      <c r="P278" s="19">
        <f t="shared" ref="P278:P287" si="165">O278/I278/12</f>
        <v>188.19444444444446</v>
      </c>
      <c r="Q278" s="19">
        <f t="shared" ref="Q278:Q287" si="166">IF(N278&gt;0,0,IF(OR(AC278&gt;AD278,AE278&lt;AF278),0,IF(AND(AE278&gt;=AF278,AE278&lt;=AD278),P278*((AE278-AF278)*12),IF(AND(AF278&lt;=AC278,AD278&gt;=AC278),((AD278-AC278)*12)*P278,IF(AE278&gt;AD278,12*P278,0)))))</f>
        <v>0</v>
      </c>
      <c r="R278" s="19"/>
      <c r="S278" s="19">
        <f t="shared" ref="S278:S287" si="167">IF(R278&gt;0,R278,Q278)</f>
        <v>0</v>
      </c>
      <c r="T278" s="19">
        <v>1</v>
      </c>
      <c r="U278" s="19">
        <f t="shared" ref="U278:U287" si="168">T278*SUM(Q278:R278)</f>
        <v>0</v>
      </c>
      <c r="V278" s="19"/>
      <c r="W278" s="19">
        <f t="shared" ref="W278:W287" si="169">IF(AC278&gt;AD278,0,IF(AE278&lt;AF278,O278,IF(AND(AE278&gt;=AF278,AE278&lt;=AD278),(O278-S278),IF(AND(AF278&lt;=AC278,AD278&gt;=AC278),0,IF(AE278&gt;AD278,((AF278-AC278)*12)*P278,0)))))</f>
        <v>6775</v>
      </c>
      <c r="X278" s="19">
        <f t="shared" ref="X278:X287" si="170">W278*T278</f>
        <v>6775</v>
      </c>
      <c r="Y278" s="19">
        <v>1</v>
      </c>
      <c r="Z278" s="19">
        <f t="shared" ref="Z278:Z287" si="171">X278*Y278</f>
        <v>6775</v>
      </c>
      <c r="AA278" s="19">
        <f t="shared" ref="AA278:AA287" si="172">IF(N278&gt;0,0,Z278+U278*Y278)*Y278</f>
        <v>6775</v>
      </c>
      <c r="AB278" s="19">
        <f t="shared" ref="AB278:AB287" si="173">IF(N278&gt;0,(M278-Z278)/2,IF(AC278&gt;=AF278,(((M278*T278)*Y278)-AA278)/2,((((M278*T278)*Y278)-Z278)+(((M278*T278)*Y278)-AA278))/2))</f>
        <v>0</v>
      </c>
      <c r="AC278" s="310">
        <f t="shared" ref="AC278:AC287" si="174">$D278+(($E278-1)/12)</f>
        <v>2009.0833333333333</v>
      </c>
      <c r="AD278" s="310">
        <f t="shared" ref="AD278:AD287" si="175">($O$5+1)-($O$2/12)</f>
        <v>2016.5</v>
      </c>
      <c r="AE278" s="310">
        <f t="shared" ref="AE278:AE287" si="176">$J278+(($E278-1)/12)</f>
        <v>2012.0833333333333</v>
      </c>
      <c r="AF278" s="310">
        <f t="shared" ref="AF278:AF287" si="177">$O$4+($O$3/12)</f>
        <v>2015.5</v>
      </c>
      <c r="AG278" s="310">
        <f t="shared" ref="AG278:AG287" si="178">$K278+(($L278-1)/12)</f>
        <v>-8.3333333333333329E-2</v>
      </c>
    </row>
    <row r="279" spans="1:33">
      <c r="A279" s="306"/>
      <c r="C279" s="331" t="s">
        <v>885</v>
      </c>
      <c r="D279" s="314">
        <v>2010</v>
      </c>
      <c r="E279" s="306">
        <v>6</v>
      </c>
      <c r="F279" s="352">
        <v>0</v>
      </c>
      <c r="G279" s="352"/>
      <c r="H279" s="314" t="s">
        <v>722</v>
      </c>
      <c r="I279" s="314">
        <v>5</v>
      </c>
      <c r="J279" s="308">
        <f t="shared" si="163"/>
        <v>2015</v>
      </c>
      <c r="K279" s="353"/>
      <c r="L279" s="353"/>
      <c r="M279" s="333">
        <v>1043.42</v>
      </c>
      <c r="N279" s="21"/>
      <c r="O279" s="19">
        <f t="shared" si="164"/>
        <v>1043.42</v>
      </c>
      <c r="P279" s="19">
        <f t="shared" si="165"/>
        <v>17.390333333333334</v>
      </c>
      <c r="Q279" s="19">
        <f t="shared" si="166"/>
        <v>0</v>
      </c>
      <c r="R279" s="19"/>
      <c r="S279" s="19">
        <f t="shared" si="167"/>
        <v>0</v>
      </c>
      <c r="T279" s="19">
        <v>1</v>
      </c>
      <c r="U279" s="19">
        <f t="shared" si="168"/>
        <v>0</v>
      </c>
      <c r="V279" s="19"/>
      <c r="W279" s="19">
        <f t="shared" si="169"/>
        <v>1043.42</v>
      </c>
      <c r="X279" s="19">
        <f t="shared" si="170"/>
        <v>1043.42</v>
      </c>
      <c r="Y279" s="19">
        <v>1</v>
      </c>
      <c r="Z279" s="19">
        <f t="shared" si="171"/>
        <v>1043.42</v>
      </c>
      <c r="AA279" s="19">
        <f t="shared" si="172"/>
        <v>1043.42</v>
      </c>
      <c r="AB279" s="19">
        <f t="shared" si="173"/>
        <v>0</v>
      </c>
      <c r="AC279" s="310">
        <f t="shared" si="174"/>
        <v>2010.4166666666667</v>
      </c>
      <c r="AD279" s="310">
        <f t="shared" si="175"/>
        <v>2016.5</v>
      </c>
      <c r="AE279" s="310">
        <f t="shared" si="176"/>
        <v>2015.4166666666667</v>
      </c>
      <c r="AF279" s="310">
        <f t="shared" si="177"/>
        <v>2015.5</v>
      </c>
      <c r="AG279" s="310">
        <f t="shared" si="178"/>
        <v>-8.3333333333333329E-2</v>
      </c>
    </row>
    <row r="280" spans="1:33">
      <c r="A280" s="306"/>
      <c r="C280" s="331" t="s">
        <v>886</v>
      </c>
      <c r="D280" s="314">
        <v>2010</v>
      </c>
      <c r="E280" s="306">
        <v>12</v>
      </c>
      <c r="F280" s="352">
        <v>0</v>
      </c>
      <c r="G280" s="352"/>
      <c r="H280" s="314" t="s">
        <v>722</v>
      </c>
      <c r="I280" s="314">
        <v>5</v>
      </c>
      <c r="J280" s="308">
        <f t="shared" si="163"/>
        <v>2015</v>
      </c>
      <c r="K280" s="353"/>
      <c r="L280" s="353"/>
      <c r="M280" s="333">
        <f>4249.48</f>
        <v>4249.4799999999996</v>
      </c>
      <c r="N280" s="21"/>
      <c r="O280" s="19">
        <f t="shared" si="164"/>
        <v>4249.4799999999996</v>
      </c>
      <c r="P280" s="19">
        <f t="shared" si="165"/>
        <v>70.824666666666658</v>
      </c>
      <c r="Q280" s="19">
        <f t="shared" si="166"/>
        <v>354.12333333339768</v>
      </c>
      <c r="R280" s="19"/>
      <c r="S280" s="19">
        <f t="shared" si="167"/>
        <v>354.12333333339768</v>
      </c>
      <c r="T280" s="19">
        <v>1</v>
      </c>
      <c r="U280" s="19">
        <f t="shared" si="168"/>
        <v>354.12333333339768</v>
      </c>
      <c r="V280" s="19"/>
      <c r="W280" s="19">
        <f t="shared" si="169"/>
        <v>3895.356666666602</v>
      </c>
      <c r="X280" s="19">
        <f t="shared" si="170"/>
        <v>3895.356666666602</v>
      </c>
      <c r="Y280" s="19">
        <v>1</v>
      </c>
      <c r="Z280" s="19">
        <f t="shared" si="171"/>
        <v>3895.356666666602</v>
      </c>
      <c r="AA280" s="19">
        <f t="shared" si="172"/>
        <v>4249.4799999999996</v>
      </c>
      <c r="AB280" s="19">
        <f t="shared" si="173"/>
        <v>177.06166666669878</v>
      </c>
      <c r="AC280" s="310">
        <f t="shared" si="174"/>
        <v>2010.9166666666667</v>
      </c>
      <c r="AD280" s="310">
        <f t="shared" si="175"/>
        <v>2016.5</v>
      </c>
      <c r="AE280" s="310">
        <f t="shared" si="176"/>
        <v>2015.9166666666667</v>
      </c>
      <c r="AF280" s="310">
        <f t="shared" si="177"/>
        <v>2015.5</v>
      </c>
      <c r="AG280" s="310">
        <f t="shared" si="178"/>
        <v>-8.3333333333333329E-2</v>
      </c>
    </row>
    <row r="281" spans="1:33">
      <c r="A281" s="306"/>
      <c r="C281" s="331" t="s">
        <v>887</v>
      </c>
      <c r="D281" s="314">
        <v>2011</v>
      </c>
      <c r="E281" s="306">
        <v>3</v>
      </c>
      <c r="F281" s="352">
        <v>0</v>
      </c>
      <c r="G281" s="352"/>
      <c r="H281" s="314" t="s">
        <v>722</v>
      </c>
      <c r="I281" s="314">
        <v>5</v>
      </c>
      <c r="J281" s="308">
        <f t="shared" si="163"/>
        <v>2016</v>
      </c>
      <c r="K281" s="353"/>
      <c r="L281" s="353"/>
      <c r="M281" s="333">
        <v>1120.45</v>
      </c>
      <c r="N281" s="21"/>
      <c r="O281" s="19">
        <f t="shared" si="164"/>
        <v>1120.45</v>
      </c>
      <c r="P281" s="19">
        <f t="shared" si="165"/>
        <v>18.674166666666668</v>
      </c>
      <c r="Q281" s="19">
        <f t="shared" si="166"/>
        <v>149.39333333335034</v>
      </c>
      <c r="R281" s="19"/>
      <c r="S281" s="19">
        <f t="shared" si="167"/>
        <v>149.39333333335034</v>
      </c>
      <c r="T281" s="19">
        <v>1</v>
      </c>
      <c r="U281" s="19">
        <f t="shared" si="168"/>
        <v>149.39333333335034</v>
      </c>
      <c r="V281" s="19"/>
      <c r="W281" s="19">
        <f t="shared" si="169"/>
        <v>971.05666666664968</v>
      </c>
      <c r="X281" s="19">
        <f t="shared" si="170"/>
        <v>971.05666666664968</v>
      </c>
      <c r="Y281" s="19">
        <v>1</v>
      </c>
      <c r="Z281" s="19">
        <f t="shared" si="171"/>
        <v>971.05666666664968</v>
      </c>
      <c r="AA281" s="19">
        <f t="shared" si="172"/>
        <v>1120.45</v>
      </c>
      <c r="AB281" s="19">
        <f t="shared" si="173"/>
        <v>74.696666666675185</v>
      </c>
      <c r="AC281" s="310">
        <f t="shared" si="174"/>
        <v>2011.1666666666667</v>
      </c>
      <c r="AD281" s="310">
        <f t="shared" si="175"/>
        <v>2016.5</v>
      </c>
      <c r="AE281" s="310">
        <f t="shared" si="176"/>
        <v>2016.1666666666667</v>
      </c>
      <c r="AF281" s="310">
        <f t="shared" si="177"/>
        <v>2015.5</v>
      </c>
      <c r="AG281" s="310">
        <f t="shared" si="178"/>
        <v>-8.3333333333333329E-2</v>
      </c>
    </row>
    <row r="282" spans="1:33">
      <c r="A282" s="306"/>
      <c r="C282" s="331" t="s">
        <v>888</v>
      </c>
      <c r="D282" s="314">
        <v>2011</v>
      </c>
      <c r="E282" s="306">
        <v>12</v>
      </c>
      <c r="F282" s="352">
        <v>0</v>
      </c>
      <c r="G282" s="352"/>
      <c r="H282" s="314" t="s">
        <v>722</v>
      </c>
      <c r="I282" s="314">
        <v>5</v>
      </c>
      <c r="J282" s="308">
        <f t="shared" si="163"/>
        <v>2016</v>
      </c>
      <c r="K282" s="353"/>
      <c r="L282" s="353"/>
      <c r="M282" s="333">
        <v>846.18</v>
      </c>
      <c r="N282" s="21"/>
      <c r="O282" s="19">
        <f t="shared" si="164"/>
        <v>846.18</v>
      </c>
      <c r="P282" s="19">
        <f t="shared" si="165"/>
        <v>14.103</v>
      </c>
      <c r="Q282" s="19">
        <f t="shared" si="166"/>
        <v>169.23599999999999</v>
      </c>
      <c r="R282" s="19"/>
      <c r="S282" s="19">
        <f t="shared" si="167"/>
        <v>169.23599999999999</v>
      </c>
      <c r="T282" s="19">
        <v>1</v>
      </c>
      <c r="U282" s="19">
        <f t="shared" si="168"/>
        <v>169.23599999999999</v>
      </c>
      <c r="V282" s="19"/>
      <c r="W282" s="19">
        <f t="shared" si="169"/>
        <v>606.42899999998713</v>
      </c>
      <c r="X282" s="19">
        <f t="shared" si="170"/>
        <v>606.42899999998713</v>
      </c>
      <c r="Y282" s="19">
        <v>1</v>
      </c>
      <c r="Z282" s="19">
        <f t="shared" si="171"/>
        <v>606.42899999998713</v>
      </c>
      <c r="AA282" s="19">
        <f t="shared" si="172"/>
        <v>775.66499999998712</v>
      </c>
      <c r="AB282" s="19">
        <f t="shared" si="173"/>
        <v>155.13300000001283</v>
      </c>
      <c r="AC282" s="310">
        <f t="shared" si="174"/>
        <v>2011.9166666666667</v>
      </c>
      <c r="AD282" s="310">
        <f t="shared" si="175"/>
        <v>2016.5</v>
      </c>
      <c r="AE282" s="310">
        <f t="shared" si="176"/>
        <v>2016.9166666666667</v>
      </c>
      <c r="AF282" s="310">
        <f t="shared" si="177"/>
        <v>2015.5</v>
      </c>
      <c r="AG282" s="310">
        <f t="shared" si="178"/>
        <v>-8.3333333333333329E-2</v>
      </c>
    </row>
    <row r="283" spans="1:33">
      <c r="A283" s="306"/>
      <c r="C283" s="331" t="s">
        <v>889</v>
      </c>
      <c r="D283" s="314">
        <v>2013</v>
      </c>
      <c r="E283" s="306">
        <v>9</v>
      </c>
      <c r="F283" s="352">
        <v>0</v>
      </c>
      <c r="G283" s="352"/>
      <c r="H283" s="314" t="s">
        <v>722</v>
      </c>
      <c r="I283" s="314">
        <v>5</v>
      </c>
      <c r="J283" s="308">
        <f t="shared" si="163"/>
        <v>2018</v>
      </c>
      <c r="K283" s="353"/>
      <c r="L283" s="353"/>
      <c r="M283" s="333">
        <v>1010.1</v>
      </c>
      <c r="N283" s="21"/>
      <c r="O283" s="19">
        <f t="shared" si="164"/>
        <v>1010.1</v>
      </c>
      <c r="P283" s="19">
        <f t="shared" si="165"/>
        <v>16.835000000000001</v>
      </c>
      <c r="Q283" s="19">
        <f t="shared" si="166"/>
        <v>202.02</v>
      </c>
      <c r="R283" s="19"/>
      <c r="S283" s="19">
        <f t="shared" si="167"/>
        <v>202.02</v>
      </c>
      <c r="T283" s="19">
        <v>1</v>
      </c>
      <c r="U283" s="19">
        <f t="shared" si="168"/>
        <v>202.02</v>
      </c>
      <c r="V283" s="19"/>
      <c r="W283" s="19">
        <f t="shared" si="169"/>
        <v>370.36999999998471</v>
      </c>
      <c r="X283" s="19">
        <f t="shared" si="170"/>
        <v>370.36999999998471</v>
      </c>
      <c r="Y283" s="19">
        <v>1</v>
      </c>
      <c r="Z283" s="19">
        <f t="shared" si="171"/>
        <v>370.36999999998471</v>
      </c>
      <c r="AA283" s="19">
        <f t="shared" si="172"/>
        <v>572.38999999998475</v>
      </c>
      <c r="AB283" s="19">
        <f t="shared" si="173"/>
        <v>538.72000000001526</v>
      </c>
      <c r="AC283" s="310">
        <f t="shared" si="174"/>
        <v>2013.6666666666667</v>
      </c>
      <c r="AD283" s="310">
        <f t="shared" si="175"/>
        <v>2016.5</v>
      </c>
      <c r="AE283" s="310">
        <f t="shared" si="176"/>
        <v>2018.6666666666667</v>
      </c>
      <c r="AF283" s="310">
        <f t="shared" si="177"/>
        <v>2015.5</v>
      </c>
      <c r="AG283" s="310">
        <f t="shared" si="178"/>
        <v>-8.3333333333333329E-2</v>
      </c>
    </row>
    <row r="284" spans="1:33">
      <c r="A284" s="306"/>
      <c r="B284" s="306">
        <v>1</v>
      </c>
      <c r="C284" s="331" t="s">
        <v>890</v>
      </c>
      <c r="D284" s="314">
        <v>2014</v>
      </c>
      <c r="E284" s="306">
        <v>6</v>
      </c>
      <c r="F284" s="352">
        <v>0</v>
      </c>
      <c r="G284" s="352"/>
      <c r="H284" s="314" t="s">
        <v>722</v>
      </c>
      <c r="I284" s="314">
        <v>5</v>
      </c>
      <c r="J284" s="308">
        <f t="shared" si="163"/>
        <v>2019</v>
      </c>
      <c r="K284" s="353"/>
      <c r="L284" s="353"/>
      <c r="M284" s="333">
        <v>824.08</v>
      </c>
      <c r="N284" s="21"/>
      <c r="O284" s="19">
        <f t="shared" si="164"/>
        <v>824.08</v>
      </c>
      <c r="P284" s="19">
        <f t="shared" si="165"/>
        <v>13.734666666666667</v>
      </c>
      <c r="Q284" s="19">
        <f t="shared" si="166"/>
        <v>164.816</v>
      </c>
      <c r="R284" s="19"/>
      <c r="S284" s="19">
        <f t="shared" si="167"/>
        <v>164.816</v>
      </c>
      <c r="T284" s="19">
        <v>1</v>
      </c>
      <c r="U284" s="19">
        <f t="shared" si="168"/>
        <v>164.816</v>
      </c>
      <c r="V284" s="19"/>
      <c r="W284" s="19">
        <f t="shared" si="169"/>
        <v>178.55066666665419</v>
      </c>
      <c r="X284" s="19">
        <f t="shared" si="170"/>
        <v>178.55066666665419</v>
      </c>
      <c r="Y284" s="19">
        <v>1</v>
      </c>
      <c r="Z284" s="19">
        <f t="shared" si="171"/>
        <v>178.55066666665419</v>
      </c>
      <c r="AA284" s="19">
        <f t="shared" si="172"/>
        <v>343.36666666665417</v>
      </c>
      <c r="AB284" s="19">
        <f t="shared" si="173"/>
        <v>563.12133333334589</v>
      </c>
      <c r="AC284" s="310">
        <f t="shared" si="174"/>
        <v>2014.4166666666667</v>
      </c>
      <c r="AD284" s="310">
        <f t="shared" si="175"/>
        <v>2016.5</v>
      </c>
      <c r="AE284" s="310">
        <f t="shared" si="176"/>
        <v>2019.4166666666667</v>
      </c>
      <c r="AF284" s="310">
        <f t="shared" si="177"/>
        <v>2015.5</v>
      </c>
      <c r="AG284" s="310">
        <f t="shared" si="178"/>
        <v>-8.3333333333333329E-2</v>
      </c>
    </row>
    <row r="285" spans="1:33">
      <c r="A285" s="306"/>
      <c r="B285" s="306">
        <v>1</v>
      </c>
      <c r="C285" s="331" t="s">
        <v>891</v>
      </c>
      <c r="D285" s="314">
        <v>2014</v>
      </c>
      <c r="E285" s="306">
        <v>11</v>
      </c>
      <c r="F285" s="352">
        <v>0</v>
      </c>
      <c r="G285" s="352"/>
      <c r="H285" s="314" t="s">
        <v>722</v>
      </c>
      <c r="I285" s="314">
        <v>5</v>
      </c>
      <c r="J285" s="308">
        <f t="shared" si="163"/>
        <v>2019</v>
      </c>
      <c r="K285" s="353"/>
      <c r="L285" s="353"/>
      <c r="M285" s="333">
        <v>1076.26</v>
      </c>
      <c r="N285" s="21"/>
      <c r="O285" s="19">
        <f t="shared" si="164"/>
        <v>1076.26</v>
      </c>
      <c r="P285" s="19">
        <f t="shared" si="165"/>
        <v>17.937666666666669</v>
      </c>
      <c r="Q285" s="19">
        <f t="shared" si="166"/>
        <v>215.25200000000001</v>
      </c>
      <c r="R285" s="19"/>
      <c r="S285" s="19">
        <f t="shared" si="167"/>
        <v>215.25200000000001</v>
      </c>
      <c r="T285" s="19">
        <v>1</v>
      </c>
      <c r="U285" s="19">
        <f t="shared" si="168"/>
        <v>215.25200000000001</v>
      </c>
      <c r="V285" s="19"/>
      <c r="W285" s="19">
        <f t="shared" si="169"/>
        <v>143.50133333334966</v>
      </c>
      <c r="X285" s="19">
        <f t="shared" si="170"/>
        <v>143.50133333334966</v>
      </c>
      <c r="Y285" s="19">
        <v>1</v>
      </c>
      <c r="Z285" s="19">
        <f t="shared" si="171"/>
        <v>143.50133333334966</v>
      </c>
      <c r="AA285" s="19">
        <f t="shared" si="172"/>
        <v>358.7533333333497</v>
      </c>
      <c r="AB285" s="19">
        <f t="shared" si="173"/>
        <v>825.13266666665027</v>
      </c>
      <c r="AC285" s="310">
        <f t="shared" si="174"/>
        <v>2014.8333333333333</v>
      </c>
      <c r="AD285" s="310">
        <f t="shared" si="175"/>
        <v>2016.5</v>
      </c>
      <c r="AE285" s="310">
        <f t="shared" si="176"/>
        <v>2019.8333333333333</v>
      </c>
      <c r="AF285" s="310">
        <f t="shared" si="177"/>
        <v>2015.5</v>
      </c>
      <c r="AG285" s="310">
        <f t="shared" si="178"/>
        <v>-8.3333333333333329E-2</v>
      </c>
    </row>
    <row r="286" spans="1:33">
      <c r="A286" s="306"/>
      <c r="C286" s="331" t="s">
        <v>892</v>
      </c>
      <c r="D286" s="314">
        <v>2015</v>
      </c>
      <c r="E286" s="306">
        <v>2</v>
      </c>
      <c r="F286" s="352">
        <v>0</v>
      </c>
      <c r="G286" s="352"/>
      <c r="H286" s="314" t="s">
        <v>722</v>
      </c>
      <c r="I286" s="314">
        <v>3</v>
      </c>
      <c r="J286" s="308">
        <f t="shared" si="163"/>
        <v>2018</v>
      </c>
      <c r="K286" s="353"/>
      <c r="L286" s="353"/>
      <c r="M286" s="333">
        <v>1655.52</v>
      </c>
      <c r="N286" s="21"/>
      <c r="O286" s="19">
        <f t="shared" si="164"/>
        <v>1655.52</v>
      </c>
      <c r="P286" s="19">
        <f t="shared" si="165"/>
        <v>45.986666666666672</v>
      </c>
      <c r="Q286" s="19">
        <f t="shared" si="166"/>
        <v>551.84</v>
      </c>
      <c r="R286" s="19"/>
      <c r="S286" s="19">
        <f t="shared" si="167"/>
        <v>551.84</v>
      </c>
      <c r="T286" s="19">
        <v>1</v>
      </c>
      <c r="U286" s="19">
        <f t="shared" si="168"/>
        <v>551.84</v>
      </c>
      <c r="V286" s="19"/>
      <c r="W286" s="19">
        <f t="shared" si="169"/>
        <v>229.93333333337517</v>
      </c>
      <c r="X286" s="19">
        <f t="shared" si="170"/>
        <v>229.93333333337517</v>
      </c>
      <c r="Y286" s="19">
        <v>1</v>
      </c>
      <c r="Z286" s="19">
        <f t="shared" si="171"/>
        <v>229.93333333337517</v>
      </c>
      <c r="AA286" s="19">
        <f t="shared" si="172"/>
        <v>781.77333333337515</v>
      </c>
      <c r="AB286" s="19">
        <f t="shared" si="173"/>
        <v>1149.6666666666247</v>
      </c>
      <c r="AC286" s="310">
        <f t="shared" si="174"/>
        <v>2015.0833333333333</v>
      </c>
      <c r="AD286" s="310">
        <f t="shared" si="175"/>
        <v>2016.5</v>
      </c>
      <c r="AE286" s="310">
        <f t="shared" si="176"/>
        <v>2018.0833333333333</v>
      </c>
      <c r="AF286" s="310">
        <f t="shared" si="177"/>
        <v>2015.5</v>
      </c>
      <c r="AG286" s="310">
        <f t="shared" si="178"/>
        <v>-8.3333333333333329E-2</v>
      </c>
    </row>
    <row r="287" spans="1:33">
      <c r="A287" s="306"/>
      <c r="C287" s="331" t="s">
        <v>893</v>
      </c>
      <c r="D287" s="314">
        <v>2016</v>
      </c>
      <c r="E287" s="306">
        <v>3</v>
      </c>
      <c r="F287" s="352">
        <v>0</v>
      </c>
      <c r="G287" s="352"/>
      <c r="H287" s="314" t="s">
        <v>722</v>
      </c>
      <c r="I287" s="314">
        <v>5</v>
      </c>
      <c r="J287" s="308">
        <f t="shared" si="163"/>
        <v>2021</v>
      </c>
      <c r="K287" s="353"/>
      <c r="L287" s="353"/>
      <c r="M287" s="333">
        <f>2075.02+583.35</f>
        <v>2658.37</v>
      </c>
      <c r="N287" s="21"/>
      <c r="O287" s="19">
        <f t="shared" si="164"/>
        <v>2658.37</v>
      </c>
      <c r="P287" s="19">
        <f t="shared" si="165"/>
        <v>44.306166666666662</v>
      </c>
      <c r="Q287" s="19">
        <f t="shared" si="166"/>
        <v>177.22466666662635</v>
      </c>
      <c r="R287" s="19"/>
      <c r="S287" s="19">
        <f t="shared" si="167"/>
        <v>177.22466666662635</v>
      </c>
      <c r="T287" s="19">
        <v>1</v>
      </c>
      <c r="U287" s="19">
        <f t="shared" si="168"/>
        <v>177.22466666662635</v>
      </c>
      <c r="V287" s="19"/>
      <c r="W287" s="19">
        <f t="shared" si="169"/>
        <v>0</v>
      </c>
      <c r="X287" s="19">
        <f t="shared" si="170"/>
        <v>0</v>
      </c>
      <c r="Y287" s="19">
        <v>1</v>
      </c>
      <c r="Z287" s="19">
        <f t="shared" si="171"/>
        <v>0</v>
      </c>
      <c r="AA287" s="19">
        <f t="shared" si="172"/>
        <v>177.22466666662635</v>
      </c>
      <c r="AB287" s="19">
        <f t="shared" si="173"/>
        <v>1240.5726666666867</v>
      </c>
      <c r="AC287" s="310">
        <f t="shared" si="174"/>
        <v>2016.1666666666667</v>
      </c>
      <c r="AD287" s="310">
        <f t="shared" si="175"/>
        <v>2016.5</v>
      </c>
      <c r="AE287" s="310">
        <f t="shared" si="176"/>
        <v>2021.1666666666667</v>
      </c>
      <c r="AF287" s="310">
        <f t="shared" si="177"/>
        <v>2015.5</v>
      </c>
      <c r="AG287" s="310">
        <f t="shared" si="178"/>
        <v>-8.3333333333333329E-2</v>
      </c>
    </row>
    <row r="288" spans="1:33">
      <c r="A288" s="306"/>
      <c r="C288" s="306"/>
      <c r="D288" s="314"/>
      <c r="E288" s="306"/>
      <c r="F288" s="306"/>
      <c r="G288" s="306"/>
      <c r="H288" s="306"/>
      <c r="I288" s="314"/>
      <c r="J288" s="308"/>
      <c r="K288" s="373"/>
      <c r="L288" s="306"/>
      <c r="M288" s="374"/>
      <c r="N288" s="21"/>
      <c r="O288" s="21"/>
      <c r="P288" s="21"/>
      <c r="Q288" s="21"/>
      <c r="R288" s="21"/>
      <c r="S288" s="21"/>
      <c r="T288" s="21"/>
      <c r="U288" s="21"/>
      <c r="V288" s="21"/>
      <c r="W288" s="21"/>
      <c r="X288" s="21"/>
      <c r="Y288" s="21"/>
      <c r="Z288" s="21"/>
      <c r="AA288" s="21"/>
      <c r="AB288" s="21"/>
      <c r="AC288" s="306"/>
      <c r="AD288" s="306"/>
      <c r="AE288" s="306"/>
      <c r="AF288" s="306"/>
      <c r="AG288" s="306"/>
    </row>
    <row r="289" spans="1:33">
      <c r="A289" s="306"/>
      <c r="C289" s="341" t="s">
        <v>894</v>
      </c>
      <c r="D289" s="342"/>
      <c r="E289" s="343"/>
      <c r="F289" s="343"/>
      <c r="G289" s="343"/>
      <c r="H289" s="343"/>
      <c r="I289" s="342"/>
      <c r="J289" s="360"/>
      <c r="K289" s="361">
        <f>SUM(K277:K288)</f>
        <v>0</v>
      </c>
      <c r="L289" s="336"/>
      <c r="M289" s="362">
        <f>SUM(M277:M288)</f>
        <v>21258.86</v>
      </c>
      <c r="N289" s="363"/>
      <c r="O289" s="362">
        <f>SUM(O277:O288)</f>
        <v>21258.86</v>
      </c>
      <c r="P289" s="362">
        <f>SUM(P277:P288)</f>
        <v>447.98677777777777</v>
      </c>
      <c r="Q289" s="362">
        <f>SUM(Q277:Q288)</f>
        <v>1983.9053333333743</v>
      </c>
      <c r="R289" s="362"/>
      <c r="S289" s="362">
        <f>SUM(S277:S288)</f>
        <v>1983.9053333333743</v>
      </c>
      <c r="T289" s="362"/>
      <c r="U289" s="362">
        <f>SUM(U277:U288)</f>
        <v>1983.9053333333743</v>
      </c>
      <c r="V289" s="362"/>
      <c r="W289" s="362">
        <f>SUM(W277:W288)</f>
        <v>14213.617666666602</v>
      </c>
      <c r="X289" s="362">
        <f>SUM(X277:X288)</f>
        <v>14213.617666666602</v>
      </c>
      <c r="Y289" s="362"/>
      <c r="Z289" s="362">
        <f>SUM(Z277:Z288)</f>
        <v>14213.617666666602</v>
      </c>
      <c r="AA289" s="362">
        <f>SUM(AA277:AA288)</f>
        <v>16197.522999999977</v>
      </c>
      <c r="AB289" s="362">
        <f>SUM(AB277:AB288)</f>
        <v>4724.1046666667098</v>
      </c>
      <c r="AC289" s="306"/>
      <c r="AD289" s="306"/>
      <c r="AE289" s="306"/>
      <c r="AF289" s="306"/>
      <c r="AG289" s="306"/>
    </row>
    <row r="290" spans="1:33">
      <c r="A290" s="306"/>
      <c r="C290" s="319"/>
      <c r="D290" s="314"/>
      <c r="E290" s="306"/>
      <c r="F290" s="306"/>
      <c r="G290" s="306"/>
      <c r="H290" s="306"/>
      <c r="I290" s="314"/>
      <c r="J290" s="308"/>
      <c r="K290" s="365"/>
      <c r="L290" s="335"/>
      <c r="M290" s="366"/>
      <c r="N290" s="21"/>
      <c r="O290" s="366"/>
      <c r="P290" s="366"/>
      <c r="Q290" s="366"/>
      <c r="R290" s="366"/>
      <c r="S290" s="366"/>
      <c r="T290" s="366"/>
      <c r="U290" s="366"/>
      <c r="V290" s="366"/>
      <c r="W290" s="366"/>
      <c r="X290" s="366"/>
      <c r="Y290" s="366"/>
      <c r="Z290" s="366"/>
      <c r="AA290" s="366"/>
      <c r="AB290" s="366"/>
      <c r="AC290" s="306"/>
      <c r="AD290" s="306"/>
      <c r="AE290" s="306"/>
      <c r="AF290" s="306"/>
      <c r="AG290" s="306"/>
    </row>
    <row r="291" spans="1:33">
      <c r="A291" s="306"/>
      <c r="C291" s="335" t="s">
        <v>895</v>
      </c>
      <c r="D291" s="314"/>
      <c r="E291" s="306"/>
      <c r="F291" s="306"/>
      <c r="G291" s="306"/>
      <c r="H291" s="306"/>
      <c r="I291" s="314"/>
      <c r="J291" s="308"/>
      <c r="K291" s="378"/>
      <c r="L291" s="306"/>
      <c r="M291" s="21"/>
      <c r="N291" s="21"/>
      <c r="O291" s="21"/>
      <c r="P291" s="21"/>
      <c r="Q291" s="21"/>
      <c r="R291" s="21"/>
      <c r="S291" s="21"/>
      <c r="T291" s="21"/>
      <c r="U291" s="21"/>
      <c r="V291" s="21"/>
      <c r="W291" s="21"/>
      <c r="X291" s="21"/>
      <c r="Y291" s="21"/>
      <c r="Z291" s="21"/>
      <c r="AA291" s="21"/>
      <c r="AB291" s="21"/>
      <c r="AC291" s="306"/>
      <c r="AD291" s="306"/>
      <c r="AE291" s="306"/>
      <c r="AF291" s="306"/>
      <c r="AG291" s="306"/>
    </row>
    <row r="292" spans="1:33" s="306" customFormat="1">
      <c r="C292" s="306" t="s">
        <v>896</v>
      </c>
      <c r="D292" s="314">
        <v>2004</v>
      </c>
      <c r="E292" s="306">
        <v>1</v>
      </c>
      <c r="F292" s="352">
        <v>0</v>
      </c>
      <c r="G292" s="352"/>
      <c r="H292" s="314" t="s">
        <v>722</v>
      </c>
      <c r="I292" s="314">
        <v>15</v>
      </c>
      <c r="J292" s="308">
        <f t="shared" ref="J292:J297" si="179">D292+I292</f>
        <v>2019</v>
      </c>
      <c r="K292" s="353"/>
      <c r="L292" s="353"/>
      <c r="M292" s="333">
        <v>107246</v>
      </c>
      <c r="N292" s="21"/>
      <c r="O292" s="19">
        <f t="shared" ref="O292:O297" si="180">M292-M292*F292</f>
        <v>107246</v>
      </c>
      <c r="P292" s="19">
        <f t="shared" ref="P292:P297" si="181">O292/I292/12</f>
        <v>595.81111111111113</v>
      </c>
      <c r="Q292" s="19">
        <f t="shared" ref="Q292:Q297" si="182">IF(N292&gt;0,0,IF(OR(AC292&gt;AD292,AE292&lt;AF292),0,IF(AND(AE292&gt;=AF292,AE292&lt;=AD292),P292*((AE292-AF292)*12),IF(AND(AF292&lt;=AC292,AD292&gt;=AC292),((AD292-AC292)*12)*P292,IF(AE292&gt;AD292,12*P292,0)))))</f>
        <v>7149.7333333333336</v>
      </c>
      <c r="R292" s="19"/>
      <c r="S292" s="19">
        <f t="shared" ref="S292:S297" si="183">IF(R292&gt;0,R292,Q292)</f>
        <v>7149.7333333333336</v>
      </c>
      <c r="T292" s="19">
        <v>1</v>
      </c>
      <c r="U292" s="19">
        <f t="shared" ref="U292:U297" si="184">T292*SUM(Q292:R292)</f>
        <v>7149.7333333333336</v>
      </c>
      <c r="V292" s="19"/>
      <c r="W292" s="19">
        <f t="shared" ref="W292:W297" si="185">IF(AC292&gt;AD292,0,IF(AE292&lt;AF292,O292,IF(AND(AE292&gt;=AF292,AE292&lt;=AD292),(O292-S292),IF(AND(AF292&lt;=AC292,AD292&gt;=AC292),0,IF(AE292&gt;AD292,((AF292-AC292)*12)*P292,0)))))</f>
        <v>82221.933333333334</v>
      </c>
      <c r="X292" s="19">
        <f t="shared" ref="X292:X297" si="186">W292*T292</f>
        <v>82221.933333333334</v>
      </c>
      <c r="Y292" s="19">
        <v>1</v>
      </c>
      <c r="Z292" s="19">
        <f t="shared" ref="Z292:Z297" si="187">X292*Y292</f>
        <v>82221.933333333334</v>
      </c>
      <c r="AA292" s="19">
        <f t="shared" ref="AA292:AA297" si="188">IF(N292&gt;0,0,Z292+U292*Y292)*Y292</f>
        <v>89371.666666666672</v>
      </c>
      <c r="AB292" s="19">
        <f t="shared" ref="AB292:AB297" si="189">IF(N292&gt;0,(M292-Z292)/2,IF(AC292&gt;=AF292,(((M292*T292)*Y292)-AA292)/2,((((M292*T292)*Y292)-Z292)+(((M292*T292)*Y292)-AA292))/2))</f>
        <v>21449.199999999997</v>
      </c>
      <c r="AC292" s="310">
        <f t="shared" ref="AC292:AC301" si="190">$D292+(($E292-1)/12)</f>
        <v>2004</v>
      </c>
      <c r="AD292" s="310">
        <f t="shared" ref="AD292:AD301" si="191">($O$5+1)-($O$2/12)</f>
        <v>2016.5</v>
      </c>
      <c r="AE292" s="310">
        <f t="shared" ref="AE292:AE301" si="192">$J292+(($E292-1)/12)</f>
        <v>2019</v>
      </c>
      <c r="AF292" s="310">
        <f t="shared" ref="AF292:AF301" si="193">$O$4+($O$3/12)</f>
        <v>2015.5</v>
      </c>
      <c r="AG292" s="310">
        <f t="shared" ref="AG292:AG301" si="194">$K292+(($L292-1)/12)</f>
        <v>-8.3333333333333329E-2</v>
      </c>
    </row>
    <row r="293" spans="1:33">
      <c r="A293" s="306"/>
      <c r="C293" s="331" t="s">
        <v>897</v>
      </c>
      <c r="D293" s="314">
        <v>2007</v>
      </c>
      <c r="E293" s="306">
        <v>4</v>
      </c>
      <c r="F293" s="352">
        <v>0</v>
      </c>
      <c r="G293" s="352"/>
      <c r="H293" s="314" t="s">
        <v>722</v>
      </c>
      <c r="I293" s="314">
        <v>3</v>
      </c>
      <c r="J293" s="308">
        <f t="shared" si="179"/>
        <v>2010</v>
      </c>
      <c r="K293" s="353"/>
      <c r="L293" s="353"/>
      <c r="M293" s="333">
        <v>5766</v>
      </c>
      <c r="N293" s="21"/>
      <c r="O293" s="19">
        <f t="shared" si="180"/>
        <v>5766</v>
      </c>
      <c r="P293" s="19">
        <f t="shared" si="181"/>
        <v>160.16666666666666</v>
      </c>
      <c r="Q293" s="19">
        <f t="shared" si="182"/>
        <v>0</v>
      </c>
      <c r="R293" s="19"/>
      <c r="S293" s="19">
        <f t="shared" si="183"/>
        <v>0</v>
      </c>
      <c r="T293" s="19">
        <v>1</v>
      </c>
      <c r="U293" s="19">
        <f t="shared" si="184"/>
        <v>0</v>
      </c>
      <c r="V293" s="19"/>
      <c r="W293" s="19">
        <f t="shared" si="185"/>
        <v>5766</v>
      </c>
      <c r="X293" s="19">
        <f t="shared" si="186"/>
        <v>5766</v>
      </c>
      <c r="Y293" s="19">
        <v>1</v>
      </c>
      <c r="Z293" s="19">
        <f t="shared" si="187"/>
        <v>5766</v>
      </c>
      <c r="AA293" s="19">
        <f t="shared" si="188"/>
        <v>5766</v>
      </c>
      <c r="AB293" s="19">
        <f t="shared" si="189"/>
        <v>0</v>
      </c>
      <c r="AC293" s="310">
        <f t="shared" si="190"/>
        <v>2007.25</v>
      </c>
      <c r="AD293" s="310">
        <f t="shared" si="191"/>
        <v>2016.5</v>
      </c>
      <c r="AE293" s="310">
        <f t="shared" si="192"/>
        <v>2010.25</v>
      </c>
      <c r="AF293" s="310">
        <f t="shared" si="193"/>
        <v>2015.5</v>
      </c>
      <c r="AG293" s="310">
        <f t="shared" si="194"/>
        <v>-8.3333333333333329E-2</v>
      </c>
    </row>
    <row r="294" spans="1:33">
      <c r="A294" s="306"/>
      <c r="C294" s="331" t="s">
        <v>898</v>
      </c>
      <c r="D294" s="314">
        <v>2010</v>
      </c>
      <c r="E294" s="306">
        <v>4</v>
      </c>
      <c r="F294" s="352">
        <v>0</v>
      </c>
      <c r="G294" s="352"/>
      <c r="H294" s="314" t="s">
        <v>722</v>
      </c>
      <c r="I294" s="375">
        <v>20</v>
      </c>
      <c r="J294" s="308">
        <f t="shared" si="179"/>
        <v>2030</v>
      </c>
      <c r="K294" s="353"/>
      <c r="L294" s="353"/>
      <c r="M294" s="333">
        <v>7530</v>
      </c>
      <c r="N294" s="21"/>
      <c r="O294" s="19">
        <f t="shared" si="180"/>
        <v>7530</v>
      </c>
      <c r="P294" s="19">
        <f t="shared" si="181"/>
        <v>31.375</v>
      </c>
      <c r="Q294" s="19">
        <f t="shared" si="182"/>
        <v>376.5</v>
      </c>
      <c r="R294" s="19"/>
      <c r="S294" s="19">
        <f t="shared" si="183"/>
        <v>376.5</v>
      </c>
      <c r="T294" s="19">
        <v>1</v>
      </c>
      <c r="U294" s="19">
        <f t="shared" si="184"/>
        <v>376.5</v>
      </c>
      <c r="V294" s="19"/>
      <c r="W294" s="19">
        <f t="shared" si="185"/>
        <v>1976.625</v>
      </c>
      <c r="X294" s="19">
        <f t="shared" si="186"/>
        <v>1976.625</v>
      </c>
      <c r="Y294" s="19">
        <v>1</v>
      </c>
      <c r="Z294" s="19">
        <f t="shared" si="187"/>
        <v>1976.625</v>
      </c>
      <c r="AA294" s="19">
        <f t="shared" si="188"/>
        <v>2353.125</v>
      </c>
      <c r="AB294" s="19">
        <f t="shared" si="189"/>
        <v>5365.125</v>
      </c>
      <c r="AC294" s="310">
        <f t="shared" si="190"/>
        <v>2010.25</v>
      </c>
      <c r="AD294" s="310">
        <f t="shared" si="191"/>
        <v>2016.5</v>
      </c>
      <c r="AE294" s="310">
        <f t="shared" si="192"/>
        <v>2030.25</v>
      </c>
      <c r="AF294" s="310">
        <f t="shared" si="193"/>
        <v>2015.5</v>
      </c>
      <c r="AG294" s="310">
        <f t="shared" si="194"/>
        <v>-8.3333333333333329E-2</v>
      </c>
    </row>
    <row r="295" spans="1:33">
      <c r="A295" s="306"/>
      <c r="C295" s="331" t="s">
        <v>899</v>
      </c>
      <c r="D295" s="314">
        <v>2010</v>
      </c>
      <c r="E295" s="306">
        <v>7</v>
      </c>
      <c r="F295" s="352">
        <v>0</v>
      </c>
      <c r="G295" s="352"/>
      <c r="H295" s="314" t="s">
        <v>722</v>
      </c>
      <c r="I295" s="375">
        <v>20</v>
      </c>
      <c r="J295" s="308">
        <f t="shared" si="179"/>
        <v>2030</v>
      </c>
      <c r="K295" s="353"/>
      <c r="L295" s="353"/>
      <c r="M295" s="333">
        <f>33338.77-4363.77</f>
        <v>28974.999999999996</v>
      </c>
      <c r="N295" s="21"/>
      <c r="O295" s="19">
        <f t="shared" si="180"/>
        <v>28974.999999999996</v>
      </c>
      <c r="P295" s="19">
        <f t="shared" si="181"/>
        <v>120.72916666666664</v>
      </c>
      <c r="Q295" s="19">
        <f t="shared" si="182"/>
        <v>1448.7499999999998</v>
      </c>
      <c r="R295" s="19"/>
      <c r="S295" s="19">
        <f t="shared" si="183"/>
        <v>1448.7499999999998</v>
      </c>
      <c r="T295" s="19">
        <v>1</v>
      </c>
      <c r="U295" s="19">
        <f t="shared" si="184"/>
        <v>1448.7499999999998</v>
      </c>
      <c r="V295" s="19"/>
      <c r="W295" s="19">
        <f t="shared" si="185"/>
        <v>7243.7499999999982</v>
      </c>
      <c r="X295" s="19">
        <f t="shared" si="186"/>
        <v>7243.7499999999982</v>
      </c>
      <c r="Y295" s="19">
        <v>1</v>
      </c>
      <c r="Z295" s="19">
        <f t="shared" si="187"/>
        <v>7243.7499999999982</v>
      </c>
      <c r="AA295" s="19">
        <f t="shared" si="188"/>
        <v>8692.4999999999982</v>
      </c>
      <c r="AB295" s="19">
        <f t="shared" si="189"/>
        <v>21006.875</v>
      </c>
      <c r="AC295" s="310">
        <f t="shared" si="190"/>
        <v>2010.5</v>
      </c>
      <c r="AD295" s="310">
        <f t="shared" si="191"/>
        <v>2016.5</v>
      </c>
      <c r="AE295" s="310">
        <f t="shared" si="192"/>
        <v>2030.5</v>
      </c>
      <c r="AF295" s="310">
        <f t="shared" si="193"/>
        <v>2015.5</v>
      </c>
      <c r="AG295" s="310">
        <f t="shared" si="194"/>
        <v>-8.3333333333333329E-2</v>
      </c>
    </row>
    <row r="296" spans="1:33">
      <c r="A296" s="306"/>
      <c r="C296" s="331" t="s">
        <v>900</v>
      </c>
      <c r="D296" s="314">
        <v>2011</v>
      </c>
      <c r="E296" s="306">
        <v>8</v>
      </c>
      <c r="F296" s="352">
        <v>0</v>
      </c>
      <c r="G296" s="352"/>
      <c r="H296" s="314" t="s">
        <v>722</v>
      </c>
      <c r="I296" s="375">
        <v>25</v>
      </c>
      <c r="J296" s="308">
        <f t="shared" si="179"/>
        <v>2036</v>
      </c>
      <c r="K296" s="353"/>
      <c r="L296" s="353"/>
      <c r="M296" s="333">
        <f>1599.75+620.92</f>
        <v>2220.67</v>
      </c>
      <c r="N296" s="21"/>
      <c r="O296" s="19">
        <f t="shared" si="180"/>
        <v>2220.67</v>
      </c>
      <c r="P296" s="19">
        <f t="shared" si="181"/>
        <v>7.4022333333333341</v>
      </c>
      <c r="Q296" s="19">
        <f t="shared" si="182"/>
        <v>88.826800000000006</v>
      </c>
      <c r="R296" s="19"/>
      <c r="S296" s="19">
        <f t="shared" si="183"/>
        <v>88.826800000000006</v>
      </c>
      <c r="T296" s="19">
        <v>1</v>
      </c>
      <c r="U296" s="19">
        <f t="shared" si="184"/>
        <v>88.826800000000006</v>
      </c>
      <c r="V296" s="19"/>
      <c r="W296" s="19">
        <f t="shared" si="185"/>
        <v>347.90496666667343</v>
      </c>
      <c r="X296" s="19">
        <f t="shared" si="186"/>
        <v>347.90496666667343</v>
      </c>
      <c r="Y296" s="19">
        <v>1</v>
      </c>
      <c r="Z296" s="19">
        <f t="shared" si="187"/>
        <v>347.90496666667343</v>
      </c>
      <c r="AA296" s="19">
        <f t="shared" si="188"/>
        <v>436.73176666667342</v>
      </c>
      <c r="AB296" s="19">
        <f t="shared" si="189"/>
        <v>1828.3516333333268</v>
      </c>
      <c r="AC296" s="310">
        <f t="shared" si="190"/>
        <v>2011.5833333333333</v>
      </c>
      <c r="AD296" s="310">
        <f t="shared" si="191"/>
        <v>2016.5</v>
      </c>
      <c r="AE296" s="310">
        <f t="shared" si="192"/>
        <v>2036.5833333333333</v>
      </c>
      <c r="AF296" s="310">
        <f t="shared" si="193"/>
        <v>2015.5</v>
      </c>
      <c r="AG296" s="310">
        <f t="shared" si="194"/>
        <v>-8.3333333333333329E-2</v>
      </c>
    </row>
    <row r="297" spans="1:33">
      <c r="A297" s="306"/>
      <c r="C297" s="331" t="s">
        <v>901</v>
      </c>
      <c r="D297" s="314">
        <v>2011</v>
      </c>
      <c r="E297" s="306">
        <v>12</v>
      </c>
      <c r="F297" s="352">
        <v>0</v>
      </c>
      <c r="G297" s="352"/>
      <c r="H297" s="314" t="s">
        <v>722</v>
      </c>
      <c r="I297" s="375">
        <v>12</v>
      </c>
      <c r="J297" s="308">
        <f t="shared" si="179"/>
        <v>2023</v>
      </c>
      <c r="K297" s="353"/>
      <c r="L297" s="353"/>
      <c r="M297" s="333">
        <v>11393</v>
      </c>
      <c r="N297" s="21"/>
      <c r="O297" s="19">
        <f t="shared" si="180"/>
        <v>11393</v>
      </c>
      <c r="P297" s="19">
        <f t="shared" si="181"/>
        <v>79.118055555555557</v>
      </c>
      <c r="Q297" s="19">
        <f t="shared" si="182"/>
        <v>949.41666666666674</v>
      </c>
      <c r="R297" s="19"/>
      <c r="S297" s="19">
        <f t="shared" si="183"/>
        <v>949.41666666666674</v>
      </c>
      <c r="T297" s="19">
        <v>1</v>
      </c>
      <c r="U297" s="19">
        <f t="shared" si="184"/>
        <v>949.41666666666674</v>
      </c>
      <c r="V297" s="19"/>
      <c r="W297" s="19">
        <f t="shared" si="185"/>
        <v>3402.0763888888168</v>
      </c>
      <c r="X297" s="19">
        <f t="shared" si="186"/>
        <v>3402.0763888888168</v>
      </c>
      <c r="Y297" s="19">
        <v>1</v>
      </c>
      <c r="Z297" s="19">
        <f t="shared" si="187"/>
        <v>3402.0763888888168</v>
      </c>
      <c r="AA297" s="19">
        <f t="shared" si="188"/>
        <v>4351.4930555554838</v>
      </c>
      <c r="AB297" s="19">
        <f t="shared" si="189"/>
        <v>7516.2152777778501</v>
      </c>
      <c r="AC297" s="310">
        <f t="shared" si="190"/>
        <v>2011.9166666666667</v>
      </c>
      <c r="AD297" s="310">
        <f t="shared" si="191"/>
        <v>2016.5</v>
      </c>
      <c r="AE297" s="310">
        <f t="shared" si="192"/>
        <v>2023.9166666666667</v>
      </c>
      <c r="AF297" s="310">
        <f t="shared" si="193"/>
        <v>2015.5</v>
      </c>
      <c r="AG297" s="310">
        <f t="shared" si="194"/>
        <v>-8.3333333333333329E-2</v>
      </c>
    </row>
    <row r="298" spans="1:33">
      <c r="A298" s="306"/>
      <c r="C298" s="331" t="s">
        <v>902</v>
      </c>
      <c r="D298" s="314">
        <v>2012</v>
      </c>
      <c r="E298" s="306">
        <v>8</v>
      </c>
      <c r="F298" s="352">
        <v>0</v>
      </c>
      <c r="G298" s="352"/>
      <c r="H298" s="314" t="s">
        <v>722</v>
      </c>
      <c r="I298" s="314">
        <v>25</v>
      </c>
      <c r="J298" s="308">
        <f>D298+I298</f>
        <v>2037</v>
      </c>
      <c r="K298" s="353"/>
      <c r="L298" s="353"/>
      <c r="M298" s="333">
        <v>31560</v>
      </c>
      <c r="N298" s="21"/>
      <c r="O298" s="19">
        <f>M298-M298*F298</f>
        <v>31560</v>
      </c>
      <c r="P298" s="19">
        <f>O298/I298/12</f>
        <v>105.2</v>
      </c>
      <c r="Q298" s="19">
        <f>IF(N298&gt;0,0,IF(OR(AC298&gt;AD298,AE298&lt;AF298),0,IF(AND(AE298&gt;=AF298,AE298&lt;=AD298),P298*((AE298-AF298)*12),IF(AND(AF298&lt;=AC298,AD298&gt;=AC298),((AD298-AC298)*12)*P298,IF(AE298&gt;AD298,12*P298,0)))))</f>
        <v>1262.4000000000001</v>
      </c>
      <c r="R298" s="19"/>
      <c r="S298" s="19">
        <f>IF(R298&gt;0,R298,Q298)</f>
        <v>1262.4000000000001</v>
      </c>
      <c r="T298" s="19">
        <v>1</v>
      </c>
      <c r="U298" s="19">
        <f>T298*SUM(Q298:R298)</f>
        <v>1262.4000000000001</v>
      </c>
      <c r="V298" s="19"/>
      <c r="W298" s="19">
        <f>IF(AC298&gt;AD298,0,IF(AE298&lt;AF298,O298,IF(AND(AE298&gt;=AF298,AE298&lt;=AD298),(O298-S298),IF(AND(AF298&lt;=AC298,AD298&gt;=AC298),0,IF(AE298&gt;AD298,((AF298-AC298)*12)*P298,0)))))</f>
        <v>3682.000000000096</v>
      </c>
      <c r="X298" s="19">
        <f>W298*T298</f>
        <v>3682.000000000096</v>
      </c>
      <c r="Y298" s="19">
        <v>1</v>
      </c>
      <c r="Z298" s="19">
        <f>X298*Y298</f>
        <v>3682.000000000096</v>
      </c>
      <c r="AA298" s="19">
        <f>IF(N298&gt;0,0,Z298+U298*Y298)*Y298</f>
        <v>4944.400000000096</v>
      </c>
      <c r="AB298" s="19">
        <f>IF(N298&gt;0,(M298-Z298)/2,IF(AC298&gt;=AF298,(((M298*T298)*Y298)-AA298)/2,((((M298*T298)*Y298)-Z298)+(((M298*T298)*Y298)-AA298))/2))</f>
        <v>27246.799999999905</v>
      </c>
      <c r="AC298" s="310">
        <f t="shared" si="190"/>
        <v>2012.5833333333333</v>
      </c>
      <c r="AD298" s="310">
        <f t="shared" si="191"/>
        <v>2016.5</v>
      </c>
      <c r="AE298" s="310">
        <f t="shared" si="192"/>
        <v>2037.5833333333333</v>
      </c>
      <c r="AF298" s="310">
        <f t="shared" si="193"/>
        <v>2015.5</v>
      </c>
      <c r="AG298" s="310">
        <f t="shared" si="194"/>
        <v>-8.3333333333333329E-2</v>
      </c>
    </row>
    <row r="299" spans="1:33">
      <c r="A299" s="306">
        <v>107484</v>
      </c>
      <c r="C299" s="331" t="s">
        <v>903</v>
      </c>
      <c r="D299" s="314">
        <v>2013</v>
      </c>
      <c r="E299" s="306">
        <v>8</v>
      </c>
      <c r="F299" s="352">
        <v>0</v>
      </c>
      <c r="G299" s="352"/>
      <c r="H299" s="314" t="s">
        <v>722</v>
      </c>
      <c r="I299" s="314">
        <v>10</v>
      </c>
      <c r="J299" s="308">
        <f>D299+I299</f>
        <v>2023</v>
      </c>
      <c r="K299" s="353"/>
      <c r="L299" s="353"/>
      <c r="M299" s="333">
        <v>11556.16</v>
      </c>
      <c r="N299" s="21"/>
      <c r="O299" s="19">
        <f>M299-M299*F299</f>
        <v>11556.16</v>
      </c>
      <c r="P299" s="19">
        <f>O299/I299/12</f>
        <v>96.301333333333332</v>
      </c>
      <c r="Q299" s="19">
        <f>IF(N299&gt;0,0,IF(OR(AC299&gt;AD299,AE299&lt;AF299),0,IF(AND(AE299&gt;=AF299,AE299&lt;=AD299),P299*((AE299-AF299)*12),IF(AND(AF299&lt;=AC299,AD299&gt;=AC299),((AD299-AC299)*12)*P299,IF(AE299&gt;AD299,12*P299,0)))))</f>
        <v>1155.616</v>
      </c>
      <c r="R299" s="19"/>
      <c r="S299" s="19">
        <f>IF(R299&gt;0,R299,Q299)</f>
        <v>1155.616</v>
      </c>
      <c r="T299" s="19">
        <v>1</v>
      </c>
      <c r="U299" s="19">
        <f>T299*SUM(Q299:R299)</f>
        <v>1155.616</v>
      </c>
      <c r="V299" s="19"/>
      <c r="W299" s="19">
        <f>IF(AC299&gt;AD299,0,IF(AE299&lt;AF299,O299,IF(AND(AE299&gt;=AF299,AE299&lt;=AD299),(O299-S299),IF(AND(AF299&lt;=AC299,AD299&gt;=AC299),0,IF(AE299&gt;AD299,((AF299-AC299)*12)*P299,0)))))</f>
        <v>2214.9306666667544</v>
      </c>
      <c r="X299" s="19">
        <f>W299*T299</f>
        <v>2214.9306666667544</v>
      </c>
      <c r="Y299" s="19">
        <v>1</v>
      </c>
      <c r="Z299" s="19">
        <f>X299*Y299</f>
        <v>2214.9306666667544</v>
      </c>
      <c r="AA299" s="19">
        <f>IF(N299&gt;0,0,Z299+U299*Y299)*Y299</f>
        <v>3370.5466666667544</v>
      </c>
      <c r="AB299" s="19">
        <f>IF(N299&gt;0,(M299-Z299)/2,IF(AC299&gt;=AF299,(((M299*T299)*Y299)-AA299)/2,((((M299*T299)*Y299)-Z299)+(((M299*T299)*Y299)-AA299))/2))</f>
        <v>8763.4213333332445</v>
      </c>
      <c r="AC299" s="310">
        <f t="shared" si="190"/>
        <v>2013.5833333333333</v>
      </c>
      <c r="AD299" s="310">
        <f t="shared" si="191"/>
        <v>2016.5</v>
      </c>
      <c r="AE299" s="310">
        <f t="shared" si="192"/>
        <v>2023.5833333333333</v>
      </c>
      <c r="AF299" s="310">
        <f t="shared" si="193"/>
        <v>2015.5</v>
      </c>
      <c r="AG299" s="310">
        <f t="shared" si="194"/>
        <v>-8.3333333333333329E-2</v>
      </c>
    </row>
    <row r="300" spans="1:33">
      <c r="A300" s="306">
        <v>107856</v>
      </c>
      <c r="C300" s="331" t="s">
        <v>904</v>
      </c>
      <c r="D300" s="314">
        <v>2013</v>
      </c>
      <c r="E300" s="306">
        <v>8</v>
      </c>
      <c r="F300" s="352">
        <v>0</v>
      </c>
      <c r="G300" s="352"/>
      <c r="H300" s="314" t="s">
        <v>722</v>
      </c>
      <c r="I300" s="314">
        <v>10</v>
      </c>
      <c r="J300" s="308">
        <f>D300+I300</f>
        <v>2023</v>
      </c>
      <c r="K300" s="353"/>
      <c r="L300" s="353"/>
      <c r="M300" s="333">
        <v>32340</v>
      </c>
      <c r="N300" s="21"/>
      <c r="O300" s="19">
        <f>M300-M300*F300</f>
        <v>32340</v>
      </c>
      <c r="P300" s="19">
        <f>O300/I300/12</f>
        <v>269.5</v>
      </c>
      <c r="Q300" s="19">
        <f>IF(N300&gt;0,0,IF(OR(AC300&gt;AD300,AE300&lt;AF300),0,IF(AND(AE300&gt;=AF300,AE300&lt;=AD300),P300*((AE300-AF300)*12),IF(AND(AF300&lt;=AC300,AD300&gt;=AC300),((AD300-AC300)*12)*P300,IF(AE300&gt;AD300,12*P300,0)))))</f>
        <v>3234</v>
      </c>
      <c r="R300" s="19"/>
      <c r="S300" s="19">
        <f>IF(R300&gt;0,R300,Q300)</f>
        <v>3234</v>
      </c>
      <c r="T300" s="19">
        <v>1</v>
      </c>
      <c r="U300" s="19">
        <f>T300*SUM(Q300:R300)</f>
        <v>3234</v>
      </c>
      <c r="V300" s="19"/>
      <c r="W300" s="19">
        <f>IF(AC300&gt;AD300,0,IF(AE300&lt;AF300,O300,IF(AND(AE300&gt;=AF300,AE300&lt;=AD300),(O300-S300),IF(AND(AF300&lt;=AC300,AD300&gt;=AC300),0,IF(AE300&gt;AD300,((AF300-AC300)*12)*P300,0)))))</f>
        <v>6198.5000000002456</v>
      </c>
      <c r="X300" s="19">
        <f>W300*T300</f>
        <v>6198.5000000002456</v>
      </c>
      <c r="Y300" s="19">
        <v>1</v>
      </c>
      <c r="Z300" s="19">
        <f>X300*Y300</f>
        <v>6198.5000000002456</v>
      </c>
      <c r="AA300" s="19">
        <f>IF(N300&gt;0,0,Z300+U300*Y300)*Y300</f>
        <v>9432.5000000002456</v>
      </c>
      <c r="AB300" s="19">
        <f>IF(N300&gt;0,(M300-Z300)/2,IF(AC300&gt;=AF300,(((M300*T300)*Y300)-AA300)/2,((((M300*T300)*Y300)-Z300)+(((M300*T300)*Y300)-AA300))/2))</f>
        <v>24524.499999999753</v>
      </c>
      <c r="AC300" s="310">
        <f t="shared" si="190"/>
        <v>2013.5833333333333</v>
      </c>
      <c r="AD300" s="310">
        <f t="shared" si="191"/>
        <v>2016.5</v>
      </c>
      <c r="AE300" s="310">
        <f t="shared" si="192"/>
        <v>2023.5833333333333</v>
      </c>
      <c r="AF300" s="310">
        <f t="shared" si="193"/>
        <v>2015.5</v>
      </c>
      <c r="AG300" s="310">
        <f t="shared" si="194"/>
        <v>-8.3333333333333329E-2</v>
      </c>
    </row>
    <row r="301" spans="1:33">
      <c r="A301" s="306"/>
      <c r="C301" s="331" t="s">
        <v>905</v>
      </c>
      <c r="D301" s="314">
        <v>2015</v>
      </c>
      <c r="E301" s="306">
        <v>7</v>
      </c>
      <c r="F301" s="352">
        <v>0</v>
      </c>
      <c r="G301" s="352"/>
      <c r="H301" s="314" t="s">
        <v>722</v>
      </c>
      <c r="I301" s="314">
        <v>10</v>
      </c>
      <c r="J301" s="308">
        <f>D301+I301</f>
        <v>2025</v>
      </c>
      <c r="K301" s="353"/>
      <c r="L301" s="353"/>
      <c r="M301" s="333">
        <v>26050.41</v>
      </c>
      <c r="N301" s="21"/>
      <c r="O301" s="19">
        <f>M301-M301*F301</f>
        <v>26050.41</v>
      </c>
      <c r="P301" s="19">
        <f>O301/I301/12</f>
        <v>217.08675000000002</v>
      </c>
      <c r="Q301" s="19">
        <f>IF(N301&gt;0,0,IF(OR(AC301&gt;AD301,AE301&lt;AF301),0,IF(AND(AE301&gt;=AF301,AE301&lt;=AD301),P301*((AE301-AF301)*12),IF(AND(AF301&lt;=AC301,AD301&gt;=AC301),((AD301-AC301)*12)*P301,IF(AE301&gt;AD301,12*P301,0)))))</f>
        <v>2605.0410000000002</v>
      </c>
      <c r="R301" s="19"/>
      <c r="S301" s="19">
        <f>IF(R301&gt;0,R301,Q301)</f>
        <v>2605.0410000000002</v>
      </c>
      <c r="T301" s="19">
        <v>1</v>
      </c>
      <c r="U301" s="19">
        <f>T301*SUM(Q301:R301)</f>
        <v>2605.0410000000002</v>
      </c>
      <c r="V301" s="19"/>
      <c r="W301" s="19">
        <f>IF(AC301&gt;AD301,0,IF(AE301&lt;AF301,O301,IF(AND(AE301&gt;=AF301,AE301&lt;=AD301),(O301-S301),IF(AND(AF301&lt;=AC301,AD301&gt;=AC301),0,IF(AE301&gt;AD301,((AF301-AC301)*12)*P301,0)))))</f>
        <v>0</v>
      </c>
      <c r="X301" s="19">
        <f>W301*T301</f>
        <v>0</v>
      </c>
      <c r="Y301" s="19">
        <v>1</v>
      </c>
      <c r="Z301" s="19">
        <f>X301*Y301</f>
        <v>0</v>
      </c>
      <c r="AA301" s="19">
        <f>IF(N301&gt;0,0,Z301+U301*Y301)*Y301</f>
        <v>2605.0410000000002</v>
      </c>
      <c r="AB301" s="19">
        <f>IF(N301&gt;0,(M301-Z301)/2,IF(AC301&gt;=AF301,(((M301*T301)*Y301)-AA301)/2,((((M301*T301)*Y301)-Z301)+(((M301*T301)*Y301)-AA301))/2))</f>
        <v>11722.684499999999</v>
      </c>
      <c r="AC301" s="310">
        <f t="shared" si="190"/>
        <v>2015.5</v>
      </c>
      <c r="AD301" s="310">
        <f t="shared" si="191"/>
        <v>2016.5</v>
      </c>
      <c r="AE301" s="310">
        <f t="shared" si="192"/>
        <v>2025.5</v>
      </c>
      <c r="AF301" s="310">
        <f t="shared" si="193"/>
        <v>2015.5</v>
      </c>
      <c r="AG301" s="310">
        <f t="shared" si="194"/>
        <v>-8.3333333333333329E-2</v>
      </c>
    </row>
    <row r="302" spans="1:33">
      <c r="A302" s="306"/>
      <c r="C302" s="306"/>
      <c r="D302" s="314"/>
      <c r="E302" s="306"/>
      <c r="F302" s="306"/>
      <c r="G302" s="306"/>
      <c r="H302" s="306"/>
      <c r="I302" s="314"/>
      <c r="J302" s="308"/>
      <c r="K302" s="378"/>
      <c r="L302" s="306"/>
      <c r="M302" s="21"/>
      <c r="N302" s="21"/>
      <c r="O302" s="21"/>
      <c r="P302" s="21"/>
      <c r="Q302" s="21"/>
      <c r="R302" s="21"/>
      <c r="S302" s="21"/>
      <c r="T302" s="21"/>
      <c r="U302" s="21"/>
      <c r="V302" s="21"/>
      <c r="W302" s="21"/>
      <c r="X302" s="21"/>
      <c r="Y302" s="21"/>
      <c r="Z302" s="21"/>
      <c r="AA302" s="21"/>
      <c r="AB302" s="21"/>
      <c r="AC302" s="306"/>
      <c r="AD302" s="306"/>
      <c r="AE302" s="306"/>
      <c r="AF302" s="306"/>
      <c r="AG302" s="306"/>
    </row>
    <row r="303" spans="1:33" s="334" customFormat="1">
      <c r="A303" s="335"/>
      <c r="B303" s="335"/>
      <c r="C303" s="341" t="s">
        <v>906</v>
      </c>
      <c r="D303" s="337"/>
      <c r="E303" s="336"/>
      <c r="F303" s="336"/>
      <c r="G303" s="336"/>
      <c r="H303" s="336"/>
      <c r="I303" s="337"/>
      <c r="J303" s="338"/>
      <c r="K303" s="379"/>
      <c r="L303" s="336"/>
      <c r="M303" s="339">
        <f>SUM(M292:M302)</f>
        <v>264637.24</v>
      </c>
      <c r="N303" s="339"/>
      <c r="O303" s="339">
        <f>SUM(O292:O302)</f>
        <v>264637.24</v>
      </c>
      <c r="P303" s="339">
        <f>SUM(P292:P302)</f>
        <v>1682.6903166666666</v>
      </c>
      <c r="Q303" s="339">
        <f>SUM(Q292:Q302)</f>
        <v>18270.283800000001</v>
      </c>
      <c r="R303" s="339"/>
      <c r="S303" s="339">
        <f t="shared" ref="S303:U303" si="195">SUM(S292:S302)</f>
        <v>18270.283800000001</v>
      </c>
      <c r="T303" s="339"/>
      <c r="U303" s="339">
        <f t="shared" si="195"/>
        <v>18270.283800000001</v>
      </c>
      <c r="V303" s="339"/>
      <c r="W303" s="339">
        <f t="shared" ref="W303:X303" si="196">SUM(W292:W302)</f>
        <v>113053.72035555592</v>
      </c>
      <c r="X303" s="339">
        <f t="shared" si="196"/>
        <v>113053.72035555592</v>
      </c>
      <c r="Y303" s="339"/>
      <c r="Z303" s="339">
        <f>SUM(Z292:Z302)</f>
        <v>113053.72035555592</v>
      </c>
      <c r="AA303" s="339">
        <f>SUM(AA292:AA302)</f>
        <v>131324.00415555594</v>
      </c>
      <c r="AB303" s="339">
        <f>SUM(AB292:AB302)</f>
        <v>129423.17274444408</v>
      </c>
      <c r="AC303" s="335"/>
      <c r="AD303" s="335"/>
      <c r="AE303" s="335"/>
      <c r="AF303" s="335"/>
      <c r="AG303" s="335"/>
    </row>
    <row r="304" spans="1:33">
      <c r="A304" s="306"/>
      <c r="C304" s="306"/>
      <c r="D304" s="314"/>
      <c r="E304" s="306"/>
      <c r="F304" s="306"/>
      <c r="G304" s="306"/>
      <c r="H304" s="306"/>
      <c r="I304" s="314"/>
      <c r="J304" s="308"/>
      <c r="K304" s="378"/>
      <c r="L304" s="306"/>
      <c r="M304" s="378"/>
      <c r="N304" s="306"/>
      <c r="O304" s="306"/>
      <c r="P304" s="306"/>
      <c r="Q304" s="306"/>
      <c r="R304" s="306"/>
      <c r="S304" s="306"/>
      <c r="T304" s="306"/>
      <c r="U304" s="306"/>
      <c r="V304" s="306"/>
      <c r="W304" s="306"/>
      <c r="X304" s="306"/>
      <c r="Y304" s="306"/>
      <c r="Z304" s="306"/>
      <c r="AA304" s="306"/>
      <c r="AB304" s="306"/>
      <c r="AC304" s="306"/>
      <c r="AD304" s="306"/>
      <c r="AE304" s="306"/>
      <c r="AF304" s="306"/>
      <c r="AG304" s="306"/>
    </row>
    <row r="305" spans="1:33">
      <c r="A305" s="306"/>
      <c r="C305" s="306"/>
      <c r="D305" s="314"/>
      <c r="E305" s="306"/>
      <c r="F305" s="306"/>
      <c r="G305" s="306"/>
      <c r="H305" s="306"/>
      <c r="I305" s="314"/>
      <c r="J305" s="308"/>
      <c r="K305" s="378"/>
      <c r="L305" s="306"/>
      <c r="M305" s="378"/>
      <c r="N305" s="306"/>
      <c r="O305" s="306"/>
      <c r="P305" s="306"/>
      <c r="Q305" s="306"/>
      <c r="R305" s="306"/>
      <c r="S305" s="306"/>
      <c r="T305" s="306"/>
      <c r="U305" s="306"/>
      <c r="V305" s="306"/>
      <c r="W305" s="306"/>
      <c r="X305" s="306"/>
      <c r="Y305" s="306"/>
      <c r="Z305" s="306"/>
      <c r="AA305" s="306"/>
      <c r="AB305" s="306"/>
      <c r="AC305" s="306"/>
      <c r="AD305" s="306"/>
      <c r="AE305" s="306"/>
      <c r="AF305" s="306"/>
      <c r="AG305" s="306"/>
    </row>
    <row r="306" spans="1:33" ht="12" thickBot="1">
      <c r="C306" s="380" t="s">
        <v>907</v>
      </c>
      <c r="D306" s="381"/>
      <c r="E306" s="382"/>
      <c r="F306" s="382"/>
      <c r="G306" s="382"/>
      <c r="H306" s="382"/>
      <c r="I306" s="381"/>
      <c r="J306" s="383"/>
      <c r="K306" s="384"/>
      <c r="L306" s="382"/>
      <c r="M306" s="385">
        <f>M303+M289+M275+M253+M247+M216+M201+M61+M227</f>
        <v>3234181.4649999999</v>
      </c>
      <c r="N306" s="382"/>
      <c r="O306" s="385">
        <f>O303+O289+O275+O253+O247+O216+O201+O61+O227</f>
        <v>2767605.1546999998</v>
      </c>
      <c r="P306" s="385">
        <f>P303+P289+P275+P253+P247+P216+P201+P61+P227</f>
        <v>31025.483592222223</v>
      </c>
      <c r="Q306" s="385">
        <f>Q303+Q289+Q275+Q253+Q247+Q216+Q201+Q61+Q227</f>
        <v>187405.98529713723</v>
      </c>
      <c r="R306" s="382"/>
      <c r="S306" s="385">
        <f>S303+S289+S275+S253+S247+S216+S201+S61+S227</f>
        <v>187405.98529713723</v>
      </c>
      <c r="T306" s="382"/>
      <c r="U306" s="385">
        <f>U303+U289+U275+U253+U247+U216+U201+U61+U227</f>
        <v>187405.98529713723</v>
      </c>
      <c r="V306" s="382"/>
      <c r="W306" s="385">
        <f>W303+W289+W275+W253+W247+W216+W201+W61+W227</f>
        <v>1587993.4073282538</v>
      </c>
      <c r="X306" s="385">
        <f>X303+X289+X275+X253+X247+X216+X201+X61+X227</f>
        <v>1587993.4073282538</v>
      </c>
      <c r="Y306" s="382"/>
      <c r="Z306" s="385">
        <f>Z303+Z289+Z275+Z253+Z247+Z216+Z201+Z61+Z227</f>
        <v>1699126.1376615867</v>
      </c>
      <c r="AA306" s="385">
        <f>AA303+AA289+AA275+AA253+AA247+AA216+AA201+AA61+AA227</f>
        <v>1886532.1229587242</v>
      </c>
      <c r="AB306" s="385">
        <f>AB303+AB289+AB275+AB253+AB247+AB216+AB201+AB61+AB227</f>
        <v>1042271.2246898448</v>
      </c>
    </row>
    <row r="307" spans="1:33" ht="12" thickTop="1">
      <c r="D307" s="301"/>
      <c r="F307" s="302"/>
      <c r="I307" s="301"/>
      <c r="K307" s="387"/>
      <c r="M307" s="387"/>
    </row>
    <row r="308" spans="1:33">
      <c r="D308" s="301"/>
      <c r="F308" s="302"/>
      <c r="I308" s="301"/>
      <c r="K308" s="387"/>
      <c r="M308" s="387"/>
    </row>
    <row r="309" spans="1:33">
      <c r="D309" s="301"/>
      <c r="F309" s="302"/>
      <c r="I309" s="301"/>
      <c r="K309" s="387"/>
      <c r="M309" s="387"/>
    </row>
    <row r="312" spans="1:33">
      <c r="Z312" s="334"/>
    </row>
    <row r="313" spans="1:33">
      <c r="C313" s="334"/>
      <c r="F313" s="302"/>
      <c r="G313" s="334"/>
      <c r="J313" s="389"/>
      <c r="M313" s="302"/>
      <c r="Z313" s="334"/>
    </row>
    <row r="314" spans="1:33">
      <c r="C314" s="334"/>
      <c r="F314" s="302"/>
      <c r="G314" s="334"/>
      <c r="J314" s="389"/>
      <c r="M314" s="302"/>
      <c r="AE314" s="390"/>
      <c r="AF314" s="390"/>
      <c r="AG314" s="390"/>
    </row>
    <row r="315" spans="1:33">
      <c r="F315" s="302"/>
      <c r="M315" s="302"/>
      <c r="O315" s="390"/>
      <c r="P315" s="390"/>
      <c r="Q315" s="390"/>
      <c r="R315" s="390"/>
      <c r="S315" s="390"/>
      <c r="T315" s="390"/>
      <c r="Z315" s="391"/>
      <c r="AA315" s="390"/>
      <c r="AB315" s="390"/>
      <c r="AC315" s="390"/>
      <c r="AD315" s="390"/>
      <c r="AE315" s="390"/>
      <c r="AF315" s="390"/>
      <c r="AG315" s="390"/>
    </row>
    <row r="316" spans="1:33">
      <c r="C316" s="334"/>
      <c r="D316" s="392"/>
      <c r="E316" s="392"/>
      <c r="F316" s="392"/>
      <c r="G316" s="334"/>
      <c r="H316" s="392"/>
      <c r="I316" s="392"/>
      <c r="J316" s="389"/>
      <c r="K316" s="392"/>
      <c r="L316" s="392"/>
      <c r="M316" s="392"/>
      <c r="N316" s="392"/>
      <c r="O316" s="392"/>
      <c r="P316" s="392"/>
      <c r="Q316" s="392"/>
      <c r="R316" s="392"/>
      <c r="S316" s="392"/>
      <c r="T316" s="392"/>
      <c r="AA316" s="304"/>
      <c r="AB316" s="304"/>
      <c r="AC316" s="304"/>
      <c r="AD316" s="304"/>
      <c r="AE316" s="304"/>
      <c r="AF316" s="304"/>
      <c r="AG316" s="304"/>
    </row>
    <row r="317" spans="1:33">
      <c r="D317" s="304"/>
      <c r="E317" s="304"/>
      <c r="F317" s="304"/>
      <c r="H317" s="304"/>
      <c r="I317" s="304"/>
      <c r="K317" s="304"/>
      <c r="L317" s="304"/>
      <c r="M317" s="304"/>
      <c r="N317" s="304"/>
      <c r="O317" s="304"/>
      <c r="P317" s="304"/>
      <c r="Q317" s="304"/>
      <c r="R317" s="304"/>
      <c r="S317" s="304"/>
      <c r="T317" s="304"/>
      <c r="AA317" s="304"/>
      <c r="AB317" s="304"/>
      <c r="AC317" s="304"/>
      <c r="AD317" s="304"/>
      <c r="AE317" s="304"/>
      <c r="AF317" s="304"/>
      <c r="AG317" s="304"/>
    </row>
    <row r="318" spans="1:33">
      <c r="D318" s="304"/>
      <c r="E318" s="304"/>
      <c r="F318" s="304"/>
      <c r="H318" s="304"/>
      <c r="I318" s="304"/>
      <c r="K318" s="304"/>
      <c r="L318" s="304"/>
      <c r="M318" s="304"/>
      <c r="N318" s="304"/>
      <c r="O318" s="304"/>
      <c r="P318" s="304"/>
      <c r="Q318" s="304"/>
      <c r="R318" s="304"/>
      <c r="S318" s="304"/>
      <c r="T318" s="304"/>
      <c r="AA318" s="304"/>
      <c r="AB318" s="304"/>
      <c r="AC318" s="304"/>
      <c r="AD318" s="304"/>
      <c r="AE318" s="304"/>
      <c r="AF318" s="304"/>
      <c r="AG318" s="304"/>
    </row>
    <row r="319" spans="1:33">
      <c r="D319" s="304"/>
      <c r="E319" s="304"/>
      <c r="F319" s="304"/>
      <c r="H319" s="304"/>
      <c r="I319" s="304"/>
      <c r="K319" s="304"/>
      <c r="L319" s="304"/>
      <c r="M319" s="304"/>
      <c r="N319" s="304"/>
      <c r="O319" s="304"/>
      <c r="P319" s="304"/>
      <c r="Q319" s="304"/>
      <c r="R319" s="304"/>
      <c r="S319" s="304"/>
      <c r="T319" s="304"/>
      <c r="AA319" s="304"/>
      <c r="AB319" s="304"/>
      <c r="AC319" s="304"/>
      <c r="AD319" s="304"/>
      <c r="AE319" s="304"/>
      <c r="AF319" s="304"/>
      <c r="AG319" s="304"/>
    </row>
    <row r="320" spans="1:33">
      <c r="D320" s="304"/>
      <c r="E320" s="304"/>
      <c r="F320" s="304"/>
      <c r="H320" s="304"/>
      <c r="I320" s="304"/>
      <c r="K320" s="304"/>
      <c r="L320" s="304"/>
      <c r="M320" s="304"/>
      <c r="N320" s="304"/>
      <c r="O320" s="304"/>
      <c r="P320" s="304"/>
      <c r="Q320" s="304"/>
      <c r="R320" s="304"/>
      <c r="S320" s="304"/>
      <c r="T320" s="304"/>
      <c r="AA320" s="304"/>
      <c r="AB320" s="304"/>
      <c r="AC320" s="304"/>
      <c r="AD320" s="304"/>
      <c r="AE320" s="304"/>
      <c r="AF320" s="304"/>
      <c r="AG320" s="304"/>
    </row>
    <row r="321" spans="3:33">
      <c r="D321" s="304"/>
      <c r="E321" s="304"/>
      <c r="F321" s="304"/>
      <c r="H321" s="304"/>
      <c r="I321" s="304"/>
      <c r="K321" s="304"/>
      <c r="L321" s="304"/>
      <c r="M321" s="304"/>
      <c r="N321" s="304"/>
      <c r="O321" s="304"/>
      <c r="P321" s="304"/>
      <c r="Q321" s="304"/>
      <c r="R321" s="304"/>
      <c r="S321" s="304"/>
      <c r="T321" s="304"/>
      <c r="AA321" s="304"/>
      <c r="AB321" s="304"/>
      <c r="AC321" s="304"/>
      <c r="AD321" s="304"/>
      <c r="AE321" s="304"/>
      <c r="AF321" s="304"/>
      <c r="AG321" s="304"/>
    </row>
    <row r="322" spans="3:33">
      <c r="D322" s="304"/>
      <c r="E322" s="304"/>
      <c r="F322" s="304"/>
      <c r="H322" s="304"/>
      <c r="I322" s="304"/>
      <c r="K322" s="304"/>
      <c r="L322" s="304"/>
      <c r="M322" s="304"/>
      <c r="N322" s="304"/>
      <c r="O322" s="304"/>
      <c r="P322" s="304"/>
      <c r="Q322" s="304"/>
      <c r="R322" s="304"/>
      <c r="S322" s="304"/>
      <c r="T322" s="304"/>
      <c r="AA322" s="304"/>
      <c r="AB322" s="304"/>
      <c r="AC322" s="304"/>
      <c r="AD322" s="304"/>
      <c r="AE322" s="304"/>
      <c r="AF322" s="304"/>
      <c r="AG322" s="304"/>
    </row>
    <row r="323" spans="3:33">
      <c r="D323" s="304"/>
      <c r="E323" s="304"/>
      <c r="F323" s="304"/>
      <c r="H323" s="304"/>
      <c r="I323" s="304"/>
      <c r="K323" s="304"/>
      <c r="L323" s="304"/>
      <c r="M323" s="304"/>
      <c r="N323" s="304"/>
      <c r="O323" s="304"/>
      <c r="P323" s="304"/>
      <c r="Q323" s="304"/>
      <c r="R323" s="304"/>
      <c r="S323" s="304"/>
      <c r="T323" s="304"/>
      <c r="AA323" s="304"/>
      <c r="AB323" s="304"/>
      <c r="AC323" s="304"/>
      <c r="AD323" s="304"/>
      <c r="AE323" s="304"/>
      <c r="AF323" s="304"/>
      <c r="AG323" s="304"/>
    </row>
    <row r="324" spans="3:33">
      <c r="D324" s="304"/>
      <c r="E324" s="304"/>
      <c r="F324" s="304"/>
      <c r="H324" s="304"/>
      <c r="I324" s="304"/>
      <c r="K324" s="304"/>
      <c r="L324" s="304"/>
      <c r="M324" s="304"/>
      <c r="N324" s="304"/>
      <c r="O324" s="304"/>
      <c r="P324" s="304"/>
      <c r="Q324" s="304"/>
      <c r="R324" s="304"/>
      <c r="S324" s="304"/>
      <c r="T324" s="304"/>
      <c r="AA324" s="304"/>
      <c r="AB324" s="304"/>
      <c r="AC324" s="304"/>
      <c r="AD324" s="304"/>
      <c r="AE324" s="304"/>
      <c r="AF324" s="304"/>
      <c r="AG324" s="304"/>
    </row>
    <row r="325" spans="3:33">
      <c r="D325" s="304"/>
      <c r="E325" s="304"/>
      <c r="F325" s="304"/>
      <c r="H325" s="304"/>
      <c r="I325" s="304"/>
      <c r="K325" s="304"/>
      <c r="L325" s="304"/>
      <c r="M325" s="304"/>
      <c r="N325" s="304"/>
      <c r="O325" s="304"/>
      <c r="P325" s="304"/>
      <c r="Q325" s="304"/>
      <c r="R325" s="304"/>
      <c r="S325" s="304"/>
      <c r="T325" s="304"/>
      <c r="Z325" s="334"/>
      <c r="AA325" s="392"/>
      <c r="AB325" s="392"/>
      <c r="AC325" s="392"/>
      <c r="AD325" s="392"/>
      <c r="AE325" s="392"/>
      <c r="AF325" s="392"/>
      <c r="AG325" s="392"/>
    </row>
    <row r="326" spans="3:33">
      <c r="C326" s="334"/>
      <c r="D326" s="392"/>
      <c r="E326" s="392"/>
      <c r="F326" s="392"/>
      <c r="G326" s="334"/>
      <c r="H326" s="392"/>
      <c r="I326" s="392"/>
      <c r="J326" s="389"/>
      <c r="K326" s="392"/>
      <c r="L326" s="392"/>
      <c r="M326" s="392"/>
      <c r="N326" s="392"/>
      <c r="O326" s="392"/>
      <c r="P326" s="392"/>
      <c r="Q326" s="392"/>
      <c r="R326" s="392"/>
      <c r="S326" s="392"/>
      <c r="T326" s="392"/>
    </row>
    <row r="327" spans="3:33">
      <c r="J327" s="389"/>
      <c r="K327" s="392"/>
      <c r="L327" s="392"/>
      <c r="M327" s="392"/>
      <c r="N327" s="392"/>
      <c r="O327" s="392"/>
      <c r="P327" s="392"/>
      <c r="Q327" s="392"/>
      <c r="AA327" s="304"/>
      <c r="AC327" s="304"/>
      <c r="AD327" s="304"/>
      <c r="AE327" s="304"/>
      <c r="AF327" s="304"/>
      <c r="AG327" s="304"/>
    </row>
    <row r="328" spans="3:33">
      <c r="AA328" s="304"/>
      <c r="AC328" s="304"/>
      <c r="AD328" s="304"/>
      <c r="AE328" s="304"/>
      <c r="AF328" s="304"/>
      <c r="AG328" s="304"/>
    </row>
    <row r="329" spans="3:33">
      <c r="AA329" s="304"/>
      <c r="AC329" s="304"/>
      <c r="AD329" s="304"/>
      <c r="AE329" s="304"/>
      <c r="AF329" s="304"/>
      <c r="AG329" s="304"/>
    </row>
    <row r="330" spans="3:33">
      <c r="AC330" s="304"/>
      <c r="AD330" s="304"/>
      <c r="AE330" s="304"/>
      <c r="AF330" s="304"/>
      <c r="AG330" s="304"/>
    </row>
    <row r="331" spans="3:33">
      <c r="AA331" s="304"/>
      <c r="AC331" s="304"/>
      <c r="AD331" s="304"/>
      <c r="AE331" s="304"/>
      <c r="AF331" s="304"/>
      <c r="AG331" s="304"/>
    </row>
  </sheetData>
  <mergeCells count="3">
    <mergeCell ref="E1:F1"/>
    <mergeCell ref="E2:F2"/>
    <mergeCell ref="A3:B3"/>
  </mergeCells>
  <pageMargins left="0.5" right="0.5" top="0.5" bottom="0.55000000000000004" header="0.5" footer="0.5"/>
  <pageSetup scale="68" fitToHeight="5" orientation="landscape" r:id="rId1"/>
  <headerFooter alignWithMargins="0"/>
  <rowBreaks count="3" manualBreakCount="3">
    <brk id="62" max="32" man="1"/>
    <brk id="204" max="32" man="1"/>
    <brk id="247" max="32"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
  <sheetViews>
    <sheetView zoomScaleNormal="100" workbookViewId="0">
      <selection activeCell="V28" sqref="V28"/>
    </sheetView>
  </sheetViews>
  <sheetFormatPr defaultRowHeight="15"/>
  <cols>
    <col min="1" max="1" width="16.42578125" customWidth="1"/>
    <col min="2" max="2" width="14.28515625" bestFit="1" customWidth="1"/>
    <col min="3" max="3" width="11.28515625" bestFit="1" customWidth="1"/>
    <col min="4" max="4" width="10.28515625" bestFit="1" customWidth="1"/>
    <col min="5" max="5" width="11.28515625" bestFit="1" customWidth="1"/>
    <col min="6" max="6" width="12.28515625" bestFit="1" customWidth="1"/>
    <col min="7" max="7" width="10.28515625" bestFit="1" customWidth="1"/>
    <col min="8" max="8" width="12" bestFit="1" customWidth="1"/>
    <col min="9" max="9" width="12.28515625" bestFit="1" customWidth="1"/>
    <col min="10" max="10" width="13.42578125" customWidth="1"/>
    <col min="11" max="11" width="10.85546875" bestFit="1" customWidth="1"/>
    <col min="12" max="12" width="10.5703125" bestFit="1" customWidth="1"/>
    <col min="13" max="13" width="15.28515625" bestFit="1" customWidth="1"/>
    <col min="14" max="14" width="12.28515625" bestFit="1" customWidth="1"/>
    <col min="15" max="15" width="4" customWidth="1"/>
    <col min="16" max="16" width="9.28515625" bestFit="1" customWidth="1"/>
    <col min="17" max="17" width="12.28515625" bestFit="1" customWidth="1"/>
    <col min="20" max="20" width="11.5703125" bestFit="1" customWidth="1"/>
    <col min="21" max="21" width="10.85546875" bestFit="1" customWidth="1"/>
    <col min="22" max="22" width="10.5703125" bestFit="1" customWidth="1"/>
  </cols>
  <sheetData>
    <row r="1" spans="1:22">
      <c r="A1" s="486" t="s">
        <v>640</v>
      </c>
      <c r="B1" s="537"/>
      <c r="C1" s="538"/>
      <c r="D1" s="537"/>
      <c r="E1" s="538"/>
      <c r="F1" s="485"/>
      <c r="G1" s="538"/>
      <c r="H1" s="537"/>
      <c r="I1" s="539"/>
      <c r="J1" s="486" t="s">
        <v>640</v>
      </c>
      <c r="K1" s="537"/>
      <c r="L1" s="538"/>
      <c r="M1" s="537"/>
      <c r="N1" s="538"/>
      <c r="O1" s="485"/>
      <c r="P1" s="538"/>
      <c r="Q1" s="537"/>
    </row>
    <row r="2" spans="1:22">
      <c r="A2" s="486" t="s">
        <v>1388</v>
      </c>
      <c r="B2" s="537"/>
      <c r="C2" s="538"/>
      <c r="D2" s="537"/>
      <c r="E2" s="538"/>
      <c r="F2" s="485"/>
      <c r="G2" s="538"/>
      <c r="H2" s="537"/>
      <c r="I2" s="539"/>
      <c r="J2" s="486" t="s">
        <v>1915</v>
      </c>
      <c r="K2" s="537"/>
      <c r="L2" s="538"/>
      <c r="M2" s="537"/>
      <c r="N2" s="538"/>
      <c r="O2" s="485"/>
      <c r="P2" s="538"/>
      <c r="Q2" s="537"/>
    </row>
    <row r="3" spans="1:22">
      <c r="A3" s="540" t="s">
        <v>1389</v>
      </c>
      <c r="B3" s="537"/>
      <c r="C3" s="538"/>
      <c r="D3" s="537"/>
      <c r="E3" s="538"/>
      <c r="F3" s="485"/>
      <c r="G3" s="538"/>
      <c r="H3" s="537"/>
      <c r="I3" s="539"/>
      <c r="J3" s="540" t="s">
        <v>1389</v>
      </c>
      <c r="K3" s="537"/>
      <c r="L3" s="538"/>
      <c r="M3" s="537"/>
      <c r="N3" s="538"/>
      <c r="O3" s="485"/>
      <c r="P3" s="538"/>
      <c r="Q3" s="537"/>
    </row>
    <row r="4" spans="1:22">
      <c r="A4" s="486"/>
      <c r="B4" s="537"/>
      <c r="C4" s="538"/>
      <c r="D4" s="537"/>
      <c r="E4" s="538"/>
      <c r="F4" s="485"/>
      <c r="G4" s="538"/>
      <c r="H4" s="537"/>
      <c r="I4" s="539"/>
      <c r="J4" s="486"/>
      <c r="K4" s="537"/>
      <c r="L4" s="538"/>
      <c r="M4" s="537"/>
      <c r="N4" s="538"/>
      <c r="O4" s="485"/>
      <c r="P4" s="538"/>
      <c r="Q4" s="537"/>
    </row>
    <row r="5" spans="1:22">
      <c r="A5" s="485"/>
      <c r="B5" s="537"/>
      <c r="C5" s="538"/>
      <c r="D5" s="537"/>
      <c r="E5" s="538"/>
      <c r="F5" s="485"/>
      <c r="G5" s="538"/>
      <c r="H5" s="537"/>
      <c r="I5" s="539"/>
      <c r="J5" s="485"/>
      <c r="K5" s="537"/>
      <c r="L5" s="538"/>
      <c r="M5" s="537"/>
      <c r="N5" s="538"/>
      <c r="O5" s="485"/>
      <c r="P5" s="538"/>
      <c r="Q5" s="537"/>
    </row>
    <row r="6" spans="1:22">
      <c r="A6" s="485"/>
      <c r="B6" s="1144" t="s">
        <v>1390</v>
      </c>
      <c r="C6" s="1145"/>
      <c r="D6" s="1145"/>
      <c r="E6" s="1146"/>
      <c r="F6" s="485"/>
      <c r="G6" s="1147" t="s">
        <v>3</v>
      </c>
      <c r="H6" s="1148"/>
      <c r="I6" s="539"/>
      <c r="J6" s="485"/>
      <c r="K6" s="1144" t="s">
        <v>1390</v>
      </c>
      <c r="L6" s="1145"/>
      <c r="M6" s="1145"/>
      <c r="N6" s="1146"/>
      <c r="O6" s="485"/>
      <c r="P6" s="1147" t="s">
        <v>3</v>
      </c>
      <c r="Q6" s="1148"/>
    </row>
    <row r="7" spans="1:22">
      <c r="A7" s="485"/>
      <c r="B7" s="1149" t="s">
        <v>1391</v>
      </c>
      <c r="C7" s="1149"/>
      <c r="D7" s="1150" t="s">
        <v>1392</v>
      </c>
      <c r="E7" s="1150"/>
      <c r="F7" s="537"/>
      <c r="G7" s="1151"/>
      <c r="H7" s="1151"/>
      <c r="I7" s="539"/>
      <c r="J7" s="485"/>
      <c r="K7" s="1149" t="s">
        <v>1391</v>
      </c>
      <c r="L7" s="1149"/>
      <c r="M7" s="1150" t="s">
        <v>1392</v>
      </c>
      <c r="N7" s="1150"/>
      <c r="O7" s="537"/>
      <c r="P7" s="1151"/>
      <c r="Q7" s="1151"/>
    </row>
    <row r="8" spans="1:22">
      <c r="A8" s="485"/>
      <c r="B8" s="541" t="s">
        <v>1393</v>
      </c>
      <c r="C8" s="542" t="s">
        <v>1394</v>
      </c>
      <c r="D8" s="541" t="s">
        <v>1393</v>
      </c>
      <c r="E8" s="542" t="s">
        <v>1394</v>
      </c>
      <c r="F8" s="537"/>
      <c r="G8" s="541" t="s">
        <v>1393</v>
      </c>
      <c r="H8" s="542" t="s">
        <v>1394</v>
      </c>
      <c r="I8" s="539"/>
      <c r="J8" s="485"/>
      <c r="K8" s="541" t="s">
        <v>1393</v>
      </c>
      <c r="L8" s="542" t="s">
        <v>1394</v>
      </c>
      <c r="M8" s="541" t="s">
        <v>1393</v>
      </c>
      <c r="N8" s="542" t="s">
        <v>1394</v>
      </c>
      <c r="O8" s="537"/>
      <c r="P8" s="541" t="s">
        <v>1393</v>
      </c>
      <c r="Q8" s="542" t="s">
        <v>1394</v>
      </c>
      <c r="T8" s="59"/>
      <c r="U8" s="59"/>
      <c r="V8" s="59"/>
    </row>
    <row r="9" spans="1:22">
      <c r="A9" s="543">
        <v>42186</v>
      </c>
      <c r="B9" s="544">
        <v>39.97</v>
      </c>
      <c r="C9" s="545">
        <v>4076.94</v>
      </c>
      <c r="D9" s="544">
        <v>548.37</v>
      </c>
      <c r="E9" s="545">
        <v>55933.74</v>
      </c>
      <c r="F9" s="537"/>
      <c r="G9" s="546">
        <f t="shared" ref="G9:H20" si="0">B9+D9</f>
        <v>588.34</v>
      </c>
      <c r="H9" s="547">
        <f t="shared" si="0"/>
        <v>60010.68</v>
      </c>
      <c r="I9" s="545"/>
      <c r="M9" s="544">
        <v>23.62</v>
      </c>
      <c r="N9" s="545">
        <v>1369.96</v>
      </c>
      <c r="O9" s="544"/>
      <c r="P9" s="571">
        <f t="shared" ref="P9:Q20" si="1">K9+M9</f>
        <v>23.62</v>
      </c>
      <c r="Q9" s="572">
        <f t="shared" si="1"/>
        <v>1369.96</v>
      </c>
      <c r="T9" s="597"/>
      <c r="U9" s="1110"/>
      <c r="V9" s="597"/>
    </row>
    <row r="10" spans="1:22">
      <c r="A10" s="543">
        <v>42217</v>
      </c>
      <c r="B10" s="544">
        <v>57.26</v>
      </c>
      <c r="C10" s="545">
        <v>5164</v>
      </c>
      <c r="D10" s="544">
        <v>499.56</v>
      </c>
      <c r="E10" s="545">
        <v>50955.12</v>
      </c>
      <c r="F10" s="537"/>
      <c r="G10" s="546">
        <f t="shared" si="0"/>
        <v>556.82000000000005</v>
      </c>
      <c r="H10" s="547">
        <f t="shared" si="0"/>
        <v>56119.12</v>
      </c>
      <c r="I10" s="545"/>
      <c r="M10" s="544">
        <v>20.8</v>
      </c>
      <c r="N10" s="545">
        <v>1212.4000000000001</v>
      </c>
      <c r="O10" s="544"/>
      <c r="P10" s="571">
        <f t="shared" si="1"/>
        <v>20.8</v>
      </c>
      <c r="Q10" s="572">
        <f t="shared" si="1"/>
        <v>1212.4000000000001</v>
      </c>
      <c r="T10" s="597"/>
      <c r="U10" s="1110"/>
      <c r="V10" s="597"/>
    </row>
    <row r="11" spans="1:22">
      <c r="A11" s="543">
        <v>42248</v>
      </c>
      <c r="B11" s="544">
        <v>53.14</v>
      </c>
      <c r="C11" s="545">
        <v>4665.4799999999996</v>
      </c>
      <c r="D11" s="544">
        <v>540.27</v>
      </c>
      <c r="E11" s="545">
        <v>55107.54</v>
      </c>
      <c r="F11" s="537"/>
      <c r="G11" s="546">
        <f t="shared" si="0"/>
        <v>593.41</v>
      </c>
      <c r="H11" s="547">
        <f t="shared" si="0"/>
        <v>59773.020000000004</v>
      </c>
      <c r="I11" s="545"/>
      <c r="M11" s="544">
        <v>26.2</v>
      </c>
      <c r="N11" s="545">
        <v>1521.1</v>
      </c>
      <c r="O11" s="544"/>
      <c r="P11" s="571">
        <f t="shared" si="1"/>
        <v>26.2</v>
      </c>
      <c r="Q11" s="572">
        <f t="shared" si="1"/>
        <v>1521.1</v>
      </c>
      <c r="T11" s="597"/>
      <c r="U11" s="1110"/>
      <c r="V11" s="597"/>
    </row>
    <row r="12" spans="1:22">
      <c r="A12" s="543">
        <v>42278</v>
      </c>
      <c r="B12" s="544">
        <v>36.99</v>
      </c>
      <c r="C12" s="545">
        <v>3772.98</v>
      </c>
      <c r="D12" s="544">
        <v>519.22</v>
      </c>
      <c r="E12" s="545">
        <v>52960.44</v>
      </c>
      <c r="F12" s="537"/>
      <c r="G12" s="546">
        <f t="shared" si="0"/>
        <v>556.21</v>
      </c>
      <c r="H12" s="547">
        <f t="shared" si="0"/>
        <v>56733.420000000006</v>
      </c>
      <c r="I12" s="545"/>
      <c r="M12" s="544">
        <v>20.309999999999999</v>
      </c>
      <c r="N12" s="545">
        <v>1177.98</v>
      </c>
      <c r="O12" s="544"/>
      <c r="P12" s="571">
        <f t="shared" si="1"/>
        <v>20.309999999999999</v>
      </c>
      <c r="Q12" s="572">
        <f t="shared" si="1"/>
        <v>1177.98</v>
      </c>
      <c r="T12" s="597"/>
      <c r="U12" s="1110"/>
      <c r="V12" s="597"/>
    </row>
    <row r="13" spans="1:22">
      <c r="A13" s="543">
        <v>42309</v>
      </c>
      <c r="B13" s="544">
        <v>49.81</v>
      </c>
      <c r="C13" s="545">
        <v>5080.62</v>
      </c>
      <c r="D13" s="544">
        <v>518.12176470588236</v>
      </c>
      <c r="E13" s="545">
        <v>52848.42</v>
      </c>
      <c r="F13" s="537"/>
      <c r="G13" s="546">
        <f t="shared" si="0"/>
        <v>567.93176470588242</v>
      </c>
      <c r="H13" s="547">
        <f t="shared" si="0"/>
        <v>57929.04</v>
      </c>
      <c r="I13" s="545"/>
      <c r="M13" s="544">
        <v>18.28</v>
      </c>
      <c r="N13" s="545">
        <v>1061.74</v>
      </c>
      <c r="O13" s="544"/>
      <c r="P13" s="571">
        <f t="shared" si="1"/>
        <v>18.28</v>
      </c>
      <c r="Q13" s="572">
        <f t="shared" si="1"/>
        <v>1061.74</v>
      </c>
      <c r="T13" s="597"/>
      <c r="U13" s="1110"/>
      <c r="V13" s="597"/>
    </row>
    <row r="14" spans="1:22">
      <c r="A14" s="543">
        <v>42339</v>
      </c>
      <c r="B14" s="544">
        <v>33.436176470588236</v>
      </c>
      <c r="C14" s="545">
        <v>3410.49</v>
      </c>
      <c r="D14" s="544">
        <v>561.4</v>
      </c>
      <c r="E14" s="545">
        <v>57262.8</v>
      </c>
      <c r="F14" s="537"/>
      <c r="G14" s="546">
        <f t="shared" si="0"/>
        <v>594.83617647058827</v>
      </c>
      <c r="H14" s="547">
        <f t="shared" si="0"/>
        <v>60673.29</v>
      </c>
      <c r="I14" s="545"/>
      <c r="M14" s="544">
        <v>19.86</v>
      </c>
      <c r="N14" s="545">
        <v>1151.8800000000001</v>
      </c>
      <c r="O14" s="544"/>
      <c r="P14" s="571">
        <f t="shared" si="1"/>
        <v>19.86</v>
      </c>
      <c r="Q14" s="572">
        <f t="shared" si="1"/>
        <v>1151.8800000000001</v>
      </c>
      <c r="T14" s="597"/>
      <c r="U14" s="1110"/>
      <c r="V14" s="597"/>
    </row>
    <row r="15" spans="1:22">
      <c r="A15" s="543">
        <v>42370</v>
      </c>
      <c r="B15" s="544">
        <v>16.34</v>
      </c>
      <c r="C15" s="545">
        <v>1666.68</v>
      </c>
      <c r="D15" s="544">
        <v>505.43</v>
      </c>
      <c r="E15" s="545">
        <v>51553.86</v>
      </c>
      <c r="F15" s="537"/>
      <c r="G15" s="546">
        <f t="shared" si="0"/>
        <v>521.77</v>
      </c>
      <c r="H15" s="547">
        <f t="shared" si="0"/>
        <v>53220.54</v>
      </c>
      <c r="I15" s="545"/>
      <c r="M15" s="544">
        <v>17.57</v>
      </c>
      <c r="N15" s="545">
        <v>1019.06</v>
      </c>
      <c r="O15" s="544"/>
      <c r="P15" s="571">
        <f t="shared" si="1"/>
        <v>17.57</v>
      </c>
      <c r="Q15" s="572">
        <f t="shared" si="1"/>
        <v>1019.06</v>
      </c>
      <c r="T15" s="597"/>
      <c r="U15" s="1110"/>
      <c r="V15" s="597"/>
    </row>
    <row r="16" spans="1:22">
      <c r="A16" s="543">
        <v>42401</v>
      </c>
      <c r="B16" s="544">
        <v>24.81</v>
      </c>
      <c r="C16" s="545">
        <v>2530.62</v>
      </c>
      <c r="D16" s="544">
        <v>489.46</v>
      </c>
      <c r="E16" s="545">
        <v>49924.92</v>
      </c>
      <c r="F16" s="537"/>
      <c r="G16" s="546">
        <f t="shared" si="0"/>
        <v>514.27</v>
      </c>
      <c r="H16" s="547">
        <f t="shared" si="0"/>
        <v>52455.54</v>
      </c>
      <c r="I16" s="545"/>
      <c r="M16" s="544">
        <v>18.64</v>
      </c>
      <c r="N16" s="545">
        <v>1081.1199999999999</v>
      </c>
      <c r="O16" s="544"/>
      <c r="P16" s="571">
        <f t="shared" si="1"/>
        <v>18.64</v>
      </c>
      <c r="Q16" s="572">
        <f t="shared" si="1"/>
        <v>1081.1199999999999</v>
      </c>
      <c r="T16" s="597"/>
      <c r="U16" s="1110"/>
      <c r="V16" s="597"/>
    </row>
    <row r="17" spans="1:22">
      <c r="A17" s="543">
        <v>42430</v>
      </c>
      <c r="B17" s="544">
        <v>41.11</v>
      </c>
      <c r="C17" s="545">
        <v>4193.22</v>
      </c>
      <c r="D17" s="544">
        <v>579.41</v>
      </c>
      <c r="E17" s="545">
        <v>59099.82</v>
      </c>
      <c r="F17" s="537"/>
      <c r="G17" s="546">
        <f t="shared" si="0"/>
        <v>620.52</v>
      </c>
      <c r="H17" s="547">
        <f t="shared" si="0"/>
        <v>63293.04</v>
      </c>
      <c r="I17" s="545"/>
      <c r="M17" s="544">
        <v>23.24</v>
      </c>
      <c r="N17" s="545">
        <v>1347.92</v>
      </c>
      <c r="O17" s="544"/>
      <c r="P17" s="571">
        <f t="shared" si="1"/>
        <v>23.24</v>
      </c>
      <c r="Q17" s="572">
        <f t="shared" si="1"/>
        <v>1347.92</v>
      </c>
      <c r="T17" s="597"/>
      <c r="U17" s="1110"/>
      <c r="V17" s="597"/>
    </row>
    <row r="18" spans="1:22">
      <c r="A18" s="543">
        <v>42461</v>
      </c>
      <c r="B18" s="544">
        <v>66.790000000000006</v>
      </c>
      <c r="C18" s="545">
        <v>6512.42</v>
      </c>
      <c r="D18" s="544">
        <v>498.92</v>
      </c>
      <c r="E18" s="545">
        <v>50889.84</v>
      </c>
      <c r="F18" s="537"/>
      <c r="G18" s="546">
        <f t="shared" si="0"/>
        <v>565.71</v>
      </c>
      <c r="H18" s="547">
        <f t="shared" si="0"/>
        <v>57402.259999999995</v>
      </c>
      <c r="I18" s="545"/>
      <c r="M18" s="544">
        <v>23.41</v>
      </c>
      <c r="N18" s="545">
        <v>1357.78</v>
      </c>
      <c r="O18" s="544"/>
      <c r="P18" s="571">
        <f t="shared" si="1"/>
        <v>23.41</v>
      </c>
      <c r="Q18" s="572">
        <f t="shared" si="1"/>
        <v>1357.78</v>
      </c>
      <c r="T18" s="597"/>
      <c r="U18" s="1110"/>
      <c r="V18" s="597"/>
    </row>
    <row r="19" spans="1:22">
      <c r="A19" s="543">
        <v>42491</v>
      </c>
      <c r="B19" s="544">
        <v>30.56</v>
      </c>
      <c r="C19" s="545">
        <v>3054.48</v>
      </c>
      <c r="D19" s="544">
        <v>547.72</v>
      </c>
      <c r="E19" s="545">
        <v>55867.44</v>
      </c>
      <c r="F19" s="537"/>
      <c r="G19" s="546">
        <f t="shared" si="0"/>
        <v>578.28</v>
      </c>
      <c r="H19" s="547">
        <f t="shared" si="0"/>
        <v>58921.920000000006</v>
      </c>
      <c r="I19" s="545"/>
      <c r="M19" s="544">
        <v>28.65</v>
      </c>
      <c r="N19" s="545">
        <v>1661.7</v>
      </c>
      <c r="O19" s="544"/>
      <c r="P19" s="571">
        <f t="shared" si="1"/>
        <v>28.65</v>
      </c>
      <c r="Q19" s="572">
        <f t="shared" si="1"/>
        <v>1661.7</v>
      </c>
      <c r="T19" s="597"/>
      <c r="U19" s="1110"/>
      <c r="V19" s="597"/>
    </row>
    <row r="20" spans="1:22">
      <c r="A20" s="543">
        <v>42522</v>
      </c>
      <c r="B20" s="537">
        <v>137.52000000000001</v>
      </c>
      <c r="C20" s="538">
        <v>12193.47</v>
      </c>
      <c r="D20" s="537">
        <v>584.35</v>
      </c>
      <c r="E20" s="538">
        <v>59603.7</v>
      </c>
      <c r="F20" s="537"/>
      <c r="G20" s="546">
        <f t="shared" si="0"/>
        <v>721.87</v>
      </c>
      <c r="H20" s="547">
        <f t="shared" si="0"/>
        <v>71797.17</v>
      </c>
      <c r="I20" s="545"/>
      <c r="M20" s="544">
        <v>29.810000000000002</v>
      </c>
      <c r="N20" s="545">
        <v>1728.98</v>
      </c>
      <c r="O20" s="544"/>
      <c r="P20" s="571">
        <f t="shared" si="1"/>
        <v>29.810000000000002</v>
      </c>
      <c r="Q20" s="572">
        <f t="shared" si="1"/>
        <v>1728.98</v>
      </c>
      <c r="T20" s="597"/>
      <c r="U20" s="1110"/>
      <c r="V20" s="597"/>
    </row>
    <row r="21" spans="1:22" ht="16.5">
      <c r="A21" s="543"/>
      <c r="B21" s="548"/>
      <c r="C21" s="549"/>
      <c r="D21" s="548"/>
      <c r="E21" s="549"/>
      <c r="F21" s="548"/>
      <c r="G21" s="550"/>
      <c r="H21" s="551"/>
      <c r="I21" s="545"/>
      <c r="T21" s="59"/>
      <c r="U21" s="59"/>
      <c r="V21" s="59"/>
    </row>
    <row r="22" spans="1:22" ht="15.75" thickBot="1">
      <c r="A22" s="486"/>
      <c r="B22" s="552">
        <f>SUM(B9:B20)</f>
        <v>587.73617647058825</v>
      </c>
      <c r="C22" s="552">
        <f>SUM(C9:C20)</f>
        <v>56321.4</v>
      </c>
      <c r="D22" s="552">
        <f>SUM(D9:D20)</f>
        <v>6392.2317647058826</v>
      </c>
      <c r="E22" s="552">
        <f>SUM(E9:E20)</f>
        <v>652007.6399999999</v>
      </c>
      <c r="F22" s="552"/>
      <c r="G22" s="552">
        <f>SUM(G9:G20)</f>
        <v>6979.967941176471</v>
      </c>
      <c r="H22" s="552">
        <f>SUM(H9:H20)</f>
        <v>708329.04</v>
      </c>
      <c r="I22" s="553"/>
      <c r="M22" s="552">
        <f>SUM(M9:M20)</f>
        <v>270.39</v>
      </c>
      <c r="N22" s="552">
        <f>SUM(N9:N20)</f>
        <v>15691.620000000003</v>
      </c>
      <c r="P22" s="552">
        <f>SUM(P9:P20)</f>
        <v>270.39</v>
      </c>
      <c r="Q22" s="552">
        <f>SUM(Q9:Q20)</f>
        <v>15691.620000000003</v>
      </c>
    </row>
    <row r="23" spans="1:22" ht="15.75" thickTop="1">
      <c r="A23" s="486"/>
      <c r="B23" s="554"/>
      <c r="C23" s="554"/>
      <c r="D23" s="554"/>
      <c r="E23" s="554"/>
      <c r="F23" s="554"/>
      <c r="G23" s="554"/>
      <c r="H23" s="554"/>
      <c r="I23" s="553"/>
    </row>
    <row r="24" spans="1:22">
      <c r="A24" s="283" t="s">
        <v>1536</v>
      </c>
      <c r="B24" s="292">
        <f>'Consolidated IS'!C73</f>
        <v>724168.79</v>
      </c>
    </row>
    <row r="25" spans="1:22" s="401" customFormat="1">
      <c r="A25" s="401" t="s">
        <v>244</v>
      </c>
      <c r="B25" s="191">
        <f>B24-C22-E22-N22</f>
        <v>148.1300000001138</v>
      </c>
      <c r="C25" s="581"/>
    </row>
    <row r="26" spans="1:22" s="401" customFormat="1">
      <c r="B26" s="191"/>
      <c r="C26" s="581"/>
    </row>
    <row r="27" spans="1:22" s="401" customFormat="1"/>
    <row r="28" spans="1:22">
      <c r="A28" s="555" t="s">
        <v>640</v>
      </c>
      <c r="B28" s="556"/>
      <c r="C28" s="557"/>
      <c r="D28" s="557"/>
      <c r="E28" s="558"/>
      <c r="F28" s="559"/>
      <c r="G28" s="560"/>
      <c r="H28" s="561"/>
      <c r="I28" s="562"/>
      <c r="J28" s="558"/>
      <c r="K28" s="559"/>
      <c r="L28" s="556"/>
      <c r="M28" s="557"/>
      <c r="N28" s="557"/>
      <c r="O28" s="563"/>
      <c r="P28" s="557"/>
      <c r="Q28" s="557"/>
    </row>
    <row r="29" spans="1:22">
      <c r="A29" s="555" t="s">
        <v>1395</v>
      </c>
      <c r="B29" s="556"/>
      <c r="C29" s="557"/>
      <c r="D29" s="557"/>
      <c r="E29" s="564"/>
      <c r="F29" s="559"/>
      <c r="G29" s="560"/>
      <c r="H29" s="561"/>
      <c r="I29" s="562"/>
      <c r="J29" s="564"/>
      <c r="K29" s="559"/>
      <c r="L29" s="556"/>
      <c r="M29" s="557" t="s">
        <v>1396</v>
      </c>
      <c r="N29" s="557" t="s">
        <v>1397</v>
      </c>
      <c r="O29" s="563"/>
      <c r="P29" s="557"/>
      <c r="Q29" s="557"/>
    </row>
    <row r="30" spans="1:22">
      <c r="A30" s="563"/>
      <c r="B30" s="556"/>
      <c r="C30" s="557"/>
      <c r="D30" s="557"/>
      <c r="E30" s="556"/>
      <c r="F30" s="557" t="s">
        <v>1398</v>
      </c>
      <c r="G30" s="557" t="s">
        <v>1399</v>
      </c>
      <c r="H30" s="563"/>
      <c r="I30" s="556"/>
      <c r="J30" s="557"/>
      <c r="K30" s="557"/>
      <c r="L30" s="556"/>
      <c r="M30" s="557" t="s">
        <v>1400</v>
      </c>
      <c r="N30" s="557" t="s">
        <v>1401</v>
      </c>
      <c r="O30" s="563"/>
      <c r="P30" s="557"/>
      <c r="Q30" s="557"/>
    </row>
    <row r="31" spans="1:22">
      <c r="A31" s="563"/>
      <c r="B31" s="1144" t="s">
        <v>1390</v>
      </c>
      <c r="C31" s="1145"/>
      <c r="D31" s="1145"/>
      <c r="E31" s="1145"/>
      <c r="F31" s="1146"/>
      <c r="G31" s="565"/>
      <c r="H31" s="563"/>
      <c r="I31" s="1144" t="s">
        <v>1402</v>
      </c>
      <c r="J31" s="1145"/>
      <c r="K31" s="1145"/>
      <c r="L31" s="1145"/>
      <c r="M31" s="1146"/>
      <c r="N31" s="565"/>
      <c r="O31" s="563"/>
      <c r="P31" s="1154" t="s">
        <v>3</v>
      </c>
      <c r="Q31" s="1155"/>
    </row>
    <row r="32" spans="1:22">
      <c r="A32" s="563"/>
      <c r="B32" s="1149" t="s">
        <v>1391</v>
      </c>
      <c r="C32" s="1149"/>
      <c r="D32" s="566" t="s">
        <v>255</v>
      </c>
      <c r="E32" s="1150" t="s">
        <v>1392</v>
      </c>
      <c r="F32" s="1150"/>
      <c r="G32" s="566" t="s">
        <v>255</v>
      </c>
      <c r="H32" s="556"/>
      <c r="I32" s="1149" t="s">
        <v>1391</v>
      </c>
      <c r="J32" s="1149"/>
      <c r="K32" s="566" t="s">
        <v>255</v>
      </c>
      <c r="L32" s="1150" t="s">
        <v>1392</v>
      </c>
      <c r="M32" s="1150"/>
      <c r="N32" s="567" t="s">
        <v>255</v>
      </c>
      <c r="O32" s="556"/>
      <c r="P32" s="563"/>
      <c r="Q32" s="563"/>
    </row>
    <row r="33" spans="1:17">
      <c r="A33" s="563"/>
      <c r="B33" s="541" t="s">
        <v>1393</v>
      </c>
      <c r="C33" s="542" t="s">
        <v>1394</v>
      </c>
      <c r="D33" s="542"/>
      <c r="E33" s="541" t="s">
        <v>1393</v>
      </c>
      <c r="F33" s="542" t="s">
        <v>1394</v>
      </c>
      <c r="G33" s="568"/>
      <c r="H33" s="556"/>
      <c r="I33" s="541" t="s">
        <v>1393</v>
      </c>
      <c r="J33" s="542" t="s">
        <v>1394</v>
      </c>
      <c r="K33" s="542"/>
      <c r="L33" s="541" t="s">
        <v>1393</v>
      </c>
      <c r="M33" s="542" t="s">
        <v>1394</v>
      </c>
      <c r="N33" s="542"/>
      <c r="O33" s="556"/>
      <c r="P33" s="541" t="s">
        <v>1393</v>
      </c>
      <c r="Q33" s="542" t="s">
        <v>1394</v>
      </c>
    </row>
    <row r="34" spans="1:17">
      <c r="A34" s="569">
        <v>42186</v>
      </c>
      <c r="B34" s="570">
        <v>17.18</v>
      </c>
      <c r="C34" s="545">
        <v>1735.18</v>
      </c>
      <c r="D34" s="545">
        <f t="shared" ref="D34:D45" si="2">IFERROR((C34/B34),0)</f>
        <v>101</v>
      </c>
      <c r="E34" s="570">
        <v>94.34</v>
      </c>
      <c r="F34" s="545">
        <v>9528.34</v>
      </c>
      <c r="G34" s="545">
        <f t="shared" ref="G34:G45" si="3">F34/E34</f>
        <v>101</v>
      </c>
      <c r="H34" s="544"/>
      <c r="I34" s="570">
        <v>2.46</v>
      </c>
      <c r="J34" s="545">
        <v>251.88</v>
      </c>
      <c r="K34" s="545">
        <f t="shared" ref="K34:K45" si="4">IFERROR((J34/I34),0)</f>
        <v>102.39024390243902</v>
      </c>
      <c r="L34" s="570">
        <v>37.57</v>
      </c>
      <c r="M34" s="545">
        <v>3846.78</v>
      </c>
      <c r="N34" s="545">
        <f t="shared" ref="N34:N45" si="5">IFERROR((M34/L34),0)</f>
        <v>102.3896726111259</v>
      </c>
      <c r="O34" s="544"/>
      <c r="P34" s="571">
        <f t="shared" ref="P34:Q45" si="6">B34+E34+I34+L34</f>
        <v>151.55000000000001</v>
      </c>
      <c r="Q34" s="572">
        <f t="shared" si="6"/>
        <v>15362.18</v>
      </c>
    </row>
    <row r="35" spans="1:17">
      <c r="A35" s="569">
        <v>42217</v>
      </c>
      <c r="B35" s="570">
        <v>6.75</v>
      </c>
      <c r="C35" s="545">
        <v>681.75</v>
      </c>
      <c r="D35" s="545">
        <f t="shared" si="2"/>
        <v>101</v>
      </c>
      <c r="E35" s="570">
        <v>102.55</v>
      </c>
      <c r="F35" s="545">
        <v>10357.549999999999</v>
      </c>
      <c r="G35" s="545">
        <f t="shared" si="3"/>
        <v>101</v>
      </c>
      <c r="H35" s="544"/>
      <c r="I35" s="570">
        <v>13.27</v>
      </c>
      <c r="J35" s="545">
        <v>1358.71</v>
      </c>
      <c r="K35" s="545">
        <f t="shared" si="4"/>
        <v>102.38960060286361</v>
      </c>
      <c r="L35" s="570">
        <v>51.46</v>
      </c>
      <c r="M35" s="545">
        <v>5269</v>
      </c>
      <c r="N35" s="545">
        <f t="shared" si="5"/>
        <v>102.39020598523125</v>
      </c>
      <c r="O35" s="544"/>
      <c r="P35" s="571">
        <f t="shared" si="6"/>
        <v>174.03</v>
      </c>
      <c r="Q35" s="572">
        <f t="shared" si="6"/>
        <v>17667.009999999998</v>
      </c>
    </row>
    <row r="36" spans="1:17">
      <c r="A36" s="569">
        <v>42248</v>
      </c>
      <c r="B36" s="570">
        <v>9.49</v>
      </c>
      <c r="C36" s="545">
        <v>958.49</v>
      </c>
      <c r="D36" s="545">
        <f t="shared" si="2"/>
        <v>101</v>
      </c>
      <c r="E36" s="570">
        <v>108.38</v>
      </c>
      <c r="F36" s="545">
        <v>10946.38</v>
      </c>
      <c r="G36" s="545">
        <f t="shared" si="3"/>
        <v>101</v>
      </c>
      <c r="H36" s="544"/>
      <c r="I36" s="570">
        <v>7.47</v>
      </c>
      <c r="J36" s="545">
        <v>764.85</v>
      </c>
      <c r="K36" s="545">
        <f t="shared" si="4"/>
        <v>102.38955823293173</v>
      </c>
      <c r="L36" s="570">
        <v>38.33</v>
      </c>
      <c r="M36" s="545">
        <v>3924.61</v>
      </c>
      <c r="N36" s="545">
        <f t="shared" si="5"/>
        <v>102.3900339159927</v>
      </c>
      <c r="O36" s="544"/>
      <c r="P36" s="571">
        <f t="shared" si="6"/>
        <v>163.66999999999999</v>
      </c>
      <c r="Q36" s="572">
        <f t="shared" si="6"/>
        <v>16594.329999999998</v>
      </c>
    </row>
    <row r="37" spans="1:17">
      <c r="A37" s="569">
        <v>42278</v>
      </c>
      <c r="B37" s="570">
        <v>3.95</v>
      </c>
      <c r="C37" s="545">
        <v>398.95</v>
      </c>
      <c r="D37" s="545">
        <f t="shared" si="2"/>
        <v>100.99999999999999</v>
      </c>
      <c r="E37" s="570">
        <v>88.57</v>
      </c>
      <c r="F37" s="545">
        <v>8945.57</v>
      </c>
      <c r="G37" s="545">
        <f t="shared" si="3"/>
        <v>101</v>
      </c>
      <c r="H37" s="544"/>
      <c r="I37" s="570">
        <v>2.38</v>
      </c>
      <c r="J37" s="545">
        <v>243.69</v>
      </c>
      <c r="K37" s="545">
        <f t="shared" si="4"/>
        <v>102.39075630252101</v>
      </c>
      <c r="L37" s="570">
        <v>39.549999999999997</v>
      </c>
      <c r="M37" s="545">
        <v>4049.52</v>
      </c>
      <c r="N37" s="545">
        <f t="shared" si="5"/>
        <v>102.38988621997473</v>
      </c>
      <c r="O37" s="544"/>
      <c r="P37" s="571">
        <f t="shared" si="6"/>
        <v>134.44999999999999</v>
      </c>
      <c r="Q37" s="572">
        <f t="shared" si="6"/>
        <v>13637.730000000001</v>
      </c>
    </row>
    <row r="38" spans="1:17">
      <c r="A38" s="569">
        <v>42309</v>
      </c>
      <c r="B38" s="570">
        <v>9.76</v>
      </c>
      <c r="C38" s="545">
        <v>985.76</v>
      </c>
      <c r="D38" s="545">
        <f t="shared" si="2"/>
        <v>101</v>
      </c>
      <c r="E38" s="570">
        <v>104.85</v>
      </c>
      <c r="F38" s="545">
        <v>10589.85</v>
      </c>
      <c r="G38" s="545">
        <f t="shared" si="3"/>
        <v>101.00000000000001</v>
      </c>
      <c r="H38" s="544"/>
      <c r="I38" s="570">
        <v>10.46</v>
      </c>
      <c r="J38" s="545">
        <v>1071</v>
      </c>
      <c r="K38" s="545">
        <f t="shared" si="4"/>
        <v>102.39005736137666</v>
      </c>
      <c r="L38" s="570">
        <v>50.24</v>
      </c>
      <c r="M38" s="545">
        <v>5144.0600000000004</v>
      </c>
      <c r="N38" s="545">
        <f t="shared" si="5"/>
        <v>102.38972929936305</v>
      </c>
      <c r="O38" s="544"/>
      <c r="P38" s="571">
        <f t="shared" si="6"/>
        <v>175.31</v>
      </c>
      <c r="Q38" s="572">
        <f t="shared" si="6"/>
        <v>17790.670000000002</v>
      </c>
    </row>
    <row r="39" spans="1:17">
      <c r="A39" s="569">
        <v>42339</v>
      </c>
      <c r="B39" s="570">
        <v>2.67</v>
      </c>
      <c r="C39" s="545">
        <v>269.67</v>
      </c>
      <c r="D39" s="545">
        <f t="shared" si="2"/>
        <v>101.00000000000001</v>
      </c>
      <c r="E39" s="570">
        <v>127.46</v>
      </c>
      <c r="F39" s="545">
        <v>12873.46</v>
      </c>
      <c r="G39" s="545">
        <f t="shared" si="3"/>
        <v>101</v>
      </c>
      <c r="H39" s="544"/>
      <c r="I39" s="570">
        <v>0</v>
      </c>
      <c r="J39" s="545">
        <v>0</v>
      </c>
      <c r="K39" s="545">
        <f t="shared" si="4"/>
        <v>0</v>
      </c>
      <c r="L39" s="570">
        <v>31.98</v>
      </c>
      <c r="M39" s="545">
        <v>3274.43</v>
      </c>
      <c r="N39" s="545">
        <f t="shared" si="5"/>
        <v>102.38993120700437</v>
      </c>
      <c r="O39" s="544"/>
      <c r="P39" s="571">
        <f t="shared" si="6"/>
        <v>162.10999999999999</v>
      </c>
      <c r="Q39" s="572">
        <f t="shared" si="6"/>
        <v>16417.559999999998</v>
      </c>
    </row>
    <row r="40" spans="1:17">
      <c r="A40" s="569">
        <v>42370</v>
      </c>
      <c r="B40" s="570">
        <v>4.3600000000000003</v>
      </c>
      <c r="C40" s="545">
        <v>440.36</v>
      </c>
      <c r="D40" s="545">
        <f t="shared" si="2"/>
        <v>101</v>
      </c>
      <c r="E40" s="570">
        <v>79.680000000000007</v>
      </c>
      <c r="F40" s="545">
        <v>8047.68</v>
      </c>
      <c r="G40" s="545">
        <f t="shared" si="3"/>
        <v>101</v>
      </c>
      <c r="H40" s="544"/>
      <c r="I40" s="570">
        <v>11.49</v>
      </c>
      <c r="J40" s="545">
        <v>1210.5899999999999</v>
      </c>
      <c r="K40" s="545">
        <f t="shared" si="4"/>
        <v>105.36031331592689</v>
      </c>
      <c r="L40" s="570">
        <v>33.130000000000003</v>
      </c>
      <c r="M40" s="545">
        <v>3490.57</v>
      </c>
      <c r="N40" s="545">
        <f t="shared" si="5"/>
        <v>105.35979474796257</v>
      </c>
      <c r="O40" s="544"/>
      <c r="P40" s="571">
        <f t="shared" si="6"/>
        <v>128.66</v>
      </c>
      <c r="Q40" s="572">
        <f t="shared" si="6"/>
        <v>13189.2</v>
      </c>
    </row>
    <row r="41" spans="1:17">
      <c r="A41" s="569">
        <v>42401</v>
      </c>
      <c r="B41" s="570">
        <v>2.88</v>
      </c>
      <c r="C41" s="545">
        <v>290.88</v>
      </c>
      <c r="D41" s="545">
        <f t="shared" si="2"/>
        <v>101</v>
      </c>
      <c r="E41" s="570">
        <v>91.58</v>
      </c>
      <c r="F41" s="545">
        <v>9249.58</v>
      </c>
      <c r="G41" s="545">
        <f t="shared" si="3"/>
        <v>101</v>
      </c>
      <c r="H41" s="544"/>
      <c r="I41" s="570">
        <v>3.09</v>
      </c>
      <c r="J41" s="545">
        <v>325.56</v>
      </c>
      <c r="K41" s="545">
        <f t="shared" si="4"/>
        <v>105.35922330097088</v>
      </c>
      <c r="L41" s="570">
        <v>43.77</v>
      </c>
      <c r="M41" s="545">
        <v>4611.6099999999997</v>
      </c>
      <c r="N41" s="545">
        <f t="shared" si="5"/>
        <v>105.36006397075622</v>
      </c>
      <c r="O41" s="544"/>
      <c r="P41" s="571">
        <f t="shared" si="6"/>
        <v>141.32</v>
      </c>
      <c r="Q41" s="572">
        <f t="shared" si="6"/>
        <v>14477.629999999997</v>
      </c>
    </row>
    <row r="42" spans="1:17">
      <c r="A42" s="569">
        <v>42430</v>
      </c>
      <c r="B42" s="570">
        <v>9.5399999999999991</v>
      </c>
      <c r="C42" s="545">
        <v>963.54</v>
      </c>
      <c r="D42" s="545">
        <f t="shared" si="2"/>
        <v>101</v>
      </c>
      <c r="E42" s="570">
        <v>116.78</v>
      </c>
      <c r="F42" s="545">
        <v>11794.78</v>
      </c>
      <c r="G42" s="545">
        <f t="shared" si="3"/>
        <v>101</v>
      </c>
      <c r="H42" s="544"/>
      <c r="I42" s="570">
        <v>15.21</v>
      </c>
      <c r="J42" s="545">
        <v>1602.52</v>
      </c>
      <c r="K42" s="545">
        <f t="shared" si="4"/>
        <v>105.35963182117028</v>
      </c>
      <c r="L42" s="570">
        <v>34.14</v>
      </c>
      <c r="M42" s="545">
        <v>3596.99</v>
      </c>
      <c r="N42" s="545">
        <f t="shared" si="5"/>
        <v>105.35998828353836</v>
      </c>
      <c r="O42" s="544"/>
      <c r="P42" s="571">
        <f t="shared" si="6"/>
        <v>175.67000000000002</v>
      </c>
      <c r="Q42" s="572">
        <f t="shared" si="6"/>
        <v>17957.830000000002</v>
      </c>
    </row>
    <row r="43" spans="1:17">
      <c r="A43" s="569">
        <v>42461</v>
      </c>
      <c r="B43" s="570">
        <v>26.95</v>
      </c>
      <c r="C43" s="545">
        <v>2721.95</v>
      </c>
      <c r="D43" s="545">
        <f t="shared" si="2"/>
        <v>101</v>
      </c>
      <c r="E43" s="570">
        <v>87.47</v>
      </c>
      <c r="F43" s="545">
        <v>8834.4699999999993</v>
      </c>
      <c r="G43" s="545">
        <f t="shared" si="3"/>
        <v>101</v>
      </c>
      <c r="H43" s="544"/>
      <c r="I43" s="570">
        <v>8.74</v>
      </c>
      <c r="J43" s="545">
        <v>920.85</v>
      </c>
      <c r="K43" s="545">
        <f t="shared" si="4"/>
        <v>105.3604118993135</v>
      </c>
      <c r="L43" s="570">
        <v>37.94</v>
      </c>
      <c r="M43" s="545">
        <v>3997.36</v>
      </c>
      <c r="N43" s="545">
        <f t="shared" si="5"/>
        <v>105.3600421718503</v>
      </c>
      <c r="O43" s="544"/>
      <c r="P43" s="571">
        <f t="shared" si="6"/>
        <v>161.1</v>
      </c>
      <c r="Q43" s="572">
        <f t="shared" si="6"/>
        <v>16474.629999999997</v>
      </c>
    </row>
    <row r="44" spans="1:17">
      <c r="A44" s="569">
        <v>42491</v>
      </c>
      <c r="B44" s="570">
        <v>9.85</v>
      </c>
      <c r="C44" s="545">
        <v>994.85</v>
      </c>
      <c r="D44" s="545">
        <f t="shared" si="2"/>
        <v>101</v>
      </c>
      <c r="E44" s="570">
        <v>117.79</v>
      </c>
      <c r="F44" s="545">
        <v>11896.79</v>
      </c>
      <c r="G44" s="545">
        <f t="shared" si="3"/>
        <v>101</v>
      </c>
      <c r="H44" s="544"/>
      <c r="I44" s="570">
        <v>2.66</v>
      </c>
      <c r="J44" s="545">
        <v>280.26</v>
      </c>
      <c r="K44" s="545">
        <f t="shared" si="4"/>
        <v>105.36090225563909</v>
      </c>
      <c r="L44" s="570">
        <v>47.5</v>
      </c>
      <c r="M44" s="545">
        <v>5004.6099999999997</v>
      </c>
      <c r="N44" s="545">
        <f t="shared" si="5"/>
        <v>105.36021052631578</v>
      </c>
      <c r="O44" s="544"/>
      <c r="P44" s="571">
        <f t="shared" si="6"/>
        <v>177.8</v>
      </c>
      <c r="Q44" s="572">
        <f t="shared" si="6"/>
        <v>18176.510000000002</v>
      </c>
    </row>
    <row r="45" spans="1:17">
      <c r="A45" s="569">
        <v>42522</v>
      </c>
      <c r="B45" s="570">
        <v>7.8</v>
      </c>
      <c r="C45" s="545">
        <v>787.8</v>
      </c>
      <c r="D45" s="545">
        <f t="shared" si="2"/>
        <v>101</v>
      </c>
      <c r="E45" s="570">
        <v>131.44</v>
      </c>
      <c r="F45" s="545">
        <v>13275.44</v>
      </c>
      <c r="G45" s="545">
        <f t="shared" si="3"/>
        <v>101</v>
      </c>
      <c r="H45" s="544"/>
      <c r="I45" s="570">
        <v>12.24</v>
      </c>
      <c r="J45" s="545">
        <v>1289.6099999999999</v>
      </c>
      <c r="K45" s="545">
        <f t="shared" si="4"/>
        <v>105.36029411764704</v>
      </c>
      <c r="L45" s="570">
        <v>37.18</v>
      </c>
      <c r="M45" s="545">
        <v>3917.28</v>
      </c>
      <c r="N45" s="545">
        <f t="shared" si="5"/>
        <v>105.35987089833245</v>
      </c>
      <c r="O45" s="544"/>
      <c r="P45" s="571">
        <f t="shared" si="6"/>
        <v>188.66000000000003</v>
      </c>
      <c r="Q45" s="572">
        <f t="shared" si="6"/>
        <v>19270.13</v>
      </c>
    </row>
    <row r="46" spans="1:17" ht="16.5">
      <c r="A46" s="573"/>
      <c r="B46" s="574"/>
      <c r="C46" s="575"/>
      <c r="D46" s="575"/>
      <c r="E46" s="576"/>
      <c r="F46" s="575"/>
      <c r="G46" s="575"/>
      <c r="H46" s="577"/>
      <c r="I46" s="574"/>
      <c r="J46" s="575"/>
      <c r="K46" s="575"/>
      <c r="L46" s="576"/>
      <c r="M46" s="575"/>
      <c r="N46" s="575"/>
      <c r="O46" s="577"/>
      <c r="P46" s="546"/>
      <c r="Q46" s="547"/>
    </row>
    <row r="47" spans="1:17" ht="15.75" thickBot="1">
      <c r="A47" s="563"/>
      <c r="B47" s="578">
        <f>SUM(B34:B45)</f>
        <v>111.18</v>
      </c>
      <c r="C47" s="579">
        <f t="shared" ref="C47:Q47" si="7">SUM(C34:C45)</f>
        <v>11229.179999999998</v>
      </c>
      <c r="D47" s="579">
        <f t="shared" si="7"/>
        <v>1212</v>
      </c>
      <c r="E47" s="578">
        <f t="shared" si="7"/>
        <v>1250.8900000000001</v>
      </c>
      <c r="F47" s="579">
        <f t="shared" si="7"/>
        <v>126339.88999999998</v>
      </c>
      <c r="G47" s="579">
        <f t="shared" si="7"/>
        <v>1212</v>
      </c>
      <c r="H47" s="578"/>
      <c r="I47" s="578">
        <f t="shared" si="7"/>
        <v>89.47</v>
      </c>
      <c r="J47" s="579">
        <f t="shared" si="7"/>
        <v>9319.5200000000023</v>
      </c>
      <c r="K47" s="579">
        <f t="shared" si="7"/>
        <v>1144.1109931127996</v>
      </c>
      <c r="L47" s="578">
        <f t="shared" si="7"/>
        <v>482.78999999999996</v>
      </c>
      <c r="M47" s="579">
        <f t="shared" si="7"/>
        <v>50126.82</v>
      </c>
      <c r="N47" s="579">
        <f t="shared" si="7"/>
        <v>1246.4994298374477</v>
      </c>
      <c r="O47" s="578"/>
      <c r="P47" s="578">
        <f t="shared" si="7"/>
        <v>1934.33</v>
      </c>
      <c r="Q47" s="579">
        <f t="shared" si="7"/>
        <v>197015.41000000003</v>
      </c>
    </row>
    <row r="48" spans="1:17" ht="15.75" thickTop="1">
      <c r="A48" s="563"/>
      <c r="B48" s="556"/>
      <c r="C48" s="557"/>
      <c r="D48" s="557"/>
      <c r="E48" s="556"/>
      <c r="F48" s="557"/>
      <c r="G48" s="557"/>
      <c r="H48" s="556"/>
      <c r="I48" s="556"/>
      <c r="J48" s="557"/>
      <c r="K48" s="557"/>
      <c r="L48" s="556"/>
      <c r="M48" s="557"/>
      <c r="N48" s="557"/>
      <c r="O48" s="556"/>
      <c r="P48" s="563"/>
      <c r="Q48" s="557"/>
    </row>
    <row r="50" spans="1:9">
      <c r="A50" s="283" t="s">
        <v>1534</v>
      </c>
      <c r="B50" s="292">
        <f>'Consolidated IS'!C77</f>
        <v>148473.49000000002</v>
      </c>
      <c r="H50" s="401" t="s">
        <v>1535</v>
      </c>
      <c r="I50" s="292">
        <f>'Consolidated IS'!C75</f>
        <v>58409.780000000013</v>
      </c>
    </row>
    <row r="51" spans="1:9">
      <c r="A51" t="s">
        <v>1404</v>
      </c>
      <c r="B51" s="196">
        <f>-GETPIVOTDATA("Amount USD",'40131 Disposal'!$B$110,"Further Description","STERICYCLE~LAWHEAD")</f>
        <v>-11012.72</v>
      </c>
      <c r="H51" s="401" t="s">
        <v>244</v>
      </c>
      <c r="I51" s="191">
        <f>I50-J47-M47</f>
        <v>-1036.5599999999904</v>
      </c>
    </row>
    <row r="52" spans="1:9">
      <c r="B52" s="292">
        <f>B50+B51</f>
        <v>137460.77000000002</v>
      </c>
      <c r="H52" s="401"/>
      <c r="I52" s="292"/>
    </row>
    <row r="53" spans="1:9">
      <c r="A53" t="s">
        <v>244</v>
      </c>
      <c r="B53" s="191">
        <f>B52-C47-F47</f>
        <v>-108.29999999995925</v>
      </c>
    </row>
    <row r="54" spans="1:9" s="401" customFormat="1">
      <c r="B54" s="191"/>
    </row>
    <row r="55" spans="1:9" s="401" customFormat="1">
      <c r="B55" s="191"/>
    </row>
    <row r="56" spans="1:9" s="401" customFormat="1">
      <c r="A56" s="1153" t="s">
        <v>236</v>
      </c>
      <c r="B56" s="1153"/>
    </row>
    <row r="57" spans="1:9">
      <c r="A57" s="128" t="s">
        <v>243</v>
      </c>
      <c r="B57" s="191">
        <f>'Consolidated IS'!I11</f>
        <v>72853.759999999995</v>
      </c>
      <c r="H57" s="401"/>
      <c r="I57" s="401"/>
    </row>
    <row r="58" spans="1:9" ht="57" customHeight="1">
      <c r="A58" s="128" t="s">
        <v>244</v>
      </c>
      <c r="B58" s="191">
        <f>B57-(C47+J47+C22)</f>
        <v>-4016.3400000000111</v>
      </c>
      <c r="C58" s="1152" t="s">
        <v>2140</v>
      </c>
      <c r="D58" s="1152"/>
      <c r="E58" s="1152"/>
      <c r="F58" s="1152"/>
    </row>
    <row r="59" spans="1:9" s="401" customFormat="1">
      <c r="B59" s="191"/>
    </row>
    <row r="60" spans="1:9" s="401" customFormat="1">
      <c r="B60" s="191"/>
    </row>
    <row r="61" spans="1:9" ht="15.75" thickBot="1"/>
    <row r="62" spans="1:9">
      <c r="A62" s="583"/>
      <c r="B62" s="584"/>
      <c r="C62" s="584"/>
      <c r="D62" s="584"/>
      <c r="E62" s="585"/>
    </row>
    <row r="63" spans="1:9">
      <c r="A63" s="586" t="s">
        <v>640</v>
      </c>
      <c r="B63" s="194"/>
      <c r="C63" s="194"/>
      <c r="D63" s="194"/>
      <c r="E63" s="587"/>
    </row>
    <row r="64" spans="1:9">
      <c r="A64" s="586" t="s">
        <v>1531</v>
      </c>
      <c r="B64" s="194"/>
      <c r="C64" s="194"/>
      <c r="D64" s="194"/>
      <c r="E64" s="587"/>
    </row>
    <row r="65" spans="1:5">
      <c r="A65" s="588"/>
      <c r="B65" s="194"/>
      <c r="C65" s="194"/>
      <c r="D65" s="194"/>
      <c r="E65" s="587"/>
    </row>
    <row r="66" spans="1:5">
      <c r="A66" s="589" t="s">
        <v>555</v>
      </c>
      <c r="B66" s="194"/>
      <c r="C66" s="194"/>
      <c r="D66" s="194"/>
      <c r="E66" s="587"/>
    </row>
    <row r="67" spans="1:5">
      <c r="A67" s="588"/>
      <c r="B67" s="295" t="s">
        <v>1532</v>
      </c>
      <c r="C67" s="295" t="s">
        <v>693</v>
      </c>
      <c r="D67" s="194"/>
      <c r="E67" s="587"/>
    </row>
    <row r="68" spans="1:5">
      <c r="A68" s="588" t="s">
        <v>524</v>
      </c>
      <c r="B68" s="590">
        <v>4021694.1944029341</v>
      </c>
      <c r="C68" s="222">
        <f>B68/B70</f>
        <v>0.75554039234932102</v>
      </c>
      <c r="D68" s="194"/>
      <c r="E68" s="587"/>
    </row>
    <row r="69" spans="1:5">
      <c r="A69" s="588" t="s">
        <v>525</v>
      </c>
      <c r="B69" s="582">
        <v>1301243.1827737452</v>
      </c>
      <c r="C69" s="222">
        <f>B69/B70</f>
        <v>0.24445960765067895</v>
      </c>
      <c r="D69" s="194"/>
      <c r="E69" s="587"/>
    </row>
    <row r="70" spans="1:5">
      <c r="A70" s="588"/>
      <c r="B70" s="591">
        <f>SUM(B68:B69)</f>
        <v>5322937.3771766797</v>
      </c>
      <c r="C70" s="194"/>
      <c r="D70" s="194"/>
      <c r="E70" s="587"/>
    </row>
    <row r="71" spans="1:5">
      <c r="A71" s="588"/>
      <c r="B71" s="591"/>
      <c r="C71" s="194"/>
      <c r="D71" s="194"/>
      <c r="E71" s="587"/>
    </row>
    <row r="72" spans="1:5">
      <c r="A72" s="589" t="s">
        <v>554</v>
      </c>
      <c r="B72" s="194"/>
      <c r="C72" s="194"/>
      <c r="D72" s="194"/>
      <c r="E72" s="587"/>
    </row>
    <row r="73" spans="1:5">
      <c r="A73" s="588"/>
      <c r="B73" s="295" t="s">
        <v>1532</v>
      </c>
      <c r="C73" s="295" t="s">
        <v>693</v>
      </c>
      <c r="D73" s="194"/>
      <c r="E73" s="587"/>
    </row>
    <row r="74" spans="1:5">
      <c r="A74" s="588" t="s">
        <v>524</v>
      </c>
      <c r="B74" s="590">
        <v>18123351.310219947</v>
      </c>
      <c r="C74" s="222">
        <f>B74/B76</f>
        <v>0.91061261344962807</v>
      </c>
      <c r="D74" s="194"/>
      <c r="E74" s="587"/>
    </row>
    <row r="75" spans="1:5">
      <c r="A75" s="588" t="s">
        <v>525</v>
      </c>
      <c r="B75" s="582">
        <v>1779021.0515730265</v>
      </c>
      <c r="C75" s="222">
        <f>B75/B76</f>
        <v>8.9387386550371886E-2</v>
      </c>
      <c r="D75" s="194"/>
      <c r="E75" s="587"/>
    </row>
    <row r="76" spans="1:5">
      <c r="A76" s="588"/>
      <c r="B76" s="591">
        <f>SUM(B74:B75)</f>
        <v>19902372.361792974</v>
      </c>
      <c r="C76" s="194"/>
      <c r="D76" s="194"/>
      <c r="E76" s="587"/>
    </row>
    <row r="77" spans="1:5">
      <c r="A77" s="588"/>
      <c r="B77" s="194"/>
      <c r="C77" s="194"/>
      <c r="D77" s="194"/>
      <c r="E77" s="587"/>
    </row>
    <row r="78" spans="1:5">
      <c r="A78" s="595" t="s">
        <v>1533</v>
      </c>
      <c r="B78" s="194"/>
      <c r="C78" s="194"/>
      <c r="D78" s="194"/>
      <c r="E78" s="587"/>
    </row>
    <row r="79" spans="1:5">
      <c r="A79" s="588"/>
      <c r="B79" s="194"/>
      <c r="C79" s="194"/>
      <c r="D79" s="194"/>
      <c r="E79" s="587"/>
    </row>
    <row r="80" spans="1:5" ht="15.75" thickBot="1">
      <c r="A80" s="592"/>
      <c r="B80" s="593"/>
      <c r="C80" s="593"/>
      <c r="D80" s="593"/>
      <c r="E80" s="594"/>
    </row>
  </sheetData>
  <mergeCells count="19">
    <mergeCell ref="C58:F58"/>
    <mergeCell ref="A56:B56"/>
    <mergeCell ref="I31:M31"/>
    <mergeCell ref="P31:Q31"/>
    <mergeCell ref="B32:C32"/>
    <mergeCell ref="E32:F32"/>
    <mergeCell ref="I32:J32"/>
    <mergeCell ref="L32:M32"/>
    <mergeCell ref="B31:F31"/>
    <mergeCell ref="B6:E6"/>
    <mergeCell ref="G6:H6"/>
    <mergeCell ref="B7:C7"/>
    <mergeCell ref="D7:E7"/>
    <mergeCell ref="G7:H7"/>
    <mergeCell ref="K6:N6"/>
    <mergeCell ref="P6:Q6"/>
    <mergeCell ref="K7:L7"/>
    <mergeCell ref="M7:N7"/>
    <mergeCell ref="P7:Q7"/>
  </mergeCells>
  <pageMargins left="0.7" right="0.7" top="0.75" bottom="0.75" header="0.3" footer="0.3"/>
  <pageSetup scale="55" fitToHeight="3" orientation="landscape" r:id="rId1"/>
  <rowBreaks count="1" manualBreakCount="1">
    <brk id="59" max="17"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26"/>
  <sheetViews>
    <sheetView showGridLines="0" topLeftCell="A9" zoomScale="80" zoomScaleNormal="80" workbookViewId="0">
      <selection activeCell="B9" sqref="B9:N121"/>
    </sheetView>
  </sheetViews>
  <sheetFormatPr defaultRowHeight="12.75" outlineLevelRow="1"/>
  <cols>
    <col min="1" max="1" width="2.7109375" style="484" customWidth="1"/>
    <col min="2" max="2" width="45.5703125" style="484" customWidth="1"/>
    <col min="3" max="3" width="21.28515625" style="484" customWidth="1"/>
    <col min="4" max="5" width="18.7109375" style="484" customWidth="1"/>
    <col min="6" max="6" width="12.28515625" style="484" customWidth="1"/>
    <col min="7" max="7" width="19" style="484" customWidth="1"/>
    <col min="8" max="8" width="7.85546875" style="484" customWidth="1"/>
    <col min="9" max="9" width="30.28515625" style="484" customWidth="1"/>
    <col min="10" max="10" width="10.28515625" style="484" customWidth="1"/>
    <col min="11" max="11" width="13.5703125" style="484" customWidth="1"/>
    <col min="12" max="12" width="15.140625" style="484" customWidth="1"/>
    <col min="13" max="13" width="29.85546875" style="484" customWidth="1"/>
    <col min="14" max="14" width="38.5703125" style="484" customWidth="1"/>
    <col min="15" max="15" width="11.42578125" style="484" customWidth="1"/>
    <col min="16" max="16" width="35.140625" style="484" customWidth="1"/>
    <col min="17" max="17" width="18" style="484" customWidth="1"/>
    <col min="18" max="18" width="14.140625" style="484" customWidth="1"/>
    <col min="19" max="19" width="17.7109375" style="484" customWidth="1"/>
    <col min="20" max="20" width="12.7109375" style="484" customWidth="1"/>
    <col min="21" max="21" width="15.85546875" style="484" customWidth="1"/>
    <col min="22" max="22" width="13.7109375" style="484" bestFit="1" customWidth="1"/>
    <col min="23" max="23" width="13.28515625" style="484" customWidth="1"/>
    <col min="24" max="24" width="12.28515625" style="484" customWidth="1"/>
    <col min="25" max="25" width="11.5703125" style="484" customWidth="1"/>
    <col min="26" max="26" width="9.85546875" style="484" customWidth="1"/>
    <col min="27" max="27" width="11.42578125" style="484" customWidth="1"/>
    <col min="28" max="28" width="11" style="484" customWidth="1"/>
    <col min="29" max="29" width="11.5703125" style="484" customWidth="1"/>
    <col min="30" max="30" width="7" style="484" customWidth="1"/>
    <col min="31" max="31" width="11.140625" style="484" customWidth="1"/>
    <col min="32" max="32" width="11" style="484" customWidth="1"/>
    <col min="33" max="33" width="8.5703125" style="484" customWidth="1"/>
    <col min="34" max="34" width="8.42578125" style="484" customWidth="1"/>
    <col min="35" max="36" width="10.28515625" style="484" customWidth="1"/>
    <col min="37" max="37" width="10.140625" style="484" customWidth="1"/>
    <col min="38" max="38" width="10.42578125" style="484" customWidth="1"/>
    <col min="39" max="39" width="21.140625" style="484" customWidth="1"/>
    <col min="40" max="42" width="18.85546875" style="484" customWidth="1"/>
    <col min="43" max="43" width="20.42578125" style="484" customWidth="1"/>
    <col min="44" max="46" width="9.140625" style="484" customWidth="1"/>
    <col min="47" max="16384" width="9.140625" style="484"/>
  </cols>
  <sheetData>
    <row r="1" spans="1:43" hidden="1" outlineLevel="1">
      <c r="A1" s="483" t="b">
        <v>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row>
    <row r="2" spans="1:43" hidden="1" outlineLevel="1">
      <c r="B2" s="484" t="s">
        <v>992</v>
      </c>
      <c r="C2" s="484" t="s">
        <v>993</v>
      </c>
      <c r="D2" s="485" t="s">
        <v>994</v>
      </c>
      <c r="E2" s="485" t="s">
        <v>995</v>
      </c>
      <c r="F2" s="485" t="s">
        <v>996</v>
      </c>
      <c r="G2" s="484" t="s">
        <v>997</v>
      </c>
      <c r="H2" s="484" t="s">
        <v>998</v>
      </c>
      <c r="I2" s="484" t="s">
        <v>999</v>
      </c>
      <c r="J2" s="484" t="s">
        <v>1000</v>
      </c>
      <c r="K2" s="484" t="s">
        <v>1001</v>
      </c>
      <c r="L2" s="484" t="s">
        <v>1002</v>
      </c>
      <c r="M2" s="484" t="s">
        <v>1003</v>
      </c>
      <c r="N2" s="484" t="s">
        <v>1004</v>
      </c>
      <c r="O2" s="484" t="s">
        <v>1005</v>
      </c>
      <c r="P2" s="484" t="s">
        <v>1006</v>
      </c>
      <c r="Q2" s="484" t="s">
        <v>1007</v>
      </c>
      <c r="R2" s="484" t="s">
        <v>1008</v>
      </c>
      <c r="S2" s="484" t="s">
        <v>1009</v>
      </c>
      <c r="T2" s="484" t="s">
        <v>1010</v>
      </c>
      <c r="U2" s="484" t="s">
        <v>1011</v>
      </c>
      <c r="V2" s="484" t="s">
        <v>1012</v>
      </c>
      <c r="W2" s="484" t="s">
        <v>1013</v>
      </c>
      <c r="X2" s="484" t="s">
        <v>1014</v>
      </c>
      <c r="Y2" s="484" t="s">
        <v>1015</v>
      </c>
      <c r="Z2" s="484" t="s">
        <v>1016</v>
      </c>
      <c r="AA2" s="484" t="s">
        <v>1017</v>
      </c>
      <c r="AB2" s="484" t="s">
        <v>1018</v>
      </c>
      <c r="AC2" s="484" t="s">
        <v>1019</v>
      </c>
      <c r="AD2" s="484" t="s">
        <v>1020</v>
      </c>
      <c r="AE2" s="484" t="s">
        <v>1021</v>
      </c>
      <c r="AF2" s="484" t="s">
        <v>1022</v>
      </c>
      <c r="AG2" s="484" t="s">
        <v>1023</v>
      </c>
      <c r="AH2" s="484" t="s">
        <v>1024</v>
      </c>
      <c r="AI2" s="484" t="s">
        <v>1025</v>
      </c>
      <c r="AJ2" s="484" t="s">
        <v>1026</v>
      </c>
      <c r="AK2" s="484" t="s">
        <v>1027</v>
      </c>
      <c r="AL2" s="484" t="s">
        <v>1028</v>
      </c>
      <c r="AM2" s="484" t="s">
        <v>1029</v>
      </c>
      <c r="AN2" s="484" t="s">
        <v>1030</v>
      </c>
      <c r="AO2" s="484" t="s">
        <v>1031</v>
      </c>
      <c r="AP2" s="484" t="s">
        <v>1032</v>
      </c>
      <c r="AQ2" s="485"/>
    </row>
    <row r="3" spans="1:43" hidden="1" outlineLevel="1">
      <c r="A3" s="483" t="s">
        <v>1033</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row>
    <row r="4" spans="1:43" hidden="1" outlineLevel="1">
      <c r="Q4" s="484" t="str">
        <f ca="1">_xll.ReportDrill('[37]JE Lookup'!B1,,_xll.PairGroup(_xll.Pair(G20:G108,'[37]JE Lookup'!N8),_xll.Pair(AB20:AB108,'[37]JE Lookup'!N7)),"JE Lookup")</f>
        <v>OK!: ReportDrill 'JE Lookup' Formula OK [jAction{}]</v>
      </c>
      <c r="U4" s="484" t="str">
        <f ca="1">_xll.ReportDrill(,"APDrill",_xll.PairGroup(_xll.PairExt(AQ20:AQ108,"H8")),"AP Detail")</f>
        <v>OK!: ReportDrill 'AP Detail' Formula OK [jAction{}]</v>
      </c>
      <c r="Y4" s="484" t="str">
        <f ca="1">_xll.ReportDrill(,"JEStaged_DrillToDetail",_xll.PairGroup(_xll.PairExt(Q19:Q108,"dControlNum",TRUE),_xll.PairExt(AP19:AP108,"dDistrict",TRUE),_xll.PairExt(AO19:AO108,"dApplyMonth",TRUE)),"JE Staged Details")</f>
        <v>OK!: ReportDrill 'JE Staged Details' Formula OK [jAction{}]</v>
      </c>
    </row>
    <row r="5" spans="1:43" hidden="1" outlineLevel="1">
      <c r="B5" s="484" t="str">
        <f ca="1">_xll.ReportRange("JEQuery_WithStaged",B20:AR107,B2:AR2,,_xll.Param(I12,DateTo,IF(M12="","all",M12),M13,M14,M15,P12,P13,P14,P15,EntrieShownLimit,DateFrom,DateTo),TRUE)</f>
        <v>OK!: ReportRange Formula OK [jAction{}]</v>
      </c>
    </row>
    <row r="6" spans="1:43" hidden="1" outlineLevel="1">
      <c r="B6" s="486" t="s">
        <v>1034</v>
      </c>
      <c r="D6" s="484">
        <v>10000</v>
      </c>
    </row>
    <row r="7" spans="1:43" hidden="1" outlineLevel="1">
      <c r="A7" s="483" t="s">
        <v>1035</v>
      </c>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row>
    <row r="8" spans="1:43" hidden="1" outlineLevel="1">
      <c r="B8" s="487" t="s">
        <v>1036</v>
      </c>
      <c r="C8" s="484" t="str">
        <f>IF(DateFrom="",CurrentMonth,DateFrom)</f>
        <v>2015-07</v>
      </c>
      <c r="E8" s="487" t="s">
        <v>1037</v>
      </c>
      <c r="G8" s="484" t="str">
        <f>IF(DateTo="",CurrentMonth,DateTo)</f>
        <v>2016-06</v>
      </c>
      <c r="I8" s="487" t="s">
        <v>1038</v>
      </c>
      <c r="J8" s="488" t="str">
        <f ca="1">TEXT(NOW() - 15,"yyyy-mm")</f>
        <v>2016-07</v>
      </c>
    </row>
    <row r="9" spans="1:43" ht="18" collapsed="1">
      <c r="B9" s="489" t="s">
        <v>1039</v>
      </c>
      <c r="G9" s="490" t="s">
        <v>1040</v>
      </c>
      <c r="P9" s="491"/>
      <c r="U9" s="486"/>
    </row>
    <row r="10" spans="1:43" ht="14.25">
      <c r="B10" s="485" t="s">
        <v>1041</v>
      </c>
      <c r="G10" s="492"/>
      <c r="P10" s="491"/>
      <c r="U10" s="486"/>
    </row>
    <row r="11" spans="1:43">
      <c r="G11" s="493" t="s">
        <v>1042</v>
      </c>
      <c r="H11" s="494"/>
      <c r="I11" s="495"/>
      <c r="L11" s="494" t="s">
        <v>1043</v>
      </c>
      <c r="M11" s="494"/>
      <c r="N11" s="494"/>
      <c r="O11" s="494"/>
      <c r="P11" s="494"/>
      <c r="U11" s="485"/>
    </row>
    <row r="12" spans="1:43" s="486" customFormat="1">
      <c r="H12" s="496" t="s">
        <v>1044</v>
      </c>
      <c r="I12" s="497" t="s">
        <v>1405</v>
      </c>
      <c r="K12" s="498"/>
      <c r="L12" s="486" t="s">
        <v>1046</v>
      </c>
      <c r="M12" s="497" t="s">
        <v>1047</v>
      </c>
      <c r="O12" s="496" t="s">
        <v>1048</v>
      </c>
      <c r="P12" s="499"/>
      <c r="Z12" s="484"/>
      <c r="AA12" s="484"/>
      <c r="AB12" s="484"/>
      <c r="AH12" s="484"/>
      <c r="AI12" s="484"/>
      <c r="AJ12" s="484"/>
      <c r="AK12" s="484"/>
      <c r="AL12" s="484"/>
    </row>
    <row r="13" spans="1:43" s="486" customFormat="1">
      <c r="H13" s="496" t="s">
        <v>1049</v>
      </c>
      <c r="I13" s="497" t="s">
        <v>1406</v>
      </c>
      <c r="K13" s="498"/>
      <c r="L13" s="486" t="s">
        <v>1051</v>
      </c>
      <c r="M13" s="497" t="s">
        <v>1407</v>
      </c>
      <c r="N13" s="484"/>
      <c r="O13" s="496" t="s">
        <v>1053</v>
      </c>
      <c r="P13" s="500"/>
      <c r="Q13" s="501"/>
      <c r="Z13" s="484"/>
      <c r="AA13" s="484"/>
      <c r="AB13" s="484"/>
      <c r="AH13" s="484"/>
      <c r="AI13" s="484"/>
      <c r="AJ13" s="484"/>
      <c r="AK13" s="484"/>
      <c r="AL13" s="484"/>
    </row>
    <row r="14" spans="1:43">
      <c r="L14" s="486" t="s">
        <v>1054</v>
      </c>
      <c r="M14" s="497" t="s">
        <v>114</v>
      </c>
      <c r="O14" s="496" t="s">
        <v>1055</v>
      </c>
      <c r="P14" s="500"/>
      <c r="Q14" s="501"/>
    </row>
    <row r="15" spans="1:43">
      <c r="L15" s="486" t="s">
        <v>1056</v>
      </c>
      <c r="M15" s="497" t="s">
        <v>114</v>
      </c>
      <c r="O15" s="496" t="s">
        <v>1057</v>
      </c>
      <c r="P15" s="502" t="s">
        <v>1058</v>
      </c>
    </row>
    <row r="16" spans="1:43">
      <c r="B16" s="503" t="s">
        <v>1059</v>
      </c>
      <c r="C16" s="504"/>
      <c r="D16" s="505">
        <f>SUM(D19:D108)</f>
        <v>148473.48999999996</v>
      </c>
      <c r="E16" s="505">
        <f>SUM(E19:E108)</f>
        <v>0</v>
      </c>
      <c r="F16" s="484" t="s">
        <v>1060</v>
      </c>
      <c r="N16" s="506"/>
      <c r="O16" s="506"/>
      <c r="P16" s="506"/>
      <c r="Q16" s="506"/>
    </row>
    <row r="17" spans="2:43">
      <c r="B17" s="503" t="s">
        <v>1061</v>
      </c>
      <c r="C17" s="504"/>
      <c r="D17" s="507">
        <f>COUNT(D20:D109)</f>
        <v>87</v>
      </c>
      <c r="E17" s="507">
        <f>COUNT(E20:E109)</f>
        <v>87</v>
      </c>
      <c r="F17" s="485" t="s">
        <v>1062</v>
      </c>
      <c r="G17" s="508" t="str">
        <f>""&amp;EntrieShownLimit</f>
        <v>10000</v>
      </c>
    </row>
    <row r="18" spans="2:43">
      <c r="O18" s="509"/>
      <c r="R18" s="510" t="s">
        <v>1063</v>
      </c>
      <c r="S18" s="511"/>
      <c r="T18" s="511"/>
      <c r="U18" s="511"/>
      <c r="V18" s="511"/>
      <c r="W18" s="511"/>
      <c r="X18" s="511"/>
      <c r="Y18" s="511"/>
      <c r="Z18" s="512"/>
      <c r="AA18" s="512"/>
      <c r="AB18" s="512"/>
      <c r="AC18" s="512"/>
      <c r="AD18" s="512"/>
      <c r="AE18" s="512"/>
      <c r="AF18" s="512"/>
      <c r="AG18" s="512"/>
      <c r="AH18" s="512"/>
      <c r="AI18" s="512"/>
      <c r="AJ18" s="512"/>
      <c r="AK18" s="512"/>
      <c r="AL18" s="512"/>
      <c r="AM18" s="512"/>
      <c r="AN18" s="512"/>
      <c r="AO18" s="512"/>
      <c r="AP18" s="512"/>
      <c r="AQ18" s="512"/>
    </row>
    <row r="19" spans="2:43" s="513" customFormat="1" ht="29.25" customHeight="1" thickBot="1">
      <c r="B19" s="514" t="s">
        <v>1064</v>
      </c>
      <c r="C19" s="515" t="s">
        <v>1065</v>
      </c>
      <c r="D19" s="516" t="s">
        <v>1066</v>
      </c>
      <c r="E19" s="516" t="s">
        <v>1067</v>
      </c>
      <c r="F19" s="516" t="s">
        <v>1068</v>
      </c>
      <c r="G19" s="517" t="s">
        <v>1069</v>
      </c>
      <c r="H19" s="514" t="s">
        <v>1070</v>
      </c>
      <c r="I19" s="514" t="s">
        <v>1071</v>
      </c>
      <c r="J19" s="514" t="s">
        <v>1000</v>
      </c>
      <c r="K19" s="514" t="s">
        <v>1072</v>
      </c>
      <c r="L19" s="514" t="s">
        <v>1073</v>
      </c>
      <c r="M19" s="514" t="s">
        <v>1074</v>
      </c>
      <c r="N19" s="514" t="s">
        <v>1075</v>
      </c>
      <c r="O19" s="518" t="s">
        <v>1076</v>
      </c>
      <c r="P19" s="514" t="s">
        <v>1077</v>
      </c>
      <c r="Q19" s="514" t="s">
        <v>1078</v>
      </c>
      <c r="R19" s="514" t="s">
        <v>1079</v>
      </c>
      <c r="S19" s="514" t="s">
        <v>1080</v>
      </c>
      <c r="T19" s="514" t="s">
        <v>1081</v>
      </c>
      <c r="U19" s="514" t="s">
        <v>1082</v>
      </c>
      <c r="V19" s="514" t="s">
        <v>1083</v>
      </c>
      <c r="W19" s="514" t="s">
        <v>1084</v>
      </c>
      <c r="X19" s="514" t="s">
        <v>1085</v>
      </c>
      <c r="Y19" s="514" t="s">
        <v>1086</v>
      </c>
      <c r="Z19" s="514" t="s">
        <v>1087</v>
      </c>
      <c r="AA19" s="514" t="s">
        <v>1088</v>
      </c>
      <c r="AB19" s="514" t="s">
        <v>1089</v>
      </c>
      <c r="AC19" s="519" t="s">
        <v>1090</v>
      </c>
      <c r="AD19" s="519" t="s">
        <v>1091</v>
      </c>
      <c r="AE19" s="519" t="s">
        <v>1092</v>
      </c>
      <c r="AF19" s="519" t="s">
        <v>1093</v>
      </c>
      <c r="AG19" s="519" t="s">
        <v>1094</v>
      </c>
      <c r="AH19" s="519" t="s">
        <v>1095</v>
      </c>
      <c r="AI19" s="515" t="s">
        <v>1096</v>
      </c>
      <c r="AJ19" s="515" t="s">
        <v>1097</v>
      </c>
      <c r="AK19" s="515" t="s">
        <v>1098</v>
      </c>
      <c r="AL19" s="515" t="s">
        <v>1099</v>
      </c>
      <c r="AM19" s="515" t="s">
        <v>1100</v>
      </c>
      <c r="AN19" s="515" t="s">
        <v>1030</v>
      </c>
      <c r="AO19" s="520" t="s">
        <v>1101</v>
      </c>
      <c r="AP19" s="520" t="s">
        <v>1102</v>
      </c>
      <c r="AQ19" s="520" t="s">
        <v>1103</v>
      </c>
    </row>
    <row r="20" spans="2:43">
      <c r="B20" s="484" t="s">
        <v>1408</v>
      </c>
      <c r="C20" s="521">
        <v>42208</v>
      </c>
      <c r="D20" s="522">
        <v>11507.94</v>
      </c>
      <c r="E20" s="522">
        <v>0</v>
      </c>
      <c r="F20" s="523" t="s">
        <v>1105</v>
      </c>
      <c r="G20" s="484" t="s">
        <v>1409</v>
      </c>
      <c r="H20" s="524" t="s">
        <v>1107</v>
      </c>
      <c r="I20" s="484" t="s">
        <v>1120</v>
      </c>
      <c r="J20" s="484" t="s">
        <v>1109</v>
      </c>
      <c r="K20" s="484" t="s">
        <v>1110</v>
      </c>
      <c r="L20" s="488" t="s">
        <v>1410</v>
      </c>
      <c r="M20" s="488"/>
      <c r="N20" s="488" t="s">
        <v>1411</v>
      </c>
      <c r="O20" s="509">
        <v>42193</v>
      </c>
      <c r="P20" s="488" t="s">
        <v>1412</v>
      </c>
      <c r="Q20" s="488" t="s">
        <v>1413</v>
      </c>
      <c r="R20" s="484" t="s">
        <v>1414</v>
      </c>
      <c r="U20" s="484" t="s">
        <v>1415</v>
      </c>
      <c r="V20" s="484" t="s">
        <v>1416</v>
      </c>
      <c r="W20" s="484">
        <v>2195</v>
      </c>
      <c r="X20" s="521">
        <v>42208</v>
      </c>
      <c r="Y20" s="521">
        <v>42209</v>
      </c>
      <c r="Z20" s="484">
        <v>11507.9</v>
      </c>
      <c r="AA20" s="521">
        <v>42213</v>
      </c>
      <c r="AB20" s="484" t="s">
        <v>1113</v>
      </c>
      <c r="AC20" s="484">
        <v>0</v>
      </c>
      <c r="AD20" s="484">
        <v>0</v>
      </c>
      <c r="AE20" s="484">
        <v>0</v>
      </c>
      <c r="AF20" s="484">
        <v>0</v>
      </c>
      <c r="AG20" s="484">
        <v>0</v>
      </c>
      <c r="AH20" s="484">
        <v>1</v>
      </c>
      <c r="AI20" s="484">
        <v>40131</v>
      </c>
      <c r="AJ20" s="484">
        <v>2120</v>
      </c>
      <c r="AK20" s="484">
        <v>0</v>
      </c>
      <c r="AL20" s="484">
        <v>0</v>
      </c>
      <c r="AO20" s="524"/>
      <c r="AP20" s="524"/>
      <c r="AQ20" s="484" t="str">
        <f>IF(LEFT(U20,2)="VO",U20,"")</f>
        <v>VO03737575</v>
      </c>
    </row>
    <row r="21" spans="2:43">
      <c r="B21" s="484" t="s">
        <v>1408</v>
      </c>
      <c r="C21" s="521">
        <v>42216</v>
      </c>
      <c r="D21" s="522">
        <v>-1000</v>
      </c>
      <c r="E21" s="522">
        <v>0</v>
      </c>
      <c r="F21" s="523" t="s">
        <v>1105</v>
      </c>
      <c r="G21" s="484" t="s">
        <v>1417</v>
      </c>
      <c r="H21" s="524" t="s">
        <v>1107</v>
      </c>
      <c r="I21" s="484" t="s">
        <v>1418</v>
      </c>
      <c r="J21" s="484" t="s">
        <v>1419</v>
      </c>
      <c r="K21" s="484" t="s">
        <v>1110</v>
      </c>
      <c r="L21" s="488"/>
      <c r="M21" s="488"/>
      <c r="N21" s="488" t="s">
        <v>1420</v>
      </c>
      <c r="O21" s="509"/>
      <c r="P21" s="488"/>
      <c r="Q21" s="488"/>
      <c r="U21" s="484" t="s">
        <v>1421</v>
      </c>
      <c r="V21" s="484" t="s">
        <v>1422</v>
      </c>
      <c r="X21" s="521">
        <v>42193</v>
      </c>
      <c r="Y21" s="521">
        <v>42193</v>
      </c>
      <c r="AA21" s="521"/>
      <c r="AB21" s="484" t="s">
        <v>1113</v>
      </c>
      <c r="AC21" s="484">
        <v>0</v>
      </c>
      <c r="AD21" s="484">
        <v>0</v>
      </c>
      <c r="AE21" s="484">
        <v>0</v>
      </c>
      <c r="AF21" s="484">
        <v>0</v>
      </c>
      <c r="AG21" s="484">
        <v>5</v>
      </c>
      <c r="AH21" s="484">
        <v>1</v>
      </c>
      <c r="AI21" s="484">
        <v>40131</v>
      </c>
      <c r="AJ21" s="484">
        <v>2120</v>
      </c>
      <c r="AK21" s="484">
        <v>0</v>
      </c>
      <c r="AL21" s="484">
        <v>0</v>
      </c>
      <c r="AO21" s="524"/>
      <c r="AP21" s="524"/>
      <c r="AQ21" s="484" t="str">
        <f t="shared" ref="AQ21:AQ84" si="0">IF(LEFT(U21,2)="VO",U21,"")</f>
        <v/>
      </c>
    </row>
    <row r="22" spans="2:43">
      <c r="B22" s="484" t="s">
        <v>1408</v>
      </c>
      <c r="C22" s="521">
        <v>42216</v>
      </c>
      <c r="D22" s="522">
        <v>-11508</v>
      </c>
      <c r="E22" s="522">
        <v>0</v>
      </c>
      <c r="F22" s="523" t="s">
        <v>1105</v>
      </c>
      <c r="G22" s="484" t="s">
        <v>1417</v>
      </c>
      <c r="H22" s="524" t="s">
        <v>1107</v>
      </c>
      <c r="I22" s="484" t="s">
        <v>1418</v>
      </c>
      <c r="J22" s="484" t="s">
        <v>1419</v>
      </c>
      <c r="K22" s="484" t="s">
        <v>1110</v>
      </c>
      <c r="L22" s="488"/>
      <c r="M22" s="488"/>
      <c r="N22" s="488" t="s">
        <v>1423</v>
      </c>
      <c r="O22" s="509"/>
      <c r="P22" s="488"/>
      <c r="Q22" s="488"/>
      <c r="U22" s="484" t="s">
        <v>1421</v>
      </c>
      <c r="V22" s="484" t="s">
        <v>1422</v>
      </c>
      <c r="X22" s="521">
        <v>42193</v>
      </c>
      <c r="Y22" s="521">
        <v>42193</v>
      </c>
      <c r="AA22" s="521"/>
      <c r="AB22" s="484" t="s">
        <v>1113</v>
      </c>
      <c r="AC22" s="484">
        <v>0</v>
      </c>
      <c r="AD22" s="484">
        <v>0</v>
      </c>
      <c r="AE22" s="484">
        <v>0</v>
      </c>
      <c r="AF22" s="484">
        <v>0</v>
      </c>
      <c r="AG22" s="484">
        <v>5</v>
      </c>
      <c r="AH22" s="484">
        <v>1</v>
      </c>
      <c r="AI22" s="484">
        <v>40131</v>
      </c>
      <c r="AJ22" s="484">
        <v>2120</v>
      </c>
      <c r="AK22" s="484">
        <v>0</v>
      </c>
      <c r="AL22" s="484">
        <v>0</v>
      </c>
      <c r="AO22" s="524"/>
      <c r="AP22" s="524"/>
      <c r="AQ22" s="484" t="str">
        <f t="shared" si="0"/>
        <v/>
      </c>
    </row>
    <row r="23" spans="2:43">
      <c r="B23" s="484" t="s">
        <v>1408</v>
      </c>
      <c r="C23" s="521">
        <v>42216</v>
      </c>
      <c r="D23" s="522">
        <v>430.65</v>
      </c>
      <c r="E23" s="522">
        <v>0</v>
      </c>
      <c r="F23" s="523" t="s">
        <v>1105</v>
      </c>
      <c r="G23" s="484" t="s">
        <v>1126</v>
      </c>
      <c r="H23" s="524" t="s">
        <v>1107</v>
      </c>
      <c r="I23" s="484" t="s">
        <v>1127</v>
      </c>
      <c r="J23" s="484" t="s">
        <v>1109</v>
      </c>
      <c r="K23" s="484" t="s">
        <v>1110</v>
      </c>
      <c r="L23" s="488"/>
      <c r="M23" s="488"/>
      <c r="N23" s="488" t="s">
        <v>1424</v>
      </c>
      <c r="O23" s="509"/>
      <c r="P23" s="488"/>
      <c r="Q23" s="488"/>
      <c r="U23" s="484" t="s">
        <v>1129</v>
      </c>
      <c r="V23" s="484" t="s">
        <v>1129</v>
      </c>
      <c r="X23" s="521">
        <v>42220</v>
      </c>
      <c r="Y23" s="521">
        <v>42220</v>
      </c>
      <c r="AA23" s="521"/>
      <c r="AB23" s="484" t="s">
        <v>1113</v>
      </c>
      <c r="AC23" s="484">
        <v>0</v>
      </c>
      <c r="AD23" s="484">
        <v>0</v>
      </c>
      <c r="AE23" s="484">
        <v>0</v>
      </c>
      <c r="AF23" s="484">
        <v>0</v>
      </c>
      <c r="AG23" s="484">
        <v>0</v>
      </c>
      <c r="AH23" s="484">
        <v>1</v>
      </c>
      <c r="AI23" s="484">
        <v>40131</v>
      </c>
      <c r="AJ23" s="484">
        <v>2120</v>
      </c>
      <c r="AK23" s="484">
        <v>0</v>
      </c>
      <c r="AL23" s="484">
        <v>0</v>
      </c>
      <c r="AO23" s="524"/>
      <c r="AP23" s="524"/>
      <c r="AQ23" s="484" t="str">
        <f t="shared" si="0"/>
        <v/>
      </c>
    </row>
    <row r="24" spans="2:43">
      <c r="B24" s="484" t="s">
        <v>1408</v>
      </c>
      <c r="C24" s="521">
        <v>42216</v>
      </c>
      <c r="D24" s="522">
        <v>452.82</v>
      </c>
      <c r="E24" s="522">
        <v>0</v>
      </c>
      <c r="F24" s="523" t="s">
        <v>1105</v>
      </c>
      <c r="G24" s="484" t="s">
        <v>1126</v>
      </c>
      <c r="H24" s="524" t="s">
        <v>1107</v>
      </c>
      <c r="I24" s="484" t="s">
        <v>1127</v>
      </c>
      <c r="J24" s="484" t="s">
        <v>1109</v>
      </c>
      <c r="K24" s="484" t="s">
        <v>1110</v>
      </c>
      <c r="L24" s="488"/>
      <c r="M24" s="488"/>
      <c r="N24" s="488" t="s">
        <v>1424</v>
      </c>
      <c r="O24" s="509"/>
      <c r="P24" s="488"/>
      <c r="Q24" s="488"/>
      <c r="U24" s="484" t="s">
        <v>1129</v>
      </c>
      <c r="V24" s="484" t="s">
        <v>1129</v>
      </c>
      <c r="X24" s="521">
        <v>42220</v>
      </c>
      <c r="Y24" s="521">
        <v>42220</v>
      </c>
      <c r="AA24" s="521"/>
      <c r="AB24" s="484" t="s">
        <v>1113</v>
      </c>
      <c r="AC24" s="484">
        <v>0</v>
      </c>
      <c r="AD24" s="484">
        <v>0</v>
      </c>
      <c r="AE24" s="484">
        <v>0</v>
      </c>
      <c r="AF24" s="484">
        <v>0</v>
      </c>
      <c r="AG24" s="484">
        <v>0</v>
      </c>
      <c r="AH24" s="484">
        <v>1</v>
      </c>
      <c r="AI24" s="484">
        <v>40131</v>
      </c>
      <c r="AJ24" s="484">
        <v>2120</v>
      </c>
      <c r="AK24" s="484">
        <v>0</v>
      </c>
      <c r="AL24" s="484">
        <v>0</v>
      </c>
      <c r="AO24" s="524"/>
      <c r="AP24" s="524"/>
      <c r="AQ24" s="484" t="str">
        <f t="shared" si="0"/>
        <v/>
      </c>
    </row>
    <row r="25" spans="2:43">
      <c r="B25" s="484" t="s">
        <v>1408</v>
      </c>
      <c r="C25" s="521">
        <v>42216</v>
      </c>
      <c r="D25" s="522">
        <v>935</v>
      </c>
      <c r="E25" s="522">
        <v>0</v>
      </c>
      <c r="F25" s="523" t="s">
        <v>1105</v>
      </c>
      <c r="G25" s="484" t="s">
        <v>1135</v>
      </c>
      <c r="H25" s="524" t="s">
        <v>1107</v>
      </c>
      <c r="I25" s="484" t="s">
        <v>1136</v>
      </c>
      <c r="J25" s="484" t="s">
        <v>1121</v>
      </c>
      <c r="K25" s="484" t="s">
        <v>1110</v>
      </c>
      <c r="L25" s="488"/>
      <c r="M25" s="488"/>
      <c r="N25" s="488" t="s">
        <v>1420</v>
      </c>
      <c r="O25" s="509"/>
      <c r="P25" s="488"/>
      <c r="Q25" s="488"/>
      <c r="U25" s="484" t="s">
        <v>1138</v>
      </c>
      <c r="V25" s="484" t="s">
        <v>1138</v>
      </c>
      <c r="X25" s="521">
        <v>42222</v>
      </c>
      <c r="Y25" s="521">
        <v>42222</v>
      </c>
      <c r="AA25" s="521"/>
      <c r="AB25" s="484" t="s">
        <v>1113</v>
      </c>
      <c r="AC25" s="484">
        <v>0</v>
      </c>
      <c r="AD25" s="484">
        <v>0</v>
      </c>
      <c r="AE25" s="484">
        <v>0</v>
      </c>
      <c r="AF25" s="484">
        <v>0</v>
      </c>
      <c r="AG25" s="484">
        <v>0</v>
      </c>
      <c r="AH25" s="484">
        <v>1</v>
      </c>
      <c r="AI25" s="484">
        <v>40131</v>
      </c>
      <c r="AJ25" s="484">
        <v>2120</v>
      </c>
      <c r="AK25" s="484">
        <v>0</v>
      </c>
      <c r="AL25" s="484">
        <v>0</v>
      </c>
      <c r="AO25" s="524"/>
      <c r="AP25" s="524"/>
      <c r="AQ25" s="484" t="str">
        <f t="shared" si="0"/>
        <v/>
      </c>
    </row>
    <row r="26" spans="2:43">
      <c r="B26" s="484" t="s">
        <v>1408</v>
      </c>
      <c r="C26" s="521">
        <v>42216</v>
      </c>
      <c r="D26" s="522">
        <v>12214</v>
      </c>
      <c r="E26" s="522">
        <v>0</v>
      </c>
      <c r="F26" s="523" t="s">
        <v>1105</v>
      </c>
      <c r="G26" s="484" t="s">
        <v>1135</v>
      </c>
      <c r="H26" s="524" t="s">
        <v>1107</v>
      </c>
      <c r="I26" s="484" t="s">
        <v>1136</v>
      </c>
      <c r="J26" s="484" t="s">
        <v>1121</v>
      </c>
      <c r="K26" s="484" t="s">
        <v>1110</v>
      </c>
      <c r="L26" s="488"/>
      <c r="M26" s="488"/>
      <c r="N26" s="488" t="s">
        <v>1423</v>
      </c>
      <c r="O26" s="509"/>
      <c r="P26" s="488"/>
      <c r="Q26" s="488"/>
      <c r="U26" s="484" t="s">
        <v>1138</v>
      </c>
      <c r="V26" s="484" t="s">
        <v>1138</v>
      </c>
      <c r="X26" s="521">
        <v>42222</v>
      </c>
      <c r="Y26" s="521">
        <v>42222</v>
      </c>
      <c r="AA26" s="521"/>
      <c r="AB26" s="484" t="s">
        <v>1113</v>
      </c>
      <c r="AC26" s="484">
        <v>0</v>
      </c>
      <c r="AD26" s="484">
        <v>0</v>
      </c>
      <c r="AE26" s="484">
        <v>0</v>
      </c>
      <c r="AF26" s="484">
        <v>0</v>
      </c>
      <c r="AG26" s="484">
        <v>0</v>
      </c>
      <c r="AH26" s="484">
        <v>1</v>
      </c>
      <c r="AI26" s="484">
        <v>40131</v>
      </c>
      <c r="AJ26" s="484">
        <v>2120</v>
      </c>
      <c r="AK26" s="484">
        <v>0</v>
      </c>
      <c r="AL26" s="484">
        <v>0</v>
      </c>
      <c r="AO26" s="524"/>
      <c r="AP26" s="524"/>
      <c r="AQ26" s="484" t="str">
        <f t="shared" si="0"/>
        <v/>
      </c>
    </row>
    <row r="27" spans="2:43">
      <c r="B27" s="484" t="s">
        <v>1408</v>
      </c>
      <c r="C27" s="521">
        <v>42236</v>
      </c>
      <c r="D27" s="522">
        <v>11263.52</v>
      </c>
      <c r="E27" s="522">
        <v>0</v>
      </c>
      <c r="F27" s="523" t="s">
        <v>1105</v>
      </c>
      <c r="G27" s="484" t="s">
        <v>1425</v>
      </c>
      <c r="H27" s="524" t="s">
        <v>1107</v>
      </c>
      <c r="I27" s="484" t="s">
        <v>1120</v>
      </c>
      <c r="J27" s="484" t="s">
        <v>1109</v>
      </c>
      <c r="K27" s="484" t="s">
        <v>1110</v>
      </c>
      <c r="L27" s="488" t="s">
        <v>1410</v>
      </c>
      <c r="M27" s="488"/>
      <c r="N27" s="488" t="s">
        <v>1411</v>
      </c>
      <c r="O27" s="509">
        <v>42222</v>
      </c>
      <c r="P27" s="488" t="s">
        <v>1412</v>
      </c>
      <c r="Q27" s="488" t="s">
        <v>1426</v>
      </c>
      <c r="R27" s="484" t="s">
        <v>1414</v>
      </c>
      <c r="U27" s="484" t="s">
        <v>1427</v>
      </c>
      <c r="V27" s="484" t="s">
        <v>1428</v>
      </c>
      <c r="W27" s="484">
        <v>2195</v>
      </c>
      <c r="X27" s="521">
        <v>42236</v>
      </c>
      <c r="Y27" s="521">
        <v>42236</v>
      </c>
      <c r="Z27" s="484">
        <v>11263.5</v>
      </c>
      <c r="AA27" s="521">
        <v>42242</v>
      </c>
      <c r="AB27" s="484" t="s">
        <v>1113</v>
      </c>
      <c r="AC27" s="484">
        <v>0</v>
      </c>
      <c r="AD27" s="484">
        <v>0</v>
      </c>
      <c r="AE27" s="484">
        <v>0</v>
      </c>
      <c r="AF27" s="484">
        <v>0</v>
      </c>
      <c r="AG27" s="484">
        <v>0</v>
      </c>
      <c r="AH27" s="484">
        <v>1</v>
      </c>
      <c r="AI27" s="484">
        <v>40131</v>
      </c>
      <c r="AJ27" s="484">
        <v>2120</v>
      </c>
      <c r="AK27" s="484">
        <v>0</v>
      </c>
      <c r="AL27" s="484">
        <v>0</v>
      </c>
      <c r="AO27" s="524"/>
      <c r="AP27" s="524"/>
      <c r="AQ27" s="484" t="str">
        <f t="shared" si="0"/>
        <v>VO03757771</v>
      </c>
    </row>
    <row r="28" spans="2:43">
      <c r="B28" s="484" t="s">
        <v>1408</v>
      </c>
      <c r="C28" s="521">
        <v>42247</v>
      </c>
      <c r="D28" s="522">
        <v>-935</v>
      </c>
      <c r="E28" s="522">
        <v>0</v>
      </c>
      <c r="F28" s="523" t="s">
        <v>1105</v>
      </c>
      <c r="G28" s="484" t="s">
        <v>1150</v>
      </c>
      <c r="H28" s="524" t="s">
        <v>1107</v>
      </c>
      <c r="I28" s="484" t="s">
        <v>1136</v>
      </c>
      <c r="J28" s="484" t="s">
        <v>1121</v>
      </c>
      <c r="K28" s="484" t="s">
        <v>1110</v>
      </c>
      <c r="L28" s="488"/>
      <c r="M28" s="488"/>
      <c r="N28" s="488" t="s">
        <v>1420</v>
      </c>
      <c r="O28" s="509"/>
      <c r="P28" s="488"/>
      <c r="Q28" s="488"/>
      <c r="U28" s="484" t="s">
        <v>1138</v>
      </c>
      <c r="V28" s="484" t="s">
        <v>1151</v>
      </c>
      <c r="X28" s="521">
        <v>42222</v>
      </c>
      <c r="Y28" s="521">
        <v>42222</v>
      </c>
      <c r="AA28" s="521"/>
      <c r="AB28" s="484" t="s">
        <v>1113</v>
      </c>
      <c r="AC28" s="484">
        <v>0</v>
      </c>
      <c r="AD28" s="484">
        <v>0</v>
      </c>
      <c r="AE28" s="484">
        <v>0</v>
      </c>
      <c r="AF28" s="484">
        <v>0</v>
      </c>
      <c r="AG28" s="484">
        <v>5</v>
      </c>
      <c r="AH28" s="484">
        <v>1</v>
      </c>
      <c r="AI28" s="484">
        <v>40131</v>
      </c>
      <c r="AJ28" s="484">
        <v>2120</v>
      </c>
      <c r="AK28" s="484">
        <v>0</v>
      </c>
      <c r="AL28" s="484">
        <v>0</v>
      </c>
      <c r="AO28" s="524"/>
      <c r="AP28" s="524"/>
      <c r="AQ28" s="484" t="str">
        <f t="shared" si="0"/>
        <v/>
      </c>
    </row>
    <row r="29" spans="2:43">
      <c r="B29" s="484" t="s">
        <v>1408</v>
      </c>
      <c r="C29" s="521">
        <v>42247</v>
      </c>
      <c r="D29" s="522">
        <v>-12214</v>
      </c>
      <c r="E29" s="522">
        <v>0</v>
      </c>
      <c r="F29" s="523" t="s">
        <v>1105</v>
      </c>
      <c r="G29" s="484" t="s">
        <v>1150</v>
      </c>
      <c r="H29" s="524" t="s">
        <v>1107</v>
      </c>
      <c r="I29" s="484" t="s">
        <v>1136</v>
      </c>
      <c r="J29" s="484" t="s">
        <v>1121</v>
      </c>
      <c r="K29" s="484" t="s">
        <v>1110</v>
      </c>
      <c r="L29" s="488"/>
      <c r="M29" s="488"/>
      <c r="N29" s="488" t="s">
        <v>1423</v>
      </c>
      <c r="O29" s="509"/>
      <c r="P29" s="488"/>
      <c r="Q29" s="488"/>
      <c r="U29" s="484" t="s">
        <v>1138</v>
      </c>
      <c r="V29" s="484" t="s">
        <v>1151</v>
      </c>
      <c r="X29" s="521">
        <v>42222</v>
      </c>
      <c r="Y29" s="521">
        <v>42222</v>
      </c>
      <c r="AA29" s="521"/>
      <c r="AB29" s="484" t="s">
        <v>1113</v>
      </c>
      <c r="AC29" s="484">
        <v>0</v>
      </c>
      <c r="AD29" s="484">
        <v>0</v>
      </c>
      <c r="AE29" s="484">
        <v>0</v>
      </c>
      <c r="AF29" s="484">
        <v>0</v>
      </c>
      <c r="AG29" s="484">
        <v>5</v>
      </c>
      <c r="AH29" s="484">
        <v>1</v>
      </c>
      <c r="AI29" s="484">
        <v>40131</v>
      </c>
      <c r="AJ29" s="484">
        <v>2120</v>
      </c>
      <c r="AK29" s="484">
        <v>0</v>
      </c>
      <c r="AL29" s="484">
        <v>0</v>
      </c>
      <c r="AO29" s="524"/>
      <c r="AP29" s="524"/>
      <c r="AQ29" s="484" t="str">
        <f t="shared" si="0"/>
        <v/>
      </c>
    </row>
    <row r="30" spans="2:43">
      <c r="B30" s="484" t="s">
        <v>1408</v>
      </c>
      <c r="C30" s="521">
        <v>42247</v>
      </c>
      <c r="D30" s="522">
        <v>422.47</v>
      </c>
      <c r="E30" s="522">
        <v>0</v>
      </c>
      <c r="F30" s="523" t="s">
        <v>1105</v>
      </c>
      <c r="G30" s="484" t="s">
        <v>1429</v>
      </c>
      <c r="H30" s="524" t="s">
        <v>1107</v>
      </c>
      <c r="I30" s="484" t="s">
        <v>1430</v>
      </c>
      <c r="J30" s="484" t="s">
        <v>1109</v>
      </c>
      <c r="K30" s="484" t="s">
        <v>1110</v>
      </c>
      <c r="L30" s="488"/>
      <c r="M30" s="488"/>
      <c r="N30" s="488" t="s">
        <v>1424</v>
      </c>
      <c r="O30" s="509"/>
      <c r="P30" s="488"/>
      <c r="Q30" s="488"/>
      <c r="U30" s="484" t="s">
        <v>1431</v>
      </c>
      <c r="V30" s="484" t="s">
        <v>1431</v>
      </c>
      <c r="X30" s="521">
        <v>42249</v>
      </c>
      <c r="Y30" s="521">
        <v>42249</v>
      </c>
      <c r="AA30" s="521"/>
      <c r="AB30" s="484" t="s">
        <v>1113</v>
      </c>
      <c r="AC30" s="484">
        <v>0</v>
      </c>
      <c r="AD30" s="484">
        <v>0</v>
      </c>
      <c r="AE30" s="484">
        <v>0</v>
      </c>
      <c r="AF30" s="484">
        <v>0</v>
      </c>
      <c r="AG30" s="484">
        <v>0</v>
      </c>
      <c r="AH30" s="484">
        <v>1</v>
      </c>
      <c r="AI30" s="484">
        <v>40131</v>
      </c>
      <c r="AJ30" s="484">
        <v>2120</v>
      </c>
      <c r="AK30" s="484">
        <v>0</v>
      </c>
      <c r="AL30" s="484">
        <v>0</v>
      </c>
      <c r="AO30" s="524"/>
      <c r="AP30" s="524"/>
      <c r="AQ30" s="484" t="str">
        <f t="shared" si="0"/>
        <v/>
      </c>
    </row>
    <row r="31" spans="2:43">
      <c r="B31" s="484" t="s">
        <v>1408</v>
      </c>
      <c r="C31" s="521">
        <v>42247</v>
      </c>
      <c r="D31" s="522">
        <v>404.19</v>
      </c>
      <c r="E31" s="522">
        <v>0</v>
      </c>
      <c r="F31" s="523" t="s">
        <v>1105</v>
      </c>
      <c r="G31" s="484" t="s">
        <v>1432</v>
      </c>
      <c r="H31" s="524" t="s">
        <v>1107</v>
      </c>
      <c r="I31" s="484" t="s">
        <v>1433</v>
      </c>
      <c r="J31" s="484" t="s">
        <v>1116</v>
      </c>
      <c r="K31" s="484" t="s">
        <v>1110</v>
      </c>
      <c r="L31" s="488"/>
      <c r="M31" s="488"/>
      <c r="N31" s="488" t="s">
        <v>1434</v>
      </c>
      <c r="O31" s="509"/>
      <c r="P31" s="488"/>
      <c r="Q31" s="488"/>
      <c r="U31" s="484" t="s">
        <v>1435</v>
      </c>
      <c r="V31" s="484" t="s">
        <v>1435</v>
      </c>
      <c r="X31" s="521">
        <v>42250</v>
      </c>
      <c r="Y31" s="521">
        <v>42250</v>
      </c>
      <c r="AA31" s="521"/>
      <c r="AB31" s="484" t="s">
        <v>1113</v>
      </c>
      <c r="AC31" s="484">
        <v>0</v>
      </c>
      <c r="AD31" s="484">
        <v>0</v>
      </c>
      <c r="AE31" s="484">
        <v>0</v>
      </c>
      <c r="AF31" s="484">
        <v>0</v>
      </c>
      <c r="AG31" s="484">
        <v>0</v>
      </c>
      <c r="AH31" s="484">
        <v>1</v>
      </c>
      <c r="AI31" s="484">
        <v>40131</v>
      </c>
      <c r="AJ31" s="484">
        <v>2120</v>
      </c>
      <c r="AK31" s="484">
        <v>0</v>
      </c>
      <c r="AL31" s="484">
        <v>0</v>
      </c>
      <c r="AO31" s="524"/>
      <c r="AP31" s="524"/>
      <c r="AQ31" s="484" t="str">
        <f t="shared" si="0"/>
        <v/>
      </c>
    </row>
    <row r="32" spans="2:43">
      <c r="B32" s="484" t="s">
        <v>1408</v>
      </c>
      <c r="C32" s="521">
        <v>42247</v>
      </c>
      <c r="D32" s="522">
        <v>441.28</v>
      </c>
      <c r="E32" s="522">
        <v>0</v>
      </c>
      <c r="F32" s="523" t="s">
        <v>1105</v>
      </c>
      <c r="G32" s="484" t="s">
        <v>1432</v>
      </c>
      <c r="H32" s="524" t="s">
        <v>1107</v>
      </c>
      <c r="I32" s="484" t="s">
        <v>1433</v>
      </c>
      <c r="J32" s="484" t="s">
        <v>1116</v>
      </c>
      <c r="K32" s="484" t="s">
        <v>1110</v>
      </c>
      <c r="L32" s="488"/>
      <c r="M32" s="488"/>
      <c r="N32" s="488" t="s">
        <v>1434</v>
      </c>
      <c r="O32" s="509"/>
      <c r="P32" s="488"/>
      <c r="Q32" s="488"/>
      <c r="U32" s="484" t="s">
        <v>1435</v>
      </c>
      <c r="V32" s="484" t="s">
        <v>1435</v>
      </c>
      <c r="X32" s="521">
        <v>42250</v>
      </c>
      <c r="Y32" s="521">
        <v>42250</v>
      </c>
      <c r="AA32" s="521"/>
      <c r="AB32" s="484" t="s">
        <v>1113</v>
      </c>
      <c r="AC32" s="484">
        <v>0</v>
      </c>
      <c r="AD32" s="484">
        <v>0</v>
      </c>
      <c r="AE32" s="484">
        <v>0</v>
      </c>
      <c r="AF32" s="484">
        <v>0</v>
      </c>
      <c r="AG32" s="484">
        <v>0</v>
      </c>
      <c r="AH32" s="484">
        <v>1</v>
      </c>
      <c r="AI32" s="484">
        <v>40131</v>
      </c>
      <c r="AJ32" s="484">
        <v>2120</v>
      </c>
      <c r="AK32" s="484">
        <v>0</v>
      </c>
      <c r="AL32" s="484">
        <v>0</v>
      </c>
      <c r="AO32" s="524"/>
      <c r="AP32" s="524"/>
      <c r="AQ32" s="484" t="str">
        <f t="shared" si="0"/>
        <v/>
      </c>
    </row>
    <row r="33" spans="2:43">
      <c r="B33" s="484" t="s">
        <v>1408</v>
      </c>
      <c r="C33" s="521">
        <v>42247</v>
      </c>
      <c r="D33" s="522">
        <v>11040</v>
      </c>
      <c r="E33" s="522">
        <v>0</v>
      </c>
      <c r="F33" s="523" t="s">
        <v>1105</v>
      </c>
      <c r="G33" s="484" t="s">
        <v>1436</v>
      </c>
      <c r="H33" s="524" t="s">
        <v>1107</v>
      </c>
      <c r="I33" s="484" t="s">
        <v>1136</v>
      </c>
      <c r="J33" s="484" t="s">
        <v>1116</v>
      </c>
      <c r="K33" s="484" t="s">
        <v>1110</v>
      </c>
      <c r="L33" s="488"/>
      <c r="M33" s="488"/>
      <c r="N33" s="488" t="s">
        <v>1423</v>
      </c>
      <c r="O33" s="509"/>
      <c r="P33" s="488"/>
      <c r="Q33" s="488"/>
      <c r="U33" s="484" t="s">
        <v>1437</v>
      </c>
      <c r="V33" s="484" t="s">
        <v>1437</v>
      </c>
      <c r="X33" s="521">
        <v>42251</v>
      </c>
      <c r="Y33" s="521">
        <v>42251</v>
      </c>
      <c r="AA33" s="521"/>
      <c r="AB33" s="484" t="s">
        <v>1113</v>
      </c>
      <c r="AC33" s="484">
        <v>0</v>
      </c>
      <c r="AD33" s="484">
        <v>0</v>
      </c>
      <c r="AE33" s="484">
        <v>0</v>
      </c>
      <c r="AF33" s="484">
        <v>0</v>
      </c>
      <c r="AG33" s="484">
        <v>0</v>
      </c>
      <c r="AH33" s="484">
        <v>1</v>
      </c>
      <c r="AI33" s="484">
        <v>40131</v>
      </c>
      <c r="AJ33" s="484">
        <v>2120</v>
      </c>
      <c r="AK33" s="484">
        <v>0</v>
      </c>
      <c r="AL33" s="484">
        <v>0</v>
      </c>
      <c r="AO33" s="524"/>
      <c r="AP33" s="524"/>
      <c r="AQ33" s="484" t="str">
        <f t="shared" si="0"/>
        <v/>
      </c>
    </row>
    <row r="34" spans="2:43">
      <c r="B34" s="484" t="s">
        <v>1408</v>
      </c>
      <c r="C34" s="521">
        <v>42264</v>
      </c>
      <c r="D34" s="522">
        <v>11039.3</v>
      </c>
      <c r="E34" s="522">
        <v>0</v>
      </c>
      <c r="F34" s="523" t="s">
        <v>1105</v>
      </c>
      <c r="G34" s="484" t="s">
        <v>1438</v>
      </c>
      <c r="H34" s="524" t="s">
        <v>1107</v>
      </c>
      <c r="I34" s="484" t="s">
        <v>1120</v>
      </c>
      <c r="J34" s="484" t="s">
        <v>1109</v>
      </c>
      <c r="K34" s="484" t="s">
        <v>1110</v>
      </c>
      <c r="L34" s="488" t="s">
        <v>1410</v>
      </c>
      <c r="M34" s="488"/>
      <c r="N34" s="488" t="s">
        <v>1411</v>
      </c>
      <c r="O34" s="509">
        <v>42250</v>
      </c>
      <c r="P34" s="488" t="s">
        <v>1412</v>
      </c>
      <c r="Q34" s="488" t="s">
        <v>1439</v>
      </c>
      <c r="R34" s="484" t="s">
        <v>1414</v>
      </c>
      <c r="U34" s="484" t="s">
        <v>1440</v>
      </c>
      <c r="V34" s="484" t="s">
        <v>1441</v>
      </c>
      <c r="W34" s="484">
        <v>2195</v>
      </c>
      <c r="X34" s="521">
        <v>42264</v>
      </c>
      <c r="Y34" s="521">
        <v>42264</v>
      </c>
      <c r="Z34" s="484">
        <v>11039.3</v>
      </c>
      <c r="AA34" s="521">
        <v>42270</v>
      </c>
      <c r="AB34" s="484" t="s">
        <v>1113</v>
      </c>
      <c r="AC34" s="484">
        <v>0</v>
      </c>
      <c r="AD34" s="484">
        <v>0</v>
      </c>
      <c r="AE34" s="484">
        <v>0</v>
      </c>
      <c r="AF34" s="484">
        <v>0</v>
      </c>
      <c r="AG34" s="484">
        <v>0</v>
      </c>
      <c r="AH34" s="484">
        <v>1</v>
      </c>
      <c r="AI34" s="484">
        <v>40131</v>
      </c>
      <c r="AJ34" s="484">
        <v>2120</v>
      </c>
      <c r="AK34" s="484">
        <v>0</v>
      </c>
      <c r="AL34" s="484">
        <v>0</v>
      </c>
      <c r="AO34" s="524"/>
      <c r="AP34" s="524"/>
      <c r="AQ34" s="484" t="str">
        <f t="shared" si="0"/>
        <v>VO03777222</v>
      </c>
    </row>
    <row r="35" spans="2:43">
      <c r="B35" s="484" t="s">
        <v>1408</v>
      </c>
      <c r="C35" s="521">
        <v>42277</v>
      </c>
      <c r="D35" s="522">
        <v>-404.19</v>
      </c>
      <c r="E35" s="522">
        <v>0</v>
      </c>
      <c r="F35" s="523" t="s">
        <v>1105</v>
      </c>
      <c r="G35" s="484" t="s">
        <v>1442</v>
      </c>
      <c r="H35" s="524" t="s">
        <v>1107</v>
      </c>
      <c r="I35" s="484" t="s">
        <v>1433</v>
      </c>
      <c r="J35" s="484" t="s">
        <v>1109</v>
      </c>
      <c r="K35" s="484" t="s">
        <v>1110</v>
      </c>
      <c r="L35" s="488"/>
      <c r="M35" s="488"/>
      <c r="N35" s="488" t="s">
        <v>1434</v>
      </c>
      <c r="O35" s="509"/>
      <c r="P35" s="488"/>
      <c r="Q35" s="488"/>
      <c r="U35" s="484" t="s">
        <v>1435</v>
      </c>
      <c r="V35" s="484" t="s">
        <v>1443</v>
      </c>
      <c r="X35" s="521">
        <v>42250</v>
      </c>
      <c r="Y35" s="521">
        <v>42250</v>
      </c>
      <c r="AA35" s="521"/>
      <c r="AB35" s="484" t="s">
        <v>1113</v>
      </c>
      <c r="AC35" s="484">
        <v>0</v>
      </c>
      <c r="AD35" s="484">
        <v>0</v>
      </c>
      <c r="AE35" s="484">
        <v>0</v>
      </c>
      <c r="AF35" s="484">
        <v>0</v>
      </c>
      <c r="AG35" s="484">
        <v>5</v>
      </c>
      <c r="AH35" s="484">
        <v>1</v>
      </c>
      <c r="AI35" s="484">
        <v>40131</v>
      </c>
      <c r="AJ35" s="484">
        <v>2120</v>
      </c>
      <c r="AK35" s="484">
        <v>0</v>
      </c>
      <c r="AL35" s="484">
        <v>0</v>
      </c>
      <c r="AO35" s="524"/>
      <c r="AP35" s="524"/>
      <c r="AQ35" s="484" t="str">
        <f t="shared" si="0"/>
        <v/>
      </c>
    </row>
    <row r="36" spans="2:43">
      <c r="B36" s="484" t="s">
        <v>1408</v>
      </c>
      <c r="C36" s="521">
        <v>42277</v>
      </c>
      <c r="D36" s="522">
        <v>-441.28</v>
      </c>
      <c r="E36" s="522">
        <v>0</v>
      </c>
      <c r="F36" s="523" t="s">
        <v>1105</v>
      </c>
      <c r="G36" s="484" t="s">
        <v>1442</v>
      </c>
      <c r="H36" s="524" t="s">
        <v>1107</v>
      </c>
      <c r="I36" s="484" t="s">
        <v>1433</v>
      </c>
      <c r="J36" s="484" t="s">
        <v>1109</v>
      </c>
      <c r="K36" s="484" t="s">
        <v>1110</v>
      </c>
      <c r="L36" s="488"/>
      <c r="M36" s="488"/>
      <c r="N36" s="488" t="s">
        <v>1434</v>
      </c>
      <c r="O36" s="509"/>
      <c r="P36" s="488"/>
      <c r="Q36" s="488"/>
      <c r="U36" s="484" t="s">
        <v>1435</v>
      </c>
      <c r="V36" s="484" t="s">
        <v>1443</v>
      </c>
      <c r="X36" s="521">
        <v>42250</v>
      </c>
      <c r="Y36" s="521">
        <v>42250</v>
      </c>
      <c r="AA36" s="521"/>
      <c r="AB36" s="484" t="s">
        <v>1113</v>
      </c>
      <c r="AC36" s="484">
        <v>0</v>
      </c>
      <c r="AD36" s="484">
        <v>0</v>
      </c>
      <c r="AE36" s="484">
        <v>0</v>
      </c>
      <c r="AF36" s="484">
        <v>0</v>
      </c>
      <c r="AG36" s="484">
        <v>5</v>
      </c>
      <c r="AH36" s="484">
        <v>1</v>
      </c>
      <c r="AI36" s="484">
        <v>40131</v>
      </c>
      <c r="AJ36" s="484">
        <v>2120</v>
      </c>
      <c r="AK36" s="484">
        <v>0</v>
      </c>
      <c r="AL36" s="484">
        <v>0</v>
      </c>
      <c r="AO36" s="524"/>
      <c r="AP36" s="524"/>
      <c r="AQ36" s="484" t="str">
        <f t="shared" si="0"/>
        <v/>
      </c>
    </row>
    <row r="37" spans="2:43">
      <c r="B37" s="484" t="s">
        <v>1408</v>
      </c>
      <c r="C37" s="521">
        <v>42277</v>
      </c>
      <c r="D37" s="522">
        <v>-11040</v>
      </c>
      <c r="E37" s="522">
        <v>0</v>
      </c>
      <c r="F37" s="523" t="s">
        <v>1105</v>
      </c>
      <c r="G37" s="484" t="s">
        <v>1444</v>
      </c>
      <c r="H37" s="524" t="s">
        <v>1107</v>
      </c>
      <c r="I37" s="484" t="s">
        <v>1136</v>
      </c>
      <c r="J37" s="484" t="s">
        <v>1109</v>
      </c>
      <c r="K37" s="484" t="s">
        <v>1110</v>
      </c>
      <c r="L37" s="488"/>
      <c r="M37" s="488"/>
      <c r="N37" s="488" t="s">
        <v>1423</v>
      </c>
      <c r="O37" s="509"/>
      <c r="P37" s="488"/>
      <c r="Q37" s="488"/>
      <c r="U37" s="484" t="s">
        <v>1437</v>
      </c>
      <c r="V37" s="484" t="s">
        <v>1445</v>
      </c>
      <c r="X37" s="521">
        <v>42251</v>
      </c>
      <c r="Y37" s="521">
        <v>42251</v>
      </c>
      <c r="AA37" s="521"/>
      <c r="AB37" s="484" t="s">
        <v>1113</v>
      </c>
      <c r="AC37" s="484">
        <v>0</v>
      </c>
      <c r="AD37" s="484">
        <v>0</v>
      </c>
      <c r="AE37" s="484">
        <v>0</v>
      </c>
      <c r="AF37" s="484">
        <v>0</v>
      </c>
      <c r="AG37" s="484">
        <v>5</v>
      </c>
      <c r="AH37" s="484">
        <v>1</v>
      </c>
      <c r="AI37" s="484">
        <v>40131</v>
      </c>
      <c r="AJ37" s="484">
        <v>2120</v>
      </c>
      <c r="AK37" s="484">
        <v>0</v>
      </c>
      <c r="AL37" s="484">
        <v>0</v>
      </c>
      <c r="AO37" s="524"/>
      <c r="AP37" s="524"/>
      <c r="AQ37" s="484" t="str">
        <f t="shared" si="0"/>
        <v/>
      </c>
    </row>
    <row r="38" spans="2:43">
      <c r="B38" s="484" t="s">
        <v>1408</v>
      </c>
      <c r="C38" s="521">
        <v>42277</v>
      </c>
      <c r="D38" s="522">
        <v>404.19</v>
      </c>
      <c r="E38" s="522">
        <v>0</v>
      </c>
      <c r="F38" s="523" t="s">
        <v>1105</v>
      </c>
      <c r="G38" s="484" t="s">
        <v>1275</v>
      </c>
      <c r="H38" s="524" t="s">
        <v>1107</v>
      </c>
      <c r="I38" s="484" t="s">
        <v>1276</v>
      </c>
      <c r="J38" s="484" t="s">
        <v>1109</v>
      </c>
      <c r="K38" s="484" t="s">
        <v>1110</v>
      </c>
      <c r="L38" s="488"/>
      <c r="M38" s="488"/>
      <c r="N38" s="488" t="s">
        <v>1424</v>
      </c>
      <c r="O38" s="509"/>
      <c r="P38" s="488"/>
      <c r="Q38" s="488"/>
      <c r="U38" s="484" t="s">
        <v>1278</v>
      </c>
      <c r="V38" s="484" t="s">
        <v>1278</v>
      </c>
      <c r="X38" s="521">
        <v>42279</v>
      </c>
      <c r="Y38" s="521">
        <v>42279</v>
      </c>
      <c r="AA38" s="521"/>
      <c r="AB38" s="484" t="s">
        <v>1113</v>
      </c>
      <c r="AC38" s="484">
        <v>0</v>
      </c>
      <c r="AD38" s="484">
        <v>0</v>
      </c>
      <c r="AE38" s="484">
        <v>0</v>
      </c>
      <c r="AF38" s="484">
        <v>0</v>
      </c>
      <c r="AG38" s="484">
        <v>0</v>
      </c>
      <c r="AH38" s="484">
        <v>1</v>
      </c>
      <c r="AI38" s="484">
        <v>40131</v>
      </c>
      <c r="AJ38" s="484">
        <v>2120</v>
      </c>
      <c r="AK38" s="484">
        <v>0</v>
      </c>
      <c r="AL38" s="484">
        <v>0</v>
      </c>
      <c r="AO38" s="524"/>
      <c r="AP38" s="524"/>
      <c r="AQ38" s="484" t="str">
        <f t="shared" si="0"/>
        <v/>
      </c>
    </row>
    <row r="39" spans="2:43">
      <c r="B39" s="484" t="s">
        <v>1408</v>
      </c>
      <c r="C39" s="521">
        <v>42277</v>
      </c>
      <c r="D39" s="522">
        <v>441.28</v>
      </c>
      <c r="E39" s="522">
        <v>0</v>
      </c>
      <c r="F39" s="523" t="s">
        <v>1105</v>
      </c>
      <c r="G39" s="484" t="s">
        <v>1275</v>
      </c>
      <c r="H39" s="524" t="s">
        <v>1107</v>
      </c>
      <c r="I39" s="484" t="s">
        <v>1276</v>
      </c>
      <c r="J39" s="484" t="s">
        <v>1109</v>
      </c>
      <c r="K39" s="484" t="s">
        <v>1110</v>
      </c>
      <c r="L39" s="488"/>
      <c r="M39" s="488"/>
      <c r="N39" s="488" t="s">
        <v>1424</v>
      </c>
      <c r="O39" s="509"/>
      <c r="P39" s="488"/>
      <c r="Q39" s="488"/>
      <c r="U39" s="484" t="s">
        <v>1278</v>
      </c>
      <c r="V39" s="484" t="s">
        <v>1278</v>
      </c>
      <c r="X39" s="521">
        <v>42279</v>
      </c>
      <c r="Y39" s="521">
        <v>42279</v>
      </c>
      <c r="AA39" s="521"/>
      <c r="AB39" s="484" t="s">
        <v>1113</v>
      </c>
      <c r="AC39" s="484">
        <v>0</v>
      </c>
      <c r="AD39" s="484">
        <v>0</v>
      </c>
      <c r="AE39" s="484">
        <v>0</v>
      </c>
      <c r="AF39" s="484">
        <v>0</v>
      </c>
      <c r="AG39" s="484">
        <v>0</v>
      </c>
      <c r="AH39" s="484">
        <v>1</v>
      </c>
      <c r="AI39" s="484">
        <v>40131</v>
      </c>
      <c r="AJ39" s="484">
        <v>2120</v>
      </c>
      <c r="AK39" s="484">
        <v>0</v>
      </c>
      <c r="AL39" s="484">
        <v>0</v>
      </c>
      <c r="AO39" s="524"/>
      <c r="AP39" s="524"/>
      <c r="AQ39" s="484" t="str">
        <f t="shared" si="0"/>
        <v/>
      </c>
    </row>
    <row r="40" spans="2:43">
      <c r="B40" s="484" t="s">
        <v>1408</v>
      </c>
      <c r="C40" s="521">
        <v>42277</v>
      </c>
      <c r="D40" s="522">
        <v>1155</v>
      </c>
      <c r="E40" s="522">
        <v>0</v>
      </c>
      <c r="F40" s="523" t="s">
        <v>1105</v>
      </c>
      <c r="G40" s="484" t="s">
        <v>1446</v>
      </c>
      <c r="H40" s="524" t="s">
        <v>1107</v>
      </c>
      <c r="I40" s="484" t="s">
        <v>1447</v>
      </c>
      <c r="J40" s="484" t="s">
        <v>1109</v>
      </c>
      <c r="K40" s="484" t="s">
        <v>1110</v>
      </c>
      <c r="L40" s="488"/>
      <c r="M40" s="488"/>
      <c r="N40" s="488" t="s">
        <v>1420</v>
      </c>
      <c r="O40" s="509"/>
      <c r="P40" s="488"/>
      <c r="Q40" s="488"/>
      <c r="U40" s="484" t="s">
        <v>1448</v>
      </c>
      <c r="V40" s="484" t="s">
        <v>1448</v>
      </c>
      <c r="X40" s="521">
        <v>42283</v>
      </c>
      <c r="Y40" s="521">
        <v>42283</v>
      </c>
      <c r="AA40" s="521"/>
      <c r="AB40" s="484" t="s">
        <v>1113</v>
      </c>
      <c r="AC40" s="484">
        <v>0</v>
      </c>
      <c r="AD40" s="484">
        <v>0</v>
      </c>
      <c r="AE40" s="484">
        <v>0</v>
      </c>
      <c r="AF40" s="484">
        <v>0</v>
      </c>
      <c r="AG40" s="484">
        <v>0</v>
      </c>
      <c r="AH40" s="484">
        <v>1</v>
      </c>
      <c r="AI40" s="484">
        <v>40131</v>
      </c>
      <c r="AJ40" s="484">
        <v>2120</v>
      </c>
      <c r="AK40" s="484">
        <v>0</v>
      </c>
      <c r="AL40" s="484">
        <v>0</v>
      </c>
      <c r="AO40" s="524"/>
      <c r="AP40" s="524"/>
      <c r="AQ40" s="484" t="str">
        <f t="shared" si="0"/>
        <v/>
      </c>
    </row>
    <row r="41" spans="2:43">
      <c r="B41" s="484" t="s">
        <v>1408</v>
      </c>
      <c r="C41" s="521">
        <v>42277</v>
      </c>
      <c r="D41" s="522">
        <v>12000</v>
      </c>
      <c r="E41" s="522">
        <v>0</v>
      </c>
      <c r="F41" s="523" t="s">
        <v>1105</v>
      </c>
      <c r="G41" s="484" t="s">
        <v>1446</v>
      </c>
      <c r="H41" s="524" t="s">
        <v>1107</v>
      </c>
      <c r="I41" s="484" t="s">
        <v>1447</v>
      </c>
      <c r="J41" s="484" t="s">
        <v>1109</v>
      </c>
      <c r="K41" s="484" t="s">
        <v>1110</v>
      </c>
      <c r="L41" s="488"/>
      <c r="M41" s="488"/>
      <c r="N41" s="488" t="s">
        <v>1423</v>
      </c>
      <c r="O41" s="509"/>
      <c r="P41" s="488"/>
      <c r="Q41" s="488"/>
      <c r="U41" s="484" t="s">
        <v>1448</v>
      </c>
      <c r="V41" s="484" t="s">
        <v>1448</v>
      </c>
      <c r="X41" s="521">
        <v>42283</v>
      </c>
      <c r="Y41" s="521">
        <v>42283</v>
      </c>
      <c r="AA41" s="521"/>
      <c r="AB41" s="484" t="s">
        <v>1113</v>
      </c>
      <c r="AC41" s="484">
        <v>0</v>
      </c>
      <c r="AD41" s="484">
        <v>0</v>
      </c>
      <c r="AE41" s="484">
        <v>0</v>
      </c>
      <c r="AF41" s="484">
        <v>0</v>
      </c>
      <c r="AG41" s="484">
        <v>0</v>
      </c>
      <c r="AH41" s="484">
        <v>1</v>
      </c>
      <c r="AI41" s="484">
        <v>40131</v>
      </c>
      <c r="AJ41" s="484">
        <v>2120</v>
      </c>
      <c r="AK41" s="484">
        <v>0</v>
      </c>
      <c r="AL41" s="484">
        <v>0</v>
      </c>
      <c r="AO41" s="524"/>
      <c r="AP41" s="524"/>
      <c r="AQ41" s="484" t="str">
        <f t="shared" si="0"/>
        <v/>
      </c>
    </row>
    <row r="42" spans="2:43">
      <c r="B42" s="484" t="s">
        <v>1408</v>
      </c>
      <c r="C42" s="521">
        <v>42306</v>
      </c>
      <c r="D42" s="522">
        <v>11904.87</v>
      </c>
      <c r="E42" s="522">
        <v>0</v>
      </c>
      <c r="F42" s="523" t="s">
        <v>1105</v>
      </c>
      <c r="G42" s="484" t="s">
        <v>1449</v>
      </c>
      <c r="H42" s="524" t="s">
        <v>1107</v>
      </c>
      <c r="I42" s="484" t="s">
        <v>1120</v>
      </c>
      <c r="J42" s="484" t="s">
        <v>1121</v>
      </c>
      <c r="K42" s="484" t="s">
        <v>1110</v>
      </c>
      <c r="L42" s="488" t="s">
        <v>1410</v>
      </c>
      <c r="M42" s="488"/>
      <c r="N42" s="488" t="s">
        <v>1411</v>
      </c>
      <c r="O42" s="509">
        <v>42285</v>
      </c>
      <c r="P42" s="488" t="s">
        <v>1412</v>
      </c>
      <c r="Q42" s="488" t="s">
        <v>1450</v>
      </c>
      <c r="R42" s="484" t="s">
        <v>1414</v>
      </c>
      <c r="U42" s="484" t="s">
        <v>1451</v>
      </c>
      <c r="V42" s="484" t="s">
        <v>1452</v>
      </c>
      <c r="W42" s="484">
        <v>2195</v>
      </c>
      <c r="X42" s="521">
        <v>42306</v>
      </c>
      <c r="Y42" s="521">
        <v>42307</v>
      </c>
      <c r="Z42" s="484">
        <v>11904.9</v>
      </c>
      <c r="AA42" s="521">
        <v>42305</v>
      </c>
      <c r="AB42" s="484" t="s">
        <v>1113</v>
      </c>
      <c r="AC42" s="484">
        <v>0</v>
      </c>
      <c r="AD42" s="484">
        <v>0</v>
      </c>
      <c r="AE42" s="484">
        <v>0</v>
      </c>
      <c r="AF42" s="484">
        <v>0</v>
      </c>
      <c r="AG42" s="484">
        <v>0</v>
      </c>
      <c r="AH42" s="484">
        <v>1</v>
      </c>
      <c r="AI42" s="484">
        <v>40131</v>
      </c>
      <c r="AJ42" s="484">
        <v>2120</v>
      </c>
      <c r="AK42" s="484">
        <v>0</v>
      </c>
      <c r="AL42" s="484">
        <v>0</v>
      </c>
      <c r="AO42" s="524"/>
      <c r="AP42" s="524"/>
      <c r="AQ42" s="484" t="str">
        <f t="shared" si="0"/>
        <v>VO03807416</v>
      </c>
    </row>
    <row r="43" spans="2:43">
      <c r="B43" s="484" t="s">
        <v>1408</v>
      </c>
      <c r="C43" s="521">
        <v>42308</v>
      </c>
      <c r="D43" s="522">
        <v>-1155</v>
      </c>
      <c r="E43" s="522">
        <v>0</v>
      </c>
      <c r="F43" s="523" t="s">
        <v>1105</v>
      </c>
      <c r="G43" s="484" t="s">
        <v>1453</v>
      </c>
      <c r="H43" s="524" t="s">
        <v>1107</v>
      </c>
      <c r="I43" s="484" t="s">
        <v>1447</v>
      </c>
      <c r="J43" s="484" t="s">
        <v>1116</v>
      </c>
      <c r="K43" s="484" t="s">
        <v>1110</v>
      </c>
      <c r="L43" s="488"/>
      <c r="M43" s="488"/>
      <c r="N43" s="488" t="s">
        <v>1420</v>
      </c>
      <c r="O43" s="509"/>
      <c r="P43" s="488"/>
      <c r="Q43" s="488"/>
      <c r="U43" s="484" t="s">
        <v>1448</v>
      </c>
      <c r="V43" s="484" t="s">
        <v>1454</v>
      </c>
      <c r="X43" s="521">
        <v>42283</v>
      </c>
      <c r="Y43" s="521">
        <v>42283</v>
      </c>
      <c r="AA43" s="521"/>
      <c r="AB43" s="484" t="s">
        <v>1113</v>
      </c>
      <c r="AC43" s="484">
        <v>0</v>
      </c>
      <c r="AD43" s="484">
        <v>0</v>
      </c>
      <c r="AE43" s="484">
        <v>0</v>
      </c>
      <c r="AF43" s="484">
        <v>0</v>
      </c>
      <c r="AG43" s="484">
        <v>5</v>
      </c>
      <c r="AH43" s="484">
        <v>1</v>
      </c>
      <c r="AI43" s="484">
        <v>40131</v>
      </c>
      <c r="AJ43" s="484">
        <v>2120</v>
      </c>
      <c r="AK43" s="484">
        <v>0</v>
      </c>
      <c r="AL43" s="484">
        <v>0</v>
      </c>
      <c r="AO43" s="524"/>
      <c r="AP43" s="524"/>
      <c r="AQ43" s="484" t="str">
        <f t="shared" si="0"/>
        <v/>
      </c>
    </row>
    <row r="44" spans="2:43">
      <c r="B44" s="484" t="s">
        <v>1408</v>
      </c>
      <c r="C44" s="521">
        <v>42308</v>
      </c>
      <c r="D44" s="522">
        <v>-12000</v>
      </c>
      <c r="E44" s="522">
        <v>0</v>
      </c>
      <c r="F44" s="523" t="s">
        <v>1105</v>
      </c>
      <c r="G44" s="484" t="s">
        <v>1453</v>
      </c>
      <c r="H44" s="524" t="s">
        <v>1107</v>
      </c>
      <c r="I44" s="484" t="s">
        <v>1447</v>
      </c>
      <c r="J44" s="484" t="s">
        <v>1116</v>
      </c>
      <c r="K44" s="484" t="s">
        <v>1110</v>
      </c>
      <c r="L44" s="488"/>
      <c r="M44" s="488"/>
      <c r="N44" s="488" t="s">
        <v>1423</v>
      </c>
      <c r="O44" s="509"/>
      <c r="P44" s="488"/>
      <c r="Q44" s="488"/>
      <c r="U44" s="484" t="s">
        <v>1448</v>
      </c>
      <c r="V44" s="484" t="s">
        <v>1454</v>
      </c>
      <c r="X44" s="521">
        <v>42283</v>
      </c>
      <c r="Y44" s="521">
        <v>42283</v>
      </c>
      <c r="AA44" s="521"/>
      <c r="AB44" s="484" t="s">
        <v>1113</v>
      </c>
      <c r="AC44" s="484">
        <v>0</v>
      </c>
      <c r="AD44" s="484">
        <v>0</v>
      </c>
      <c r="AE44" s="484">
        <v>0</v>
      </c>
      <c r="AF44" s="484">
        <v>0</v>
      </c>
      <c r="AG44" s="484">
        <v>5</v>
      </c>
      <c r="AH44" s="484">
        <v>1</v>
      </c>
      <c r="AI44" s="484">
        <v>40131</v>
      </c>
      <c r="AJ44" s="484">
        <v>2120</v>
      </c>
      <c r="AK44" s="484">
        <v>0</v>
      </c>
      <c r="AL44" s="484">
        <v>0</v>
      </c>
      <c r="AO44" s="524"/>
      <c r="AP44" s="524"/>
      <c r="AQ44" s="484" t="str">
        <f t="shared" si="0"/>
        <v/>
      </c>
    </row>
    <row r="45" spans="2:43">
      <c r="B45" s="484" t="s">
        <v>1408</v>
      </c>
      <c r="C45" s="521">
        <v>42308</v>
      </c>
      <c r="D45" s="522">
        <v>403.02</v>
      </c>
      <c r="E45" s="522">
        <v>0</v>
      </c>
      <c r="F45" s="523" t="s">
        <v>1105</v>
      </c>
      <c r="G45" s="484" t="s">
        <v>1455</v>
      </c>
      <c r="H45" s="524" t="s">
        <v>1107</v>
      </c>
      <c r="I45" s="484" t="s">
        <v>1456</v>
      </c>
      <c r="J45" s="484" t="s">
        <v>1109</v>
      </c>
      <c r="K45" s="484" t="s">
        <v>1110</v>
      </c>
      <c r="L45" s="488"/>
      <c r="M45" s="488"/>
      <c r="N45" s="488" t="s">
        <v>1424</v>
      </c>
      <c r="O45" s="509"/>
      <c r="P45" s="488"/>
      <c r="Q45" s="488"/>
      <c r="U45" s="484" t="s">
        <v>1457</v>
      </c>
      <c r="V45" s="484" t="s">
        <v>1457</v>
      </c>
      <c r="X45" s="521">
        <v>42310</v>
      </c>
      <c r="Y45" s="521">
        <v>42310</v>
      </c>
      <c r="AA45" s="521"/>
      <c r="AB45" s="484" t="s">
        <v>1113</v>
      </c>
      <c r="AC45" s="484">
        <v>0</v>
      </c>
      <c r="AD45" s="484">
        <v>0</v>
      </c>
      <c r="AE45" s="484">
        <v>0</v>
      </c>
      <c r="AF45" s="484">
        <v>0</v>
      </c>
      <c r="AG45" s="484">
        <v>0</v>
      </c>
      <c r="AH45" s="484">
        <v>1</v>
      </c>
      <c r="AI45" s="484">
        <v>40131</v>
      </c>
      <c r="AJ45" s="484">
        <v>2120</v>
      </c>
      <c r="AK45" s="484">
        <v>0</v>
      </c>
      <c r="AL45" s="484">
        <v>0</v>
      </c>
      <c r="AO45" s="524"/>
      <c r="AP45" s="524"/>
      <c r="AQ45" s="484" t="str">
        <f t="shared" si="0"/>
        <v/>
      </c>
    </row>
    <row r="46" spans="2:43">
      <c r="B46" s="484" t="s">
        <v>1408</v>
      </c>
      <c r="C46" s="521">
        <v>42308</v>
      </c>
      <c r="D46" s="522">
        <v>750.99</v>
      </c>
      <c r="E46" s="522">
        <v>0</v>
      </c>
      <c r="F46" s="523" t="s">
        <v>1105</v>
      </c>
      <c r="G46" s="484" t="s">
        <v>1455</v>
      </c>
      <c r="H46" s="524" t="s">
        <v>1107</v>
      </c>
      <c r="I46" s="484" t="s">
        <v>1456</v>
      </c>
      <c r="J46" s="484" t="s">
        <v>1109</v>
      </c>
      <c r="K46" s="484" t="s">
        <v>1110</v>
      </c>
      <c r="L46" s="488"/>
      <c r="M46" s="488"/>
      <c r="N46" s="488" t="s">
        <v>1424</v>
      </c>
      <c r="O46" s="509"/>
      <c r="P46" s="488"/>
      <c r="Q46" s="488"/>
      <c r="U46" s="484" t="s">
        <v>1457</v>
      </c>
      <c r="V46" s="484" t="s">
        <v>1457</v>
      </c>
      <c r="X46" s="521">
        <v>42310</v>
      </c>
      <c r="Y46" s="521">
        <v>42310</v>
      </c>
      <c r="AA46" s="521"/>
      <c r="AB46" s="484" t="s">
        <v>1113</v>
      </c>
      <c r="AC46" s="484">
        <v>0</v>
      </c>
      <c r="AD46" s="484">
        <v>0</v>
      </c>
      <c r="AE46" s="484">
        <v>0</v>
      </c>
      <c r="AF46" s="484">
        <v>0</v>
      </c>
      <c r="AG46" s="484">
        <v>0</v>
      </c>
      <c r="AH46" s="484">
        <v>1</v>
      </c>
      <c r="AI46" s="484">
        <v>40131</v>
      </c>
      <c r="AJ46" s="484">
        <v>2120</v>
      </c>
      <c r="AK46" s="484">
        <v>0</v>
      </c>
      <c r="AL46" s="484">
        <v>0</v>
      </c>
      <c r="AO46" s="524"/>
      <c r="AP46" s="524"/>
      <c r="AQ46" s="484" t="str">
        <f t="shared" si="0"/>
        <v/>
      </c>
    </row>
    <row r="47" spans="2:43">
      <c r="B47" s="484" t="s">
        <v>1408</v>
      </c>
      <c r="C47" s="521">
        <v>42308</v>
      </c>
      <c r="D47" s="522">
        <v>428</v>
      </c>
      <c r="E47" s="522">
        <v>0</v>
      </c>
      <c r="F47" s="523" t="s">
        <v>1105</v>
      </c>
      <c r="G47" s="484" t="s">
        <v>1458</v>
      </c>
      <c r="H47" s="524" t="s">
        <v>1107</v>
      </c>
      <c r="I47" s="484" t="s">
        <v>1136</v>
      </c>
      <c r="J47" s="484" t="s">
        <v>1109</v>
      </c>
      <c r="K47" s="484" t="s">
        <v>1110</v>
      </c>
      <c r="L47" s="488"/>
      <c r="M47" s="488"/>
      <c r="N47" s="488" t="s">
        <v>1420</v>
      </c>
      <c r="O47" s="509"/>
      <c r="P47" s="488"/>
      <c r="Q47" s="488"/>
      <c r="U47" s="484" t="s">
        <v>1459</v>
      </c>
      <c r="V47" s="484" t="s">
        <v>1459</v>
      </c>
      <c r="X47" s="521">
        <v>42314</v>
      </c>
      <c r="Y47" s="521">
        <v>42314</v>
      </c>
      <c r="AA47" s="521"/>
      <c r="AB47" s="484" t="s">
        <v>1113</v>
      </c>
      <c r="AC47" s="484">
        <v>0</v>
      </c>
      <c r="AD47" s="484">
        <v>0</v>
      </c>
      <c r="AE47" s="484">
        <v>0</v>
      </c>
      <c r="AF47" s="484">
        <v>0</v>
      </c>
      <c r="AG47" s="484">
        <v>0</v>
      </c>
      <c r="AH47" s="484">
        <v>1</v>
      </c>
      <c r="AI47" s="484">
        <v>40131</v>
      </c>
      <c r="AJ47" s="484">
        <v>2120</v>
      </c>
      <c r="AK47" s="484">
        <v>0</v>
      </c>
      <c r="AL47" s="484">
        <v>0</v>
      </c>
      <c r="AO47" s="524"/>
      <c r="AP47" s="524"/>
      <c r="AQ47" s="484" t="str">
        <f t="shared" si="0"/>
        <v/>
      </c>
    </row>
    <row r="48" spans="2:43">
      <c r="B48" s="484" t="s">
        <v>1408</v>
      </c>
      <c r="C48" s="521">
        <v>42308</v>
      </c>
      <c r="D48" s="522">
        <v>9350</v>
      </c>
      <c r="E48" s="522">
        <v>0</v>
      </c>
      <c r="F48" s="523" t="s">
        <v>1105</v>
      </c>
      <c r="G48" s="484" t="s">
        <v>1458</v>
      </c>
      <c r="H48" s="524" t="s">
        <v>1107</v>
      </c>
      <c r="I48" s="484" t="s">
        <v>1136</v>
      </c>
      <c r="J48" s="484" t="s">
        <v>1109</v>
      </c>
      <c r="K48" s="484" t="s">
        <v>1110</v>
      </c>
      <c r="L48" s="488"/>
      <c r="M48" s="488"/>
      <c r="N48" s="488" t="s">
        <v>1423</v>
      </c>
      <c r="O48" s="509"/>
      <c r="P48" s="488"/>
      <c r="Q48" s="488"/>
      <c r="U48" s="484" t="s">
        <v>1459</v>
      </c>
      <c r="V48" s="484" t="s">
        <v>1459</v>
      </c>
      <c r="X48" s="521">
        <v>42314</v>
      </c>
      <c r="Y48" s="521">
        <v>42314</v>
      </c>
      <c r="AA48" s="521"/>
      <c r="AB48" s="484" t="s">
        <v>1113</v>
      </c>
      <c r="AC48" s="484">
        <v>0</v>
      </c>
      <c r="AD48" s="484">
        <v>0</v>
      </c>
      <c r="AE48" s="484">
        <v>0</v>
      </c>
      <c r="AF48" s="484">
        <v>0</v>
      </c>
      <c r="AG48" s="484">
        <v>0</v>
      </c>
      <c r="AH48" s="484">
        <v>1</v>
      </c>
      <c r="AI48" s="484">
        <v>40131</v>
      </c>
      <c r="AJ48" s="484">
        <v>2120</v>
      </c>
      <c r="AK48" s="484">
        <v>0</v>
      </c>
      <c r="AL48" s="484">
        <v>0</v>
      </c>
      <c r="AO48" s="524"/>
      <c r="AP48" s="524"/>
      <c r="AQ48" s="484" t="str">
        <f t="shared" si="0"/>
        <v/>
      </c>
    </row>
    <row r="49" spans="2:43">
      <c r="B49" s="484" t="s">
        <v>1408</v>
      </c>
      <c r="C49" s="521">
        <v>42320</v>
      </c>
      <c r="D49" s="522">
        <v>9344.52</v>
      </c>
      <c r="E49" s="522">
        <v>0</v>
      </c>
      <c r="F49" s="523" t="s">
        <v>1105</v>
      </c>
      <c r="G49" s="484" t="s">
        <v>1460</v>
      </c>
      <c r="H49" s="524" t="s">
        <v>1107</v>
      </c>
      <c r="I49" s="484" t="s">
        <v>1120</v>
      </c>
      <c r="J49" s="484" t="s">
        <v>1109</v>
      </c>
      <c r="K49" s="484" t="s">
        <v>1110</v>
      </c>
      <c r="L49" s="488" t="s">
        <v>1410</v>
      </c>
      <c r="M49" s="488"/>
      <c r="N49" s="488" t="s">
        <v>1411</v>
      </c>
      <c r="O49" s="509">
        <v>42312</v>
      </c>
      <c r="P49" s="488" t="s">
        <v>1412</v>
      </c>
      <c r="Q49" s="488" t="s">
        <v>1461</v>
      </c>
      <c r="R49" s="484" t="s">
        <v>1414</v>
      </c>
      <c r="U49" s="484" t="s">
        <v>1462</v>
      </c>
      <c r="V49" s="484" t="s">
        <v>1463</v>
      </c>
      <c r="W49" s="484">
        <v>2195</v>
      </c>
      <c r="X49" s="521">
        <v>42321</v>
      </c>
      <c r="Y49" s="521">
        <v>42324</v>
      </c>
      <c r="Z49" s="484">
        <v>9344.52</v>
      </c>
      <c r="AA49" s="521">
        <v>42332</v>
      </c>
      <c r="AB49" s="484" t="s">
        <v>1113</v>
      </c>
      <c r="AC49" s="484">
        <v>0</v>
      </c>
      <c r="AD49" s="484">
        <v>0</v>
      </c>
      <c r="AE49" s="484">
        <v>0</v>
      </c>
      <c r="AF49" s="484">
        <v>0</v>
      </c>
      <c r="AG49" s="484">
        <v>0</v>
      </c>
      <c r="AH49" s="484">
        <v>1</v>
      </c>
      <c r="AI49" s="484">
        <v>40131</v>
      </c>
      <c r="AJ49" s="484">
        <v>2120</v>
      </c>
      <c r="AK49" s="484">
        <v>0</v>
      </c>
      <c r="AL49" s="484">
        <v>0</v>
      </c>
      <c r="AO49" s="524"/>
      <c r="AP49" s="524"/>
      <c r="AQ49" s="484" t="str">
        <f t="shared" si="0"/>
        <v>VO03818135</v>
      </c>
    </row>
    <row r="50" spans="2:43">
      <c r="B50" s="484" t="s">
        <v>1408</v>
      </c>
      <c r="C50" s="521">
        <v>42338</v>
      </c>
      <c r="D50" s="522">
        <v>-428</v>
      </c>
      <c r="E50" s="522">
        <v>0</v>
      </c>
      <c r="F50" s="523" t="s">
        <v>1105</v>
      </c>
      <c r="G50" s="484" t="s">
        <v>1464</v>
      </c>
      <c r="H50" s="524" t="s">
        <v>1107</v>
      </c>
      <c r="I50" s="484" t="s">
        <v>1136</v>
      </c>
      <c r="J50" s="484" t="s">
        <v>1109</v>
      </c>
      <c r="K50" s="484" t="s">
        <v>1110</v>
      </c>
      <c r="L50" s="488"/>
      <c r="M50" s="488"/>
      <c r="N50" s="488" t="s">
        <v>1420</v>
      </c>
      <c r="O50" s="509"/>
      <c r="P50" s="488"/>
      <c r="Q50" s="488"/>
      <c r="U50" s="484" t="s">
        <v>1459</v>
      </c>
      <c r="V50" s="484" t="s">
        <v>1465</v>
      </c>
      <c r="X50" s="521">
        <v>42314</v>
      </c>
      <c r="Y50" s="521">
        <v>42314</v>
      </c>
      <c r="AA50" s="521"/>
      <c r="AB50" s="484" t="s">
        <v>1113</v>
      </c>
      <c r="AC50" s="484">
        <v>0</v>
      </c>
      <c r="AD50" s="484">
        <v>0</v>
      </c>
      <c r="AE50" s="484">
        <v>0</v>
      </c>
      <c r="AF50" s="484">
        <v>0</v>
      </c>
      <c r="AG50" s="484">
        <v>5</v>
      </c>
      <c r="AH50" s="484">
        <v>1</v>
      </c>
      <c r="AI50" s="484">
        <v>40131</v>
      </c>
      <c r="AJ50" s="484">
        <v>2120</v>
      </c>
      <c r="AK50" s="484">
        <v>0</v>
      </c>
      <c r="AL50" s="484">
        <v>0</v>
      </c>
      <c r="AO50" s="524"/>
      <c r="AP50" s="524"/>
      <c r="AQ50" s="484" t="str">
        <f t="shared" si="0"/>
        <v/>
      </c>
    </row>
    <row r="51" spans="2:43">
      <c r="B51" s="484" t="s">
        <v>1408</v>
      </c>
      <c r="C51" s="521">
        <v>42338</v>
      </c>
      <c r="D51" s="522">
        <v>-9350</v>
      </c>
      <c r="E51" s="522">
        <v>0</v>
      </c>
      <c r="F51" s="523" t="s">
        <v>1105</v>
      </c>
      <c r="G51" s="484" t="s">
        <v>1464</v>
      </c>
      <c r="H51" s="524" t="s">
        <v>1107</v>
      </c>
      <c r="I51" s="484" t="s">
        <v>1136</v>
      </c>
      <c r="J51" s="484" t="s">
        <v>1109</v>
      </c>
      <c r="K51" s="484" t="s">
        <v>1110</v>
      </c>
      <c r="L51" s="488"/>
      <c r="M51" s="488"/>
      <c r="N51" s="488" t="s">
        <v>1423</v>
      </c>
      <c r="O51" s="509"/>
      <c r="P51" s="488"/>
      <c r="Q51" s="488"/>
      <c r="U51" s="484" t="s">
        <v>1459</v>
      </c>
      <c r="V51" s="484" t="s">
        <v>1465</v>
      </c>
      <c r="X51" s="521">
        <v>42314</v>
      </c>
      <c r="Y51" s="521">
        <v>42314</v>
      </c>
      <c r="AA51" s="521"/>
      <c r="AB51" s="484" t="s">
        <v>1113</v>
      </c>
      <c r="AC51" s="484">
        <v>0</v>
      </c>
      <c r="AD51" s="484">
        <v>0</v>
      </c>
      <c r="AE51" s="484">
        <v>0</v>
      </c>
      <c r="AF51" s="484">
        <v>0</v>
      </c>
      <c r="AG51" s="484">
        <v>5</v>
      </c>
      <c r="AH51" s="484">
        <v>1</v>
      </c>
      <c r="AI51" s="484">
        <v>40131</v>
      </c>
      <c r="AJ51" s="484">
        <v>2120</v>
      </c>
      <c r="AK51" s="484">
        <v>0</v>
      </c>
      <c r="AL51" s="484">
        <v>0</v>
      </c>
      <c r="AO51" s="524"/>
      <c r="AP51" s="524"/>
      <c r="AQ51" s="484" t="str">
        <f t="shared" si="0"/>
        <v/>
      </c>
    </row>
    <row r="52" spans="2:43">
      <c r="B52" s="484" t="s">
        <v>1408</v>
      </c>
      <c r="C52" s="521">
        <v>42338</v>
      </c>
      <c r="D52" s="522">
        <v>15.09</v>
      </c>
      <c r="E52" s="522">
        <v>0</v>
      </c>
      <c r="F52" s="523" t="s">
        <v>1105</v>
      </c>
      <c r="G52" s="484" t="s">
        <v>1160</v>
      </c>
      <c r="H52" s="524" t="s">
        <v>1107</v>
      </c>
      <c r="I52" s="484" t="s">
        <v>1161</v>
      </c>
      <c r="J52" s="484" t="s">
        <v>1116</v>
      </c>
      <c r="K52" s="484" t="s">
        <v>1110</v>
      </c>
      <c r="L52" s="488"/>
      <c r="M52" s="488"/>
      <c r="N52" s="488" t="s">
        <v>1424</v>
      </c>
      <c r="O52" s="509"/>
      <c r="P52" s="488"/>
      <c r="Q52" s="488"/>
      <c r="U52" s="484" t="s">
        <v>1163</v>
      </c>
      <c r="V52" s="484" t="s">
        <v>1163</v>
      </c>
      <c r="X52" s="521">
        <v>42340</v>
      </c>
      <c r="Y52" s="521">
        <v>42341</v>
      </c>
      <c r="AA52" s="521"/>
      <c r="AB52" s="484" t="s">
        <v>1113</v>
      </c>
      <c r="AC52" s="484">
        <v>0</v>
      </c>
      <c r="AD52" s="484">
        <v>0</v>
      </c>
      <c r="AE52" s="484">
        <v>0</v>
      </c>
      <c r="AF52" s="484">
        <v>0</v>
      </c>
      <c r="AG52" s="484">
        <v>0</v>
      </c>
      <c r="AH52" s="484">
        <v>1</v>
      </c>
      <c r="AI52" s="484">
        <v>40131</v>
      </c>
      <c r="AJ52" s="484">
        <v>2120</v>
      </c>
      <c r="AK52" s="484">
        <v>0</v>
      </c>
      <c r="AL52" s="484">
        <v>0</v>
      </c>
      <c r="AO52" s="524"/>
      <c r="AP52" s="524"/>
      <c r="AQ52" s="484" t="str">
        <f t="shared" si="0"/>
        <v/>
      </c>
    </row>
    <row r="53" spans="2:43">
      <c r="B53" s="484" t="s">
        <v>1408</v>
      </c>
      <c r="C53" s="521">
        <v>42338</v>
      </c>
      <c r="D53" s="522">
        <v>411.4</v>
      </c>
      <c r="E53" s="522">
        <v>0</v>
      </c>
      <c r="F53" s="523" t="s">
        <v>1105</v>
      </c>
      <c r="G53" s="484" t="s">
        <v>1160</v>
      </c>
      <c r="H53" s="524" t="s">
        <v>1107</v>
      </c>
      <c r="I53" s="484" t="s">
        <v>1161</v>
      </c>
      <c r="J53" s="484" t="s">
        <v>1116</v>
      </c>
      <c r="K53" s="484" t="s">
        <v>1110</v>
      </c>
      <c r="L53" s="488"/>
      <c r="M53" s="488"/>
      <c r="N53" s="488" t="s">
        <v>1424</v>
      </c>
      <c r="O53" s="509"/>
      <c r="P53" s="488"/>
      <c r="Q53" s="488"/>
      <c r="U53" s="484" t="s">
        <v>1163</v>
      </c>
      <c r="V53" s="484" t="s">
        <v>1163</v>
      </c>
      <c r="X53" s="521">
        <v>42340</v>
      </c>
      <c r="Y53" s="521">
        <v>42341</v>
      </c>
      <c r="AA53" s="521"/>
      <c r="AB53" s="484" t="s">
        <v>1113</v>
      </c>
      <c r="AC53" s="484">
        <v>0</v>
      </c>
      <c r="AD53" s="484">
        <v>0</v>
      </c>
      <c r="AE53" s="484">
        <v>0</v>
      </c>
      <c r="AF53" s="484">
        <v>0</v>
      </c>
      <c r="AG53" s="484">
        <v>0</v>
      </c>
      <c r="AH53" s="484">
        <v>1</v>
      </c>
      <c r="AI53" s="484">
        <v>40131</v>
      </c>
      <c r="AJ53" s="484">
        <v>2120</v>
      </c>
      <c r="AK53" s="484">
        <v>0</v>
      </c>
      <c r="AL53" s="484">
        <v>0</v>
      </c>
      <c r="AO53" s="524"/>
      <c r="AP53" s="524"/>
      <c r="AQ53" s="484" t="str">
        <f t="shared" si="0"/>
        <v/>
      </c>
    </row>
    <row r="54" spans="2:43">
      <c r="B54" s="484" t="s">
        <v>1408</v>
      </c>
      <c r="C54" s="521">
        <v>42338</v>
      </c>
      <c r="D54" s="522">
        <v>1319</v>
      </c>
      <c r="E54" s="522">
        <v>0</v>
      </c>
      <c r="F54" s="523" t="s">
        <v>1105</v>
      </c>
      <c r="G54" s="484" t="s">
        <v>1466</v>
      </c>
      <c r="H54" s="524" t="s">
        <v>1107</v>
      </c>
      <c r="I54" s="484" t="s">
        <v>1136</v>
      </c>
      <c r="J54" s="484" t="s">
        <v>1109</v>
      </c>
      <c r="K54" s="484" t="s">
        <v>1110</v>
      </c>
      <c r="L54" s="488"/>
      <c r="M54" s="488"/>
      <c r="N54" s="488" t="s">
        <v>1420</v>
      </c>
      <c r="O54" s="509"/>
      <c r="P54" s="488"/>
      <c r="Q54" s="488"/>
      <c r="U54" s="484" t="s">
        <v>1467</v>
      </c>
      <c r="V54" s="484" t="s">
        <v>1467</v>
      </c>
      <c r="X54" s="521">
        <v>42342</v>
      </c>
      <c r="Y54" s="521">
        <v>42345</v>
      </c>
      <c r="AA54" s="521"/>
      <c r="AB54" s="484" t="s">
        <v>1113</v>
      </c>
      <c r="AC54" s="484">
        <v>0</v>
      </c>
      <c r="AD54" s="484">
        <v>0</v>
      </c>
      <c r="AE54" s="484">
        <v>0</v>
      </c>
      <c r="AF54" s="484">
        <v>0</v>
      </c>
      <c r="AG54" s="484">
        <v>0</v>
      </c>
      <c r="AH54" s="484">
        <v>1</v>
      </c>
      <c r="AI54" s="484">
        <v>40131</v>
      </c>
      <c r="AJ54" s="484">
        <v>2120</v>
      </c>
      <c r="AK54" s="484">
        <v>0</v>
      </c>
      <c r="AL54" s="484">
        <v>0</v>
      </c>
      <c r="AO54" s="524"/>
      <c r="AP54" s="524"/>
      <c r="AQ54" s="484" t="str">
        <f t="shared" si="0"/>
        <v/>
      </c>
    </row>
    <row r="55" spans="2:43">
      <c r="B55" s="484" t="s">
        <v>1408</v>
      </c>
      <c r="C55" s="521">
        <v>42338</v>
      </c>
      <c r="D55" s="522">
        <v>11576</v>
      </c>
      <c r="E55" s="522">
        <v>0</v>
      </c>
      <c r="F55" s="523" t="s">
        <v>1105</v>
      </c>
      <c r="G55" s="484" t="s">
        <v>1466</v>
      </c>
      <c r="H55" s="524" t="s">
        <v>1107</v>
      </c>
      <c r="I55" s="484" t="s">
        <v>1136</v>
      </c>
      <c r="J55" s="484" t="s">
        <v>1109</v>
      </c>
      <c r="K55" s="484" t="s">
        <v>1110</v>
      </c>
      <c r="L55" s="488"/>
      <c r="M55" s="488"/>
      <c r="N55" s="488" t="s">
        <v>1423</v>
      </c>
      <c r="O55" s="509"/>
      <c r="P55" s="488"/>
      <c r="Q55" s="488"/>
      <c r="U55" s="484" t="s">
        <v>1467</v>
      </c>
      <c r="V55" s="484" t="s">
        <v>1467</v>
      </c>
      <c r="X55" s="521">
        <v>42342</v>
      </c>
      <c r="Y55" s="521">
        <v>42345</v>
      </c>
      <c r="AA55" s="521"/>
      <c r="AB55" s="484" t="s">
        <v>1113</v>
      </c>
      <c r="AC55" s="484">
        <v>0</v>
      </c>
      <c r="AD55" s="484">
        <v>0</v>
      </c>
      <c r="AE55" s="484">
        <v>0</v>
      </c>
      <c r="AF55" s="484">
        <v>0</v>
      </c>
      <c r="AG55" s="484">
        <v>0</v>
      </c>
      <c r="AH55" s="484">
        <v>1</v>
      </c>
      <c r="AI55" s="484">
        <v>40131</v>
      </c>
      <c r="AJ55" s="484">
        <v>2120</v>
      </c>
      <c r="AK55" s="484">
        <v>0</v>
      </c>
      <c r="AL55" s="484">
        <v>0</v>
      </c>
      <c r="AO55" s="524"/>
      <c r="AP55" s="524"/>
      <c r="AQ55" s="484" t="str">
        <f t="shared" si="0"/>
        <v/>
      </c>
    </row>
    <row r="56" spans="2:43">
      <c r="B56" s="484" t="s">
        <v>1408</v>
      </c>
      <c r="C56" s="521">
        <v>42362</v>
      </c>
      <c r="D56" s="522">
        <v>11575.61</v>
      </c>
      <c r="E56" s="522">
        <v>0</v>
      </c>
      <c r="F56" s="523" t="s">
        <v>1105</v>
      </c>
      <c r="G56" s="484" t="s">
        <v>1468</v>
      </c>
      <c r="H56" s="524" t="s">
        <v>1107</v>
      </c>
      <c r="I56" s="484" t="s">
        <v>1120</v>
      </c>
      <c r="J56" s="484" t="s">
        <v>1109</v>
      </c>
      <c r="K56" s="484" t="s">
        <v>1110</v>
      </c>
      <c r="L56" s="488" t="s">
        <v>1410</v>
      </c>
      <c r="M56" s="488"/>
      <c r="N56" s="488" t="s">
        <v>1411</v>
      </c>
      <c r="O56" s="509">
        <v>42347</v>
      </c>
      <c r="P56" s="488" t="s">
        <v>1412</v>
      </c>
      <c r="Q56" s="488" t="s">
        <v>1469</v>
      </c>
      <c r="R56" s="484" t="s">
        <v>1414</v>
      </c>
      <c r="U56" s="484" t="s">
        <v>1470</v>
      </c>
      <c r="V56" s="484" t="s">
        <v>1471</v>
      </c>
      <c r="W56" s="484">
        <v>2195</v>
      </c>
      <c r="X56" s="521">
        <v>42366</v>
      </c>
      <c r="Y56" s="521">
        <v>42366</v>
      </c>
      <c r="Z56" s="484">
        <v>11575.6</v>
      </c>
      <c r="AA56" s="521">
        <v>42367</v>
      </c>
      <c r="AB56" s="484" t="s">
        <v>1113</v>
      </c>
      <c r="AC56" s="484">
        <v>0</v>
      </c>
      <c r="AD56" s="484">
        <v>0</v>
      </c>
      <c r="AE56" s="484">
        <v>0</v>
      </c>
      <c r="AF56" s="484">
        <v>0</v>
      </c>
      <c r="AG56" s="484">
        <v>0</v>
      </c>
      <c r="AH56" s="484">
        <v>1</v>
      </c>
      <c r="AI56" s="484">
        <v>40131</v>
      </c>
      <c r="AJ56" s="484">
        <v>2120</v>
      </c>
      <c r="AK56" s="484">
        <v>0</v>
      </c>
      <c r="AL56" s="484">
        <v>0</v>
      </c>
      <c r="AO56" s="524"/>
      <c r="AP56" s="524"/>
      <c r="AQ56" s="484" t="str">
        <f t="shared" si="0"/>
        <v>VO03845289</v>
      </c>
    </row>
    <row r="57" spans="2:43">
      <c r="B57" s="484" t="s">
        <v>1408</v>
      </c>
      <c r="C57" s="521">
        <v>42369</v>
      </c>
      <c r="D57" s="522">
        <v>-1319</v>
      </c>
      <c r="E57" s="522">
        <v>0</v>
      </c>
      <c r="F57" s="523" t="s">
        <v>1105</v>
      </c>
      <c r="G57" s="484" t="s">
        <v>1472</v>
      </c>
      <c r="H57" s="524" t="s">
        <v>1107</v>
      </c>
      <c r="I57" s="484" t="s">
        <v>1136</v>
      </c>
      <c r="J57" s="484" t="s">
        <v>1116</v>
      </c>
      <c r="K57" s="484" t="s">
        <v>1110</v>
      </c>
      <c r="L57" s="488"/>
      <c r="M57" s="488"/>
      <c r="N57" s="488" t="s">
        <v>1420</v>
      </c>
      <c r="O57" s="509"/>
      <c r="P57" s="488"/>
      <c r="Q57" s="488"/>
      <c r="U57" s="484" t="s">
        <v>1467</v>
      </c>
      <c r="V57" s="484" t="s">
        <v>1473</v>
      </c>
      <c r="X57" s="521">
        <v>42345</v>
      </c>
      <c r="Y57" s="521">
        <v>42345</v>
      </c>
      <c r="AA57" s="521"/>
      <c r="AB57" s="484" t="s">
        <v>1113</v>
      </c>
      <c r="AC57" s="484">
        <v>0</v>
      </c>
      <c r="AD57" s="484">
        <v>0</v>
      </c>
      <c r="AE57" s="484">
        <v>0</v>
      </c>
      <c r="AF57" s="484">
        <v>0</v>
      </c>
      <c r="AG57" s="484">
        <v>5</v>
      </c>
      <c r="AH57" s="484">
        <v>1</v>
      </c>
      <c r="AI57" s="484">
        <v>40131</v>
      </c>
      <c r="AJ57" s="484">
        <v>2120</v>
      </c>
      <c r="AK57" s="484">
        <v>0</v>
      </c>
      <c r="AL57" s="484">
        <v>0</v>
      </c>
      <c r="AO57" s="524"/>
      <c r="AP57" s="524"/>
      <c r="AQ57" s="484" t="str">
        <f t="shared" si="0"/>
        <v/>
      </c>
    </row>
    <row r="58" spans="2:43">
      <c r="B58" s="484" t="s">
        <v>1408</v>
      </c>
      <c r="C58" s="521">
        <v>42369</v>
      </c>
      <c r="D58" s="522">
        <v>-11576</v>
      </c>
      <c r="E58" s="522">
        <v>0</v>
      </c>
      <c r="F58" s="523" t="s">
        <v>1105</v>
      </c>
      <c r="G58" s="484" t="s">
        <v>1472</v>
      </c>
      <c r="H58" s="524" t="s">
        <v>1107</v>
      </c>
      <c r="I58" s="484" t="s">
        <v>1136</v>
      </c>
      <c r="J58" s="484" t="s">
        <v>1116</v>
      </c>
      <c r="K58" s="484" t="s">
        <v>1110</v>
      </c>
      <c r="L58" s="488"/>
      <c r="M58" s="488"/>
      <c r="N58" s="488" t="s">
        <v>1423</v>
      </c>
      <c r="O58" s="509"/>
      <c r="P58" s="488"/>
      <c r="Q58" s="488"/>
      <c r="U58" s="484" t="s">
        <v>1467</v>
      </c>
      <c r="V58" s="484" t="s">
        <v>1473</v>
      </c>
      <c r="X58" s="521">
        <v>42345</v>
      </c>
      <c r="Y58" s="521">
        <v>42345</v>
      </c>
      <c r="AA58" s="521"/>
      <c r="AB58" s="484" t="s">
        <v>1113</v>
      </c>
      <c r="AC58" s="484">
        <v>0</v>
      </c>
      <c r="AD58" s="484">
        <v>0</v>
      </c>
      <c r="AE58" s="484">
        <v>0</v>
      </c>
      <c r="AF58" s="484">
        <v>0</v>
      </c>
      <c r="AG58" s="484">
        <v>5</v>
      </c>
      <c r="AH58" s="484">
        <v>1</v>
      </c>
      <c r="AI58" s="484">
        <v>40131</v>
      </c>
      <c r="AJ58" s="484">
        <v>2120</v>
      </c>
      <c r="AK58" s="484">
        <v>0</v>
      </c>
      <c r="AL58" s="484">
        <v>0</v>
      </c>
      <c r="AO58" s="524"/>
      <c r="AP58" s="524"/>
      <c r="AQ58" s="484" t="str">
        <f t="shared" si="0"/>
        <v/>
      </c>
    </row>
    <row r="59" spans="2:43">
      <c r="B59" s="484" t="s">
        <v>1408</v>
      </c>
      <c r="C59" s="521">
        <v>42369</v>
      </c>
      <c r="D59" s="522">
        <v>409.87</v>
      </c>
      <c r="E59" s="522">
        <v>0</v>
      </c>
      <c r="F59" s="523" t="s">
        <v>1105</v>
      </c>
      <c r="G59" s="484" t="s">
        <v>1177</v>
      </c>
      <c r="H59" s="524" t="s">
        <v>1107</v>
      </c>
      <c r="I59" s="484" t="s">
        <v>1178</v>
      </c>
      <c r="J59" s="484" t="s">
        <v>1109</v>
      </c>
      <c r="K59" s="484" t="s">
        <v>1110</v>
      </c>
      <c r="L59" s="488"/>
      <c r="M59" s="488"/>
      <c r="N59" s="488" t="s">
        <v>1424</v>
      </c>
      <c r="O59" s="509"/>
      <c r="P59" s="488"/>
      <c r="Q59" s="488"/>
      <c r="U59" s="484" t="s">
        <v>1180</v>
      </c>
      <c r="V59" s="484" t="s">
        <v>1180</v>
      </c>
      <c r="X59" s="521">
        <v>42374</v>
      </c>
      <c r="Y59" s="521">
        <v>42374</v>
      </c>
      <c r="AA59" s="521"/>
      <c r="AB59" s="484" t="s">
        <v>1113</v>
      </c>
      <c r="AC59" s="484">
        <v>0</v>
      </c>
      <c r="AD59" s="484">
        <v>0</v>
      </c>
      <c r="AE59" s="484">
        <v>0</v>
      </c>
      <c r="AF59" s="484">
        <v>0</v>
      </c>
      <c r="AG59" s="484">
        <v>0</v>
      </c>
      <c r="AH59" s="484">
        <v>1</v>
      </c>
      <c r="AI59" s="484">
        <v>40131</v>
      </c>
      <c r="AJ59" s="484">
        <v>2120</v>
      </c>
      <c r="AK59" s="484">
        <v>0</v>
      </c>
      <c r="AL59" s="484">
        <v>0</v>
      </c>
      <c r="AO59" s="524"/>
      <c r="AP59" s="524"/>
      <c r="AQ59" s="484" t="str">
        <f t="shared" si="0"/>
        <v/>
      </c>
    </row>
    <row r="60" spans="2:43">
      <c r="B60" s="484" t="s">
        <v>1408</v>
      </c>
      <c r="C60" s="521">
        <v>42369</v>
      </c>
      <c r="D60" s="522">
        <v>458.97</v>
      </c>
      <c r="E60" s="522">
        <v>0</v>
      </c>
      <c r="F60" s="523" t="s">
        <v>1105</v>
      </c>
      <c r="G60" s="484" t="s">
        <v>1177</v>
      </c>
      <c r="H60" s="524" t="s">
        <v>1107</v>
      </c>
      <c r="I60" s="484" t="s">
        <v>1178</v>
      </c>
      <c r="J60" s="484" t="s">
        <v>1109</v>
      </c>
      <c r="K60" s="484" t="s">
        <v>1110</v>
      </c>
      <c r="L60" s="488"/>
      <c r="M60" s="488"/>
      <c r="N60" s="488" t="s">
        <v>1424</v>
      </c>
      <c r="O60" s="509"/>
      <c r="P60" s="488"/>
      <c r="Q60" s="488"/>
      <c r="U60" s="484" t="s">
        <v>1180</v>
      </c>
      <c r="V60" s="484" t="s">
        <v>1180</v>
      </c>
      <c r="X60" s="521">
        <v>42374</v>
      </c>
      <c r="Y60" s="521">
        <v>42374</v>
      </c>
      <c r="AA60" s="521"/>
      <c r="AB60" s="484" t="s">
        <v>1113</v>
      </c>
      <c r="AC60" s="484">
        <v>0</v>
      </c>
      <c r="AD60" s="484">
        <v>0</v>
      </c>
      <c r="AE60" s="484">
        <v>0</v>
      </c>
      <c r="AF60" s="484">
        <v>0</v>
      </c>
      <c r="AG60" s="484">
        <v>0</v>
      </c>
      <c r="AH60" s="484">
        <v>1</v>
      </c>
      <c r="AI60" s="484">
        <v>40131</v>
      </c>
      <c r="AJ60" s="484">
        <v>2120</v>
      </c>
      <c r="AK60" s="484">
        <v>0</v>
      </c>
      <c r="AL60" s="484">
        <v>0</v>
      </c>
      <c r="AO60" s="524"/>
      <c r="AP60" s="524"/>
      <c r="AQ60" s="484" t="str">
        <f t="shared" si="0"/>
        <v/>
      </c>
    </row>
    <row r="61" spans="2:43">
      <c r="B61" s="484" t="s">
        <v>1408</v>
      </c>
      <c r="C61" s="521">
        <v>42369</v>
      </c>
      <c r="D61" s="522">
        <v>449.05</v>
      </c>
      <c r="E61" s="522">
        <v>0</v>
      </c>
      <c r="F61" s="523" t="s">
        <v>1105</v>
      </c>
      <c r="G61" s="484" t="s">
        <v>1177</v>
      </c>
      <c r="H61" s="524" t="s">
        <v>1107</v>
      </c>
      <c r="I61" s="484" t="s">
        <v>1178</v>
      </c>
      <c r="J61" s="484" t="s">
        <v>1109</v>
      </c>
      <c r="K61" s="484" t="s">
        <v>1110</v>
      </c>
      <c r="L61" s="488"/>
      <c r="M61" s="488"/>
      <c r="N61" s="488" t="s">
        <v>1424</v>
      </c>
      <c r="O61" s="509"/>
      <c r="P61" s="488"/>
      <c r="Q61" s="488"/>
      <c r="U61" s="484" t="s">
        <v>1180</v>
      </c>
      <c r="V61" s="484" t="s">
        <v>1180</v>
      </c>
      <c r="X61" s="521">
        <v>42374</v>
      </c>
      <c r="Y61" s="521">
        <v>42374</v>
      </c>
      <c r="AA61" s="521"/>
      <c r="AB61" s="484" t="s">
        <v>1113</v>
      </c>
      <c r="AC61" s="484">
        <v>0</v>
      </c>
      <c r="AD61" s="484">
        <v>0</v>
      </c>
      <c r="AE61" s="484">
        <v>0</v>
      </c>
      <c r="AF61" s="484">
        <v>0</v>
      </c>
      <c r="AG61" s="484">
        <v>0</v>
      </c>
      <c r="AH61" s="484">
        <v>1</v>
      </c>
      <c r="AI61" s="484">
        <v>40131</v>
      </c>
      <c r="AJ61" s="484">
        <v>2120</v>
      </c>
      <c r="AK61" s="484">
        <v>0</v>
      </c>
      <c r="AL61" s="484">
        <v>0</v>
      </c>
      <c r="AO61" s="524"/>
      <c r="AP61" s="524"/>
      <c r="AQ61" s="484" t="str">
        <f t="shared" si="0"/>
        <v/>
      </c>
    </row>
    <row r="62" spans="2:43">
      <c r="B62" s="484" t="s">
        <v>1408</v>
      </c>
      <c r="C62" s="521">
        <v>42369</v>
      </c>
      <c r="D62" s="522">
        <v>1034</v>
      </c>
      <c r="E62" s="522">
        <v>0</v>
      </c>
      <c r="F62" s="523" t="s">
        <v>1105</v>
      </c>
      <c r="G62" s="484" t="s">
        <v>1474</v>
      </c>
      <c r="H62" s="524" t="s">
        <v>1107</v>
      </c>
      <c r="I62" s="484" t="s">
        <v>1475</v>
      </c>
      <c r="J62" s="484" t="s">
        <v>1116</v>
      </c>
      <c r="K62" s="484" t="s">
        <v>1110</v>
      </c>
      <c r="L62" s="488"/>
      <c r="M62" s="488"/>
      <c r="N62" s="488" t="s">
        <v>1476</v>
      </c>
      <c r="O62" s="509"/>
      <c r="P62" s="488"/>
      <c r="Q62" s="488"/>
      <c r="U62" s="484" t="s">
        <v>1477</v>
      </c>
      <c r="V62" s="484" t="s">
        <v>1477</v>
      </c>
      <c r="X62" s="521">
        <v>42376</v>
      </c>
      <c r="Y62" s="521">
        <v>42376</v>
      </c>
      <c r="AA62" s="521"/>
      <c r="AB62" s="484" t="s">
        <v>1113</v>
      </c>
      <c r="AC62" s="484">
        <v>0</v>
      </c>
      <c r="AD62" s="484">
        <v>0</v>
      </c>
      <c r="AE62" s="484">
        <v>0</v>
      </c>
      <c r="AF62" s="484">
        <v>0</v>
      </c>
      <c r="AG62" s="484">
        <v>0</v>
      </c>
      <c r="AH62" s="484">
        <v>1</v>
      </c>
      <c r="AI62" s="484">
        <v>40131</v>
      </c>
      <c r="AJ62" s="484">
        <v>2120</v>
      </c>
      <c r="AK62" s="484">
        <v>0</v>
      </c>
      <c r="AL62" s="484">
        <v>0</v>
      </c>
      <c r="AO62" s="524"/>
      <c r="AP62" s="524"/>
      <c r="AQ62" s="484" t="str">
        <f t="shared" si="0"/>
        <v/>
      </c>
    </row>
    <row r="63" spans="2:43">
      <c r="B63" s="484" t="s">
        <v>1408</v>
      </c>
      <c r="C63" s="521">
        <v>42369</v>
      </c>
      <c r="D63" s="522">
        <v>13143.13</v>
      </c>
      <c r="E63" s="522">
        <v>0</v>
      </c>
      <c r="F63" s="523" t="s">
        <v>1105</v>
      </c>
      <c r="G63" s="484" t="s">
        <v>1474</v>
      </c>
      <c r="H63" s="524" t="s">
        <v>1107</v>
      </c>
      <c r="I63" s="484" t="s">
        <v>1475</v>
      </c>
      <c r="J63" s="484" t="s">
        <v>1116</v>
      </c>
      <c r="K63" s="484" t="s">
        <v>1110</v>
      </c>
      <c r="L63" s="488"/>
      <c r="M63" s="488"/>
      <c r="N63" s="488" t="s">
        <v>1478</v>
      </c>
      <c r="O63" s="509"/>
      <c r="P63" s="488"/>
      <c r="Q63" s="488"/>
      <c r="U63" s="484" t="s">
        <v>1477</v>
      </c>
      <c r="V63" s="484" t="s">
        <v>1477</v>
      </c>
      <c r="X63" s="521">
        <v>42376</v>
      </c>
      <c r="Y63" s="521">
        <v>42376</v>
      </c>
      <c r="AA63" s="521"/>
      <c r="AB63" s="484" t="s">
        <v>1113</v>
      </c>
      <c r="AC63" s="484">
        <v>0</v>
      </c>
      <c r="AD63" s="484">
        <v>0</v>
      </c>
      <c r="AE63" s="484">
        <v>0</v>
      </c>
      <c r="AF63" s="484">
        <v>0</v>
      </c>
      <c r="AG63" s="484">
        <v>0</v>
      </c>
      <c r="AH63" s="484">
        <v>1</v>
      </c>
      <c r="AI63" s="484">
        <v>40131</v>
      </c>
      <c r="AJ63" s="484">
        <v>2120</v>
      </c>
      <c r="AK63" s="484">
        <v>0</v>
      </c>
      <c r="AL63" s="484">
        <v>0</v>
      </c>
      <c r="AO63" s="524"/>
      <c r="AP63" s="524"/>
      <c r="AQ63" s="484" t="str">
        <f t="shared" si="0"/>
        <v/>
      </c>
    </row>
    <row r="64" spans="2:43">
      <c r="B64" s="484" t="s">
        <v>1408</v>
      </c>
      <c r="C64" s="521">
        <v>42390</v>
      </c>
      <c r="D64" s="522">
        <v>13143.13</v>
      </c>
      <c r="E64" s="522">
        <v>0</v>
      </c>
      <c r="F64" s="523" t="s">
        <v>1105</v>
      </c>
      <c r="G64" s="484" t="s">
        <v>1479</v>
      </c>
      <c r="H64" s="524" t="s">
        <v>1107</v>
      </c>
      <c r="I64" s="484" t="s">
        <v>1120</v>
      </c>
      <c r="J64" s="484" t="s">
        <v>1109</v>
      </c>
      <c r="K64" s="484" t="s">
        <v>1110</v>
      </c>
      <c r="L64" s="488" t="s">
        <v>1410</v>
      </c>
      <c r="M64" s="488"/>
      <c r="N64" s="488" t="s">
        <v>1411</v>
      </c>
      <c r="O64" s="509">
        <v>42375</v>
      </c>
      <c r="P64" s="488" t="s">
        <v>1412</v>
      </c>
      <c r="Q64" s="488" t="s">
        <v>1480</v>
      </c>
      <c r="R64" s="484" t="s">
        <v>1414</v>
      </c>
      <c r="U64" s="484" t="s">
        <v>1481</v>
      </c>
      <c r="V64" s="484" t="s">
        <v>1482</v>
      </c>
      <c r="W64" s="484">
        <v>2195</v>
      </c>
      <c r="X64" s="521">
        <v>42390</v>
      </c>
      <c r="Y64" s="521">
        <v>42391</v>
      </c>
      <c r="Z64" s="484">
        <v>13143.1</v>
      </c>
      <c r="AA64" s="521">
        <v>42395</v>
      </c>
      <c r="AB64" s="484" t="s">
        <v>1113</v>
      </c>
      <c r="AC64" s="484">
        <v>0</v>
      </c>
      <c r="AD64" s="484">
        <v>0</v>
      </c>
      <c r="AE64" s="484">
        <v>0</v>
      </c>
      <c r="AF64" s="484">
        <v>0</v>
      </c>
      <c r="AG64" s="484">
        <v>0</v>
      </c>
      <c r="AH64" s="484">
        <v>1</v>
      </c>
      <c r="AI64" s="484">
        <v>40131</v>
      </c>
      <c r="AJ64" s="484">
        <v>2120</v>
      </c>
      <c r="AK64" s="484">
        <v>0</v>
      </c>
      <c r="AL64" s="484">
        <v>0</v>
      </c>
      <c r="AO64" s="524"/>
      <c r="AP64" s="524"/>
      <c r="AQ64" s="484" t="str">
        <f t="shared" si="0"/>
        <v>VO03864597</v>
      </c>
    </row>
    <row r="65" spans="2:43">
      <c r="B65" s="484" t="s">
        <v>1408</v>
      </c>
      <c r="C65" s="521">
        <v>42400</v>
      </c>
      <c r="D65" s="522">
        <v>-1034</v>
      </c>
      <c r="E65" s="522">
        <v>0</v>
      </c>
      <c r="F65" s="523" t="s">
        <v>1105</v>
      </c>
      <c r="G65" s="484" t="s">
        <v>1483</v>
      </c>
      <c r="H65" s="524" t="s">
        <v>1107</v>
      </c>
      <c r="I65" s="484" t="s">
        <v>1475</v>
      </c>
      <c r="J65" s="484" t="s">
        <v>1116</v>
      </c>
      <c r="K65" s="484" t="s">
        <v>1110</v>
      </c>
      <c r="L65" s="488"/>
      <c r="M65" s="488"/>
      <c r="N65" s="488" t="s">
        <v>1476</v>
      </c>
      <c r="O65" s="509"/>
      <c r="P65" s="488"/>
      <c r="Q65" s="488"/>
      <c r="U65" s="484" t="s">
        <v>1477</v>
      </c>
      <c r="V65" s="484" t="s">
        <v>1484</v>
      </c>
      <c r="X65" s="521">
        <v>42376</v>
      </c>
      <c r="Y65" s="521">
        <v>42376</v>
      </c>
      <c r="AA65" s="521"/>
      <c r="AB65" s="484" t="s">
        <v>1113</v>
      </c>
      <c r="AC65" s="484">
        <v>0</v>
      </c>
      <c r="AD65" s="484">
        <v>0</v>
      </c>
      <c r="AE65" s="484">
        <v>0</v>
      </c>
      <c r="AF65" s="484">
        <v>0</v>
      </c>
      <c r="AG65" s="484">
        <v>5</v>
      </c>
      <c r="AH65" s="484">
        <v>1</v>
      </c>
      <c r="AI65" s="484">
        <v>40131</v>
      </c>
      <c r="AJ65" s="484">
        <v>2120</v>
      </c>
      <c r="AK65" s="484">
        <v>0</v>
      </c>
      <c r="AL65" s="484">
        <v>0</v>
      </c>
      <c r="AO65" s="524"/>
      <c r="AP65" s="524"/>
      <c r="AQ65" s="484" t="str">
        <f t="shared" si="0"/>
        <v/>
      </c>
    </row>
    <row r="66" spans="2:43">
      <c r="B66" s="484" t="s">
        <v>1408</v>
      </c>
      <c r="C66" s="521">
        <v>42400</v>
      </c>
      <c r="D66" s="522">
        <v>-13143.13</v>
      </c>
      <c r="E66" s="522">
        <v>0</v>
      </c>
      <c r="F66" s="523" t="s">
        <v>1105</v>
      </c>
      <c r="G66" s="484" t="s">
        <v>1483</v>
      </c>
      <c r="H66" s="524" t="s">
        <v>1107</v>
      </c>
      <c r="I66" s="484" t="s">
        <v>1475</v>
      </c>
      <c r="J66" s="484" t="s">
        <v>1116</v>
      </c>
      <c r="K66" s="484" t="s">
        <v>1110</v>
      </c>
      <c r="L66" s="488"/>
      <c r="M66" s="488"/>
      <c r="N66" s="488" t="s">
        <v>1478</v>
      </c>
      <c r="O66" s="509"/>
      <c r="P66" s="488"/>
      <c r="Q66" s="488"/>
      <c r="U66" s="484" t="s">
        <v>1477</v>
      </c>
      <c r="V66" s="484" t="s">
        <v>1484</v>
      </c>
      <c r="X66" s="521">
        <v>42376</v>
      </c>
      <c r="Y66" s="521">
        <v>42376</v>
      </c>
      <c r="AA66" s="521"/>
      <c r="AB66" s="484" t="s">
        <v>1113</v>
      </c>
      <c r="AC66" s="484">
        <v>0</v>
      </c>
      <c r="AD66" s="484">
        <v>0</v>
      </c>
      <c r="AE66" s="484">
        <v>0</v>
      </c>
      <c r="AF66" s="484">
        <v>0</v>
      </c>
      <c r="AG66" s="484">
        <v>5</v>
      </c>
      <c r="AH66" s="484">
        <v>1</v>
      </c>
      <c r="AI66" s="484">
        <v>40131</v>
      </c>
      <c r="AJ66" s="484">
        <v>2120</v>
      </c>
      <c r="AK66" s="484">
        <v>0</v>
      </c>
      <c r="AL66" s="484">
        <v>0</v>
      </c>
      <c r="AO66" s="524"/>
      <c r="AP66" s="524"/>
      <c r="AQ66" s="484" t="str">
        <f t="shared" si="0"/>
        <v/>
      </c>
    </row>
    <row r="67" spans="2:43">
      <c r="B67" s="484" t="s">
        <v>1408</v>
      </c>
      <c r="C67" s="521">
        <v>42400</v>
      </c>
      <c r="D67" s="522">
        <v>580.28</v>
      </c>
      <c r="E67" s="522">
        <v>0</v>
      </c>
      <c r="F67" s="523" t="s">
        <v>1105</v>
      </c>
      <c r="G67" s="484" t="s">
        <v>1186</v>
      </c>
      <c r="H67" s="524" t="s">
        <v>1107</v>
      </c>
      <c r="I67" s="484" t="s">
        <v>1187</v>
      </c>
      <c r="J67" s="484" t="s">
        <v>1121</v>
      </c>
      <c r="K67" s="484" t="s">
        <v>1110</v>
      </c>
      <c r="L67" s="488"/>
      <c r="M67" s="488"/>
      <c r="N67" s="488" t="s">
        <v>1424</v>
      </c>
      <c r="O67" s="509"/>
      <c r="P67" s="488"/>
      <c r="Q67" s="488"/>
      <c r="U67" s="484" t="s">
        <v>1189</v>
      </c>
      <c r="V67" s="484" t="s">
        <v>1189</v>
      </c>
      <c r="X67" s="521">
        <v>42402</v>
      </c>
      <c r="Y67" s="521">
        <v>42402</v>
      </c>
      <c r="AA67" s="521"/>
      <c r="AB67" s="484" t="s">
        <v>1113</v>
      </c>
      <c r="AC67" s="484">
        <v>0</v>
      </c>
      <c r="AD67" s="484">
        <v>0</v>
      </c>
      <c r="AE67" s="484">
        <v>0</v>
      </c>
      <c r="AF67" s="484">
        <v>0</v>
      </c>
      <c r="AG67" s="484">
        <v>0</v>
      </c>
      <c r="AH67" s="484">
        <v>1</v>
      </c>
      <c r="AI67" s="484">
        <v>40131</v>
      </c>
      <c r="AJ67" s="484">
        <v>2120</v>
      </c>
      <c r="AK67" s="484">
        <v>0</v>
      </c>
      <c r="AL67" s="484">
        <v>0</v>
      </c>
      <c r="AO67" s="524"/>
      <c r="AP67" s="524"/>
      <c r="AQ67" s="484" t="str">
        <f t="shared" si="0"/>
        <v/>
      </c>
    </row>
    <row r="68" spans="2:43">
      <c r="B68" s="484" t="s">
        <v>1408</v>
      </c>
      <c r="C68" s="521">
        <v>42400</v>
      </c>
      <c r="D68" s="522">
        <v>452.82</v>
      </c>
      <c r="E68" s="522">
        <v>0</v>
      </c>
      <c r="F68" s="523" t="s">
        <v>1105</v>
      </c>
      <c r="G68" s="484" t="s">
        <v>1186</v>
      </c>
      <c r="H68" s="524" t="s">
        <v>1107</v>
      </c>
      <c r="I68" s="484" t="s">
        <v>1187</v>
      </c>
      <c r="J68" s="484" t="s">
        <v>1121</v>
      </c>
      <c r="K68" s="484" t="s">
        <v>1110</v>
      </c>
      <c r="L68" s="488"/>
      <c r="M68" s="488"/>
      <c r="N68" s="488" t="s">
        <v>1424</v>
      </c>
      <c r="O68" s="509"/>
      <c r="P68" s="488"/>
      <c r="Q68" s="488"/>
      <c r="U68" s="484" t="s">
        <v>1189</v>
      </c>
      <c r="V68" s="484" t="s">
        <v>1189</v>
      </c>
      <c r="X68" s="521">
        <v>42402</v>
      </c>
      <c r="Y68" s="521">
        <v>42402</v>
      </c>
      <c r="AA68" s="521"/>
      <c r="AB68" s="484" t="s">
        <v>1113</v>
      </c>
      <c r="AC68" s="484">
        <v>0</v>
      </c>
      <c r="AD68" s="484">
        <v>0</v>
      </c>
      <c r="AE68" s="484">
        <v>0</v>
      </c>
      <c r="AF68" s="484">
        <v>0</v>
      </c>
      <c r="AG68" s="484">
        <v>0</v>
      </c>
      <c r="AH68" s="484">
        <v>1</v>
      </c>
      <c r="AI68" s="484">
        <v>40131</v>
      </c>
      <c r="AJ68" s="484">
        <v>2120</v>
      </c>
      <c r="AK68" s="484">
        <v>0</v>
      </c>
      <c r="AL68" s="484">
        <v>0</v>
      </c>
      <c r="AO68" s="524"/>
      <c r="AP68" s="524"/>
      <c r="AQ68" s="484" t="str">
        <f t="shared" si="0"/>
        <v/>
      </c>
    </row>
    <row r="69" spans="2:43">
      <c r="B69" s="484" t="s">
        <v>1408</v>
      </c>
      <c r="C69" s="521">
        <v>42400</v>
      </c>
      <c r="D69" s="522">
        <v>9400</v>
      </c>
      <c r="E69" s="522">
        <v>0</v>
      </c>
      <c r="F69" s="523" t="s">
        <v>1105</v>
      </c>
      <c r="G69" s="484" t="s">
        <v>1190</v>
      </c>
      <c r="H69" s="524" t="s">
        <v>1107</v>
      </c>
      <c r="I69" s="484" t="s">
        <v>1191</v>
      </c>
      <c r="J69" s="484" t="s">
        <v>1109</v>
      </c>
      <c r="K69" s="484" t="s">
        <v>1110</v>
      </c>
      <c r="L69" s="488"/>
      <c r="M69" s="488"/>
      <c r="N69" s="488" t="s">
        <v>1485</v>
      </c>
      <c r="O69" s="509"/>
      <c r="P69" s="488"/>
      <c r="Q69" s="488"/>
      <c r="U69" s="484" t="s">
        <v>1193</v>
      </c>
      <c r="V69" s="484" t="s">
        <v>1193</v>
      </c>
      <c r="X69" s="521">
        <v>42404</v>
      </c>
      <c r="Y69" s="521">
        <v>42404</v>
      </c>
      <c r="AA69" s="521"/>
      <c r="AB69" s="484" t="s">
        <v>1113</v>
      </c>
      <c r="AC69" s="484">
        <v>0</v>
      </c>
      <c r="AD69" s="484">
        <v>0</v>
      </c>
      <c r="AE69" s="484">
        <v>0</v>
      </c>
      <c r="AF69" s="484">
        <v>0</v>
      </c>
      <c r="AG69" s="484">
        <v>0</v>
      </c>
      <c r="AH69" s="484">
        <v>1</v>
      </c>
      <c r="AI69" s="484">
        <v>40131</v>
      </c>
      <c r="AJ69" s="484">
        <v>2120</v>
      </c>
      <c r="AK69" s="484">
        <v>0</v>
      </c>
      <c r="AL69" s="484">
        <v>0</v>
      </c>
      <c r="AO69" s="524"/>
      <c r="AP69" s="524"/>
      <c r="AQ69" s="484" t="str">
        <f t="shared" si="0"/>
        <v/>
      </c>
    </row>
    <row r="70" spans="2:43">
      <c r="B70" s="484" t="s">
        <v>1408</v>
      </c>
      <c r="C70" s="521">
        <v>42400</v>
      </c>
      <c r="D70" s="522">
        <v>855</v>
      </c>
      <c r="E70" s="522">
        <v>0</v>
      </c>
      <c r="F70" s="523" t="s">
        <v>1105</v>
      </c>
      <c r="G70" s="484" t="s">
        <v>1190</v>
      </c>
      <c r="H70" s="524" t="s">
        <v>1107</v>
      </c>
      <c r="I70" s="484" t="s">
        <v>1191</v>
      </c>
      <c r="J70" s="484" t="s">
        <v>1109</v>
      </c>
      <c r="K70" s="484" t="s">
        <v>1110</v>
      </c>
      <c r="L70" s="488"/>
      <c r="M70" s="488"/>
      <c r="N70" s="488" t="s">
        <v>1486</v>
      </c>
      <c r="O70" s="509"/>
      <c r="P70" s="488"/>
      <c r="Q70" s="488"/>
      <c r="U70" s="484" t="s">
        <v>1193</v>
      </c>
      <c r="V70" s="484" t="s">
        <v>1193</v>
      </c>
      <c r="X70" s="521">
        <v>42404</v>
      </c>
      <c r="Y70" s="521">
        <v>42404</v>
      </c>
      <c r="AA70" s="521"/>
      <c r="AB70" s="484" t="s">
        <v>1113</v>
      </c>
      <c r="AC70" s="484">
        <v>0</v>
      </c>
      <c r="AD70" s="484">
        <v>0</v>
      </c>
      <c r="AE70" s="484">
        <v>0</v>
      </c>
      <c r="AF70" s="484">
        <v>0</v>
      </c>
      <c r="AG70" s="484">
        <v>0</v>
      </c>
      <c r="AH70" s="484">
        <v>1</v>
      </c>
      <c r="AI70" s="484">
        <v>40131</v>
      </c>
      <c r="AJ70" s="484">
        <v>2120</v>
      </c>
      <c r="AK70" s="484">
        <v>0</v>
      </c>
      <c r="AL70" s="484">
        <v>0</v>
      </c>
      <c r="AO70" s="524"/>
      <c r="AP70" s="524"/>
      <c r="AQ70" s="484" t="str">
        <f t="shared" si="0"/>
        <v/>
      </c>
    </row>
    <row r="71" spans="2:43">
      <c r="B71" s="484" t="s">
        <v>1408</v>
      </c>
      <c r="C71" s="521">
        <v>42411</v>
      </c>
      <c r="D71" s="522">
        <v>8488.0400000000009</v>
      </c>
      <c r="E71" s="522">
        <v>0</v>
      </c>
      <c r="F71" s="523" t="s">
        <v>1105</v>
      </c>
      <c r="G71" s="484" t="s">
        <v>1487</v>
      </c>
      <c r="H71" s="524" t="s">
        <v>1107</v>
      </c>
      <c r="I71" s="484" t="s">
        <v>1120</v>
      </c>
      <c r="J71" s="484" t="s">
        <v>1109</v>
      </c>
      <c r="K71" s="484" t="s">
        <v>1110</v>
      </c>
      <c r="L71" s="488" t="s">
        <v>1410</v>
      </c>
      <c r="M71" s="488"/>
      <c r="N71" s="488" t="s">
        <v>1411</v>
      </c>
      <c r="O71" s="509">
        <v>42405</v>
      </c>
      <c r="P71" s="488" t="s">
        <v>1412</v>
      </c>
      <c r="Q71" s="488" t="s">
        <v>1488</v>
      </c>
      <c r="R71" s="484" t="s">
        <v>1489</v>
      </c>
      <c r="U71" s="484" t="s">
        <v>1490</v>
      </c>
      <c r="V71" s="484" t="s">
        <v>1491</v>
      </c>
      <c r="W71" s="484">
        <v>2195</v>
      </c>
      <c r="X71" s="521">
        <v>42411</v>
      </c>
      <c r="Y71" s="521">
        <v>42415</v>
      </c>
      <c r="Z71" s="484">
        <v>8488.0400000000009</v>
      </c>
      <c r="AA71" s="521">
        <v>42425</v>
      </c>
      <c r="AB71" s="484" t="s">
        <v>1113</v>
      </c>
      <c r="AC71" s="484">
        <v>0</v>
      </c>
      <c r="AD71" s="484">
        <v>0</v>
      </c>
      <c r="AE71" s="484">
        <v>0</v>
      </c>
      <c r="AF71" s="484">
        <v>0</v>
      </c>
      <c r="AG71" s="484">
        <v>0</v>
      </c>
      <c r="AH71" s="484">
        <v>1</v>
      </c>
      <c r="AI71" s="484">
        <v>40131</v>
      </c>
      <c r="AJ71" s="484">
        <v>2120</v>
      </c>
      <c r="AK71" s="484">
        <v>0</v>
      </c>
      <c r="AL71" s="484">
        <v>0</v>
      </c>
      <c r="AO71" s="524"/>
      <c r="AP71" s="524"/>
      <c r="AQ71" s="484" t="str">
        <f t="shared" si="0"/>
        <v>VO03880155</v>
      </c>
    </row>
    <row r="72" spans="2:43">
      <c r="B72" s="484" t="s">
        <v>1408</v>
      </c>
      <c r="C72" s="521">
        <v>42429</v>
      </c>
      <c r="D72" s="522">
        <v>-9400</v>
      </c>
      <c r="E72" s="522">
        <v>0</v>
      </c>
      <c r="F72" s="523" t="s">
        <v>1105</v>
      </c>
      <c r="G72" s="484" t="s">
        <v>1198</v>
      </c>
      <c r="H72" s="524" t="s">
        <v>1107</v>
      </c>
      <c r="I72" s="484" t="s">
        <v>1191</v>
      </c>
      <c r="J72" s="484" t="s">
        <v>1116</v>
      </c>
      <c r="K72" s="484" t="s">
        <v>1110</v>
      </c>
      <c r="L72" s="488"/>
      <c r="M72" s="488"/>
      <c r="N72" s="488" t="s">
        <v>1485</v>
      </c>
      <c r="O72" s="509"/>
      <c r="P72" s="488"/>
      <c r="Q72" s="488"/>
      <c r="U72" s="484" t="s">
        <v>1193</v>
      </c>
      <c r="V72" s="484" t="s">
        <v>1199</v>
      </c>
      <c r="X72" s="521">
        <v>42404</v>
      </c>
      <c r="Y72" s="521">
        <v>42404</v>
      </c>
      <c r="AA72" s="521"/>
      <c r="AB72" s="484" t="s">
        <v>1113</v>
      </c>
      <c r="AC72" s="484">
        <v>0</v>
      </c>
      <c r="AD72" s="484">
        <v>0</v>
      </c>
      <c r="AE72" s="484">
        <v>0</v>
      </c>
      <c r="AF72" s="484">
        <v>0</v>
      </c>
      <c r="AG72" s="484">
        <v>5</v>
      </c>
      <c r="AH72" s="484">
        <v>1</v>
      </c>
      <c r="AI72" s="484">
        <v>40131</v>
      </c>
      <c r="AJ72" s="484">
        <v>2120</v>
      </c>
      <c r="AK72" s="484">
        <v>0</v>
      </c>
      <c r="AL72" s="484">
        <v>0</v>
      </c>
      <c r="AO72" s="524"/>
      <c r="AP72" s="524"/>
      <c r="AQ72" s="484" t="str">
        <f t="shared" si="0"/>
        <v/>
      </c>
    </row>
    <row r="73" spans="2:43">
      <c r="B73" s="484" t="s">
        <v>1408</v>
      </c>
      <c r="C73" s="521">
        <v>42429</v>
      </c>
      <c r="D73" s="522">
        <v>-855</v>
      </c>
      <c r="E73" s="522">
        <v>0</v>
      </c>
      <c r="F73" s="523" t="s">
        <v>1105</v>
      </c>
      <c r="G73" s="484" t="s">
        <v>1198</v>
      </c>
      <c r="H73" s="524" t="s">
        <v>1107</v>
      </c>
      <c r="I73" s="484" t="s">
        <v>1191</v>
      </c>
      <c r="J73" s="484" t="s">
        <v>1116</v>
      </c>
      <c r="K73" s="484" t="s">
        <v>1110</v>
      </c>
      <c r="L73" s="488"/>
      <c r="M73" s="488"/>
      <c r="N73" s="488" t="s">
        <v>1486</v>
      </c>
      <c r="O73" s="509"/>
      <c r="P73" s="488"/>
      <c r="Q73" s="488"/>
      <c r="U73" s="484" t="s">
        <v>1193</v>
      </c>
      <c r="V73" s="484" t="s">
        <v>1199</v>
      </c>
      <c r="X73" s="521">
        <v>42404</v>
      </c>
      <c r="Y73" s="521">
        <v>42404</v>
      </c>
      <c r="AA73" s="521"/>
      <c r="AB73" s="484" t="s">
        <v>1113</v>
      </c>
      <c r="AC73" s="484">
        <v>0</v>
      </c>
      <c r="AD73" s="484">
        <v>0</v>
      </c>
      <c r="AE73" s="484">
        <v>0</v>
      </c>
      <c r="AF73" s="484">
        <v>0</v>
      </c>
      <c r="AG73" s="484">
        <v>5</v>
      </c>
      <c r="AH73" s="484">
        <v>1</v>
      </c>
      <c r="AI73" s="484">
        <v>40131</v>
      </c>
      <c r="AJ73" s="484">
        <v>2120</v>
      </c>
      <c r="AK73" s="484">
        <v>0</v>
      </c>
      <c r="AL73" s="484">
        <v>0</v>
      </c>
      <c r="AO73" s="524"/>
      <c r="AP73" s="524"/>
      <c r="AQ73" s="484" t="str">
        <f t="shared" si="0"/>
        <v/>
      </c>
    </row>
    <row r="74" spans="2:43">
      <c r="B74" s="484" t="s">
        <v>1408</v>
      </c>
      <c r="C74" s="521">
        <v>42429</v>
      </c>
      <c r="D74" s="522">
        <v>415.85</v>
      </c>
      <c r="E74" s="522">
        <v>0</v>
      </c>
      <c r="F74" s="523" t="s">
        <v>1105</v>
      </c>
      <c r="G74" s="484" t="s">
        <v>1200</v>
      </c>
      <c r="H74" s="524" t="s">
        <v>1107</v>
      </c>
      <c r="I74" s="484" t="s">
        <v>1201</v>
      </c>
      <c r="J74" s="484" t="s">
        <v>1116</v>
      </c>
      <c r="K74" s="484" t="s">
        <v>1110</v>
      </c>
      <c r="L74" s="488"/>
      <c r="M74" s="488"/>
      <c r="N74" s="488" t="s">
        <v>1424</v>
      </c>
      <c r="O74" s="509"/>
      <c r="P74" s="488"/>
      <c r="Q74" s="488"/>
      <c r="U74" s="484" t="s">
        <v>1203</v>
      </c>
      <c r="V74" s="484" t="s">
        <v>1203</v>
      </c>
      <c r="X74" s="521">
        <v>42431</v>
      </c>
      <c r="Y74" s="521">
        <v>42432</v>
      </c>
      <c r="AA74" s="521"/>
      <c r="AB74" s="484" t="s">
        <v>1113</v>
      </c>
      <c r="AC74" s="484">
        <v>0</v>
      </c>
      <c r="AD74" s="484">
        <v>0</v>
      </c>
      <c r="AE74" s="484">
        <v>0</v>
      </c>
      <c r="AF74" s="484">
        <v>0</v>
      </c>
      <c r="AG74" s="484">
        <v>0</v>
      </c>
      <c r="AH74" s="484">
        <v>1</v>
      </c>
      <c r="AI74" s="484">
        <v>40131</v>
      </c>
      <c r="AJ74" s="484">
        <v>2120</v>
      </c>
      <c r="AK74" s="484">
        <v>0</v>
      </c>
      <c r="AL74" s="484">
        <v>0</v>
      </c>
      <c r="AO74" s="524"/>
      <c r="AP74" s="524"/>
      <c r="AQ74" s="484" t="str">
        <f t="shared" si="0"/>
        <v/>
      </c>
    </row>
    <row r="75" spans="2:43">
      <c r="B75" s="484" t="s">
        <v>1408</v>
      </c>
      <c r="C75" s="521">
        <v>42429</v>
      </c>
      <c r="D75" s="522">
        <v>438.58</v>
      </c>
      <c r="E75" s="522">
        <v>0</v>
      </c>
      <c r="F75" s="523" t="s">
        <v>1105</v>
      </c>
      <c r="G75" s="484" t="s">
        <v>1200</v>
      </c>
      <c r="H75" s="524" t="s">
        <v>1107</v>
      </c>
      <c r="I75" s="484" t="s">
        <v>1201</v>
      </c>
      <c r="J75" s="484" t="s">
        <v>1116</v>
      </c>
      <c r="K75" s="484" t="s">
        <v>1110</v>
      </c>
      <c r="L75" s="488"/>
      <c r="M75" s="488"/>
      <c r="N75" s="488" t="s">
        <v>1424</v>
      </c>
      <c r="O75" s="509"/>
      <c r="P75" s="488"/>
      <c r="Q75" s="488"/>
      <c r="U75" s="484" t="s">
        <v>1203</v>
      </c>
      <c r="V75" s="484" t="s">
        <v>1203</v>
      </c>
      <c r="X75" s="521">
        <v>42431</v>
      </c>
      <c r="Y75" s="521">
        <v>42432</v>
      </c>
      <c r="AA75" s="521"/>
      <c r="AB75" s="484" t="s">
        <v>1113</v>
      </c>
      <c r="AC75" s="484">
        <v>0</v>
      </c>
      <c r="AD75" s="484">
        <v>0</v>
      </c>
      <c r="AE75" s="484">
        <v>0</v>
      </c>
      <c r="AF75" s="484">
        <v>0</v>
      </c>
      <c r="AG75" s="484">
        <v>0</v>
      </c>
      <c r="AH75" s="484">
        <v>1</v>
      </c>
      <c r="AI75" s="484">
        <v>40131</v>
      </c>
      <c r="AJ75" s="484">
        <v>2120</v>
      </c>
      <c r="AK75" s="484">
        <v>0</v>
      </c>
      <c r="AL75" s="484">
        <v>0</v>
      </c>
      <c r="AO75" s="524"/>
      <c r="AP75" s="524"/>
      <c r="AQ75" s="484" t="str">
        <f t="shared" si="0"/>
        <v/>
      </c>
    </row>
    <row r="76" spans="2:43">
      <c r="B76" s="484" t="s">
        <v>1408</v>
      </c>
      <c r="C76" s="521">
        <v>42429</v>
      </c>
      <c r="D76" s="522">
        <v>9541</v>
      </c>
      <c r="E76" s="522">
        <v>0</v>
      </c>
      <c r="F76" s="523" t="s">
        <v>1105</v>
      </c>
      <c r="G76" s="484" t="s">
        <v>1492</v>
      </c>
      <c r="H76" s="524" t="s">
        <v>1107</v>
      </c>
      <c r="I76" s="484" t="s">
        <v>1191</v>
      </c>
      <c r="J76" s="484" t="s">
        <v>1109</v>
      </c>
      <c r="K76" s="484" t="s">
        <v>1110</v>
      </c>
      <c r="L76" s="488"/>
      <c r="M76" s="488"/>
      <c r="N76" s="488" t="s">
        <v>1485</v>
      </c>
      <c r="O76" s="509"/>
      <c r="P76" s="488"/>
      <c r="Q76" s="488"/>
      <c r="U76" s="484" t="s">
        <v>1493</v>
      </c>
      <c r="V76" s="484" t="s">
        <v>1493</v>
      </c>
      <c r="X76" s="521">
        <v>42433</v>
      </c>
      <c r="Y76" s="521">
        <v>42433</v>
      </c>
      <c r="AA76" s="521"/>
      <c r="AB76" s="484" t="s">
        <v>1113</v>
      </c>
      <c r="AC76" s="484">
        <v>0</v>
      </c>
      <c r="AD76" s="484">
        <v>0</v>
      </c>
      <c r="AE76" s="484">
        <v>0</v>
      </c>
      <c r="AF76" s="484">
        <v>0</v>
      </c>
      <c r="AG76" s="484">
        <v>0</v>
      </c>
      <c r="AH76" s="484">
        <v>1</v>
      </c>
      <c r="AI76" s="484">
        <v>40131</v>
      </c>
      <c r="AJ76" s="484">
        <v>2120</v>
      </c>
      <c r="AK76" s="484">
        <v>0</v>
      </c>
      <c r="AL76" s="484">
        <v>0</v>
      </c>
      <c r="AO76" s="524"/>
      <c r="AP76" s="524"/>
      <c r="AQ76" s="484" t="str">
        <f t="shared" si="0"/>
        <v/>
      </c>
    </row>
    <row r="77" spans="2:43">
      <c r="B77" s="484" t="s">
        <v>1408</v>
      </c>
      <c r="C77" s="521">
        <v>42429</v>
      </c>
      <c r="D77" s="522">
        <v>1000</v>
      </c>
      <c r="E77" s="522">
        <v>0</v>
      </c>
      <c r="F77" s="523" t="s">
        <v>1105</v>
      </c>
      <c r="G77" s="484" t="s">
        <v>1492</v>
      </c>
      <c r="H77" s="524" t="s">
        <v>1107</v>
      </c>
      <c r="I77" s="484" t="s">
        <v>1191</v>
      </c>
      <c r="J77" s="484" t="s">
        <v>1109</v>
      </c>
      <c r="K77" s="484" t="s">
        <v>1110</v>
      </c>
      <c r="L77" s="488"/>
      <c r="M77" s="488"/>
      <c r="N77" s="488" t="s">
        <v>1486</v>
      </c>
      <c r="O77" s="509"/>
      <c r="P77" s="488"/>
      <c r="Q77" s="488"/>
      <c r="U77" s="484" t="s">
        <v>1493</v>
      </c>
      <c r="V77" s="484" t="s">
        <v>1493</v>
      </c>
      <c r="X77" s="521">
        <v>42433</v>
      </c>
      <c r="Y77" s="521">
        <v>42433</v>
      </c>
      <c r="AA77" s="521"/>
      <c r="AB77" s="484" t="s">
        <v>1113</v>
      </c>
      <c r="AC77" s="484">
        <v>0</v>
      </c>
      <c r="AD77" s="484">
        <v>0</v>
      </c>
      <c r="AE77" s="484">
        <v>0</v>
      </c>
      <c r="AF77" s="484">
        <v>0</v>
      </c>
      <c r="AG77" s="484">
        <v>0</v>
      </c>
      <c r="AH77" s="484">
        <v>1</v>
      </c>
      <c r="AI77" s="484">
        <v>40131</v>
      </c>
      <c r="AJ77" s="484">
        <v>2120</v>
      </c>
      <c r="AK77" s="484">
        <v>0</v>
      </c>
      <c r="AL77" s="484">
        <v>0</v>
      </c>
      <c r="AO77" s="524"/>
      <c r="AP77" s="524"/>
      <c r="AQ77" s="484" t="str">
        <f t="shared" si="0"/>
        <v/>
      </c>
    </row>
    <row r="78" spans="2:43">
      <c r="B78" s="484" t="s">
        <v>1408</v>
      </c>
      <c r="C78" s="521">
        <v>42440</v>
      </c>
      <c r="D78" s="522">
        <v>9540.4599999999991</v>
      </c>
      <c r="E78" s="522">
        <v>0</v>
      </c>
      <c r="F78" s="523" t="s">
        <v>1105</v>
      </c>
      <c r="G78" s="484" t="s">
        <v>1494</v>
      </c>
      <c r="H78" s="524" t="s">
        <v>1107</v>
      </c>
      <c r="I78" s="484" t="s">
        <v>1120</v>
      </c>
      <c r="J78" s="484" t="s">
        <v>1109</v>
      </c>
      <c r="K78" s="484" t="s">
        <v>1110</v>
      </c>
      <c r="L78" s="488" t="s">
        <v>1410</v>
      </c>
      <c r="M78" s="488"/>
      <c r="N78" s="488" t="s">
        <v>1411</v>
      </c>
      <c r="O78" s="509">
        <v>42433</v>
      </c>
      <c r="P78" s="488" t="s">
        <v>1412</v>
      </c>
      <c r="Q78" s="488" t="s">
        <v>1495</v>
      </c>
      <c r="R78" s="484" t="s">
        <v>1489</v>
      </c>
      <c r="U78" s="484" t="s">
        <v>1496</v>
      </c>
      <c r="V78" s="484" t="s">
        <v>1497</v>
      </c>
      <c r="W78" s="484">
        <v>2195</v>
      </c>
      <c r="X78" s="521">
        <v>42440</v>
      </c>
      <c r="Y78" s="521">
        <v>42440</v>
      </c>
      <c r="Z78" s="484">
        <v>9540.4599999999991</v>
      </c>
      <c r="AA78" s="521">
        <v>42453</v>
      </c>
      <c r="AB78" s="484" t="s">
        <v>1113</v>
      </c>
      <c r="AC78" s="484">
        <v>0</v>
      </c>
      <c r="AD78" s="484">
        <v>0</v>
      </c>
      <c r="AE78" s="484">
        <v>0</v>
      </c>
      <c r="AF78" s="484">
        <v>0</v>
      </c>
      <c r="AG78" s="484">
        <v>0</v>
      </c>
      <c r="AH78" s="484">
        <v>1</v>
      </c>
      <c r="AI78" s="484">
        <v>40131</v>
      </c>
      <c r="AJ78" s="484">
        <v>2120</v>
      </c>
      <c r="AK78" s="484">
        <v>0</v>
      </c>
      <c r="AL78" s="484">
        <v>0</v>
      </c>
      <c r="AO78" s="524"/>
      <c r="AP78" s="524"/>
      <c r="AQ78" s="484" t="str">
        <f t="shared" si="0"/>
        <v>VO03899627</v>
      </c>
    </row>
    <row r="79" spans="2:43">
      <c r="B79" s="484" t="s">
        <v>1408</v>
      </c>
      <c r="C79" s="521">
        <v>42460</v>
      </c>
      <c r="D79" s="522">
        <v>-9541</v>
      </c>
      <c r="E79" s="522">
        <v>0</v>
      </c>
      <c r="F79" s="523" t="s">
        <v>1105</v>
      </c>
      <c r="G79" s="484" t="s">
        <v>1498</v>
      </c>
      <c r="H79" s="524" t="s">
        <v>1107</v>
      </c>
      <c r="I79" s="484" t="s">
        <v>1191</v>
      </c>
      <c r="J79" s="484" t="s">
        <v>1109</v>
      </c>
      <c r="K79" s="484" t="s">
        <v>1110</v>
      </c>
      <c r="L79" s="488"/>
      <c r="M79" s="488"/>
      <c r="N79" s="488" t="s">
        <v>1485</v>
      </c>
      <c r="O79" s="509"/>
      <c r="P79" s="488"/>
      <c r="Q79" s="488"/>
      <c r="U79" s="484" t="s">
        <v>1493</v>
      </c>
      <c r="V79" s="484" t="s">
        <v>1499</v>
      </c>
      <c r="X79" s="521">
        <v>42433</v>
      </c>
      <c r="Y79" s="521">
        <v>42433</v>
      </c>
      <c r="AA79" s="521"/>
      <c r="AB79" s="484" t="s">
        <v>1113</v>
      </c>
      <c r="AC79" s="484">
        <v>0</v>
      </c>
      <c r="AD79" s="484">
        <v>0</v>
      </c>
      <c r="AE79" s="484">
        <v>0</v>
      </c>
      <c r="AF79" s="484">
        <v>0</v>
      </c>
      <c r="AG79" s="484">
        <v>5</v>
      </c>
      <c r="AH79" s="484">
        <v>1</v>
      </c>
      <c r="AI79" s="484">
        <v>40131</v>
      </c>
      <c r="AJ79" s="484">
        <v>2120</v>
      </c>
      <c r="AK79" s="484">
        <v>0</v>
      </c>
      <c r="AL79" s="484">
        <v>0</v>
      </c>
      <c r="AO79" s="524"/>
      <c r="AP79" s="524"/>
      <c r="AQ79" s="484" t="str">
        <f t="shared" si="0"/>
        <v/>
      </c>
    </row>
    <row r="80" spans="2:43">
      <c r="B80" s="484" t="s">
        <v>1408</v>
      </c>
      <c r="C80" s="521">
        <v>42460</v>
      </c>
      <c r="D80" s="522">
        <v>-1000</v>
      </c>
      <c r="E80" s="522">
        <v>0</v>
      </c>
      <c r="F80" s="523" t="s">
        <v>1105</v>
      </c>
      <c r="G80" s="484" t="s">
        <v>1498</v>
      </c>
      <c r="H80" s="524" t="s">
        <v>1107</v>
      </c>
      <c r="I80" s="484" t="s">
        <v>1191</v>
      </c>
      <c r="J80" s="484" t="s">
        <v>1109</v>
      </c>
      <c r="K80" s="484" t="s">
        <v>1110</v>
      </c>
      <c r="L80" s="488"/>
      <c r="M80" s="488"/>
      <c r="N80" s="488" t="s">
        <v>1486</v>
      </c>
      <c r="O80" s="509"/>
      <c r="P80" s="488"/>
      <c r="Q80" s="488"/>
      <c r="U80" s="484" t="s">
        <v>1493</v>
      </c>
      <c r="V80" s="484" t="s">
        <v>1499</v>
      </c>
      <c r="X80" s="521">
        <v>42433</v>
      </c>
      <c r="Y80" s="521">
        <v>42433</v>
      </c>
      <c r="AA80" s="521"/>
      <c r="AB80" s="484" t="s">
        <v>1113</v>
      </c>
      <c r="AC80" s="484">
        <v>0</v>
      </c>
      <c r="AD80" s="484">
        <v>0</v>
      </c>
      <c r="AE80" s="484">
        <v>0</v>
      </c>
      <c r="AF80" s="484">
        <v>0</v>
      </c>
      <c r="AG80" s="484">
        <v>5</v>
      </c>
      <c r="AH80" s="484">
        <v>1</v>
      </c>
      <c r="AI80" s="484">
        <v>40131</v>
      </c>
      <c r="AJ80" s="484">
        <v>2120</v>
      </c>
      <c r="AK80" s="484">
        <v>0</v>
      </c>
      <c r="AL80" s="484">
        <v>0</v>
      </c>
      <c r="AO80" s="524"/>
      <c r="AP80" s="524"/>
      <c r="AQ80" s="484" t="str">
        <f t="shared" si="0"/>
        <v/>
      </c>
    </row>
    <row r="81" spans="2:43">
      <c r="B81" s="484" t="s">
        <v>1408</v>
      </c>
      <c r="C81" s="521">
        <v>42460</v>
      </c>
      <c r="D81" s="522">
        <v>445.12</v>
      </c>
      <c r="E81" s="522">
        <v>0</v>
      </c>
      <c r="F81" s="523" t="s">
        <v>1105</v>
      </c>
      <c r="G81" s="484" t="s">
        <v>1216</v>
      </c>
      <c r="H81" s="524" t="s">
        <v>1107</v>
      </c>
      <c r="I81" s="484" t="s">
        <v>1217</v>
      </c>
      <c r="J81" s="484" t="s">
        <v>1109</v>
      </c>
      <c r="K81" s="484" t="s">
        <v>1110</v>
      </c>
      <c r="L81" s="488"/>
      <c r="M81" s="488"/>
      <c r="N81" s="488" t="s">
        <v>1424</v>
      </c>
      <c r="O81" s="509"/>
      <c r="P81" s="488"/>
      <c r="Q81" s="488"/>
      <c r="U81" s="484" t="s">
        <v>1218</v>
      </c>
      <c r="V81" s="484" t="s">
        <v>1218</v>
      </c>
      <c r="X81" s="521">
        <v>42464</v>
      </c>
      <c r="Y81" s="521">
        <v>42464</v>
      </c>
      <c r="AA81" s="521"/>
      <c r="AB81" s="484" t="s">
        <v>1113</v>
      </c>
      <c r="AC81" s="484">
        <v>0</v>
      </c>
      <c r="AD81" s="484">
        <v>0</v>
      </c>
      <c r="AE81" s="484">
        <v>0</v>
      </c>
      <c r="AF81" s="484">
        <v>0</v>
      </c>
      <c r="AG81" s="484">
        <v>0</v>
      </c>
      <c r="AH81" s="484">
        <v>1</v>
      </c>
      <c r="AI81" s="484">
        <v>40131</v>
      </c>
      <c r="AJ81" s="484">
        <v>2120</v>
      </c>
      <c r="AK81" s="484">
        <v>0</v>
      </c>
      <c r="AL81" s="484">
        <v>0</v>
      </c>
      <c r="AO81" s="524"/>
      <c r="AP81" s="524"/>
      <c r="AQ81" s="484" t="str">
        <f t="shared" si="0"/>
        <v/>
      </c>
    </row>
    <row r="82" spans="2:43">
      <c r="B82" s="484" t="s">
        <v>1408</v>
      </c>
      <c r="C82" s="521">
        <v>42460</v>
      </c>
      <c r="D82" s="522">
        <v>434.81</v>
      </c>
      <c r="E82" s="522">
        <v>0</v>
      </c>
      <c r="F82" s="523" t="s">
        <v>1105</v>
      </c>
      <c r="G82" s="484" t="s">
        <v>1216</v>
      </c>
      <c r="H82" s="524" t="s">
        <v>1107</v>
      </c>
      <c r="I82" s="484" t="s">
        <v>1217</v>
      </c>
      <c r="J82" s="484" t="s">
        <v>1109</v>
      </c>
      <c r="K82" s="484" t="s">
        <v>1110</v>
      </c>
      <c r="L82" s="488"/>
      <c r="M82" s="488"/>
      <c r="N82" s="488" t="s">
        <v>1424</v>
      </c>
      <c r="O82" s="509"/>
      <c r="P82" s="488"/>
      <c r="Q82" s="488"/>
      <c r="U82" s="484" t="s">
        <v>1218</v>
      </c>
      <c r="V82" s="484" t="s">
        <v>1218</v>
      </c>
      <c r="X82" s="521">
        <v>42464</v>
      </c>
      <c r="Y82" s="521">
        <v>42464</v>
      </c>
      <c r="AA82" s="521"/>
      <c r="AB82" s="484" t="s">
        <v>1113</v>
      </c>
      <c r="AC82" s="484">
        <v>0</v>
      </c>
      <c r="AD82" s="484">
        <v>0</v>
      </c>
      <c r="AE82" s="484">
        <v>0</v>
      </c>
      <c r="AF82" s="484">
        <v>0</v>
      </c>
      <c r="AG82" s="484">
        <v>0</v>
      </c>
      <c r="AH82" s="484">
        <v>1</v>
      </c>
      <c r="AI82" s="484">
        <v>40131</v>
      </c>
      <c r="AJ82" s="484">
        <v>2120</v>
      </c>
      <c r="AK82" s="484">
        <v>0</v>
      </c>
      <c r="AL82" s="484">
        <v>0</v>
      </c>
      <c r="AO82" s="524"/>
      <c r="AP82" s="524"/>
      <c r="AQ82" s="484" t="str">
        <f t="shared" si="0"/>
        <v/>
      </c>
    </row>
    <row r="83" spans="2:43">
      <c r="B83" s="484" t="s">
        <v>1408</v>
      </c>
      <c r="C83" s="521">
        <v>42460</v>
      </c>
      <c r="D83" s="522">
        <v>12759</v>
      </c>
      <c r="E83" s="522">
        <v>0</v>
      </c>
      <c r="F83" s="523" t="s">
        <v>1105</v>
      </c>
      <c r="G83" s="484" t="s">
        <v>1500</v>
      </c>
      <c r="H83" s="524" t="s">
        <v>1107</v>
      </c>
      <c r="I83" s="484" t="s">
        <v>1191</v>
      </c>
      <c r="J83" s="484" t="s">
        <v>1109</v>
      </c>
      <c r="K83" s="484" t="s">
        <v>1110</v>
      </c>
      <c r="L83" s="488"/>
      <c r="M83" s="488"/>
      <c r="N83" s="488" t="s">
        <v>1485</v>
      </c>
      <c r="O83" s="509"/>
      <c r="P83" s="488"/>
      <c r="Q83" s="488"/>
      <c r="U83" s="484" t="s">
        <v>1501</v>
      </c>
      <c r="V83" s="484" t="s">
        <v>1501</v>
      </c>
      <c r="X83" s="521">
        <v>42466</v>
      </c>
      <c r="Y83" s="521">
        <v>42466</v>
      </c>
      <c r="AA83" s="521"/>
      <c r="AB83" s="484" t="s">
        <v>1113</v>
      </c>
      <c r="AC83" s="484">
        <v>0</v>
      </c>
      <c r="AD83" s="484">
        <v>0</v>
      </c>
      <c r="AE83" s="484">
        <v>0</v>
      </c>
      <c r="AF83" s="484">
        <v>0</v>
      </c>
      <c r="AG83" s="484">
        <v>0</v>
      </c>
      <c r="AH83" s="484">
        <v>1</v>
      </c>
      <c r="AI83" s="484">
        <v>40131</v>
      </c>
      <c r="AJ83" s="484">
        <v>2120</v>
      </c>
      <c r="AK83" s="484">
        <v>0</v>
      </c>
      <c r="AL83" s="484">
        <v>0</v>
      </c>
      <c r="AO83" s="524"/>
      <c r="AP83" s="524"/>
      <c r="AQ83" s="484" t="str">
        <f t="shared" si="0"/>
        <v/>
      </c>
    </row>
    <row r="84" spans="2:43">
      <c r="B84" s="484" t="s">
        <v>1408</v>
      </c>
      <c r="C84" s="521">
        <v>42460</v>
      </c>
      <c r="D84" s="522">
        <v>877</v>
      </c>
      <c r="E84" s="522">
        <v>0</v>
      </c>
      <c r="F84" s="523" t="s">
        <v>1105</v>
      </c>
      <c r="G84" s="484" t="s">
        <v>1500</v>
      </c>
      <c r="H84" s="524" t="s">
        <v>1107</v>
      </c>
      <c r="I84" s="484" t="s">
        <v>1191</v>
      </c>
      <c r="J84" s="484" t="s">
        <v>1109</v>
      </c>
      <c r="K84" s="484" t="s">
        <v>1110</v>
      </c>
      <c r="L84" s="488"/>
      <c r="M84" s="488"/>
      <c r="N84" s="488" t="s">
        <v>1486</v>
      </c>
      <c r="O84" s="509"/>
      <c r="P84" s="488"/>
      <c r="Q84" s="488"/>
      <c r="U84" s="484" t="s">
        <v>1501</v>
      </c>
      <c r="V84" s="484" t="s">
        <v>1501</v>
      </c>
      <c r="X84" s="521">
        <v>42466</v>
      </c>
      <c r="Y84" s="521">
        <v>42466</v>
      </c>
      <c r="AA84" s="521"/>
      <c r="AB84" s="484" t="s">
        <v>1113</v>
      </c>
      <c r="AC84" s="484">
        <v>0</v>
      </c>
      <c r="AD84" s="484">
        <v>0</v>
      </c>
      <c r="AE84" s="484">
        <v>0</v>
      </c>
      <c r="AF84" s="484">
        <v>0</v>
      </c>
      <c r="AG84" s="484">
        <v>0</v>
      </c>
      <c r="AH84" s="484">
        <v>1</v>
      </c>
      <c r="AI84" s="484">
        <v>40131</v>
      </c>
      <c r="AJ84" s="484">
        <v>2120</v>
      </c>
      <c r="AK84" s="484">
        <v>0</v>
      </c>
      <c r="AL84" s="484">
        <v>0</v>
      </c>
      <c r="AO84" s="524"/>
      <c r="AP84" s="524"/>
      <c r="AQ84" s="484" t="str">
        <f t="shared" si="0"/>
        <v/>
      </c>
    </row>
    <row r="85" spans="2:43">
      <c r="B85" s="484" t="s">
        <v>1408</v>
      </c>
      <c r="C85" s="521">
        <v>42474</v>
      </c>
      <c r="D85" s="522">
        <v>12758.32</v>
      </c>
      <c r="E85" s="522">
        <v>0</v>
      </c>
      <c r="F85" s="523" t="s">
        <v>1105</v>
      </c>
      <c r="G85" s="484" t="s">
        <v>1502</v>
      </c>
      <c r="H85" s="524" t="s">
        <v>1107</v>
      </c>
      <c r="I85" s="484" t="s">
        <v>1120</v>
      </c>
      <c r="J85" s="484" t="s">
        <v>1205</v>
      </c>
      <c r="K85" s="484" t="s">
        <v>1110</v>
      </c>
      <c r="L85" s="488" t="s">
        <v>1410</v>
      </c>
      <c r="M85" s="488"/>
      <c r="N85" s="488" t="s">
        <v>1411</v>
      </c>
      <c r="O85" s="509">
        <v>42466</v>
      </c>
      <c r="P85" s="488" t="s">
        <v>1412</v>
      </c>
      <c r="Q85" s="488" t="s">
        <v>1503</v>
      </c>
      <c r="R85" s="484" t="s">
        <v>1489</v>
      </c>
      <c r="U85" s="484" t="s">
        <v>1504</v>
      </c>
      <c r="V85" s="484" t="s">
        <v>1505</v>
      </c>
      <c r="W85" s="484">
        <v>2195</v>
      </c>
      <c r="X85" s="521">
        <v>42474</v>
      </c>
      <c r="Y85" s="521">
        <v>42481</v>
      </c>
      <c r="Z85" s="484">
        <v>12758.3</v>
      </c>
      <c r="AA85" s="521">
        <v>42486</v>
      </c>
      <c r="AB85" s="484" t="s">
        <v>1113</v>
      </c>
      <c r="AC85" s="484">
        <v>0</v>
      </c>
      <c r="AD85" s="484">
        <v>0</v>
      </c>
      <c r="AE85" s="484">
        <v>0</v>
      </c>
      <c r="AF85" s="484">
        <v>0</v>
      </c>
      <c r="AG85" s="484">
        <v>0</v>
      </c>
      <c r="AH85" s="484">
        <v>1</v>
      </c>
      <c r="AI85" s="484">
        <v>40131</v>
      </c>
      <c r="AJ85" s="484">
        <v>2120</v>
      </c>
      <c r="AK85" s="484">
        <v>0</v>
      </c>
      <c r="AL85" s="484">
        <v>0</v>
      </c>
      <c r="AO85" s="524"/>
      <c r="AP85" s="524"/>
      <c r="AQ85" s="484" t="str">
        <f t="shared" ref="AQ85:AQ106" si="1">IF(LEFT(U85,2)="VO",U85,"")</f>
        <v>VO03920993</v>
      </c>
    </row>
    <row r="86" spans="2:43">
      <c r="B86" s="484" t="s">
        <v>1408</v>
      </c>
      <c r="C86" s="521">
        <v>42490</v>
      </c>
      <c r="D86" s="522">
        <v>-12759</v>
      </c>
      <c r="E86" s="522">
        <v>0</v>
      </c>
      <c r="F86" s="523" t="s">
        <v>1105</v>
      </c>
      <c r="G86" s="484" t="s">
        <v>1506</v>
      </c>
      <c r="H86" s="524" t="s">
        <v>1107</v>
      </c>
      <c r="I86" s="484" t="s">
        <v>1191</v>
      </c>
      <c r="J86" s="484" t="s">
        <v>1116</v>
      </c>
      <c r="K86" s="484" t="s">
        <v>1110</v>
      </c>
      <c r="L86" s="488"/>
      <c r="M86" s="488"/>
      <c r="N86" s="488" t="s">
        <v>1485</v>
      </c>
      <c r="O86" s="509"/>
      <c r="P86" s="488"/>
      <c r="Q86" s="488"/>
      <c r="U86" s="484" t="s">
        <v>1501</v>
      </c>
      <c r="V86" s="484" t="s">
        <v>1507</v>
      </c>
      <c r="X86" s="521">
        <v>42466</v>
      </c>
      <c r="Y86" s="521">
        <v>42466</v>
      </c>
      <c r="AA86" s="521"/>
      <c r="AB86" s="484" t="s">
        <v>1113</v>
      </c>
      <c r="AC86" s="484">
        <v>0</v>
      </c>
      <c r="AD86" s="484">
        <v>0</v>
      </c>
      <c r="AE86" s="484">
        <v>0</v>
      </c>
      <c r="AF86" s="484">
        <v>0</v>
      </c>
      <c r="AG86" s="484">
        <v>5</v>
      </c>
      <c r="AH86" s="484">
        <v>1</v>
      </c>
      <c r="AI86" s="484">
        <v>40131</v>
      </c>
      <c r="AJ86" s="484">
        <v>2120</v>
      </c>
      <c r="AK86" s="484">
        <v>0</v>
      </c>
      <c r="AL86" s="484">
        <v>0</v>
      </c>
      <c r="AO86" s="524"/>
      <c r="AP86" s="524"/>
      <c r="AQ86" s="484" t="str">
        <f t="shared" si="1"/>
        <v/>
      </c>
    </row>
    <row r="87" spans="2:43">
      <c r="B87" s="484" t="s">
        <v>1408</v>
      </c>
      <c r="C87" s="521">
        <v>42490</v>
      </c>
      <c r="D87" s="522">
        <v>-877</v>
      </c>
      <c r="E87" s="522">
        <v>0</v>
      </c>
      <c r="F87" s="523" t="s">
        <v>1105</v>
      </c>
      <c r="G87" s="484" t="s">
        <v>1506</v>
      </c>
      <c r="H87" s="524" t="s">
        <v>1107</v>
      </c>
      <c r="I87" s="484" t="s">
        <v>1191</v>
      </c>
      <c r="J87" s="484" t="s">
        <v>1116</v>
      </c>
      <c r="K87" s="484" t="s">
        <v>1110</v>
      </c>
      <c r="L87" s="488"/>
      <c r="M87" s="488"/>
      <c r="N87" s="488" t="s">
        <v>1486</v>
      </c>
      <c r="O87" s="509"/>
      <c r="P87" s="488"/>
      <c r="Q87" s="488"/>
      <c r="U87" s="484" t="s">
        <v>1501</v>
      </c>
      <c r="V87" s="484" t="s">
        <v>1507</v>
      </c>
      <c r="X87" s="521">
        <v>42466</v>
      </c>
      <c r="Y87" s="521">
        <v>42466</v>
      </c>
      <c r="AA87" s="521"/>
      <c r="AB87" s="484" t="s">
        <v>1113</v>
      </c>
      <c r="AC87" s="484">
        <v>0</v>
      </c>
      <c r="AD87" s="484">
        <v>0</v>
      </c>
      <c r="AE87" s="484">
        <v>0</v>
      </c>
      <c r="AF87" s="484">
        <v>0</v>
      </c>
      <c r="AG87" s="484">
        <v>5</v>
      </c>
      <c r="AH87" s="484">
        <v>1</v>
      </c>
      <c r="AI87" s="484">
        <v>40131</v>
      </c>
      <c r="AJ87" s="484">
        <v>2120</v>
      </c>
      <c r="AK87" s="484">
        <v>0</v>
      </c>
      <c r="AL87" s="484">
        <v>0</v>
      </c>
      <c r="AO87" s="524"/>
      <c r="AP87" s="524"/>
      <c r="AQ87" s="484" t="str">
        <f t="shared" si="1"/>
        <v/>
      </c>
    </row>
    <row r="88" spans="2:43">
      <c r="B88" s="484" t="s">
        <v>1408</v>
      </c>
      <c r="C88" s="521">
        <v>42490</v>
      </c>
      <c r="D88" s="522">
        <v>426.25</v>
      </c>
      <c r="E88" s="522">
        <v>0</v>
      </c>
      <c r="F88" s="523" t="s">
        <v>1105</v>
      </c>
      <c r="G88" s="484" t="s">
        <v>1219</v>
      </c>
      <c r="H88" s="524" t="s">
        <v>1107</v>
      </c>
      <c r="I88" s="484" t="s">
        <v>1220</v>
      </c>
      <c r="J88" s="484" t="s">
        <v>1109</v>
      </c>
      <c r="K88" s="484" t="s">
        <v>1110</v>
      </c>
      <c r="L88" s="488"/>
      <c r="M88" s="488"/>
      <c r="N88" s="488" t="s">
        <v>1424</v>
      </c>
      <c r="O88" s="509"/>
      <c r="P88" s="488"/>
      <c r="Q88" s="488"/>
      <c r="U88" s="484" t="s">
        <v>1222</v>
      </c>
      <c r="V88" s="484" t="s">
        <v>1222</v>
      </c>
      <c r="X88" s="521">
        <v>42493</v>
      </c>
      <c r="Y88" s="521">
        <v>42493</v>
      </c>
      <c r="AA88" s="521"/>
      <c r="AB88" s="484" t="s">
        <v>1113</v>
      </c>
      <c r="AC88" s="484">
        <v>0</v>
      </c>
      <c r="AD88" s="484">
        <v>0</v>
      </c>
      <c r="AE88" s="484">
        <v>0</v>
      </c>
      <c r="AF88" s="484">
        <v>0</v>
      </c>
      <c r="AG88" s="484">
        <v>0</v>
      </c>
      <c r="AH88" s="484">
        <v>1</v>
      </c>
      <c r="AI88" s="484">
        <v>40131</v>
      </c>
      <c r="AJ88" s="484">
        <v>2120</v>
      </c>
      <c r="AK88" s="484">
        <v>0</v>
      </c>
      <c r="AL88" s="484">
        <v>0</v>
      </c>
      <c r="AO88" s="524"/>
      <c r="AP88" s="524"/>
      <c r="AQ88" s="484" t="str">
        <f t="shared" si="1"/>
        <v/>
      </c>
    </row>
    <row r="89" spans="2:43">
      <c r="B89" s="484" t="s">
        <v>1408</v>
      </c>
      <c r="C89" s="521">
        <v>42490</v>
      </c>
      <c r="D89" s="522">
        <v>449.46</v>
      </c>
      <c r="E89" s="522">
        <v>0</v>
      </c>
      <c r="F89" s="523" t="s">
        <v>1105</v>
      </c>
      <c r="G89" s="484" t="s">
        <v>1219</v>
      </c>
      <c r="H89" s="524" t="s">
        <v>1107</v>
      </c>
      <c r="I89" s="484" t="s">
        <v>1220</v>
      </c>
      <c r="J89" s="484" t="s">
        <v>1109</v>
      </c>
      <c r="K89" s="484" t="s">
        <v>1110</v>
      </c>
      <c r="L89" s="488"/>
      <c r="M89" s="488"/>
      <c r="N89" s="488" t="s">
        <v>1424</v>
      </c>
      <c r="O89" s="509"/>
      <c r="P89" s="488"/>
      <c r="Q89" s="488"/>
      <c r="U89" s="484" t="s">
        <v>1222</v>
      </c>
      <c r="V89" s="484" t="s">
        <v>1222</v>
      </c>
      <c r="X89" s="521">
        <v>42493</v>
      </c>
      <c r="Y89" s="521">
        <v>42493</v>
      </c>
      <c r="AA89" s="521"/>
      <c r="AB89" s="484" t="s">
        <v>1113</v>
      </c>
      <c r="AC89" s="484">
        <v>0</v>
      </c>
      <c r="AD89" s="484">
        <v>0</v>
      </c>
      <c r="AE89" s="484">
        <v>0</v>
      </c>
      <c r="AF89" s="484">
        <v>0</v>
      </c>
      <c r="AG89" s="484">
        <v>0</v>
      </c>
      <c r="AH89" s="484">
        <v>1</v>
      </c>
      <c r="AI89" s="484">
        <v>40131</v>
      </c>
      <c r="AJ89" s="484">
        <v>2120</v>
      </c>
      <c r="AK89" s="484">
        <v>0</v>
      </c>
      <c r="AL89" s="484">
        <v>0</v>
      </c>
      <c r="AO89" s="524"/>
      <c r="AP89" s="524"/>
      <c r="AQ89" s="484" t="str">
        <f t="shared" si="1"/>
        <v/>
      </c>
    </row>
    <row r="90" spans="2:43">
      <c r="B90" s="484" t="s">
        <v>1408</v>
      </c>
      <c r="C90" s="521">
        <v>42490</v>
      </c>
      <c r="D90" s="522">
        <v>11557</v>
      </c>
      <c r="E90" s="522">
        <v>0</v>
      </c>
      <c r="F90" s="523" t="s">
        <v>1105</v>
      </c>
      <c r="G90" s="484" t="s">
        <v>1508</v>
      </c>
      <c r="H90" s="524" t="s">
        <v>1107</v>
      </c>
      <c r="I90" s="484" t="s">
        <v>1191</v>
      </c>
      <c r="J90" s="484" t="s">
        <v>1109</v>
      </c>
      <c r="K90" s="484" t="s">
        <v>1110</v>
      </c>
      <c r="L90" s="488"/>
      <c r="M90" s="488"/>
      <c r="N90" s="488" t="s">
        <v>1485</v>
      </c>
      <c r="O90" s="509"/>
      <c r="P90" s="488"/>
      <c r="Q90" s="488"/>
      <c r="U90" s="484" t="s">
        <v>1509</v>
      </c>
      <c r="V90" s="484" t="s">
        <v>1509</v>
      </c>
      <c r="X90" s="521">
        <v>42495</v>
      </c>
      <c r="Y90" s="521">
        <v>42496</v>
      </c>
      <c r="AA90" s="521"/>
      <c r="AB90" s="484" t="s">
        <v>1113</v>
      </c>
      <c r="AC90" s="484">
        <v>0</v>
      </c>
      <c r="AD90" s="484">
        <v>0</v>
      </c>
      <c r="AE90" s="484">
        <v>0</v>
      </c>
      <c r="AF90" s="484">
        <v>0</v>
      </c>
      <c r="AG90" s="484">
        <v>0</v>
      </c>
      <c r="AH90" s="484">
        <v>1</v>
      </c>
      <c r="AI90" s="484">
        <v>40131</v>
      </c>
      <c r="AJ90" s="484">
        <v>2120</v>
      </c>
      <c r="AK90" s="484">
        <v>0</v>
      </c>
      <c r="AL90" s="484">
        <v>0</v>
      </c>
      <c r="AO90" s="524"/>
      <c r="AP90" s="524"/>
      <c r="AQ90" s="484" t="str">
        <f t="shared" si="1"/>
        <v/>
      </c>
    </row>
    <row r="91" spans="2:43">
      <c r="B91" s="484" t="s">
        <v>1408</v>
      </c>
      <c r="C91" s="521">
        <v>42490</v>
      </c>
      <c r="D91" s="522">
        <v>1000</v>
      </c>
      <c r="E91" s="522">
        <v>0</v>
      </c>
      <c r="F91" s="523" t="s">
        <v>1105</v>
      </c>
      <c r="G91" s="484" t="s">
        <v>1508</v>
      </c>
      <c r="H91" s="524" t="s">
        <v>1107</v>
      </c>
      <c r="I91" s="484" t="s">
        <v>1191</v>
      </c>
      <c r="J91" s="484" t="s">
        <v>1109</v>
      </c>
      <c r="K91" s="484" t="s">
        <v>1110</v>
      </c>
      <c r="L91" s="488"/>
      <c r="M91" s="488"/>
      <c r="N91" s="488" t="s">
        <v>1486</v>
      </c>
      <c r="O91" s="509"/>
      <c r="P91" s="488"/>
      <c r="Q91" s="488"/>
      <c r="U91" s="484" t="s">
        <v>1509</v>
      </c>
      <c r="V91" s="484" t="s">
        <v>1509</v>
      </c>
      <c r="X91" s="521">
        <v>42495</v>
      </c>
      <c r="Y91" s="521">
        <v>42496</v>
      </c>
      <c r="AA91" s="521"/>
      <c r="AB91" s="484" t="s">
        <v>1113</v>
      </c>
      <c r="AC91" s="484">
        <v>0</v>
      </c>
      <c r="AD91" s="484">
        <v>0</v>
      </c>
      <c r="AE91" s="484">
        <v>0</v>
      </c>
      <c r="AF91" s="484">
        <v>0</v>
      </c>
      <c r="AG91" s="484">
        <v>0</v>
      </c>
      <c r="AH91" s="484">
        <v>1</v>
      </c>
      <c r="AI91" s="484">
        <v>40131</v>
      </c>
      <c r="AJ91" s="484">
        <v>2120</v>
      </c>
      <c r="AK91" s="484">
        <v>0</v>
      </c>
      <c r="AL91" s="484">
        <v>0</v>
      </c>
      <c r="AO91" s="524"/>
      <c r="AP91" s="524"/>
      <c r="AQ91" s="484" t="str">
        <f t="shared" si="1"/>
        <v/>
      </c>
    </row>
    <row r="92" spans="2:43">
      <c r="B92" s="484" t="s">
        <v>1408</v>
      </c>
      <c r="C92" s="521">
        <v>42503</v>
      </c>
      <c r="D92" s="522">
        <v>11556.42</v>
      </c>
      <c r="E92" s="522">
        <v>0</v>
      </c>
      <c r="F92" s="523" t="s">
        <v>1105</v>
      </c>
      <c r="G92" s="484" t="s">
        <v>1510</v>
      </c>
      <c r="H92" s="524" t="s">
        <v>1107</v>
      </c>
      <c r="I92" s="484" t="s">
        <v>1120</v>
      </c>
      <c r="J92" s="484" t="s">
        <v>1205</v>
      </c>
      <c r="K92" s="484" t="s">
        <v>1110</v>
      </c>
      <c r="L92" s="488" t="s">
        <v>1410</v>
      </c>
      <c r="M92" s="488"/>
      <c r="N92" s="488" t="s">
        <v>1411</v>
      </c>
      <c r="O92" s="509">
        <v>42495</v>
      </c>
      <c r="P92" s="488" t="s">
        <v>1412</v>
      </c>
      <c r="Q92" s="488" t="s">
        <v>1511</v>
      </c>
      <c r="R92" s="484" t="s">
        <v>1489</v>
      </c>
      <c r="U92" s="484" t="s">
        <v>1512</v>
      </c>
      <c r="V92" s="484" t="s">
        <v>1513</v>
      </c>
      <c r="W92" s="484">
        <v>2195</v>
      </c>
      <c r="X92" s="521">
        <v>42503</v>
      </c>
      <c r="Y92" s="521">
        <v>42516</v>
      </c>
      <c r="Z92" s="484">
        <v>11556.4</v>
      </c>
      <c r="AA92" s="521">
        <v>42515</v>
      </c>
      <c r="AB92" s="484" t="s">
        <v>1113</v>
      </c>
      <c r="AC92" s="484">
        <v>0</v>
      </c>
      <c r="AD92" s="484">
        <v>0</v>
      </c>
      <c r="AE92" s="484">
        <v>0</v>
      </c>
      <c r="AF92" s="484">
        <v>0</v>
      </c>
      <c r="AG92" s="484">
        <v>0</v>
      </c>
      <c r="AH92" s="484">
        <v>1</v>
      </c>
      <c r="AI92" s="484">
        <v>40131</v>
      </c>
      <c r="AJ92" s="484">
        <v>2120</v>
      </c>
      <c r="AK92" s="484">
        <v>0</v>
      </c>
      <c r="AL92" s="484">
        <v>0</v>
      </c>
      <c r="AO92" s="524"/>
      <c r="AP92" s="524"/>
      <c r="AQ92" s="484" t="str">
        <f t="shared" si="1"/>
        <v>VO03940989</v>
      </c>
    </row>
    <row r="93" spans="2:43">
      <c r="B93" s="484" t="s">
        <v>1408</v>
      </c>
      <c r="C93" s="521">
        <v>42521</v>
      </c>
      <c r="D93" s="522">
        <v>-11557</v>
      </c>
      <c r="E93" s="522">
        <v>0</v>
      </c>
      <c r="F93" s="523" t="s">
        <v>1105</v>
      </c>
      <c r="G93" s="484" t="s">
        <v>1514</v>
      </c>
      <c r="H93" s="524" t="s">
        <v>1107</v>
      </c>
      <c r="I93" s="484" t="s">
        <v>1191</v>
      </c>
      <c r="J93" s="484" t="s">
        <v>1116</v>
      </c>
      <c r="K93" s="484" t="s">
        <v>1110</v>
      </c>
      <c r="L93" s="488"/>
      <c r="M93" s="488"/>
      <c r="N93" s="488" t="s">
        <v>1485</v>
      </c>
      <c r="O93" s="509"/>
      <c r="P93" s="488"/>
      <c r="Q93" s="488"/>
      <c r="U93" s="484" t="s">
        <v>1509</v>
      </c>
      <c r="V93" s="484" t="s">
        <v>1515</v>
      </c>
      <c r="X93" s="521">
        <v>42496</v>
      </c>
      <c r="Y93" s="521">
        <v>42496</v>
      </c>
      <c r="AA93" s="521"/>
      <c r="AB93" s="484" t="s">
        <v>1113</v>
      </c>
      <c r="AC93" s="484">
        <v>0</v>
      </c>
      <c r="AD93" s="484">
        <v>0</v>
      </c>
      <c r="AE93" s="484">
        <v>0</v>
      </c>
      <c r="AF93" s="484">
        <v>0</v>
      </c>
      <c r="AG93" s="484">
        <v>5</v>
      </c>
      <c r="AH93" s="484">
        <v>1</v>
      </c>
      <c r="AI93" s="484">
        <v>40131</v>
      </c>
      <c r="AJ93" s="484">
        <v>2120</v>
      </c>
      <c r="AK93" s="484">
        <v>0</v>
      </c>
      <c r="AL93" s="484">
        <v>0</v>
      </c>
      <c r="AO93" s="524"/>
      <c r="AP93" s="524"/>
      <c r="AQ93" s="484" t="str">
        <f t="shared" si="1"/>
        <v/>
      </c>
    </row>
    <row r="94" spans="2:43">
      <c r="B94" s="484" t="s">
        <v>1408</v>
      </c>
      <c r="C94" s="521">
        <v>42521</v>
      </c>
      <c r="D94" s="522">
        <v>-1000</v>
      </c>
      <c r="E94" s="522">
        <v>0</v>
      </c>
      <c r="F94" s="523" t="s">
        <v>1105</v>
      </c>
      <c r="G94" s="484" t="s">
        <v>1514</v>
      </c>
      <c r="H94" s="524" t="s">
        <v>1107</v>
      </c>
      <c r="I94" s="484" t="s">
        <v>1191</v>
      </c>
      <c r="J94" s="484" t="s">
        <v>1116</v>
      </c>
      <c r="K94" s="484" t="s">
        <v>1110</v>
      </c>
      <c r="L94" s="488"/>
      <c r="M94" s="488"/>
      <c r="N94" s="488" t="s">
        <v>1486</v>
      </c>
      <c r="O94" s="509"/>
      <c r="P94" s="488"/>
      <c r="Q94" s="488"/>
      <c r="U94" s="484" t="s">
        <v>1509</v>
      </c>
      <c r="V94" s="484" t="s">
        <v>1515</v>
      </c>
      <c r="X94" s="521">
        <v>42496</v>
      </c>
      <c r="Y94" s="521">
        <v>42496</v>
      </c>
      <c r="AA94" s="521"/>
      <c r="AB94" s="484" t="s">
        <v>1113</v>
      </c>
      <c r="AC94" s="484">
        <v>0</v>
      </c>
      <c r="AD94" s="484">
        <v>0</v>
      </c>
      <c r="AE94" s="484">
        <v>0</v>
      </c>
      <c r="AF94" s="484">
        <v>0</v>
      </c>
      <c r="AG94" s="484">
        <v>5</v>
      </c>
      <c r="AH94" s="484">
        <v>1</v>
      </c>
      <c r="AI94" s="484">
        <v>40131</v>
      </c>
      <c r="AJ94" s="484">
        <v>2120</v>
      </c>
      <c r="AK94" s="484">
        <v>0</v>
      </c>
      <c r="AL94" s="484">
        <v>0</v>
      </c>
      <c r="AO94" s="524"/>
      <c r="AP94" s="524"/>
      <c r="AQ94" s="484" t="str">
        <f t="shared" si="1"/>
        <v/>
      </c>
    </row>
    <row r="95" spans="2:43">
      <c r="B95" s="484" t="s">
        <v>1408</v>
      </c>
      <c r="C95" s="521">
        <v>42521</v>
      </c>
      <c r="D95" s="522">
        <v>419.33</v>
      </c>
      <c r="E95" s="522">
        <v>0</v>
      </c>
      <c r="F95" s="523" t="s">
        <v>1105</v>
      </c>
      <c r="G95" s="484" t="s">
        <v>1516</v>
      </c>
      <c r="H95" s="524" t="s">
        <v>1107</v>
      </c>
      <c r="I95" s="484" t="s">
        <v>1517</v>
      </c>
      <c r="J95" s="484" t="s">
        <v>1116</v>
      </c>
      <c r="K95" s="484" t="s">
        <v>1110</v>
      </c>
      <c r="L95" s="488"/>
      <c r="M95" s="488"/>
      <c r="N95" s="488" t="s">
        <v>1424</v>
      </c>
      <c r="O95" s="509"/>
      <c r="P95" s="488"/>
      <c r="Q95" s="488"/>
      <c r="U95" s="484" t="s">
        <v>1518</v>
      </c>
      <c r="V95" s="484" t="s">
        <v>1518</v>
      </c>
      <c r="X95" s="521">
        <v>42523</v>
      </c>
      <c r="Y95" s="521">
        <v>42524</v>
      </c>
      <c r="AA95" s="521"/>
      <c r="AB95" s="484" t="s">
        <v>1113</v>
      </c>
      <c r="AC95" s="484">
        <v>0</v>
      </c>
      <c r="AD95" s="484">
        <v>0</v>
      </c>
      <c r="AE95" s="484">
        <v>0</v>
      </c>
      <c r="AF95" s="484">
        <v>0</v>
      </c>
      <c r="AG95" s="484">
        <v>0</v>
      </c>
      <c r="AH95" s="484">
        <v>1</v>
      </c>
      <c r="AI95" s="484">
        <v>40131</v>
      </c>
      <c r="AJ95" s="484">
        <v>2120</v>
      </c>
      <c r="AK95" s="484">
        <v>0</v>
      </c>
      <c r="AL95" s="484">
        <v>0</v>
      </c>
      <c r="AO95" s="524"/>
      <c r="AP95" s="524"/>
      <c r="AQ95" s="484" t="str">
        <f t="shared" si="1"/>
        <v/>
      </c>
    </row>
    <row r="96" spans="2:43">
      <c r="B96" s="484" t="s">
        <v>1408</v>
      </c>
      <c r="C96" s="521">
        <v>42521</v>
      </c>
      <c r="D96" s="522">
        <v>428.74</v>
      </c>
      <c r="E96" s="522">
        <v>0</v>
      </c>
      <c r="F96" s="523" t="s">
        <v>1105</v>
      </c>
      <c r="G96" s="484" t="s">
        <v>1516</v>
      </c>
      <c r="H96" s="524" t="s">
        <v>1107</v>
      </c>
      <c r="I96" s="484" t="s">
        <v>1517</v>
      </c>
      <c r="J96" s="484" t="s">
        <v>1116</v>
      </c>
      <c r="K96" s="484" t="s">
        <v>1110</v>
      </c>
      <c r="L96" s="488"/>
      <c r="M96" s="488"/>
      <c r="N96" s="488" t="s">
        <v>1424</v>
      </c>
      <c r="O96" s="509"/>
      <c r="P96" s="488"/>
      <c r="Q96" s="488"/>
      <c r="U96" s="484" t="s">
        <v>1518</v>
      </c>
      <c r="V96" s="484" t="s">
        <v>1518</v>
      </c>
      <c r="X96" s="521">
        <v>42523</v>
      </c>
      <c r="Y96" s="521">
        <v>42524</v>
      </c>
      <c r="AA96" s="521"/>
      <c r="AB96" s="484" t="s">
        <v>1113</v>
      </c>
      <c r="AC96" s="484">
        <v>0</v>
      </c>
      <c r="AD96" s="484">
        <v>0</v>
      </c>
      <c r="AE96" s="484">
        <v>0</v>
      </c>
      <c r="AF96" s="484">
        <v>0</v>
      </c>
      <c r="AG96" s="484">
        <v>0</v>
      </c>
      <c r="AH96" s="484">
        <v>1</v>
      </c>
      <c r="AI96" s="484">
        <v>40131</v>
      </c>
      <c r="AJ96" s="484">
        <v>2120</v>
      </c>
      <c r="AK96" s="484">
        <v>0</v>
      </c>
      <c r="AL96" s="484">
        <v>0</v>
      </c>
      <c r="AO96" s="524"/>
      <c r="AP96" s="524"/>
      <c r="AQ96" s="484" t="str">
        <f t="shared" si="1"/>
        <v/>
      </c>
    </row>
    <row r="97" spans="2:43">
      <c r="B97" s="484" t="s">
        <v>1408</v>
      </c>
      <c r="C97" s="521">
        <v>42521</v>
      </c>
      <c r="D97" s="522">
        <v>11735</v>
      </c>
      <c r="E97" s="522">
        <v>0</v>
      </c>
      <c r="F97" s="523" t="s">
        <v>1105</v>
      </c>
      <c r="G97" s="484" t="s">
        <v>1519</v>
      </c>
      <c r="H97" s="524" t="s">
        <v>1107</v>
      </c>
      <c r="I97" s="484" t="s">
        <v>1191</v>
      </c>
      <c r="J97" s="484" t="s">
        <v>1116</v>
      </c>
      <c r="K97" s="484" t="s">
        <v>1110</v>
      </c>
      <c r="L97" s="488"/>
      <c r="M97" s="488"/>
      <c r="N97" s="488" t="s">
        <v>1485</v>
      </c>
      <c r="O97" s="509"/>
      <c r="P97" s="488"/>
      <c r="Q97" s="488"/>
      <c r="U97" s="484" t="s">
        <v>1520</v>
      </c>
      <c r="V97" s="484" t="s">
        <v>1520</v>
      </c>
      <c r="X97" s="521">
        <v>42527</v>
      </c>
      <c r="Y97" s="521">
        <v>42527</v>
      </c>
      <c r="AA97" s="521"/>
      <c r="AB97" s="484" t="s">
        <v>1113</v>
      </c>
      <c r="AC97" s="484">
        <v>0</v>
      </c>
      <c r="AD97" s="484">
        <v>0</v>
      </c>
      <c r="AE97" s="484">
        <v>0</v>
      </c>
      <c r="AF97" s="484">
        <v>0</v>
      </c>
      <c r="AG97" s="484">
        <v>0</v>
      </c>
      <c r="AH97" s="484">
        <v>1</v>
      </c>
      <c r="AI97" s="484">
        <v>40131</v>
      </c>
      <c r="AJ97" s="484">
        <v>2120</v>
      </c>
      <c r="AK97" s="484">
        <v>0</v>
      </c>
      <c r="AL97" s="484">
        <v>0</v>
      </c>
      <c r="AO97" s="524"/>
      <c r="AP97" s="524"/>
      <c r="AQ97" s="484" t="str">
        <f t="shared" si="1"/>
        <v/>
      </c>
    </row>
    <row r="98" spans="2:43">
      <c r="B98" s="484" t="s">
        <v>1408</v>
      </c>
      <c r="C98" s="521">
        <v>42521</v>
      </c>
      <c r="D98" s="522">
        <v>899</v>
      </c>
      <c r="E98" s="522">
        <v>0</v>
      </c>
      <c r="F98" s="523" t="s">
        <v>1105</v>
      </c>
      <c r="G98" s="484" t="s">
        <v>1519</v>
      </c>
      <c r="H98" s="524" t="s">
        <v>1107</v>
      </c>
      <c r="I98" s="484" t="s">
        <v>1191</v>
      </c>
      <c r="J98" s="484" t="s">
        <v>1116</v>
      </c>
      <c r="K98" s="484" t="s">
        <v>1110</v>
      </c>
      <c r="L98" s="488"/>
      <c r="M98" s="488"/>
      <c r="N98" s="488" t="s">
        <v>1486</v>
      </c>
      <c r="O98" s="509"/>
      <c r="P98" s="488"/>
      <c r="Q98" s="488"/>
      <c r="U98" s="484" t="s">
        <v>1520</v>
      </c>
      <c r="V98" s="484" t="s">
        <v>1520</v>
      </c>
      <c r="X98" s="521">
        <v>42527</v>
      </c>
      <c r="Y98" s="521">
        <v>42527</v>
      </c>
      <c r="AA98" s="521"/>
      <c r="AB98" s="484" t="s">
        <v>1113</v>
      </c>
      <c r="AC98" s="484">
        <v>0</v>
      </c>
      <c r="AD98" s="484">
        <v>0</v>
      </c>
      <c r="AE98" s="484">
        <v>0</v>
      </c>
      <c r="AF98" s="484">
        <v>0</v>
      </c>
      <c r="AG98" s="484">
        <v>0</v>
      </c>
      <c r="AH98" s="484">
        <v>1</v>
      </c>
      <c r="AI98" s="484">
        <v>40131</v>
      </c>
      <c r="AJ98" s="484">
        <v>2120</v>
      </c>
      <c r="AK98" s="484">
        <v>0</v>
      </c>
      <c r="AL98" s="484">
        <v>0</v>
      </c>
      <c r="AO98" s="524"/>
      <c r="AP98" s="524"/>
      <c r="AQ98" s="484" t="str">
        <f t="shared" si="1"/>
        <v/>
      </c>
    </row>
    <row r="99" spans="2:43">
      <c r="B99" s="484" t="s">
        <v>1408</v>
      </c>
      <c r="C99" s="521">
        <v>42543</v>
      </c>
      <c r="D99" s="522">
        <v>12891.64</v>
      </c>
      <c r="E99" s="522">
        <v>0</v>
      </c>
      <c r="F99" s="523" t="s">
        <v>1105</v>
      </c>
      <c r="G99" s="484" t="s">
        <v>1521</v>
      </c>
      <c r="H99" s="524" t="s">
        <v>1107</v>
      </c>
      <c r="I99" s="484" t="s">
        <v>1120</v>
      </c>
      <c r="J99" s="484" t="s">
        <v>1205</v>
      </c>
      <c r="K99" s="484" t="s">
        <v>1110</v>
      </c>
      <c r="L99" s="488" t="s">
        <v>1410</v>
      </c>
      <c r="M99" s="488"/>
      <c r="N99" s="488" t="s">
        <v>1411</v>
      </c>
      <c r="O99" s="509">
        <v>42528</v>
      </c>
      <c r="P99" s="488" t="s">
        <v>1412</v>
      </c>
      <c r="Q99" s="488" t="s">
        <v>1522</v>
      </c>
      <c r="R99" s="484" t="s">
        <v>1489</v>
      </c>
      <c r="U99" s="484" t="s">
        <v>1523</v>
      </c>
      <c r="V99" s="484" t="s">
        <v>1524</v>
      </c>
      <c r="W99" s="484">
        <v>2195</v>
      </c>
      <c r="X99" s="521">
        <v>42543</v>
      </c>
      <c r="Y99" s="521">
        <v>42543</v>
      </c>
      <c r="Z99" s="484">
        <v>12891.6</v>
      </c>
      <c r="AA99" s="521">
        <v>42548</v>
      </c>
      <c r="AB99" s="484" t="s">
        <v>1113</v>
      </c>
      <c r="AC99" s="484">
        <v>0</v>
      </c>
      <c r="AD99" s="484">
        <v>0</v>
      </c>
      <c r="AE99" s="484">
        <v>0</v>
      </c>
      <c r="AF99" s="484">
        <v>0</v>
      </c>
      <c r="AG99" s="484">
        <v>0</v>
      </c>
      <c r="AH99" s="484">
        <v>1</v>
      </c>
      <c r="AI99" s="484">
        <v>40131</v>
      </c>
      <c r="AJ99" s="484">
        <v>2120</v>
      </c>
      <c r="AK99" s="484">
        <v>0</v>
      </c>
      <c r="AL99" s="484">
        <v>0</v>
      </c>
      <c r="AO99" s="524"/>
      <c r="AP99" s="524"/>
      <c r="AQ99" s="484" t="str">
        <f t="shared" si="1"/>
        <v>VO03965934</v>
      </c>
    </row>
    <row r="100" spans="2:43">
      <c r="B100" s="484" t="s">
        <v>1408</v>
      </c>
      <c r="C100" s="521">
        <v>42551</v>
      </c>
      <c r="D100" s="522">
        <v>-11735</v>
      </c>
      <c r="E100" s="522">
        <v>0</v>
      </c>
      <c r="F100" s="523" t="s">
        <v>1105</v>
      </c>
      <c r="G100" s="484" t="s">
        <v>1525</v>
      </c>
      <c r="H100" s="524" t="s">
        <v>1107</v>
      </c>
      <c r="I100" s="484" t="s">
        <v>1191</v>
      </c>
      <c r="J100" s="484" t="s">
        <v>1109</v>
      </c>
      <c r="K100" s="484" t="s">
        <v>1110</v>
      </c>
      <c r="L100" s="488"/>
      <c r="M100" s="488"/>
      <c r="N100" s="488" t="s">
        <v>1485</v>
      </c>
      <c r="O100" s="509"/>
      <c r="P100" s="488"/>
      <c r="Q100" s="488"/>
      <c r="U100" s="484" t="s">
        <v>1520</v>
      </c>
      <c r="V100" s="484" t="s">
        <v>1526</v>
      </c>
      <c r="X100" s="521">
        <v>42527</v>
      </c>
      <c r="Y100" s="521">
        <v>42528</v>
      </c>
      <c r="AA100" s="521"/>
      <c r="AB100" s="484" t="s">
        <v>1113</v>
      </c>
      <c r="AC100" s="484">
        <v>0</v>
      </c>
      <c r="AD100" s="484">
        <v>0</v>
      </c>
      <c r="AE100" s="484">
        <v>0</v>
      </c>
      <c r="AF100" s="484">
        <v>0</v>
      </c>
      <c r="AG100" s="484">
        <v>5</v>
      </c>
      <c r="AH100" s="484">
        <v>1</v>
      </c>
      <c r="AI100" s="484">
        <v>40131</v>
      </c>
      <c r="AJ100" s="484">
        <v>2120</v>
      </c>
      <c r="AK100" s="484">
        <v>0</v>
      </c>
      <c r="AL100" s="484">
        <v>0</v>
      </c>
      <c r="AO100" s="524"/>
      <c r="AP100" s="524"/>
      <c r="AQ100" s="484" t="str">
        <f t="shared" si="1"/>
        <v/>
      </c>
    </row>
    <row r="101" spans="2:43">
      <c r="B101" s="484" t="s">
        <v>1408</v>
      </c>
      <c r="C101" s="521">
        <v>42551</v>
      </c>
      <c r="D101" s="522">
        <v>-899</v>
      </c>
      <c r="E101" s="522">
        <v>0</v>
      </c>
      <c r="F101" s="523" t="s">
        <v>1105</v>
      </c>
      <c r="G101" s="484" t="s">
        <v>1525</v>
      </c>
      <c r="H101" s="524" t="s">
        <v>1107</v>
      </c>
      <c r="I101" s="484" t="s">
        <v>1191</v>
      </c>
      <c r="J101" s="484" t="s">
        <v>1109</v>
      </c>
      <c r="K101" s="484" t="s">
        <v>1110</v>
      </c>
      <c r="L101" s="488"/>
      <c r="M101" s="488"/>
      <c r="N101" s="488" t="s">
        <v>1486</v>
      </c>
      <c r="O101" s="509"/>
      <c r="P101" s="488"/>
      <c r="Q101" s="488"/>
      <c r="U101" s="484" t="s">
        <v>1520</v>
      </c>
      <c r="V101" s="484" t="s">
        <v>1526</v>
      </c>
      <c r="X101" s="521">
        <v>42527</v>
      </c>
      <c r="Y101" s="521">
        <v>42528</v>
      </c>
      <c r="AA101" s="521"/>
      <c r="AB101" s="484" t="s">
        <v>1113</v>
      </c>
      <c r="AC101" s="484">
        <v>0</v>
      </c>
      <c r="AD101" s="484">
        <v>0</v>
      </c>
      <c r="AE101" s="484">
        <v>0</v>
      </c>
      <c r="AF101" s="484">
        <v>0</v>
      </c>
      <c r="AG101" s="484">
        <v>5</v>
      </c>
      <c r="AH101" s="484">
        <v>1</v>
      </c>
      <c r="AI101" s="484">
        <v>40131</v>
      </c>
      <c r="AJ101" s="484">
        <v>2120</v>
      </c>
      <c r="AK101" s="484">
        <v>0</v>
      </c>
      <c r="AL101" s="484">
        <v>0</v>
      </c>
      <c r="AO101" s="524"/>
      <c r="AP101" s="524"/>
      <c r="AQ101" s="484" t="str">
        <f t="shared" si="1"/>
        <v/>
      </c>
    </row>
    <row r="102" spans="2:43">
      <c r="B102" s="484" t="s">
        <v>1408</v>
      </c>
      <c r="C102" s="521">
        <v>42551</v>
      </c>
      <c r="D102" s="522">
        <v>573.79999999999995</v>
      </c>
      <c r="E102" s="522">
        <v>0</v>
      </c>
      <c r="F102" s="523" t="s">
        <v>1105</v>
      </c>
      <c r="G102" s="484" t="s">
        <v>1223</v>
      </c>
      <c r="H102" s="524" t="s">
        <v>1107</v>
      </c>
      <c r="I102" s="484" t="s">
        <v>1224</v>
      </c>
      <c r="J102" s="484" t="s">
        <v>1109</v>
      </c>
      <c r="K102" s="484" t="s">
        <v>1110</v>
      </c>
      <c r="L102" s="488"/>
      <c r="M102" s="488"/>
      <c r="N102" s="488" t="s">
        <v>1424</v>
      </c>
      <c r="O102" s="509"/>
      <c r="P102" s="488"/>
      <c r="Q102" s="488"/>
      <c r="U102" s="484" t="s">
        <v>1225</v>
      </c>
      <c r="V102" s="484" t="s">
        <v>1225</v>
      </c>
      <c r="X102" s="521">
        <v>42556</v>
      </c>
      <c r="Y102" s="521">
        <v>42556</v>
      </c>
      <c r="AA102" s="521"/>
      <c r="AB102" s="484" t="s">
        <v>1113</v>
      </c>
      <c r="AC102" s="484">
        <v>0</v>
      </c>
      <c r="AD102" s="484">
        <v>0</v>
      </c>
      <c r="AE102" s="484">
        <v>0</v>
      </c>
      <c r="AF102" s="484">
        <v>0</v>
      </c>
      <c r="AG102" s="484">
        <v>0</v>
      </c>
      <c r="AH102" s="484">
        <v>1</v>
      </c>
      <c r="AI102" s="484">
        <v>40131</v>
      </c>
      <c r="AJ102" s="484">
        <v>2120</v>
      </c>
      <c r="AK102" s="484">
        <v>0</v>
      </c>
      <c r="AL102" s="484">
        <v>0</v>
      </c>
      <c r="AO102" s="524"/>
      <c r="AP102" s="524"/>
      <c r="AQ102" s="484" t="str">
        <f t="shared" si="1"/>
        <v/>
      </c>
    </row>
    <row r="103" spans="2:43">
      <c r="B103" s="484" t="s">
        <v>1408</v>
      </c>
      <c r="C103" s="521">
        <v>42551</v>
      </c>
      <c r="D103" s="522">
        <v>449.05</v>
      </c>
      <c r="E103" s="522">
        <v>0</v>
      </c>
      <c r="F103" s="523" t="s">
        <v>1105</v>
      </c>
      <c r="G103" s="484" t="s">
        <v>1223</v>
      </c>
      <c r="H103" s="524" t="s">
        <v>1107</v>
      </c>
      <c r="I103" s="484" t="s">
        <v>1224</v>
      </c>
      <c r="J103" s="484" t="s">
        <v>1109</v>
      </c>
      <c r="K103" s="484" t="s">
        <v>1110</v>
      </c>
      <c r="L103" s="488"/>
      <c r="M103" s="488"/>
      <c r="N103" s="488" t="s">
        <v>1424</v>
      </c>
      <c r="O103" s="509"/>
      <c r="P103" s="488"/>
      <c r="Q103" s="488"/>
      <c r="U103" s="484" t="s">
        <v>1225</v>
      </c>
      <c r="V103" s="484" t="s">
        <v>1225</v>
      </c>
      <c r="X103" s="521">
        <v>42556</v>
      </c>
      <c r="Y103" s="521">
        <v>42556</v>
      </c>
      <c r="AA103" s="521"/>
      <c r="AB103" s="484" t="s">
        <v>1113</v>
      </c>
      <c r="AC103" s="484">
        <v>0</v>
      </c>
      <c r="AD103" s="484">
        <v>0</v>
      </c>
      <c r="AE103" s="484">
        <v>0</v>
      </c>
      <c r="AF103" s="484">
        <v>0</v>
      </c>
      <c r="AG103" s="484">
        <v>0</v>
      </c>
      <c r="AH103" s="484">
        <v>1</v>
      </c>
      <c r="AI103" s="484">
        <v>40131</v>
      </c>
      <c r="AJ103" s="484">
        <v>2120</v>
      </c>
      <c r="AK103" s="484">
        <v>0</v>
      </c>
      <c r="AL103" s="484">
        <v>0</v>
      </c>
      <c r="AO103" s="524"/>
      <c r="AP103" s="524"/>
      <c r="AQ103" s="484" t="str">
        <f t="shared" si="1"/>
        <v/>
      </c>
    </row>
    <row r="104" spans="2:43">
      <c r="B104" s="484" t="s">
        <v>1408</v>
      </c>
      <c r="C104" s="521">
        <v>42551</v>
      </c>
      <c r="D104" s="522">
        <v>448.83</v>
      </c>
      <c r="E104" s="522">
        <v>0</v>
      </c>
      <c r="F104" s="523" t="s">
        <v>1105</v>
      </c>
      <c r="G104" s="484" t="s">
        <v>1223</v>
      </c>
      <c r="H104" s="524" t="s">
        <v>1107</v>
      </c>
      <c r="I104" s="484" t="s">
        <v>1224</v>
      </c>
      <c r="J104" s="484" t="s">
        <v>1109</v>
      </c>
      <c r="K104" s="484" t="s">
        <v>1110</v>
      </c>
      <c r="L104" s="488"/>
      <c r="M104" s="488"/>
      <c r="N104" s="488" t="s">
        <v>1424</v>
      </c>
      <c r="O104" s="509"/>
      <c r="P104" s="488"/>
      <c r="Q104" s="488"/>
      <c r="U104" s="484" t="s">
        <v>1225</v>
      </c>
      <c r="V104" s="484" t="s">
        <v>1225</v>
      </c>
      <c r="X104" s="521">
        <v>42556</v>
      </c>
      <c r="Y104" s="521">
        <v>42556</v>
      </c>
      <c r="AA104" s="521"/>
      <c r="AB104" s="484" t="s">
        <v>1113</v>
      </c>
      <c r="AC104" s="484">
        <v>0</v>
      </c>
      <c r="AD104" s="484">
        <v>0</v>
      </c>
      <c r="AE104" s="484">
        <v>0</v>
      </c>
      <c r="AF104" s="484">
        <v>0</v>
      </c>
      <c r="AG104" s="484">
        <v>0</v>
      </c>
      <c r="AH104" s="484">
        <v>1</v>
      </c>
      <c r="AI104" s="484">
        <v>40131</v>
      </c>
      <c r="AJ104" s="484">
        <v>2120</v>
      </c>
      <c r="AK104" s="484">
        <v>0</v>
      </c>
      <c r="AL104" s="484">
        <v>0</v>
      </c>
      <c r="AO104" s="524"/>
      <c r="AP104" s="524"/>
      <c r="AQ104" s="484" t="str">
        <f t="shared" si="1"/>
        <v/>
      </c>
    </row>
    <row r="105" spans="2:43">
      <c r="B105" s="484" t="s">
        <v>1408</v>
      </c>
      <c r="C105" s="521">
        <v>42551</v>
      </c>
      <c r="D105" s="522">
        <v>14100</v>
      </c>
      <c r="E105" s="522">
        <v>0</v>
      </c>
      <c r="F105" s="523" t="s">
        <v>1105</v>
      </c>
      <c r="G105" s="484" t="s">
        <v>1527</v>
      </c>
      <c r="H105" s="524" t="s">
        <v>1107</v>
      </c>
      <c r="I105" s="484" t="s">
        <v>1191</v>
      </c>
      <c r="J105" s="484" t="s">
        <v>1116</v>
      </c>
      <c r="K105" s="484" t="s">
        <v>1110</v>
      </c>
      <c r="L105" s="488"/>
      <c r="M105" s="488"/>
      <c r="N105" s="488" t="s">
        <v>1485</v>
      </c>
      <c r="O105" s="509"/>
      <c r="P105" s="488"/>
      <c r="Q105" s="488"/>
      <c r="U105" s="484" t="s">
        <v>1528</v>
      </c>
      <c r="V105" s="484" t="s">
        <v>1528</v>
      </c>
      <c r="X105" s="521">
        <v>42558</v>
      </c>
      <c r="Y105" s="521">
        <v>42559</v>
      </c>
      <c r="AA105" s="521"/>
      <c r="AB105" s="484" t="s">
        <v>1113</v>
      </c>
      <c r="AC105" s="484">
        <v>0</v>
      </c>
      <c r="AD105" s="484">
        <v>0</v>
      </c>
      <c r="AE105" s="484">
        <v>0</v>
      </c>
      <c r="AF105" s="484">
        <v>0</v>
      </c>
      <c r="AG105" s="484">
        <v>0</v>
      </c>
      <c r="AH105" s="484">
        <v>1</v>
      </c>
      <c r="AI105" s="484">
        <v>40131</v>
      </c>
      <c r="AJ105" s="484">
        <v>2120</v>
      </c>
      <c r="AK105" s="484">
        <v>0</v>
      </c>
      <c r="AL105" s="484">
        <v>0</v>
      </c>
      <c r="AO105" s="524"/>
      <c r="AP105" s="524"/>
      <c r="AQ105" s="484" t="str">
        <f t="shared" si="1"/>
        <v/>
      </c>
    </row>
    <row r="106" spans="2:43">
      <c r="B106" s="484" t="s">
        <v>1408</v>
      </c>
      <c r="C106" s="521">
        <v>42551</v>
      </c>
      <c r="D106" s="522">
        <v>855</v>
      </c>
      <c r="E106" s="522">
        <v>0</v>
      </c>
      <c r="F106" s="523" t="s">
        <v>1105</v>
      </c>
      <c r="G106" s="484" t="s">
        <v>1527</v>
      </c>
      <c r="H106" s="524" t="s">
        <v>1107</v>
      </c>
      <c r="I106" s="484" t="s">
        <v>1191</v>
      </c>
      <c r="J106" s="484" t="s">
        <v>1116</v>
      </c>
      <c r="K106" s="484" t="s">
        <v>1110</v>
      </c>
      <c r="L106" s="488"/>
      <c r="M106" s="488"/>
      <c r="N106" s="488" t="s">
        <v>1486</v>
      </c>
      <c r="O106" s="509"/>
      <c r="P106" s="488"/>
      <c r="Q106" s="488"/>
      <c r="U106" s="484" t="s">
        <v>1528</v>
      </c>
      <c r="V106" s="484" t="s">
        <v>1528</v>
      </c>
      <c r="X106" s="521">
        <v>42558</v>
      </c>
      <c r="Y106" s="521">
        <v>42559</v>
      </c>
      <c r="AA106" s="521"/>
      <c r="AB106" s="484" t="s">
        <v>1113</v>
      </c>
      <c r="AC106" s="484">
        <v>0</v>
      </c>
      <c r="AD106" s="484">
        <v>0</v>
      </c>
      <c r="AE106" s="484">
        <v>0</v>
      </c>
      <c r="AF106" s="484">
        <v>0</v>
      </c>
      <c r="AG106" s="484">
        <v>0</v>
      </c>
      <c r="AH106" s="484">
        <v>1</v>
      </c>
      <c r="AI106" s="484">
        <v>40131</v>
      </c>
      <c r="AJ106" s="484">
        <v>2120</v>
      </c>
      <c r="AK106" s="484">
        <v>0</v>
      </c>
      <c r="AL106" s="484">
        <v>0</v>
      </c>
      <c r="AO106" s="524"/>
      <c r="AP106" s="524"/>
      <c r="AQ106" s="484" t="str">
        <f t="shared" si="1"/>
        <v/>
      </c>
    </row>
    <row r="107" spans="2:43">
      <c r="C107" s="521"/>
      <c r="D107" s="526"/>
      <c r="E107" s="526"/>
      <c r="F107" s="526"/>
      <c r="H107" s="487"/>
    </row>
    <row r="108" spans="2:43">
      <c r="B108" s="527" t="s">
        <v>1226</v>
      </c>
      <c r="C108" s="527"/>
      <c r="D108" s="528"/>
      <c r="E108" s="528"/>
      <c r="F108" s="528"/>
      <c r="G108" s="527"/>
      <c r="H108" s="529"/>
      <c r="I108" s="527"/>
      <c r="J108" s="527"/>
      <c r="K108" s="527"/>
      <c r="L108" s="527"/>
      <c r="M108" s="527"/>
      <c r="N108" s="527"/>
      <c r="O108" s="527"/>
      <c r="P108" s="527"/>
      <c r="Q108" s="527"/>
      <c r="R108" s="527"/>
      <c r="S108" s="527"/>
      <c r="T108" s="527"/>
      <c r="U108" s="527"/>
      <c r="V108" s="527"/>
      <c r="W108" s="527"/>
      <c r="X108" s="527"/>
      <c r="Y108" s="527"/>
      <c r="Z108" s="527"/>
      <c r="AA108" s="527"/>
      <c r="AB108" s="527"/>
      <c r="AC108" s="527"/>
      <c r="AD108" s="527"/>
      <c r="AE108" s="527"/>
      <c r="AF108" s="527"/>
      <c r="AG108" s="527"/>
      <c r="AH108" s="527"/>
      <c r="AI108" s="527"/>
      <c r="AJ108" s="527"/>
      <c r="AK108" s="527"/>
      <c r="AL108" s="527"/>
      <c r="AM108" s="527"/>
      <c r="AN108" s="527"/>
      <c r="AO108" s="527"/>
      <c r="AP108" s="530"/>
    </row>
    <row r="109" spans="2:43">
      <c r="H109" s="487"/>
    </row>
    <row r="110" spans="2:43">
      <c r="B110" s="484" t="s">
        <v>1227</v>
      </c>
      <c r="C110" s="484" t="s">
        <v>1228</v>
      </c>
      <c r="H110" s="487"/>
    </row>
    <row r="111" spans="2:43">
      <c r="B111" s="488" t="s">
        <v>1478</v>
      </c>
      <c r="C111" s="580">
        <v>0</v>
      </c>
      <c r="H111" s="487"/>
    </row>
    <row r="112" spans="2:43">
      <c r="B112" s="488" t="s">
        <v>1485</v>
      </c>
      <c r="C112" s="580">
        <v>14100</v>
      </c>
      <c r="H112" s="487"/>
    </row>
    <row r="113" spans="2:8">
      <c r="B113" s="488" t="s">
        <v>1476</v>
      </c>
      <c r="C113" s="580">
        <v>0</v>
      </c>
      <c r="H113" s="487"/>
    </row>
    <row r="114" spans="2:8">
      <c r="B114" s="488" t="s">
        <v>1486</v>
      </c>
      <c r="C114" s="580">
        <v>855</v>
      </c>
      <c r="H114" s="487"/>
    </row>
    <row r="115" spans="2:8">
      <c r="B115" s="488" t="s">
        <v>1420</v>
      </c>
      <c r="C115" s="580">
        <v>-1000</v>
      </c>
      <c r="H115" s="487"/>
    </row>
    <row r="116" spans="2:8">
      <c r="B116" s="488" t="s">
        <v>1423</v>
      </c>
      <c r="C116" s="580">
        <v>-11508</v>
      </c>
      <c r="H116" s="487"/>
    </row>
    <row r="117" spans="2:8">
      <c r="B117" s="488" t="s">
        <v>1411</v>
      </c>
      <c r="C117" s="580">
        <v>135013.76999999999</v>
      </c>
      <c r="H117" s="487"/>
    </row>
    <row r="118" spans="2:8">
      <c r="B118" s="488" t="s">
        <v>1434</v>
      </c>
      <c r="C118" s="580">
        <v>5.6843418860808015E-14</v>
      </c>
      <c r="H118" s="487"/>
    </row>
    <row r="119" spans="2:8">
      <c r="B119" s="488" t="s">
        <v>1424</v>
      </c>
      <c r="C119" s="580">
        <v>11012.72</v>
      </c>
      <c r="D119" s="485" t="s">
        <v>1529</v>
      </c>
      <c r="H119" s="487"/>
    </row>
    <row r="120" spans="2:8">
      <c r="B120" s="488" t="s">
        <v>1230</v>
      </c>
      <c r="C120" s="580">
        <v>148473.49</v>
      </c>
      <c r="H120" s="487"/>
    </row>
    <row r="121" spans="2:8">
      <c r="H121" s="487"/>
    </row>
    <row r="122" spans="2:8">
      <c r="H122" s="487"/>
    </row>
    <row r="123" spans="2:8">
      <c r="H123" s="487"/>
    </row>
    <row r="124" spans="2:8">
      <c r="H124" s="487"/>
    </row>
    <row r="125" spans="2:8">
      <c r="H125" s="487"/>
    </row>
    <row r="126" spans="2:8">
      <c r="H126" s="487"/>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45"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N183"/>
  <sheetViews>
    <sheetView zoomScaleNormal="100" workbookViewId="0">
      <pane xSplit="4" ySplit="7" topLeftCell="P8" activePane="bottomRight" state="frozen"/>
      <selection activeCell="F27" sqref="F27"/>
      <selection pane="topRight" activeCell="F27" sqref="F27"/>
      <selection pane="bottomLeft" activeCell="F27" sqref="F27"/>
      <selection pane="bottomRight" activeCell="AH21" sqref="AH21"/>
    </sheetView>
  </sheetViews>
  <sheetFormatPr defaultRowHeight="11.25" outlineLevelCol="1"/>
  <cols>
    <col min="1" max="1" width="9.140625" style="648"/>
    <col min="2" max="2" width="9.5703125" style="648" customWidth="1"/>
    <col min="3" max="3" width="22.28515625" style="648" customWidth="1"/>
    <col min="4" max="4" width="18.5703125" style="649" customWidth="1"/>
    <col min="5" max="5" width="8.140625" style="649" hidden="1" customWidth="1" outlineLevel="1"/>
    <col min="6" max="6" width="8.85546875" style="649" hidden="1" customWidth="1" outlineLevel="1"/>
    <col min="7" max="7" width="12.7109375" style="649" hidden="1" customWidth="1" outlineLevel="1"/>
    <col min="8" max="8" width="7.7109375" style="649" hidden="1" customWidth="1" outlineLevel="1"/>
    <col min="9" max="9" width="9.140625" style="649" hidden="1" customWidth="1" outlineLevel="1"/>
    <col min="10" max="10" width="9.5703125" style="649" hidden="1" customWidth="1" outlineLevel="1"/>
    <col min="11" max="11" width="8.85546875" style="649" hidden="1" customWidth="1" outlineLevel="1"/>
    <col min="12" max="12" width="13.85546875" style="649" hidden="1" customWidth="1" outlineLevel="1"/>
    <col min="13" max="13" width="7.5703125" style="649" hidden="1" customWidth="1" outlineLevel="1"/>
    <col min="14" max="14" width="9.28515625" style="649" hidden="1" customWidth="1" outlineLevel="1"/>
    <col min="15" max="15" width="9.140625" style="649" hidden="1" customWidth="1" outlineLevel="1"/>
    <col min="16" max="16" width="14.42578125" style="650" customWidth="1" collapsed="1"/>
    <col min="17" max="17" width="7.7109375" style="651" bestFit="1" customWidth="1"/>
    <col min="18" max="18" width="12.42578125" style="651" bestFit="1" customWidth="1"/>
    <col min="19" max="19" width="8.7109375" style="651" bestFit="1" customWidth="1"/>
    <col min="20" max="20" width="3.5703125" style="652" customWidth="1"/>
    <col min="21" max="21" width="3.42578125" style="648" customWidth="1"/>
    <col min="22" max="22" width="9.5703125" style="648" bestFit="1" customWidth="1"/>
    <col min="23" max="23" width="9.140625" style="653" bestFit="1" customWidth="1"/>
    <col min="24" max="24" width="7" style="654" bestFit="1" customWidth="1"/>
    <col min="25" max="25" width="11.140625" style="655" bestFit="1" customWidth="1"/>
    <col min="26" max="26" width="3.42578125" style="652" customWidth="1"/>
    <col min="27" max="27" width="9.5703125" style="648" bestFit="1" customWidth="1"/>
    <col min="28" max="28" width="9.140625" style="656" bestFit="1" customWidth="1"/>
    <col min="29" max="29" width="7" style="648" bestFit="1" customWidth="1"/>
    <col min="30" max="30" width="8.42578125" style="648" bestFit="1" customWidth="1"/>
    <col min="31" max="31" width="1.85546875" style="648" customWidth="1"/>
    <col min="32" max="33" width="11.28515625" style="648" bestFit="1" customWidth="1"/>
    <col min="34" max="34" width="15.85546875" style="648" customWidth="1"/>
    <col min="35" max="35" width="11.140625" style="648" bestFit="1" customWidth="1"/>
    <col min="36" max="16384" width="9.140625" style="648"/>
  </cols>
  <sheetData>
    <row r="1" spans="1:34">
      <c r="A1" s="647" t="s">
        <v>1565</v>
      </c>
      <c r="C1" s="647"/>
    </row>
    <row r="2" spans="1:34">
      <c r="A2" s="647" t="s">
        <v>1566</v>
      </c>
      <c r="C2" s="647"/>
      <c r="W2" s="648"/>
      <c r="Y2" s="657"/>
    </row>
    <row r="3" spans="1:34">
      <c r="A3" s="658" t="s">
        <v>220</v>
      </c>
      <c r="C3" s="658"/>
      <c r="W3" s="659"/>
    </row>
    <row r="4" spans="1:34" ht="15.75" customHeight="1" thickBot="1">
      <c r="A4" s="663"/>
      <c r="B4" s="663"/>
      <c r="C4" s="663"/>
      <c r="D4" s="664"/>
      <c r="E4" s="1158" t="s">
        <v>1649</v>
      </c>
      <c r="F4" s="1158"/>
      <c r="G4" s="1158"/>
      <c r="H4" s="1158"/>
      <c r="I4" s="1158"/>
      <c r="J4" s="1158"/>
      <c r="K4" s="1158"/>
      <c r="L4" s="1158"/>
      <c r="M4" s="1158"/>
      <c r="N4" s="1158"/>
      <c r="O4" s="1158"/>
      <c r="P4" s="665"/>
      <c r="AG4" s="666"/>
      <c r="AH4" s="667">
        <v>42186</v>
      </c>
    </row>
    <row r="5" spans="1:34" ht="22.5">
      <c r="C5" s="668"/>
      <c r="E5" s="669"/>
      <c r="F5" s="669"/>
      <c r="G5" s="669"/>
      <c r="H5" s="669"/>
      <c r="I5" s="669"/>
      <c r="J5" s="670"/>
      <c r="K5" s="671"/>
      <c r="L5" s="671"/>
      <c r="M5" s="669"/>
      <c r="N5" s="669"/>
      <c r="O5" s="669"/>
      <c r="P5" s="672"/>
      <c r="AG5" s="673" t="s">
        <v>1567</v>
      </c>
      <c r="AH5" s="1124" t="s">
        <v>1568</v>
      </c>
    </row>
    <row r="6" spans="1:34">
      <c r="E6" s="671" t="s">
        <v>1569</v>
      </c>
      <c r="F6" s="671" t="s">
        <v>1570</v>
      </c>
      <c r="G6" s="671" t="s">
        <v>1571</v>
      </c>
      <c r="H6" s="671" t="s">
        <v>1572</v>
      </c>
      <c r="I6" s="671" t="s">
        <v>1573</v>
      </c>
      <c r="J6" s="674" t="s">
        <v>1569</v>
      </c>
      <c r="K6" s="671" t="s">
        <v>1570</v>
      </c>
      <c r="L6" s="671" t="s">
        <v>1571</v>
      </c>
      <c r="M6" s="671" t="s">
        <v>1572</v>
      </c>
      <c r="N6" s="671" t="s">
        <v>1574</v>
      </c>
      <c r="O6" s="671" t="s">
        <v>1573</v>
      </c>
      <c r="P6" s="675"/>
      <c r="V6" s="676">
        <v>2015</v>
      </c>
      <c r="W6" s="676">
        <v>2015</v>
      </c>
      <c r="X6" s="676">
        <v>2015</v>
      </c>
      <c r="Y6" s="676">
        <v>2015</v>
      </c>
      <c r="Z6" s="676"/>
      <c r="AA6" s="677">
        <v>2016</v>
      </c>
      <c r="AB6" s="677">
        <v>2016</v>
      </c>
      <c r="AC6" s="677">
        <v>2016</v>
      </c>
      <c r="AD6" s="677">
        <v>2016</v>
      </c>
      <c r="AG6" s="678">
        <f>W10</f>
        <v>42309</v>
      </c>
      <c r="AH6" s="666">
        <f>AG6-AH4</f>
        <v>123</v>
      </c>
    </row>
    <row r="7" spans="1:34" ht="24.75" customHeight="1" thickBot="1">
      <c r="A7" s="679" t="s">
        <v>1575</v>
      </c>
      <c r="B7" s="679" t="s">
        <v>1576</v>
      </c>
      <c r="C7" s="679" t="s">
        <v>1577</v>
      </c>
      <c r="D7" s="679" t="s">
        <v>1578</v>
      </c>
      <c r="E7" s="680" t="s">
        <v>1579</v>
      </c>
      <c r="F7" s="680" t="s">
        <v>1579</v>
      </c>
      <c r="G7" s="680" t="s">
        <v>1579</v>
      </c>
      <c r="H7" s="680" t="s">
        <v>1579</v>
      </c>
      <c r="I7" s="680" t="s">
        <v>1579</v>
      </c>
      <c r="J7" s="681" t="s">
        <v>1580</v>
      </c>
      <c r="K7" s="681" t="s">
        <v>1580</v>
      </c>
      <c r="L7" s="681" t="s">
        <v>1580</v>
      </c>
      <c r="M7" s="681" t="s">
        <v>1580</v>
      </c>
      <c r="N7" s="681" t="s">
        <v>1580</v>
      </c>
      <c r="O7" s="681" t="s">
        <v>1580</v>
      </c>
      <c r="P7" s="682" t="s">
        <v>1581</v>
      </c>
      <c r="Q7" s="683" t="s">
        <v>1582</v>
      </c>
      <c r="R7" s="683" t="s">
        <v>1583</v>
      </c>
      <c r="S7" s="684" t="s">
        <v>1584</v>
      </c>
      <c r="T7" s="684"/>
      <c r="V7" s="677" t="s">
        <v>1585</v>
      </c>
      <c r="W7" s="685" t="s">
        <v>1567</v>
      </c>
      <c r="X7" s="686" t="s">
        <v>1586</v>
      </c>
      <c r="Y7" s="687" t="s">
        <v>1587</v>
      </c>
      <c r="Z7" s="687"/>
      <c r="AA7" s="677" t="s">
        <v>1585</v>
      </c>
      <c r="AB7" s="688" t="s">
        <v>1567</v>
      </c>
      <c r="AC7" s="677" t="s">
        <v>1586</v>
      </c>
      <c r="AD7" s="677" t="s">
        <v>1588</v>
      </c>
    </row>
    <row r="8" spans="1:34" ht="12" thickTop="1">
      <c r="A8" s="689"/>
      <c r="B8" s="690" t="s">
        <v>1589</v>
      </c>
      <c r="C8" s="691"/>
      <c r="D8" s="692"/>
      <c r="E8" s="693"/>
      <c r="F8" s="693"/>
      <c r="G8" s="693"/>
      <c r="H8" s="693"/>
      <c r="I8" s="693"/>
      <c r="J8" s="694"/>
      <c r="K8" s="693"/>
      <c r="L8" s="693"/>
      <c r="M8" s="693"/>
      <c r="N8" s="693"/>
      <c r="O8" s="693"/>
      <c r="P8" s="672"/>
      <c r="Q8" s="695"/>
      <c r="S8" s="695"/>
      <c r="V8" s="696"/>
      <c r="W8" s="697"/>
      <c r="Z8" s="698"/>
    </row>
    <row r="9" spans="1:34">
      <c r="B9" s="699"/>
      <c r="C9" s="699"/>
      <c r="D9" s="699"/>
      <c r="E9" s="700"/>
      <c r="F9" s="700"/>
      <c r="G9" s="700"/>
      <c r="H9" s="700"/>
      <c r="I9" s="700"/>
      <c r="J9" s="701"/>
      <c r="K9" s="700"/>
      <c r="L9" s="700"/>
      <c r="M9" s="700"/>
      <c r="N9" s="700"/>
      <c r="O9" s="700"/>
      <c r="P9" s="702"/>
      <c r="S9" s="703"/>
      <c r="T9" s="704"/>
      <c r="U9" s="705"/>
      <c r="V9" s="696"/>
      <c r="W9" s="697"/>
      <c r="X9" s="706"/>
      <c r="Y9" s="707"/>
      <c r="Z9" s="698"/>
      <c r="AA9" s="651"/>
      <c r="AB9" s="653"/>
      <c r="AC9" s="708"/>
      <c r="AD9" s="705">
        <f>AA9*AC9</f>
        <v>0</v>
      </c>
    </row>
    <row r="10" spans="1:34">
      <c r="A10" s="709">
        <v>2120</v>
      </c>
      <c r="B10" s="710">
        <v>2306</v>
      </c>
      <c r="C10" s="711" t="s">
        <v>1590</v>
      </c>
      <c r="D10" s="709" t="s">
        <v>1591</v>
      </c>
      <c r="E10" s="712">
        <v>1991.35</v>
      </c>
      <c r="F10" s="712">
        <v>280.88</v>
      </c>
      <c r="G10" s="712">
        <v>180</v>
      </c>
      <c r="H10" s="712">
        <v>48</v>
      </c>
      <c r="I10" s="712">
        <v>0</v>
      </c>
      <c r="J10" s="713">
        <v>42280.749899999995</v>
      </c>
      <c r="K10" s="712">
        <v>8943.43</v>
      </c>
      <c r="L10" s="712">
        <v>3847.8</v>
      </c>
      <c r="M10" s="712">
        <v>1020.48</v>
      </c>
      <c r="N10" s="712">
        <v>1500.65</v>
      </c>
      <c r="O10" s="712">
        <v>0</v>
      </c>
      <c r="P10" s="714">
        <f>SUM(J10:O10)</f>
        <v>57593.109900000003</v>
      </c>
      <c r="Q10" s="651">
        <f>SUM(E10:I10)</f>
        <v>2500.23</v>
      </c>
      <c r="R10" s="651">
        <f>G10+H10+I10</f>
        <v>228</v>
      </c>
      <c r="S10" s="703">
        <f>Q10-R10</f>
        <v>2272.23</v>
      </c>
      <c r="T10" s="704"/>
      <c r="U10" s="705"/>
      <c r="V10" s="695">
        <f t="shared" ref="V10:V18" si="0">SUM(J10,L10:M10)*($AH$6/365)</f>
        <v>15888.577199178082</v>
      </c>
      <c r="W10" s="715">
        <v>42309</v>
      </c>
      <c r="X10" s="706">
        <v>0.02</v>
      </c>
      <c r="Y10" s="695">
        <f t="shared" ref="Y10:Y18" si="1">V10*X10</f>
        <v>317.77154398356163</v>
      </c>
      <c r="Z10" s="716"/>
      <c r="AA10" s="651">
        <f>SUM(J10,L10:M10)+Y10</f>
        <v>47466.801443983561</v>
      </c>
      <c r="AB10" s="715">
        <v>42675</v>
      </c>
      <c r="AC10" s="708">
        <v>0.02</v>
      </c>
      <c r="AD10" s="695">
        <f>AA10*AC10</f>
        <v>949.33602887967118</v>
      </c>
    </row>
    <row r="11" spans="1:34">
      <c r="A11" s="709">
        <v>2120</v>
      </c>
      <c r="B11" s="710">
        <v>2432</v>
      </c>
      <c r="C11" s="711" t="s">
        <v>1592</v>
      </c>
      <c r="D11" s="709" t="s">
        <v>1591</v>
      </c>
      <c r="E11" s="712">
        <v>2039.5599999999997</v>
      </c>
      <c r="F11" s="712">
        <v>68.47999999999999</v>
      </c>
      <c r="G11" s="712">
        <v>178</v>
      </c>
      <c r="H11" s="712">
        <v>48</v>
      </c>
      <c r="I11" s="712">
        <v>0</v>
      </c>
      <c r="J11" s="713">
        <v>40259.519999999997</v>
      </c>
      <c r="K11" s="712">
        <v>2027.3099999999997</v>
      </c>
      <c r="L11" s="712">
        <v>3505.3199999999997</v>
      </c>
      <c r="M11" s="712">
        <v>948.48</v>
      </c>
      <c r="N11" s="712">
        <v>1400.65</v>
      </c>
      <c r="O11" s="712">
        <v>0</v>
      </c>
      <c r="P11" s="714">
        <f t="shared" ref="P11:P18" si="2">SUM(J11:O11)</f>
        <v>48141.279999999999</v>
      </c>
      <c r="Q11" s="651">
        <f t="shared" ref="Q11:Q18" si="3">SUM(E11:I11)</f>
        <v>2334.0399999999995</v>
      </c>
      <c r="R11" s="651">
        <f t="shared" ref="R11:R18" si="4">G11+H11+I11</f>
        <v>226</v>
      </c>
      <c r="S11" s="703">
        <f t="shared" ref="S11:S18" si="5">Q11-R11</f>
        <v>2108.0399999999995</v>
      </c>
      <c r="T11" s="704"/>
      <c r="U11" s="705"/>
      <c r="V11" s="695">
        <f t="shared" si="0"/>
        <v>15067.776328767124</v>
      </c>
      <c r="W11" s="715">
        <v>42309</v>
      </c>
      <c r="X11" s="706">
        <v>0.02</v>
      </c>
      <c r="Y11" s="695">
        <f t="shared" si="1"/>
        <v>301.35552657534248</v>
      </c>
      <c r="Z11" s="716"/>
      <c r="AA11" s="651">
        <f t="shared" ref="AA11:AA18" si="6">SUM(J11,L11:M11)+Y11</f>
        <v>45014.675526575345</v>
      </c>
      <c r="AB11" s="715">
        <v>42675</v>
      </c>
      <c r="AC11" s="708">
        <v>0.02</v>
      </c>
      <c r="AD11" s="695">
        <f t="shared" ref="AD11:AD18" si="7">AA11*AC11</f>
        <v>900.29351053150697</v>
      </c>
      <c r="AG11" s="717"/>
    </row>
    <row r="12" spans="1:34">
      <c r="A12" s="709">
        <v>2120</v>
      </c>
      <c r="B12" s="710">
        <v>2490</v>
      </c>
      <c r="C12" s="711" t="s">
        <v>1593</v>
      </c>
      <c r="D12" s="709" t="s">
        <v>1591</v>
      </c>
      <c r="E12" s="712">
        <v>1972</v>
      </c>
      <c r="F12" s="712">
        <v>159.86999999999998</v>
      </c>
      <c r="G12" s="712">
        <v>170</v>
      </c>
      <c r="H12" s="712">
        <v>48</v>
      </c>
      <c r="I12" s="712">
        <v>0</v>
      </c>
      <c r="J12" s="713">
        <v>38932.06</v>
      </c>
      <c r="K12" s="712">
        <v>4740.18</v>
      </c>
      <c r="L12" s="712">
        <v>3338.4</v>
      </c>
      <c r="M12" s="712">
        <v>948.48</v>
      </c>
      <c r="N12" s="712">
        <v>1400.65</v>
      </c>
      <c r="O12" s="712">
        <v>0</v>
      </c>
      <c r="P12" s="714">
        <f t="shared" si="2"/>
        <v>49359.770000000004</v>
      </c>
      <c r="Q12" s="651">
        <f t="shared" si="3"/>
        <v>2349.87</v>
      </c>
      <c r="R12" s="651">
        <f t="shared" si="4"/>
        <v>218</v>
      </c>
      <c r="S12" s="703">
        <f t="shared" si="5"/>
        <v>2131.87</v>
      </c>
      <c r="T12" s="704"/>
      <c r="U12" s="705"/>
      <c r="V12" s="695">
        <f t="shared" si="0"/>
        <v>14564.190739726027</v>
      </c>
      <c r="W12" s="715">
        <v>42309</v>
      </c>
      <c r="X12" s="706">
        <v>0.02</v>
      </c>
      <c r="Y12" s="695">
        <f t="shared" si="1"/>
        <v>291.28381479452054</v>
      </c>
      <c r="Z12" s="698"/>
      <c r="AA12" s="651">
        <f t="shared" si="6"/>
        <v>43510.223814794525</v>
      </c>
      <c r="AB12" s="715">
        <v>42675</v>
      </c>
      <c r="AC12" s="708">
        <v>0.02</v>
      </c>
      <c r="AD12" s="695">
        <f t="shared" si="7"/>
        <v>870.20447629589046</v>
      </c>
      <c r="AG12" s="717"/>
    </row>
    <row r="13" spans="1:34">
      <c r="A13" s="709">
        <v>2120</v>
      </c>
      <c r="B13" s="710">
        <v>2538</v>
      </c>
      <c r="C13" s="711" t="s">
        <v>1594</v>
      </c>
      <c r="D13" s="709" t="s">
        <v>1591</v>
      </c>
      <c r="E13" s="712">
        <v>1577.0600000000002</v>
      </c>
      <c r="F13" s="712">
        <v>1.7500000000000002</v>
      </c>
      <c r="G13" s="712">
        <v>140</v>
      </c>
      <c r="H13" s="712">
        <v>48</v>
      </c>
      <c r="I13" s="712">
        <v>0</v>
      </c>
      <c r="J13" s="713">
        <v>31119.510000000006</v>
      </c>
      <c r="K13" s="712">
        <v>52.269999999999996</v>
      </c>
      <c r="L13" s="712">
        <v>2749.5</v>
      </c>
      <c r="M13" s="712">
        <v>948.48</v>
      </c>
      <c r="N13" s="712">
        <v>983.18</v>
      </c>
      <c r="O13" s="712">
        <v>0</v>
      </c>
      <c r="P13" s="714">
        <f t="shared" si="2"/>
        <v>35852.94000000001</v>
      </c>
      <c r="Q13" s="651">
        <f t="shared" si="3"/>
        <v>1766.8100000000002</v>
      </c>
      <c r="R13" s="651">
        <f t="shared" si="4"/>
        <v>188</v>
      </c>
      <c r="S13" s="703">
        <f t="shared" si="5"/>
        <v>1578.8100000000002</v>
      </c>
      <c r="T13" s="704"/>
      <c r="U13" s="705"/>
      <c r="V13" s="695">
        <f t="shared" si="0"/>
        <v>11733.017178082197</v>
      </c>
      <c r="W13" s="715">
        <v>42309</v>
      </c>
      <c r="X13" s="706">
        <v>0.02</v>
      </c>
      <c r="Y13" s="695">
        <f t="shared" si="1"/>
        <v>234.66034356164394</v>
      </c>
      <c r="Z13" s="698"/>
      <c r="AA13" s="651">
        <f t="shared" si="6"/>
        <v>35052.150343561654</v>
      </c>
      <c r="AB13" s="715">
        <v>42675</v>
      </c>
      <c r="AC13" s="708">
        <v>0.02</v>
      </c>
      <c r="AD13" s="695">
        <f t="shared" si="7"/>
        <v>701.04300687123305</v>
      </c>
      <c r="AG13" s="717"/>
    </row>
    <row r="14" spans="1:34">
      <c r="A14" s="709">
        <v>2120</v>
      </c>
      <c r="B14" s="710">
        <v>2539</v>
      </c>
      <c r="C14" s="711" t="s">
        <v>1595</v>
      </c>
      <c r="D14" s="709" t="s">
        <v>1591</v>
      </c>
      <c r="E14" s="712">
        <v>1880.42</v>
      </c>
      <c r="F14" s="712">
        <v>16.71</v>
      </c>
      <c r="G14" s="712">
        <v>129</v>
      </c>
      <c r="H14" s="712">
        <v>48</v>
      </c>
      <c r="I14" s="712">
        <v>0</v>
      </c>
      <c r="J14" s="713">
        <v>37119.1302</v>
      </c>
      <c r="K14" s="712">
        <v>493.91</v>
      </c>
      <c r="L14" s="712">
        <v>2548.2599999999998</v>
      </c>
      <c r="M14" s="712">
        <v>948.48</v>
      </c>
      <c r="N14" s="712">
        <v>1400.65</v>
      </c>
      <c r="O14" s="712">
        <v>0</v>
      </c>
      <c r="P14" s="714">
        <f t="shared" si="2"/>
        <v>42510.43020000001</v>
      </c>
      <c r="Q14" s="651">
        <f t="shared" si="3"/>
        <v>2074.13</v>
      </c>
      <c r="R14" s="651">
        <f t="shared" si="4"/>
        <v>177</v>
      </c>
      <c r="S14" s="703">
        <f t="shared" si="5"/>
        <v>1897.13</v>
      </c>
      <c r="T14" s="704"/>
      <c r="U14" s="705"/>
      <c r="V14" s="695">
        <f t="shared" si="0"/>
        <v>13686.991875616441</v>
      </c>
      <c r="W14" s="715">
        <v>42309</v>
      </c>
      <c r="X14" s="706">
        <v>0.02</v>
      </c>
      <c r="Y14" s="695">
        <f t="shared" si="1"/>
        <v>273.73983751232885</v>
      </c>
      <c r="Z14" s="698"/>
      <c r="AA14" s="651">
        <f t="shared" si="6"/>
        <v>40889.610037512335</v>
      </c>
      <c r="AB14" s="715">
        <v>42675</v>
      </c>
      <c r="AC14" s="708">
        <v>0.02</v>
      </c>
      <c r="AD14" s="695">
        <f t="shared" si="7"/>
        <v>817.79220075024671</v>
      </c>
      <c r="AG14" s="717"/>
    </row>
    <row r="15" spans="1:34">
      <c r="A15" s="709">
        <v>2120</v>
      </c>
      <c r="B15" s="710">
        <v>12920</v>
      </c>
      <c r="C15" s="711" t="s">
        <v>1596</v>
      </c>
      <c r="D15" s="709" t="s">
        <v>1591</v>
      </c>
      <c r="E15" s="712">
        <v>2004.99</v>
      </c>
      <c r="F15" s="712">
        <v>23.120000000000005</v>
      </c>
      <c r="G15" s="712">
        <v>150</v>
      </c>
      <c r="H15" s="712">
        <v>48</v>
      </c>
      <c r="I15" s="712">
        <v>0</v>
      </c>
      <c r="J15" s="713">
        <v>39586.6201</v>
      </c>
      <c r="K15" s="712">
        <v>688.6500000000002</v>
      </c>
      <c r="L15" s="712">
        <v>2952.3</v>
      </c>
      <c r="M15" s="712">
        <v>948.48</v>
      </c>
      <c r="N15" s="712">
        <v>1238.8599999999999</v>
      </c>
      <c r="O15" s="712">
        <v>0</v>
      </c>
      <c r="P15" s="714">
        <f t="shared" si="2"/>
        <v>45414.910100000008</v>
      </c>
      <c r="Q15" s="651">
        <f t="shared" si="3"/>
        <v>2226.11</v>
      </c>
      <c r="R15" s="651">
        <f t="shared" si="4"/>
        <v>198</v>
      </c>
      <c r="S15" s="703">
        <f t="shared" si="5"/>
        <v>2028.1100000000001</v>
      </c>
      <c r="T15" s="704"/>
      <c r="U15" s="705"/>
      <c r="V15" s="695">
        <f t="shared" si="0"/>
        <v>14654.658115890414</v>
      </c>
      <c r="W15" s="715">
        <v>42309</v>
      </c>
      <c r="X15" s="706">
        <v>0.02</v>
      </c>
      <c r="Y15" s="695">
        <f t="shared" si="1"/>
        <v>293.09316231780826</v>
      </c>
      <c r="Z15" s="698"/>
      <c r="AA15" s="651">
        <f t="shared" si="6"/>
        <v>43780.493262317817</v>
      </c>
      <c r="AB15" s="715">
        <v>42675</v>
      </c>
      <c r="AC15" s="708">
        <v>0.02</v>
      </c>
      <c r="AD15" s="695">
        <f t="shared" si="7"/>
        <v>875.60986524635632</v>
      </c>
    </row>
    <row r="16" spans="1:34">
      <c r="A16" s="709">
        <v>2120</v>
      </c>
      <c r="B16" s="710">
        <v>16872</v>
      </c>
      <c r="C16" s="711" t="s">
        <v>1597</v>
      </c>
      <c r="D16" s="709" t="s">
        <v>1591</v>
      </c>
      <c r="E16" s="712">
        <v>1981.5</v>
      </c>
      <c r="F16" s="712">
        <v>30.159999999999997</v>
      </c>
      <c r="G16" s="712">
        <v>148.5</v>
      </c>
      <c r="H16" s="712">
        <v>48</v>
      </c>
      <c r="I16" s="712">
        <v>0</v>
      </c>
      <c r="J16" s="713">
        <v>39104.039999999994</v>
      </c>
      <c r="K16" s="712">
        <v>894.46999999999991</v>
      </c>
      <c r="L16" s="712">
        <v>2949.77</v>
      </c>
      <c r="M16" s="712">
        <v>948.48</v>
      </c>
      <c r="N16" s="712">
        <v>1500.65</v>
      </c>
      <c r="O16" s="712">
        <v>0</v>
      </c>
      <c r="P16" s="714">
        <f t="shared" si="2"/>
        <v>45397.409999999996</v>
      </c>
      <c r="Q16" s="651">
        <f t="shared" si="3"/>
        <v>2208.16</v>
      </c>
      <c r="R16" s="651">
        <f t="shared" si="4"/>
        <v>196.5</v>
      </c>
      <c r="S16" s="703">
        <f t="shared" si="5"/>
        <v>2011.6599999999999</v>
      </c>
      <c r="T16" s="704"/>
      <c r="U16" s="705"/>
      <c r="V16" s="695">
        <f t="shared" si="0"/>
        <v>14491.182657534244</v>
      </c>
      <c r="W16" s="715">
        <v>42309</v>
      </c>
      <c r="X16" s="706">
        <v>0.02</v>
      </c>
      <c r="Y16" s="695">
        <f t="shared" si="1"/>
        <v>289.82365315068489</v>
      </c>
      <c r="Z16" s="698"/>
      <c r="AA16" s="651">
        <f t="shared" si="6"/>
        <v>43292.113653150678</v>
      </c>
      <c r="AB16" s="715">
        <v>42675</v>
      </c>
      <c r="AC16" s="708">
        <v>0.02</v>
      </c>
      <c r="AD16" s="695">
        <f t="shared" si="7"/>
        <v>865.84227306301364</v>
      </c>
    </row>
    <row r="17" spans="1:31">
      <c r="A17" s="709">
        <v>2120</v>
      </c>
      <c r="B17" s="710">
        <v>56458</v>
      </c>
      <c r="C17" s="711" t="s">
        <v>1598</v>
      </c>
      <c r="D17" s="709" t="s">
        <v>1591</v>
      </c>
      <c r="E17" s="712">
        <v>183.38</v>
      </c>
      <c r="F17" s="712">
        <v>1.17</v>
      </c>
      <c r="G17" s="712">
        <v>0</v>
      </c>
      <c r="H17" s="712">
        <v>0</v>
      </c>
      <c r="I17" s="712">
        <v>0</v>
      </c>
      <c r="J17" s="713">
        <v>3146.79</v>
      </c>
      <c r="K17" s="712">
        <v>30.12</v>
      </c>
      <c r="L17" s="712">
        <v>0</v>
      </c>
      <c r="M17" s="712">
        <v>0</v>
      </c>
      <c r="N17" s="712">
        <v>0</v>
      </c>
      <c r="O17" s="712">
        <v>0</v>
      </c>
      <c r="P17" s="714">
        <f t="shared" si="2"/>
        <v>3176.91</v>
      </c>
      <c r="Q17" s="651">
        <f t="shared" si="3"/>
        <v>184.54999999999998</v>
      </c>
      <c r="R17" s="651">
        <f t="shared" si="4"/>
        <v>0</v>
      </c>
      <c r="S17" s="703">
        <f t="shared" si="5"/>
        <v>184.54999999999998</v>
      </c>
      <c r="T17" s="704"/>
      <c r="U17" s="705"/>
      <c r="V17" s="695">
        <f t="shared" si="0"/>
        <v>1060.4251232876713</v>
      </c>
      <c r="W17" s="715" t="s">
        <v>717</v>
      </c>
      <c r="X17" s="706">
        <v>0</v>
      </c>
      <c r="Y17" s="695">
        <f t="shared" si="1"/>
        <v>0</v>
      </c>
      <c r="Z17" s="698"/>
      <c r="AA17" s="651">
        <f t="shared" si="6"/>
        <v>3146.79</v>
      </c>
      <c r="AB17" s="715" t="s">
        <v>717</v>
      </c>
      <c r="AC17" s="708">
        <v>0</v>
      </c>
      <c r="AD17" s="695">
        <f t="shared" si="7"/>
        <v>0</v>
      </c>
    </row>
    <row r="18" spans="1:31">
      <c r="A18" s="709">
        <v>2120</v>
      </c>
      <c r="B18" s="710">
        <v>56903</v>
      </c>
      <c r="C18" s="711" t="s">
        <v>1599</v>
      </c>
      <c r="D18" s="709" t="s">
        <v>1591</v>
      </c>
      <c r="E18" s="712">
        <v>1450.13</v>
      </c>
      <c r="F18" s="712">
        <v>50.629999999999995</v>
      </c>
      <c r="G18" s="712">
        <v>40</v>
      </c>
      <c r="H18" s="712">
        <v>8</v>
      </c>
      <c r="I18" s="712">
        <v>30</v>
      </c>
      <c r="J18" s="713">
        <v>25528.930000000004</v>
      </c>
      <c r="K18" s="712">
        <v>1331.4200000000003</v>
      </c>
      <c r="L18" s="712">
        <v>717.6</v>
      </c>
      <c r="M18" s="712">
        <v>143.52000000000001</v>
      </c>
      <c r="N18" s="712">
        <v>0</v>
      </c>
      <c r="O18" s="712">
        <v>538.20000000000005</v>
      </c>
      <c r="P18" s="714">
        <f t="shared" si="2"/>
        <v>28259.670000000006</v>
      </c>
      <c r="Q18" s="651">
        <f t="shared" si="3"/>
        <v>1578.7600000000002</v>
      </c>
      <c r="R18" s="651">
        <f t="shared" si="4"/>
        <v>78</v>
      </c>
      <c r="S18" s="703">
        <f t="shared" si="5"/>
        <v>1500.7600000000002</v>
      </c>
      <c r="T18" s="704"/>
      <c r="U18" s="705"/>
      <c r="V18" s="695">
        <f t="shared" si="0"/>
        <v>8893.0853424657544</v>
      </c>
      <c r="W18" s="715">
        <v>42309</v>
      </c>
      <c r="X18" s="706">
        <v>0.02</v>
      </c>
      <c r="Y18" s="695">
        <f t="shared" si="1"/>
        <v>177.86170684931508</v>
      </c>
      <c r="Z18" s="698"/>
      <c r="AA18" s="651">
        <f t="shared" si="6"/>
        <v>26567.911706849318</v>
      </c>
      <c r="AB18" s="715">
        <v>42675</v>
      </c>
      <c r="AC18" s="708">
        <v>0.02</v>
      </c>
      <c r="AD18" s="695">
        <f t="shared" si="7"/>
        <v>531.35823413698631</v>
      </c>
    </row>
    <row r="19" spans="1:31">
      <c r="A19" s="718"/>
      <c r="B19" s="718"/>
      <c r="C19" s="718"/>
      <c r="D19" s="718"/>
      <c r="E19" s="700"/>
      <c r="F19" s="700"/>
      <c r="G19" s="700"/>
      <c r="H19" s="700"/>
      <c r="I19" s="700"/>
      <c r="J19" s="701"/>
      <c r="K19" s="700"/>
      <c r="L19" s="700"/>
      <c r="M19" s="700"/>
      <c r="N19" s="700"/>
      <c r="O19" s="700"/>
      <c r="P19" s="702"/>
      <c r="S19" s="703"/>
      <c r="T19" s="704"/>
      <c r="U19" s="705"/>
      <c r="V19" s="652"/>
      <c r="X19" s="706"/>
      <c r="Y19" s="707"/>
      <c r="AA19" s="651"/>
      <c r="AB19" s="653"/>
      <c r="AC19" s="708"/>
      <c r="AD19" s="705"/>
    </row>
    <row r="20" spans="1:31">
      <c r="C20" s="719" t="s">
        <v>1600</v>
      </c>
      <c r="D20" s="648"/>
      <c r="E20" s="720">
        <f t="shared" ref="E20:O20" si="8">SUM(E9:E19)</f>
        <v>15080.39</v>
      </c>
      <c r="F20" s="721">
        <f t="shared" si="8"/>
        <v>632.77</v>
      </c>
      <c r="G20" s="721">
        <f t="shared" si="8"/>
        <v>1135.5</v>
      </c>
      <c r="H20" s="721">
        <f t="shared" si="8"/>
        <v>344</v>
      </c>
      <c r="I20" s="721">
        <f t="shared" si="8"/>
        <v>30</v>
      </c>
      <c r="J20" s="720">
        <f t="shared" si="8"/>
        <v>297077.35019999993</v>
      </c>
      <c r="K20" s="721">
        <f t="shared" si="8"/>
        <v>19201.760000000002</v>
      </c>
      <c r="L20" s="721">
        <f t="shared" si="8"/>
        <v>22608.95</v>
      </c>
      <c r="M20" s="721">
        <f t="shared" si="8"/>
        <v>6854.8799999999992</v>
      </c>
      <c r="N20" s="721">
        <f t="shared" si="8"/>
        <v>9425.2900000000009</v>
      </c>
      <c r="O20" s="721">
        <f t="shared" si="8"/>
        <v>538.20000000000005</v>
      </c>
      <c r="P20" s="722">
        <f t="shared" ref="P20" si="9">SUM(J20:O20)</f>
        <v>355706.43019999994</v>
      </c>
      <c r="Q20" s="723">
        <f>SUM(Q10:Q19)</f>
        <v>17222.659999999996</v>
      </c>
      <c r="R20" s="723">
        <f>SUM(R10:R19)</f>
        <v>1509.5</v>
      </c>
      <c r="S20" s="723">
        <f>SUM(S10:S19)</f>
        <v>15713.16</v>
      </c>
      <c r="T20" s="723"/>
      <c r="U20" s="705"/>
      <c r="V20" s="652"/>
      <c r="Y20" s="724">
        <f>SUM(Y10:Y19)</f>
        <v>2179.5895887452057</v>
      </c>
      <c r="Z20" s="716"/>
      <c r="AC20" s="656"/>
      <c r="AD20" s="724">
        <f>SUM(AD10:AD19)</f>
        <v>6511.4795957749047</v>
      </c>
      <c r="AE20" s="724"/>
    </row>
    <row r="21" spans="1:31" s="734" customFormat="1">
      <c r="A21" s="718"/>
      <c r="B21" s="718"/>
      <c r="C21" s="719"/>
      <c r="D21" s="718"/>
      <c r="E21" s="721"/>
      <c r="F21" s="721"/>
      <c r="G21" s="721"/>
      <c r="H21" s="721"/>
      <c r="I21" s="721"/>
      <c r="J21" s="720"/>
      <c r="K21" s="721"/>
      <c r="L21" s="721"/>
      <c r="M21" s="721"/>
      <c r="N21" s="721"/>
      <c r="O21" s="721"/>
      <c r="P21" s="722"/>
      <c r="Q21" s="723"/>
      <c r="R21" s="723"/>
      <c r="S21" s="723"/>
      <c r="T21" s="725"/>
      <c r="U21" s="726"/>
      <c r="V21" s="727"/>
      <c r="W21" s="728"/>
      <c r="X21" s="729"/>
      <c r="Y21" s="725"/>
      <c r="Z21" s="730"/>
      <c r="AA21" s="731"/>
      <c r="AB21" s="732"/>
      <c r="AC21" s="733"/>
      <c r="AD21" s="725"/>
    </row>
    <row r="22" spans="1:31" s="734" customFormat="1">
      <c r="A22" s="709">
        <v>2120</v>
      </c>
      <c r="B22" s="710">
        <v>2379</v>
      </c>
      <c r="C22" s="711" t="s">
        <v>1601</v>
      </c>
      <c r="D22" s="709" t="s">
        <v>1602</v>
      </c>
      <c r="E22" s="712">
        <v>2069.5299999999997</v>
      </c>
      <c r="F22" s="712">
        <v>114.03999999999999</v>
      </c>
      <c r="G22" s="712">
        <v>10</v>
      </c>
      <c r="H22" s="712">
        <v>48</v>
      </c>
      <c r="I22" s="712">
        <v>0</v>
      </c>
      <c r="J22" s="713">
        <v>41919.30000000001</v>
      </c>
      <c r="K22" s="712">
        <v>3472.1699999999992</v>
      </c>
      <c r="L22" s="712">
        <v>204.1</v>
      </c>
      <c r="M22" s="712">
        <v>973.28</v>
      </c>
      <c r="N22" s="712">
        <v>1097.73</v>
      </c>
      <c r="O22" s="712">
        <v>0</v>
      </c>
      <c r="P22" s="714">
        <f t="shared" ref="P22:P23" si="10">SUM(J22:O22)</f>
        <v>47666.580000000009</v>
      </c>
      <c r="Q22" s="651">
        <f t="shared" ref="Q22:Q23" si="11">SUM(E22:I22)</f>
        <v>2241.5699999999997</v>
      </c>
      <c r="R22" s="651">
        <f t="shared" ref="R22:R23" si="12">G22+H22+I22</f>
        <v>58</v>
      </c>
      <c r="S22" s="703">
        <f t="shared" ref="S22:S23" si="13">Q22-R22</f>
        <v>2183.5699999999997</v>
      </c>
      <c r="T22" s="704"/>
      <c r="U22" s="705"/>
      <c r="V22" s="695">
        <f>SUM(J22,L22:M22)*($AH$6/365)</f>
        <v>14522.99079452055</v>
      </c>
      <c r="W22" s="715">
        <v>42309</v>
      </c>
      <c r="X22" s="706">
        <v>0.02</v>
      </c>
      <c r="Y22" s="695">
        <f t="shared" ref="Y22:Y23" si="14">V22*X22</f>
        <v>290.45981589041099</v>
      </c>
      <c r="Z22" s="698"/>
      <c r="AA22" s="651">
        <f t="shared" ref="AA22:AA23" si="15">SUM(J22,L22:M22)+Y22</f>
        <v>43387.139815890419</v>
      </c>
      <c r="AB22" s="715">
        <v>42675</v>
      </c>
      <c r="AC22" s="708">
        <v>0.02</v>
      </c>
      <c r="AD22" s="695">
        <f t="shared" ref="AD22:AD23" si="16">AA22*AC22</f>
        <v>867.74279631780837</v>
      </c>
    </row>
    <row r="23" spans="1:31" s="734" customFormat="1">
      <c r="A23" s="709">
        <v>2120</v>
      </c>
      <c r="B23" s="710">
        <v>2977</v>
      </c>
      <c r="C23" s="711" t="s">
        <v>1603</v>
      </c>
      <c r="D23" s="709" t="s">
        <v>1604</v>
      </c>
      <c r="E23" s="712">
        <v>1960</v>
      </c>
      <c r="F23" s="712">
        <v>218.46000000000004</v>
      </c>
      <c r="G23" s="712">
        <v>120</v>
      </c>
      <c r="H23" s="712">
        <v>48</v>
      </c>
      <c r="I23" s="712">
        <v>0</v>
      </c>
      <c r="J23" s="713">
        <v>38687.999999999993</v>
      </c>
      <c r="K23" s="712">
        <v>6472.5899999999992</v>
      </c>
      <c r="L23" s="712">
        <v>2371.1999999999998</v>
      </c>
      <c r="M23" s="712">
        <v>948.48</v>
      </c>
      <c r="N23" s="712">
        <v>1279.0899999999999</v>
      </c>
      <c r="O23" s="712">
        <v>0</v>
      </c>
      <c r="P23" s="714">
        <f t="shared" si="10"/>
        <v>49759.359999999986</v>
      </c>
      <c r="Q23" s="651">
        <f t="shared" si="11"/>
        <v>2346.46</v>
      </c>
      <c r="R23" s="651">
        <f t="shared" si="12"/>
        <v>168</v>
      </c>
      <c r="S23" s="703">
        <f t="shared" si="13"/>
        <v>2178.46</v>
      </c>
      <c r="T23" s="704"/>
      <c r="U23" s="705"/>
      <c r="V23" s="695">
        <f>SUM(J23,L23:M23)*($AH$6/365)</f>
        <v>14156.012712328766</v>
      </c>
      <c r="W23" s="715">
        <v>42309</v>
      </c>
      <c r="X23" s="706">
        <v>0.02</v>
      </c>
      <c r="Y23" s="695">
        <f t="shared" si="14"/>
        <v>283.12025424657531</v>
      </c>
      <c r="Z23" s="698"/>
      <c r="AA23" s="651">
        <f t="shared" si="15"/>
        <v>42290.800254246569</v>
      </c>
      <c r="AB23" s="715">
        <v>42675</v>
      </c>
      <c r="AC23" s="708">
        <v>0.02</v>
      </c>
      <c r="AD23" s="695">
        <f t="shared" si="16"/>
        <v>845.81600508493136</v>
      </c>
    </row>
    <row r="24" spans="1:31">
      <c r="B24" s="699"/>
      <c r="C24" s="699"/>
      <c r="D24" s="699"/>
      <c r="E24" s="700"/>
      <c r="F24" s="700"/>
      <c r="G24" s="700"/>
      <c r="H24" s="700"/>
      <c r="I24" s="700"/>
      <c r="J24" s="701"/>
      <c r="K24" s="700"/>
      <c r="L24" s="700"/>
      <c r="M24" s="700"/>
      <c r="N24" s="700"/>
      <c r="O24" s="700"/>
      <c r="P24" s="702"/>
      <c r="S24" s="703"/>
      <c r="T24" s="704"/>
      <c r="U24" s="705"/>
      <c r="V24" s="652"/>
      <c r="X24" s="706"/>
      <c r="Y24" s="707"/>
      <c r="Z24" s="716"/>
      <c r="AA24" s="651"/>
      <c r="AB24" s="717"/>
      <c r="AC24" s="708"/>
      <c r="AD24" s="705"/>
    </row>
    <row r="25" spans="1:31">
      <c r="C25" s="719" t="s">
        <v>1605</v>
      </c>
      <c r="D25" s="661"/>
      <c r="E25" s="720">
        <f t="shared" ref="E25:I25" si="17">SUM(E22:E24)</f>
        <v>4029.5299999999997</v>
      </c>
      <c r="F25" s="721">
        <f t="shared" si="17"/>
        <v>332.5</v>
      </c>
      <c r="G25" s="721">
        <f t="shared" si="17"/>
        <v>130</v>
      </c>
      <c r="H25" s="721">
        <f t="shared" si="17"/>
        <v>96</v>
      </c>
      <c r="I25" s="721">
        <f t="shared" si="17"/>
        <v>0</v>
      </c>
      <c r="J25" s="720">
        <f>SUM(J22:J24)</f>
        <v>80607.3</v>
      </c>
      <c r="K25" s="721">
        <f t="shared" ref="K25:O25" si="18">SUM(K22:K24)</f>
        <v>9944.7599999999984</v>
      </c>
      <c r="L25" s="721">
        <f t="shared" si="18"/>
        <v>2575.2999999999997</v>
      </c>
      <c r="M25" s="721">
        <f t="shared" si="18"/>
        <v>1921.76</v>
      </c>
      <c r="N25" s="721">
        <f t="shared" si="18"/>
        <v>2376.8199999999997</v>
      </c>
      <c r="O25" s="721">
        <f t="shared" si="18"/>
        <v>0</v>
      </c>
      <c r="P25" s="714">
        <f t="shared" ref="P25:P26" si="19">SUM(J25:O25)</f>
        <v>97425.94</v>
      </c>
      <c r="Q25" s="735">
        <f>SUM(Q22:Q24)</f>
        <v>4588.03</v>
      </c>
      <c r="R25" s="735">
        <f>SUM(R22:R24)</f>
        <v>226</v>
      </c>
      <c r="S25" s="735">
        <f>SUM(S22:S24)</f>
        <v>4362.03</v>
      </c>
      <c r="T25" s="735"/>
      <c r="V25" s="652"/>
      <c r="Y25" s="735">
        <f>SUM(Y22:Y24)</f>
        <v>573.58007013698625</v>
      </c>
      <c r="Z25" s="716"/>
      <c r="AC25" s="656"/>
      <c r="AD25" s="735">
        <f>SUM(AD24:AD24)</f>
        <v>0</v>
      </c>
    </row>
    <row r="26" spans="1:31">
      <c r="A26" s="718"/>
      <c r="B26" s="736"/>
      <c r="C26" s="737"/>
      <c r="D26" s="699"/>
      <c r="E26" s="712"/>
      <c r="F26" s="712"/>
      <c r="G26" s="712"/>
      <c r="H26" s="712"/>
      <c r="I26" s="712"/>
      <c r="J26" s="713"/>
      <c r="K26" s="712"/>
      <c r="L26" s="712"/>
      <c r="M26" s="712"/>
      <c r="N26" s="712"/>
      <c r="O26" s="712"/>
      <c r="P26" s="714">
        <f t="shared" si="19"/>
        <v>0</v>
      </c>
      <c r="Q26" s="651">
        <f t="shared" ref="Q26" si="20">SUM(E26:I26)</f>
        <v>0</v>
      </c>
      <c r="R26" s="651">
        <f t="shared" ref="R26" si="21">G26+H26+I26</f>
        <v>0</v>
      </c>
      <c r="S26" s="703">
        <f t="shared" ref="S26" si="22">Q26-R26</f>
        <v>0</v>
      </c>
      <c r="T26" s="704"/>
      <c r="U26" s="705"/>
      <c r="V26" s="695">
        <f>SUM(J26,L26:M26)*($AH$11/365)</f>
        <v>0</v>
      </c>
      <c r="W26" s="715"/>
      <c r="X26" s="706"/>
      <c r="Y26" s="738"/>
      <c r="Z26" s="698"/>
      <c r="AA26" s="651"/>
      <c r="AB26" s="715"/>
      <c r="AC26" s="708"/>
      <c r="AD26" s="695"/>
    </row>
    <row r="27" spans="1:31">
      <c r="C27" s="739" t="s">
        <v>1606</v>
      </c>
      <c r="E27" s="720">
        <f>+E25+E20</f>
        <v>19109.919999999998</v>
      </c>
      <c r="F27" s="721">
        <f t="shared" ref="F27:S27" si="23">+F25+F20</f>
        <v>965.27</v>
      </c>
      <c r="G27" s="721">
        <f t="shared" si="23"/>
        <v>1265.5</v>
      </c>
      <c r="H27" s="721">
        <f t="shared" si="23"/>
        <v>440</v>
      </c>
      <c r="I27" s="721">
        <f t="shared" si="23"/>
        <v>30</v>
      </c>
      <c r="J27" s="720">
        <f t="shared" si="23"/>
        <v>377684.65019999992</v>
      </c>
      <c r="K27" s="721">
        <f t="shared" si="23"/>
        <v>29146.52</v>
      </c>
      <c r="L27" s="721">
        <f t="shared" si="23"/>
        <v>25184.25</v>
      </c>
      <c r="M27" s="721">
        <f t="shared" si="23"/>
        <v>8776.64</v>
      </c>
      <c r="N27" s="721">
        <f t="shared" si="23"/>
        <v>11802.11</v>
      </c>
      <c r="O27" s="721">
        <f t="shared" si="23"/>
        <v>538.20000000000005</v>
      </c>
      <c r="P27" s="722">
        <f t="shared" si="23"/>
        <v>453132.37019999995</v>
      </c>
      <c r="Q27" s="735">
        <f t="shared" si="23"/>
        <v>21810.689999999995</v>
      </c>
      <c r="R27" s="735">
        <f t="shared" si="23"/>
        <v>1735.5</v>
      </c>
      <c r="S27" s="735">
        <f t="shared" si="23"/>
        <v>20075.189999999999</v>
      </c>
      <c r="T27" s="735"/>
      <c r="V27" s="652"/>
      <c r="Y27" s="735">
        <f>+Y25+Y20</f>
        <v>2753.1696588821919</v>
      </c>
      <c r="Z27" s="716"/>
      <c r="AC27" s="656"/>
      <c r="AD27" s="735">
        <f t="shared" ref="AD27" si="24">+AD25+AD20</f>
        <v>6511.4795957749047</v>
      </c>
    </row>
    <row r="28" spans="1:31">
      <c r="C28" s="699"/>
      <c r="E28" s="669"/>
      <c r="F28" s="669"/>
      <c r="G28" s="669"/>
      <c r="H28" s="669"/>
      <c r="I28" s="669"/>
      <c r="J28" s="694"/>
      <c r="K28" s="669"/>
      <c r="L28" s="669"/>
      <c r="M28" s="669"/>
      <c r="N28" s="669"/>
      <c r="O28" s="669"/>
      <c r="P28" s="740"/>
      <c r="S28" s="741"/>
      <c r="T28" s="742"/>
      <c r="V28" s="652"/>
      <c r="AC28" s="656"/>
    </row>
    <row r="29" spans="1:31" ht="12" thickBot="1">
      <c r="C29" s="649"/>
      <c r="E29" s="669"/>
      <c r="F29" s="669"/>
      <c r="G29" s="669"/>
      <c r="H29" s="669"/>
      <c r="I29" s="669"/>
      <c r="J29" s="694"/>
      <c r="K29" s="669"/>
      <c r="L29" s="669"/>
      <c r="M29" s="669"/>
      <c r="N29" s="669"/>
      <c r="O29" s="669"/>
      <c r="P29" s="740"/>
      <c r="T29" s="704"/>
      <c r="V29" s="652"/>
      <c r="AC29" s="656"/>
    </row>
    <row r="30" spans="1:31" ht="12" thickTop="1">
      <c r="A30" s="743"/>
      <c r="B30" s="743" t="s">
        <v>1607</v>
      </c>
      <c r="C30" s="691"/>
      <c r="D30" s="692"/>
      <c r="E30" s="693"/>
      <c r="F30" s="693"/>
      <c r="G30" s="693"/>
      <c r="H30" s="693"/>
      <c r="I30" s="693"/>
      <c r="J30" s="694"/>
      <c r="K30" s="693"/>
      <c r="L30" s="693"/>
      <c r="M30" s="693"/>
      <c r="N30" s="693"/>
      <c r="O30" s="693"/>
      <c r="P30" s="740"/>
      <c r="Q30" s="648"/>
      <c r="R30" s="648"/>
      <c r="S30" s="648"/>
      <c r="T30" s="648"/>
      <c r="W30" s="648"/>
      <c r="Y30" s="648"/>
      <c r="Z30" s="648"/>
      <c r="AB30" s="648"/>
      <c r="AC30" s="656"/>
    </row>
    <row r="31" spans="1:31">
      <c r="E31" s="669"/>
      <c r="F31" s="669"/>
      <c r="G31" s="669"/>
      <c r="H31" s="669"/>
      <c r="I31" s="669"/>
      <c r="J31" s="694"/>
      <c r="K31" s="669"/>
      <c r="L31" s="669"/>
      <c r="M31" s="669"/>
      <c r="N31" s="669"/>
      <c r="O31" s="669"/>
      <c r="P31" s="740"/>
      <c r="Q31" s="648"/>
      <c r="R31" s="648"/>
      <c r="S31" s="648"/>
      <c r="T31" s="648"/>
      <c r="W31" s="648"/>
      <c r="Y31" s="648"/>
      <c r="Z31" s="648"/>
      <c r="AB31" s="648"/>
      <c r="AC31" s="656"/>
    </row>
    <row r="32" spans="1:31">
      <c r="A32" s="709">
        <v>2120</v>
      </c>
      <c r="B32" s="710">
        <v>18261</v>
      </c>
      <c r="C32" s="711" t="s">
        <v>1608</v>
      </c>
      <c r="D32" s="709" t="s">
        <v>1609</v>
      </c>
      <c r="E32" s="712">
        <v>1989.77</v>
      </c>
      <c r="F32" s="712">
        <v>29.15</v>
      </c>
      <c r="G32" s="712">
        <v>89</v>
      </c>
      <c r="H32" s="712">
        <v>16</v>
      </c>
      <c r="I32" s="712">
        <v>0</v>
      </c>
      <c r="J32" s="744">
        <v>42238.989899999986</v>
      </c>
      <c r="K32" s="712">
        <v>897.7</v>
      </c>
      <c r="L32" s="712">
        <v>1834.2700000000002</v>
      </c>
      <c r="M32" s="712">
        <v>328.48</v>
      </c>
      <c r="N32" s="712">
        <v>1500.65</v>
      </c>
      <c r="O32" s="712">
        <v>0</v>
      </c>
      <c r="P32" s="714">
        <f t="shared" ref="P32:P33" si="25">SUM(J32:O32)</f>
        <v>46800.089899999984</v>
      </c>
      <c r="Q32" s="651">
        <f t="shared" ref="Q32:Q33" si="26">SUM(E32:I32)</f>
        <v>2123.92</v>
      </c>
      <c r="R32" s="651">
        <f t="shared" ref="R32:R33" si="27">G32+H32+I32</f>
        <v>105</v>
      </c>
      <c r="S32" s="703">
        <f t="shared" ref="S32:S33" si="28">Q32-R32</f>
        <v>2018.92</v>
      </c>
      <c r="T32" s="704"/>
      <c r="V32" s="695">
        <f t="shared" ref="V32:V33" si="29">SUM(J32,L32:M32)*($AH$6/365)</f>
        <v>14962.778103287666</v>
      </c>
      <c r="W32" s="715">
        <v>42309</v>
      </c>
      <c r="X32" s="706">
        <v>0.02</v>
      </c>
      <c r="Y32" s="695">
        <f t="shared" ref="Y32:Y33" si="30">V32*X32</f>
        <v>299.25556206575334</v>
      </c>
      <c r="Z32" s="698"/>
      <c r="AA32" s="651">
        <f t="shared" ref="AA32:AA33" si="31">SUM(J32,L32:M32)+Y32</f>
        <v>44700.995462065737</v>
      </c>
      <c r="AB32" s="715">
        <v>42675</v>
      </c>
      <c r="AC32" s="708">
        <v>0.02</v>
      </c>
      <c r="AD32" s="695">
        <f t="shared" ref="AD32:AD33" si="32">AA32*AC32</f>
        <v>894.01990924131474</v>
      </c>
    </row>
    <row r="33" spans="1:30">
      <c r="A33" s="709">
        <v>2120</v>
      </c>
      <c r="B33" s="710">
        <v>54096</v>
      </c>
      <c r="C33" s="711" t="s">
        <v>1610</v>
      </c>
      <c r="D33" s="709" t="s">
        <v>1611</v>
      </c>
      <c r="E33" s="712">
        <v>1932.2100000000003</v>
      </c>
      <c r="F33" s="712">
        <v>19.959999999999997</v>
      </c>
      <c r="G33" s="712">
        <v>16</v>
      </c>
      <c r="H33" s="712">
        <v>48</v>
      </c>
      <c r="I33" s="712">
        <v>0</v>
      </c>
      <c r="J33" s="744">
        <v>34226.310000000005</v>
      </c>
      <c r="K33" s="712">
        <v>531.08999999999992</v>
      </c>
      <c r="L33" s="712">
        <v>280</v>
      </c>
      <c r="M33" s="712">
        <v>851.2</v>
      </c>
      <c r="N33" s="712">
        <v>1500.65</v>
      </c>
      <c r="O33" s="712">
        <v>0</v>
      </c>
      <c r="P33" s="714">
        <f t="shared" si="25"/>
        <v>37389.25</v>
      </c>
      <c r="Q33" s="651">
        <f t="shared" si="26"/>
        <v>2016.1700000000003</v>
      </c>
      <c r="R33" s="651">
        <f t="shared" si="27"/>
        <v>64</v>
      </c>
      <c r="S33" s="703">
        <f t="shared" si="28"/>
        <v>1952.1700000000003</v>
      </c>
      <c r="T33" s="704"/>
      <c r="V33" s="695">
        <f t="shared" si="29"/>
        <v>11914.996520547946</v>
      </c>
      <c r="W33" s="715">
        <v>42309</v>
      </c>
      <c r="X33" s="706">
        <v>0.02</v>
      </c>
      <c r="Y33" s="695">
        <f t="shared" si="30"/>
        <v>238.29993041095892</v>
      </c>
      <c r="Z33" s="698"/>
      <c r="AA33" s="651">
        <f t="shared" si="31"/>
        <v>35595.809930410964</v>
      </c>
      <c r="AB33" s="715">
        <v>42675</v>
      </c>
      <c r="AC33" s="708">
        <v>0.02</v>
      </c>
      <c r="AD33" s="695">
        <f t="shared" si="32"/>
        <v>711.91619860821925</v>
      </c>
    </row>
    <row r="34" spans="1:30">
      <c r="A34" s="718"/>
      <c r="B34" s="699"/>
      <c r="C34" s="699"/>
      <c r="D34" s="718"/>
      <c r="E34" s="745"/>
      <c r="F34" s="745"/>
      <c r="G34" s="745"/>
      <c r="H34" s="745"/>
      <c r="I34" s="745"/>
      <c r="J34" s="713"/>
      <c r="K34" s="712"/>
      <c r="L34" s="712"/>
      <c r="M34" s="712"/>
      <c r="N34" s="712"/>
      <c r="O34" s="712"/>
      <c r="P34" s="714"/>
      <c r="S34" s="703"/>
      <c r="T34" s="704"/>
      <c r="V34" s="652"/>
      <c r="W34" s="697"/>
      <c r="X34" s="706"/>
      <c r="Y34" s="707"/>
      <c r="AA34" s="651"/>
      <c r="AB34" s="715"/>
      <c r="AC34" s="708"/>
      <c r="AD34" s="695"/>
    </row>
    <row r="35" spans="1:30">
      <c r="C35" s="739" t="s">
        <v>1612</v>
      </c>
      <c r="E35" s="720">
        <f t="shared" ref="E35:O35" si="33">SUM(E32:E34)</f>
        <v>3921.9800000000005</v>
      </c>
      <c r="F35" s="721">
        <f t="shared" si="33"/>
        <v>49.11</v>
      </c>
      <c r="G35" s="721">
        <f t="shared" si="33"/>
        <v>105</v>
      </c>
      <c r="H35" s="721">
        <f t="shared" si="33"/>
        <v>64</v>
      </c>
      <c r="I35" s="721">
        <f t="shared" si="33"/>
        <v>0</v>
      </c>
      <c r="J35" s="720">
        <f t="shared" si="33"/>
        <v>76465.299899999984</v>
      </c>
      <c r="K35" s="721">
        <f t="shared" si="33"/>
        <v>1428.79</v>
      </c>
      <c r="L35" s="721">
        <f t="shared" si="33"/>
        <v>2114.2700000000004</v>
      </c>
      <c r="M35" s="721">
        <f t="shared" si="33"/>
        <v>1179.68</v>
      </c>
      <c r="N35" s="721">
        <f t="shared" si="33"/>
        <v>3001.3</v>
      </c>
      <c r="O35" s="721">
        <f t="shared" si="33"/>
        <v>0</v>
      </c>
      <c r="P35" s="722">
        <f t="shared" ref="P35" si="34">SUM(J35:O35)</f>
        <v>84189.339899999977</v>
      </c>
      <c r="Q35" s="735">
        <f>SUM(Q32:Q34)</f>
        <v>4140.09</v>
      </c>
      <c r="R35" s="735">
        <f>SUM(R32:R34)</f>
        <v>169</v>
      </c>
      <c r="S35" s="735">
        <f>SUM(S32:S34)</f>
        <v>3971.09</v>
      </c>
      <c r="T35" s="735"/>
      <c r="V35" s="652"/>
      <c r="Y35" s="746">
        <f>SUM(Y32:Y34)</f>
        <v>537.55549247671229</v>
      </c>
      <c r="Z35" s="716"/>
      <c r="AC35" s="656"/>
      <c r="AD35" s="746">
        <f>SUM(AD32:AD34)</f>
        <v>1605.936107849534</v>
      </c>
    </row>
    <row r="36" spans="1:30" ht="12" hidden="1" thickTop="1">
      <c r="A36" s="689"/>
      <c r="B36" s="690" t="s">
        <v>726</v>
      </c>
      <c r="C36" s="691"/>
      <c r="D36" s="692"/>
      <c r="E36" s="693"/>
      <c r="F36" s="693"/>
      <c r="G36" s="693"/>
      <c r="H36" s="693"/>
      <c r="I36" s="693"/>
      <c r="J36" s="694"/>
      <c r="K36" s="693"/>
      <c r="L36" s="693"/>
      <c r="M36" s="693"/>
      <c r="N36" s="693"/>
      <c r="O36" s="693"/>
      <c r="P36" s="740"/>
      <c r="T36" s="704"/>
      <c r="V36" s="652"/>
      <c r="AC36" s="656"/>
    </row>
    <row r="37" spans="1:30" hidden="1">
      <c r="C37" s="649"/>
      <c r="D37" s="649" t="s">
        <v>726</v>
      </c>
      <c r="E37" s="669"/>
      <c r="F37" s="669"/>
      <c r="G37" s="669"/>
      <c r="H37" s="669"/>
      <c r="I37" s="669"/>
      <c r="J37" s="694"/>
      <c r="K37" s="669"/>
      <c r="L37" s="669"/>
      <c r="M37" s="669"/>
      <c r="N37" s="669"/>
      <c r="O37" s="669"/>
      <c r="P37" s="740"/>
      <c r="S37" s="703"/>
      <c r="T37" s="704"/>
      <c r="V37" s="652"/>
      <c r="X37" s="706"/>
      <c r="Y37" s="707">
        <f>V37*X37</f>
        <v>0</v>
      </c>
      <c r="AA37" s="651"/>
      <c r="AC37" s="708"/>
      <c r="AD37" s="705">
        <f>AA37*AC37</f>
        <v>0</v>
      </c>
    </row>
    <row r="38" spans="1:30" hidden="1">
      <c r="C38" s="649"/>
      <c r="D38" s="649" t="s">
        <v>726</v>
      </c>
      <c r="E38" s="669"/>
      <c r="F38" s="669"/>
      <c r="G38" s="669"/>
      <c r="H38" s="669"/>
      <c r="I38" s="669"/>
      <c r="J38" s="694"/>
      <c r="K38" s="669"/>
      <c r="L38" s="669"/>
      <c r="M38" s="669"/>
      <c r="N38" s="669"/>
      <c r="O38" s="669"/>
      <c r="P38" s="740"/>
      <c r="S38" s="703"/>
      <c r="T38" s="704"/>
      <c r="V38" s="652"/>
      <c r="X38" s="706"/>
      <c r="Y38" s="707">
        <f>V38*X38</f>
        <v>0</v>
      </c>
      <c r="AA38" s="651"/>
      <c r="AB38" s="717"/>
      <c r="AC38" s="708"/>
      <c r="AD38" s="705">
        <f>AA38*AC38</f>
        <v>0</v>
      </c>
    </row>
    <row r="39" spans="1:30" hidden="1">
      <c r="B39" s="734"/>
      <c r="C39" s="649"/>
      <c r="D39" s="649" t="s">
        <v>726</v>
      </c>
      <c r="E39" s="669"/>
      <c r="F39" s="669"/>
      <c r="G39" s="669"/>
      <c r="H39" s="669"/>
      <c r="I39" s="669"/>
      <c r="J39" s="694"/>
      <c r="K39" s="669"/>
      <c r="L39" s="669"/>
      <c r="M39" s="669"/>
      <c r="N39" s="669"/>
      <c r="O39" s="669"/>
      <c r="P39" s="740"/>
      <c r="S39" s="703"/>
      <c r="T39" s="704"/>
      <c r="V39" s="652"/>
      <c r="X39" s="706"/>
      <c r="Y39" s="707">
        <f>V39*X39</f>
        <v>0</v>
      </c>
      <c r="AA39" s="651"/>
      <c r="AB39" s="717"/>
      <c r="AC39" s="708"/>
      <c r="AD39" s="705">
        <f>AA39*AC39</f>
        <v>0</v>
      </c>
    </row>
    <row r="40" spans="1:30" hidden="1">
      <c r="C40" s="649"/>
      <c r="D40" s="649" t="s">
        <v>726</v>
      </c>
      <c r="E40" s="669"/>
      <c r="F40" s="669"/>
      <c r="G40" s="669"/>
      <c r="H40" s="669"/>
      <c r="I40" s="669"/>
      <c r="J40" s="694"/>
      <c r="K40" s="669"/>
      <c r="L40" s="669"/>
      <c r="M40" s="669"/>
      <c r="N40" s="669"/>
      <c r="O40" s="669"/>
      <c r="P40" s="740"/>
      <c r="S40" s="703"/>
      <c r="T40" s="704"/>
      <c r="V40" s="652"/>
      <c r="X40" s="706"/>
      <c r="Y40" s="707">
        <f>V40*X40</f>
        <v>0</v>
      </c>
      <c r="AA40" s="651"/>
      <c r="AB40" s="717"/>
      <c r="AC40" s="708"/>
      <c r="AD40" s="705">
        <f>AA40*AC40</f>
        <v>0</v>
      </c>
    </row>
    <row r="41" spans="1:30" hidden="1">
      <c r="C41" s="649"/>
      <c r="D41" s="649" t="s">
        <v>726</v>
      </c>
      <c r="E41" s="669"/>
      <c r="F41" s="669"/>
      <c r="G41" s="669"/>
      <c r="H41" s="669"/>
      <c r="I41" s="669"/>
      <c r="J41" s="694"/>
      <c r="K41" s="669"/>
      <c r="L41" s="669"/>
      <c r="M41" s="669"/>
      <c r="N41" s="669"/>
      <c r="O41" s="669"/>
      <c r="P41" s="740"/>
      <c r="S41" s="703"/>
      <c r="T41" s="704"/>
      <c r="V41" s="652"/>
      <c r="X41" s="706"/>
      <c r="Y41" s="707">
        <f>V41*X41</f>
        <v>0</v>
      </c>
      <c r="AA41" s="651"/>
      <c r="AB41" s="717"/>
      <c r="AC41" s="708"/>
      <c r="AD41" s="705">
        <f>AA41*AC41</f>
        <v>0</v>
      </c>
    </row>
    <row r="42" spans="1:30" hidden="1">
      <c r="C42" s="649"/>
      <c r="E42" s="669"/>
      <c r="F42" s="669"/>
      <c r="G42" s="669"/>
      <c r="H42" s="669"/>
      <c r="I42" s="669"/>
      <c r="J42" s="694"/>
      <c r="K42" s="669"/>
      <c r="L42" s="669"/>
      <c r="M42" s="669"/>
      <c r="N42" s="669"/>
      <c r="O42" s="669"/>
      <c r="P42" s="740"/>
      <c r="T42" s="704"/>
      <c r="V42" s="652"/>
      <c r="AC42" s="656"/>
    </row>
    <row r="43" spans="1:30" hidden="1">
      <c r="C43" s="739" t="s">
        <v>839</v>
      </c>
      <c r="E43" s="669"/>
      <c r="F43" s="669"/>
      <c r="G43" s="669"/>
      <c r="H43" s="669"/>
      <c r="I43" s="669"/>
      <c r="J43" s="694"/>
      <c r="K43" s="669"/>
      <c r="L43" s="669"/>
      <c r="M43" s="669"/>
      <c r="N43" s="669"/>
      <c r="O43" s="669"/>
      <c r="P43" s="740"/>
      <c r="Q43" s="735"/>
      <c r="R43" s="735"/>
      <c r="S43" s="735"/>
      <c r="T43" s="747"/>
      <c r="V43" s="652"/>
      <c r="Y43" s="746">
        <f>SUM(Y37:Y42)</f>
        <v>0</v>
      </c>
      <c r="AC43" s="656"/>
      <c r="AD43" s="723">
        <f>SUM(AD37:AD42)</f>
        <v>0</v>
      </c>
    </row>
    <row r="44" spans="1:30" ht="12" thickBot="1">
      <c r="E44" s="669"/>
      <c r="F44" s="669"/>
      <c r="G44" s="669"/>
      <c r="H44" s="669"/>
      <c r="I44" s="669"/>
      <c r="J44" s="694"/>
      <c r="K44" s="669"/>
      <c r="L44" s="669"/>
      <c r="M44" s="669"/>
      <c r="N44" s="669"/>
      <c r="O44" s="669"/>
      <c r="P44" s="740"/>
      <c r="T44" s="704"/>
      <c r="V44" s="652"/>
      <c r="AC44" s="656"/>
    </row>
    <row r="45" spans="1:30" ht="12" thickTop="1">
      <c r="A45" s="689"/>
      <c r="B45" s="743" t="s">
        <v>1613</v>
      </c>
      <c r="C45" s="691"/>
      <c r="D45" s="692"/>
      <c r="E45" s="693"/>
      <c r="F45" s="693"/>
      <c r="G45" s="693"/>
      <c r="H45" s="693"/>
      <c r="I45" s="693"/>
      <c r="J45" s="694"/>
      <c r="K45" s="693"/>
      <c r="L45" s="693"/>
      <c r="M45" s="693"/>
      <c r="N45" s="693"/>
      <c r="O45" s="693"/>
      <c r="P45" s="740"/>
      <c r="T45" s="704"/>
      <c r="V45" s="652"/>
      <c r="AC45" s="656"/>
    </row>
    <row r="46" spans="1:30" s="734" customFormat="1">
      <c r="B46" s="748"/>
      <c r="C46" s="749"/>
      <c r="D46" s="662"/>
      <c r="E46" s="693"/>
      <c r="F46" s="693"/>
      <c r="G46" s="693"/>
      <c r="H46" s="693"/>
      <c r="I46" s="693"/>
      <c r="J46" s="694"/>
      <c r="K46" s="693"/>
      <c r="L46" s="693"/>
      <c r="M46" s="693"/>
      <c r="N46" s="693"/>
      <c r="O46" s="693"/>
      <c r="P46" s="740"/>
      <c r="Q46" s="731"/>
      <c r="R46" s="731"/>
      <c r="S46" s="731"/>
      <c r="T46" s="750"/>
      <c r="V46" s="751"/>
      <c r="W46" s="732"/>
      <c r="X46" s="752"/>
      <c r="Y46" s="753"/>
      <c r="Z46" s="751"/>
      <c r="AB46" s="754"/>
      <c r="AC46" s="754"/>
    </row>
    <row r="47" spans="1:30" s="734" customFormat="1">
      <c r="A47" s="755">
        <v>2120</v>
      </c>
      <c r="B47" s="710">
        <v>2585</v>
      </c>
      <c r="C47" s="711" t="s">
        <v>1614</v>
      </c>
      <c r="D47" s="709" t="s">
        <v>1615</v>
      </c>
      <c r="E47" s="712">
        <v>1902.43</v>
      </c>
      <c r="F47" s="712">
        <v>18.220000000000002</v>
      </c>
      <c r="G47" s="712">
        <v>97</v>
      </c>
      <c r="H47" s="712">
        <v>48</v>
      </c>
      <c r="I47" s="712">
        <v>0</v>
      </c>
      <c r="J47" s="744">
        <v>36553.739500000003</v>
      </c>
      <c r="K47" s="712">
        <v>544.85</v>
      </c>
      <c r="L47" s="712">
        <v>1857.0200000000004</v>
      </c>
      <c r="M47" s="712">
        <v>923.2</v>
      </c>
      <c r="N47" s="712">
        <v>2992.5</v>
      </c>
      <c r="O47" s="712">
        <v>0</v>
      </c>
      <c r="P47" s="714">
        <f t="shared" ref="P47:P49" si="35">SUM(J47:O47)</f>
        <v>42871.309500000003</v>
      </c>
      <c r="Q47" s="651">
        <f t="shared" ref="Q47:Q49" si="36">SUM(E47:I47)</f>
        <v>2065.65</v>
      </c>
      <c r="R47" s="651">
        <f t="shared" ref="R47:R49" si="37">G47+H47+I47</f>
        <v>145</v>
      </c>
      <c r="S47" s="703">
        <f t="shared" ref="S47:S49" si="38">Q47-R47</f>
        <v>1920.65</v>
      </c>
      <c r="T47" s="704"/>
      <c r="V47" s="695">
        <f t="shared" ref="V47:V48" si="39">SUM(J47,L47:M47)*($AH$6/365)</f>
        <v>13255.005530136985</v>
      </c>
      <c r="W47" s="715">
        <v>42309</v>
      </c>
      <c r="X47" s="706">
        <v>0.02</v>
      </c>
      <c r="Y47" s="695">
        <f t="shared" ref="Y47:Y48" si="40">V47*X47</f>
        <v>265.10011060273968</v>
      </c>
      <c r="Z47" s="698"/>
      <c r="AA47" s="651">
        <f t="shared" ref="AA47:AA48" si="41">SUM(J47,L47:M47)+Y47</f>
        <v>39599.059610602737</v>
      </c>
      <c r="AB47" s="715">
        <v>42675</v>
      </c>
      <c r="AC47" s="708">
        <v>0.02</v>
      </c>
      <c r="AD47" s="695">
        <f t="shared" ref="AD47:AD48" si="42">AA47*AC47</f>
        <v>791.98119221205479</v>
      </c>
    </row>
    <row r="48" spans="1:30" s="734" customFormat="1">
      <c r="A48" s="755">
        <v>2120</v>
      </c>
      <c r="B48" s="710">
        <v>18044</v>
      </c>
      <c r="C48" s="711" t="s">
        <v>1616</v>
      </c>
      <c r="D48" s="709" t="s">
        <v>1617</v>
      </c>
      <c r="E48" s="712">
        <v>1273.17</v>
      </c>
      <c r="F48" s="712">
        <v>0</v>
      </c>
      <c r="G48" s="712">
        <v>46</v>
      </c>
      <c r="H48" s="712">
        <v>48</v>
      </c>
      <c r="I48" s="712">
        <v>0</v>
      </c>
      <c r="J48" s="744">
        <v>19554.200000000004</v>
      </c>
      <c r="K48" s="712">
        <v>0</v>
      </c>
      <c r="L48" s="712">
        <v>705.31999999999994</v>
      </c>
      <c r="M48" s="712">
        <v>737.76</v>
      </c>
      <c r="N48" s="712">
        <v>3823.75</v>
      </c>
      <c r="O48" s="712">
        <v>0</v>
      </c>
      <c r="P48" s="714">
        <f t="shared" si="35"/>
        <v>24821.030000000002</v>
      </c>
      <c r="Q48" s="651">
        <f t="shared" si="36"/>
        <v>1367.17</v>
      </c>
      <c r="R48" s="651">
        <f t="shared" si="37"/>
        <v>94</v>
      </c>
      <c r="S48" s="703">
        <f t="shared" si="38"/>
        <v>1273.17</v>
      </c>
      <c r="T48" s="704"/>
      <c r="V48" s="695">
        <f t="shared" si="39"/>
        <v>7075.7957260273979</v>
      </c>
      <c r="W48" s="715">
        <v>42309</v>
      </c>
      <c r="X48" s="706">
        <v>0.02</v>
      </c>
      <c r="Y48" s="695">
        <f t="shared" si="40"/>
        <v>141.51591452054797</v>
      </c>
      <c r="Z48" s="698"/>
      <c r="AA48" s="651">
        <f t="shared" si="41"/>
        <v>21138.79591452055</v>
      </c>
      <c r="AB48" s="715">
        <v>42675</v>
      </c>
      <c r="AC48" s="708">
        <v>0.02</v>
      </c>
      <c r="AD48" s="695">
        <f t="shared" si="42"/>
        <v>422.77591829041103</v>
      </c>
    </row>
    <row r="49" spans="1:35" s="734" customFormat="1">
      <c r="B49" s="736"/>
      <c r="C49" s="737"/>
      <c r="D49" s="699"/>
      <c r="E49" s="712"/>
      <c r="F49" s="712"/>
      <c r="G49" s="712"/>
      <c r="H49" s="712"/>
      <c r="I49" s="712"/>
      <c r="J49" s="713"/>
      <c r="K49" s="712"/>
      <c r="L49" s="712"/>
      <c r="M49" s="712"/>
      <c r="N49" s="712"/>
      <c r="O49" s="712"/>
      <c r="P49" s="714">
        <f t="shared" si="35"/>
        <v>0</v>
      </c>
      <c r="Q49" s="651">
        <f t="shared" si="36"/>
        <v>0</v>
      </c>
      <c r="R49" s="651">
        <f t="shared" si="37"/>
        <v>0</v>
      </c>
      <c r="S49" s="703">
        <f t="shared" si="38"/>
        <v>0</v>
      </c>
      <c r="T49" s="704"/>
      <c r="V49" s="695"/>
      <c r="W49" s="715"/>
      <c r="X49" s="706"/>
      <c r="Y49" s="738"/>
      <c r="Z49" s="751"/>
      <c r="AA49" s="651"/>
      <c r="AB49" s="715"/>
      <c r="AC49" s="708"/>
      <c r="AD49" s="695"/>
    </row>
    <row r="50" spans="1:35" s="756" customFormat="1">
      <c r="B50" s="648"/>
      <c r="C50" s="739" t="s">
        <v>1618</v>
      </c>
      <c r="D50" s="661"/>
      <c r="E50" s="720">
        <f t="shared" ref="E50:O50" si="43">SUM(E47:E49)</f>
        <v>3175.6000000000004</v>
      </c>
      <c r="F50" s="721">
        <f t="shared" si="43"/>
        <v>18.220000000000002</v>
      </c>
      <c r="G50" s="721">
        <f t="shared" si="43"/>
        <v>143</v>
      </c>
      <c r="H50" s="721">
        <f t="shared" si="43"/>
        <v>96</v>
      </c>
      <c r="I50" s="721">
        <f t="shared" si="43"/>
        <v>0</v>
      </c>
      <c r="J50" s="720">
        <f t="shared" si="43"/>
        <v>56107.939500000008</v>
      </c>
      <c r="K50" s="721">
        <f t="shared" si="43"/>
        <v>544.85</v>
      </c>
      <c r="L50" s="721">
        <f t="shared" si="43"/>
        <v>2562.34</v>
      </c>
      <c r="M50" s="721">
        <f t="shared" si="43"/>
        <v>1660.96</v>
      </c>
      <c r="N50" s="721">
        <f t="shared" si="43"/>
        <v>6816.25</v>
      </c>
      <c r="O50" s="721">
        <f t="shared" si="43"/>
        <v>0</v>
      </c>
      <c r="P50" s="722">
        <f t="shared" ref="P50" si="44">SUM(J50:O50)</f>
        <v>67692.339500000002</v>
      </c>
      <c r="Q50" s="735">
        <f>SUM(Q47:Q49)</f>
        <v>3432.82</v>
      </c>
      <c r="R50" s="735">
        <f>SUM(R47:R49)</f>
        <v>239</v>
      </c>
      <c r="S50" s="735">
        <f>SUM(S47:S49)</f>
        <v>3193.82</v>
      </c>
      <c r="T50" s="735"/>
      <c r="U50" s="648"/>
      <c r="V50" s="652"/>
      <c r="W50" s="653"/>
      <c r="X50" s="654"/>
      <c r="Y50" s="746">
        <f>SUM(Y47:Y49)</f>
        <v>406.61602512328761</v>
      </c>
      <c r="Z50" s="716"/>
      <c r="AA50" s="648"/>
      <c r="AB50" s="656"/>
      <c r="AC50" s="656"/>
      <c r="AD50" s="746">
        <f>SUM(AD47:AD49)</f>
        <v>1214.7571105024658</v>
      </c>
      <c r="AE50" s="742"/>
    </row>
    <row r="51" spans="1:35">
      <c r="E51" s="669"/>
      <c r="F51" s="669"/>
      <c r="G51" s="669"/>
      <c r="H51" s="669"/>
      <c r="I51" s="669"/>
      <c r="J51" s="694"/>
      <c r="K51" s="669"/>
      <c r="L51" s="669"/>
      <c r="M51" s="669"/>
      <c r="N51" s="669"/>
      <c r="O51" s="669"/>
      <c r="P51" s="740"/>
      <c r="T51" s="704"/>
      <c r="V51" s="652"/>
      <c r="AC51" s="656"/>
    </row>
    <row r="52" spans="1:35" ht="12" thickBot="1">
      <c r="C52" s="739"/>
      <c r="E52" s="669"/>
      <c r="F52" s="669"/>
      <c r="G52" s="669"/>
      <c r="H52" s="669"/>
      <c r="I52" s="669"/>
      <c r="J52" s="694"/>
      <c r="K52" s="669"/>
      <c r="L52" s="669"/>
      <c r="M52" s="669"/>
      <c r="N52" s="669"/>
      <c r="O52" s="669"/>
      <c r="P52" s="740"/>
      <c r="Q52" s="735"/>
      <c r="R52" s="735"/>
      <c r="S52" s="735"/>
      <c r="T52" s="757"/>
      <c r="V52" s="652"/>
      <c r="AC52" s="656"/>
    </row>
    <row r="53" spans="1:35" ht="12" thickTop="1">
      <c r="A53" s="691"/>
      <c r="B53" s="758"/>
      <c r="C53" s="689" t="s">
        <v>1619</v>
      </c>
      <c r="D53" s="692"/>
      <c r="E53" s="693"/>
      <c r="F53" s="693"/>
      <c r="G53" s="693"/>
      <c r="H53" s="693"/>
      <c r="I53" s="693"/>
      <c r="J53" s="694"/>
      <c r="K53" s="693"/>
      <c r="L53" s="693"/>
      <c r="M53" s="693"/>
      <c r="N53" s="693"/>
      <c r="O53" s="693"/>
      <c r="P53" s="740"/>
      <c r="Q53" s="735"/>
      <c r="R53" s="735"/>
      <c r="S53" s="735"/>
      <c r="T53" s="757"/>
      <c r="V53" s="652"/>
      <c r="AC53" s="656"/>
    </row>
    <row r="54" spans="1:35">
      <c r="B54" s="699"/>
      <c r="C54" s="699"/>
      <c r="D54" s="650"/>
      <c r="E54" s="669"/>
      <c r="F54" s="669"/>
      <c r="G54" s="669"/>
      <c r="H54" s="669"/>
      <c r="I54" s="669"/>
      <c r="J54" s="694"/>
      <c r="K54" s="669"/>
      <c r="L54" s="669"/>
      <c r="M54" s="669"/>
      <c r="N54" s="669"/>
      <c r="O54" s="669"/>
      <c r="P54" s="740"/>
      <c r="S54" s="703"/>
      <c r="T54" s="704"/>
      <c r="V54" s="652"/>
      <c r="X54" s="706"/>
      <c r="Y54" s="707">
        <f t="shared" ref="Y54:Y55" si="45">V54*X54</f>
        <v>0</v>
      </c>
      <c r="AA54" s="651"/>
      <c r="AB54" s="717"/>
      <c r="AC54" s="708"/>
      <c r="AD54" s="651">
        <f t="shared" ref="AD54:AD55" si="46">AA54*AC54</f>
        <v>0</v>
      </c>
    </row>
    <row r="55" spans="1:35">
      <c r="A55" s="755">
        <v>2120</v>
      </c>
      <c r="B55" s="710">
        <v>54760</v>
      </c>
      <c r="C55" s="711" t="s">
        <v>1620</v>
      </c>
      <c r="D55" s="709" t="s">
        <v>1621</v>
      </c>
      <c r="E55" s="712">
        <v>2080</v>
      </c>
      <c r="F55" s="712">
        <v>0</v>
      </c>
      <c r="G55" s="712">
        <v>0</v>
      </c>
      <c r="H55" s="712">
        <v>0</v>
      </c>
      <c r="I55" s="721">
        <v>0</v>
      </c>
      <c r="J55" s="744">
        <v>67587.5</v>
      </c>
      <c r="K55" s="712">
        <v>0</v>
      </c>
      <c r="L55" s="712">
        <v>0</v>
      </c>
      <c r="M55" s="712">
        <v>0</v>
      </c>
      <c r="N55" s="712">
        <v>0</v>
      </c>
      <c r="O55" s="712">
        <v>0</v>
      </c>
      <c r="P55" s="714">
        <f t="shared" ref="P55:P56" si="47">SUM(J55:O55)</f>
        <v>67587.5</v>
      </c>
      <c r="Q55" s="651">
        <f t="shared" ref="Q55:Q56" si="48">SUM(E55:I55)</f>
        <v>2080</v>
      </c>
      <c r="R55" s="651">
        <f t="shared" ref="R55:R56" si="49">G55+H55+I55</f>
        <v>0</v>
      </c>
      <c r="S55" s="703">
        <f t="shared" ref="S55:S56" si="50">Q55-R55</f>
        <v>2080</v>
      </c>
      <c r="T55" s="704"/>
      <c r="V55" s="695">
        <f t="shared" ref="V55" si="51">SUM(J55,L55:M55)*($AH$6/365)</f>
        <v>22776.061643835616</v>
      </c>
      <c r="W55" s="715">
        <v>42309</v>
      </c>
      <c r="X55" s="706">
        <v>0.02</v>
      </c>
      <c r="Y55" s="695">
        <f t="shared" si="45"/>
        <v>455.5212328767123</v>
      </c>
      <c r="Z55" s="698"/>
      <c r="AA55" s="651">
        <f t="shared" ref="AA55" si="52">SUM(J55,L55:M55)+Y55</f>
        <v>68043.021232876708</v>
      </c>
      <c r="AB55" s="715">
        <v>42675</v>
      </c>
      <c r="AC55" s="708">
        <v>0.02</v>
      </c>
      <c r="AD55" s="695">
        <f t="shared" si="46"/>
        <v>1360.8604246575342</v>
      </c>
    </row>
    <row r="56" spans="1:35">
      <c r="A56" s="699"/>
      <c r="B56" s="736"/>
      <c r="C56" s="737"/>
      <c r="D56" s="699"/>
      <c r="E56" s="712"/>
      <c r="F56" s="712"/>
      <c r="G56" s="712"/>
      <c r="H56" s="712"/>
      <c r="I56" s="712"/>
      <c r="J56" s="713"/>
      <c r="K56" s="712"/>
      <c r="L56" s="712"/>
      <c r="M56" s="712"/>
      <c r="N56" s="712"/>
      <c r="O56" s="712"/>
      <c r="P56" s="714">
        <f t="shared" si="47"/>
        <v>0</v>
      </c>
      <c r="Q56" s="651">
        <f t="shared" si="48"/>
        <v>0</v>
      </c>
      <c r="R56" s="651">
        <f t="shared" si="49"/>
        <v>0</v>
      </c>
      <c r="S56" s="703">
        <f t="shared" si="50"/>
        <v>0</v>
      </c>
      <c r="T56" s="704"/>
      <c r="V56" s="695">
        <f>SUM(J56,L56:M56)*($AH$6/365)</f>
        <v>0</v>
      </c>
      <c r="W56" s="715"/>
      <c r="X56" s="706"/>
      <c r="Y56" s="707"/>
      <c r="AA56" s="651"/>
      <c r="AB56" s="715"/>
      <c r="AC56" s="659"/>
      <c r="AD56" s="695"/>
    </row>
    <row r="57" spans="1:35">
      <c r="C57" s="739" t="s">
        <v>1622</v>
      </c>
      <c r="E57" s="720">
        <f t="shared" ref="E57:O57" si="53">SUM(E54:E56)</f>
        <v>2080</v>
      </c>
      <c r="F57" s="721">
        <f t="shared" si="53"/>
        <v>0</v>
      </c>
      <c r="G57" s="721">
        <f t="shared" si="53"/>
        <v>0</v>
      </c>
      <c r="H57" s="721">
        <f t="shared" si="53"/>
        <v>0</v>
      </c>
      <c r="I57" s="721">
        <f t="shared" si="53"/>
        <v>0</v>
      </c>
      <c r="J57" s="720">
        <f t="shared" si="53"/>
        <v>67587.5</v>
      </c>
      <c r="K57" s="721">
        <f t="shared" si="53"/>
        <v>0</v>
      </c>
      <c r="L57" s="721">
        <f t="shared" si="53"/>
        <v>0</v>
      </c>
      <c r="M57" s="721">
        <f t="shared" si="53"/>
        <v>0</v>
      </c>
      <c r="N57" s="721">
        <f t="shared" si="53"/>
        <v>0</v>
      </c>
      <c r="O57" s="721">
        <f t="shared" si="53"/>
        <v>0</v>
      </c>
      <c r="P57" s="722">
        <f t="shared" ref="P57" si="54">SUM(J57:O57)</f>
        <v>67587.5</v>
      </c>
      <c r="Q57" s="735">
        <f>SUM(Q55:Q56)</f>
        <v>2080</v>
      </c>
      <c r="R57" s="735">
        <f>SUM(R55:R56)</f>
        <v>0</v>
      </c>
      <c r="S57" s="735">
        <f>SUM(S55:S56)</f>
        <v>2080</v>
      </c>
      <c r="T57" s="735"/>
      <c r="V57" s="652"/>
      <c r="Y57" s="759">
        <f>SUM(Y54:Y56)</f>
        <v>455.5212328767123</v>
      </c>
      <c r="AD57" s="747">
        <f>SUM(AD54:AD56)</f>
        <v>1360.8604246575342</v>
      </c>
    </row>
    <row r="58" spans="1:35">
      <c r="E58" s="669"/>
      <c r="F58" s="669"/>
      <c r="G58" s="669"/>
      <c r="H58" s="669"/>
      <c r="I58" s="669"/>
      <c r="J58" s="694"/>
      <c r="K58" s="669"/>
      <c r="L58" s="669"/>
      <c r="M58" s="669"/>
      <c r="N58" s="669"/>
      <c r="O58" s="669"/>
      <c r="P58" s="740"/>
      <c r="T58" s="704"/>
      <c r="V58" s="652"/>
      <c r="AE58" s="760"/>
    </row>
    <row r="59" spans="1:35">
      <c r="E59" s="720"/>
      <c r="F59" s="721"/>
      <c r="G59" s="721"/>
      <c r="H59" s="721"/>
      <c r="I59" s="721"/>
      <c r="J59" s="720"/>
      <c r="K59" s="721"/>
      <c r="L59" s="721"/>
      <c r="M59" s="721"/>
      <c r="N59" s="721"/>
      <c r="O59" s="721"/>
      <c r="P59" s="722"/>
      <c r="T59" s="704"/>
      <c r="V59" s="652"/>
      <c r="AE59" s="760"/>
    </row>
    <row r="60" spans="1:35">
      <c r="C60" s="739" t="s">
        <v>1623</v>
      </c>
      <c r="E60" s="720">
        <f>E57+E50+E43+E35+E27</f>
        <v>28287.5</v>
      </c>
      <c r="F60" s="721">
        <f t="shared" ref="F60:S60" si="55">F57+F50+F43+F35+F27</f>
        <v>1032.5999999999999</v>
      </c>
      <c r="G60" s="721">
        <f t="shared" si="55"/>
        <v>1513.5</v>
      </c>
      <c r="H60" s="721">
        <f t="shared" si="55"/>
        <v>600</v>
      </c>
      <c r="I60" s="721">
        <f t="shared" si="55"/>
        <v>30</v>
      </c>
      <c r="J60" s="720">
        <f t="shared" si="55"/>
        <v>577845.38959999988</v>
      </c>
      <c r="K60" s="721">
        <f t="shared" si="55"/>
        <v>31120.16</v>
      </c>
      <c r="L60" s="721">
        <f t="shared" si="55"/>
        <v>29860.86</v>
      </c>
      <c r="M60" s="721">
        <f t="shared" si="55"/>
        <v>11617.279999999999</v>
      </c>
      <c r="N60" s="721">
        <f t="shared" si="55"/>
        <v>21619.66</v>
      </c>
      <c r="O60" s="721">
        <f t="shared" si="55"/>
        <v>538.20000000000005</v>
      </c>
      <c r="P60" s="722">
        <f t="shared" si="55"/>
        <v>672601.54959999991</v>
      </c>
      <c r="Q60" s="761">
        <f t="shared" si="55"/>
        <v>31463.599999999995</v>
      </c>
      <c r="R60" s="762"/>
      <c r="S60" s="762">
        <f t="shared" si="55"/>
        <v>29320.1</v>
      </c>
      <c r="T60" s="763"/>
      <c r="Y60" s="759">
        <f t="shared" ref="Y60" si="56">Y57+Y50+Y43+Y35+Y27</f>
        <v>4152.8624093589042</v>
      </c>
      <c r="AD60" s="759">
        <f t="shared" ref="AD60" si="57">AD57+AD50+AD43+AD35+AD27</f>
        <v>10693.033238784439</v>
      </c>
      <c r="AE60" s="764"/>
      <c r="AF60" s="651"/>
      <c r="AG60" s="651"/>
      <c r="AH60" s="651"/>
      <c r="AI60" s="651"/>
    </row>
    <row r="61" spans="1:35">
      <c r="J61" s="765"/>
      <c r="K61" s="766"/>
      <c r="L61" s="766"/>
      <c r="M61" s="766"/>
      <c r="N61" s="766"/>
      <c r="O61" s="766"/>
      <c r="AE61" s="764"/>
      <c r="AH61" s="651"/>
      <c r="AI61" s="651"/>
    </row>
    <row r="62" spans="1:35">
      <c r="J62" s="661"/>
      <c r="AE62" s="764"/>
      <c r="AH62" s="651"/>
      <c r="AI62" s="651"/>
    </row>
    <row r="63" spans="1:35" ht="12.75" customHeight="1">
      <c r="A63" s="1156" t="s">
        <v>1624</v>
      </c>
      <c r="B63" s="1156"/>
      <c r="C63" s="1156"/>
      <c r="D63" s="1156"/>
      <c r="E63" s="767"/>
      <c r="F63" s="767"/>
      <c r="G63" s="767"/>
      <c r="H63" s="767"/>
      <c r="I63" s="767"/>
      <c r="J63" s="768"/>
      <c r="K63" s="767"/>
      <c r="L63" s="767"/>
      <c r="M63" s="767"/>
      <c r="N63" s="767"/>
      <c r="O63" s="767"/>
      <c r="P63" s="767"/>
      <c r="Q63" s="731"/>
      <c r="R63" s="731"/>
      <c r="S63" s="731"/>
      <c r="AE63" s="764"/>
      <c r="AH63" s="651"/>
      <c r="AI63" s="651"/>
    </row>
    <row r="64" spans="1:35">
      <c r="J64" s="769"/>
      <c r="AE64" s="764"/>
      <c r="AH64" s="651"/>
      <c r="AI64" s="651"/>
    </row>
    <row r="65" spans="1:32">
      <c r="A65" s="770"/>
      <c r="B65" s="770"/>
      <c r="C65" s="771" t="s">
        <v>1625</v>
      </c>
      <c r="D65" s="772"/>
      <c r="E65" s="772"/>
      <c r="F65" s="772"/>
      <c r="G65" s="772"/>
      <c r="H65" s="772"/>
      <c r="I65" s="772"/>
      <c r="J65" s="772"/>
      <c r="K65" s="772"/>
      <c r="L65" s="772"/>
      <c r="M65" s="772"/>
      <c r="N65" s="772"/>
      <c r="O65" s="772"/>
      <c r="P65" s="773">
        <f>P27</f>
        <v>453132.37019999995</v>
      </c>
      <c r="Q65" s="763"/>
      <c r="R65" s="774"/>
      <c r="S65" s="774"/>
      <c r="T65" s="775"/>
      <c r="U65" s="776"/>
      <c r="V65" s="776"/>
      <c r="W65" s="777"/>
      <c r="X65" s="778"/>
      <c r="Y65" s="779"/>
      <c r="Z65" s="775"/>
      <c r="AA65" s="776"/>
      <c r="AB65" s="780"/>
      <c r="AC65" s="776"/>
      <c r="AE65" s="781"/>
    </row>
    <row r="66" spans="1:32" ht="13.5" customHeight="1">
      <c r="Q66" s="774"/>
      <c r="R66" s="1157"/>
      <c r="S66" s="1157"/>
      <c r="T66" s="1157"/>
      <c r="U66" s="1157"/>
      <c r="V66" s="1157"/>
      <c r="W66" s="1157"/>
      <c r="X66" s="1157"/>
      <c r="Y66" s="1157"/>
      <c r="Z66" s="1157"/>
      <c r="AA66" s="1157"/>
      <c r="AB66" s="760"/>
      <c r="AC66" s="760"/>
      <c r="AE66" s="781"/>
    </row>
    <row r="67" spans="1:32">
      <c r="D67" s="782" t="s">
        <v>1626</v>
      </c>
      <c r="P67" s="783">
        <v>9692.8200000000033</v>
      </c>
      <c r="Q67" s="774"/>
      <c r="R67" s="776"/>
      <c r="S67" s="748"/>
      <c r="T67" s="784"/>
      <c r="U67" s="784"/>
      <c r="V67" s="776"/>
      <c r="W67" s="748"/>
      <c r="X67" s="785"/>
      <c r="Y67" s="748"/>
      <c r="Z67" s="775"/>
      <c r="AA67" s="748"/>
      <c r="AB67" s="780"/>
      <c r="AC67" s="776"/>
      <c r="AE67" s="781"/>
    </row>
    <row r="68" spans="1:32">
      <c r="D68" s="786" t="s">
        <v>1627</v>
      </c>
      <c r="Q68" s="774"/>
      <c r="R68" s="787"/>
      <c r="S68" s="774"/>
      <c r="T68" s="774"/>
      <c r="U68" s="774"/>
      <c r="V68" s="776"/>
      <c r="W68" s="774"/>
      <c r="X68" s="788"/>
      <c r="Y68" s="779"/>
      <c r="Z68" s="775"/>
      <c r="AA68" s="774"/>
      <c r="AB68" s="780"/>
      <c r="AC68" s="789"/>
      <c r="AE68" s="781"/>
    </row>
    <row r="69" spans="1:32">
      <c r="D69" s="782"/>
      <c r="P69" s="790"/>
      <c r="Q69" s="774"/>
      <c r="R69" s="787"/>
      <c r="S69" s="774"/>
      <c r="T69" s="774"/>
      <c r="U69" s="774"/>
      <c r="V69" s="776"/>
      <c r="W69" s="777"/>
      <c r="X69" s="778"/>
      <c r="Y69" s="779"/>
      <c r="Z69" s="775"/>
      <c r="AA69" s="774"/>
      <c r="AB69" s="780"/>
      <c r="AC69" s="789"/>
      <c r="AE69" s="781"/>
    </row>
    <row r="70" spans="1:32">
      <c r="D70" s="782"/>
      <c r="Q70" s="774"/>
      <c r="R70" s="787"/>
      <c r="S70" s="774"/>
      <c r="T70" s="774"/>
      <c r="U70" s="774"/>
      <c r="V70" s="776"/>
      <c r="W70" s="777"/>
      <c r="X70" s="778"/>
      <c r="Y70" s="779"/>
      <c r="Z70" s="775"/>
      <c r="AA70" s="774"/>
      <c r="AB70" s="780"/>
      <c r="AC70" s="789"/>
      <c r="AE70" s="781"/>
    </row>
    <row r="71" spans="1:32">
      <c r="D71" s="648"/>
      <c r="E71" s="661"/>
      <c r="F71" s="661"/>
      <c r="G71" s="661"/>
      <c r="H71" s="661"/>
      <c r="I71" s="661"/>
      <c r="J71" s="661"/>
      <c r="K71" s="661"/>
      <c r="L71" s="661"/>
      <c r="M71" s="661"/>
      <c r="N71" s="661"/>
      <c r="O71" s="661"/>
      <c r="P71" s="791" t="s">
        <v>1628</v>
      </c>
      <c r="Q71" s="774"/>
      <c r="R71" s="792"/>
      <c r="S71" s="774"/>
      <c r="T71" s="774"/>
      <c r="U71" s="774"/>
      <c r="V71" s="776"/>
      <c r="W71" s="775"/>
      <c r="X71" s="788"/>
      <c r="Y71" s="792"/>
      <c r="Z71" s="776"/>
      <c r="AA71" s="774"/>
      <c r="AB71" s="776"/>
      <c r="AC71" s="789"/>
      <c r="AE71" s="660"/>
    </row>
    <row r="72" spans="1:32">
      <c r="C72" s="793">
        <v>50020</v>
      </c>
      <c r="D72" s="793" t="s">
        <v>39</v>
      </c>
      <c r="E72" s="794"/>
      <c r="F72" s="794"/>
      <c r="G72" s="794"/>
      <c r="H72" s="794"/>
      <c r="I72" s="794"/>
      <c r="J72" s="794"/>
      <c r="K72" s="794"/>
      <c r="L72" s="794"/>
      <c r="M72" s="794"/>
      <c r="N72" s="794"/>
      <c r="O72" s="794"/>
      <c r="P72" s="774">
        <f>'Consolidated IS'!C54</f>
        <v>392880.13999999996</v>
      </c>
      <c r="Q72" s="774"/>
      <c r="R72" s="792"/>
      <c r="S72" s="774"/>
      <c r="T72" s="774"/>
      <c r="U72" s="774"/>
      <c r="V72" s="776"/>
      <c r="W72" s="775"/>
      <c r="X72" s="788"/>
      <c r="Y72" s="792"/>
      <c r="Z72" s="776"/>
      <c r="AA72" s="774"/>
      <c r="AB72" s="795"/>
      <c r="AC72" s="795"/>
      <c r="AE72" s="660"/>
    </row>
    <row r="73" spans="1:32">
      <c r="C73" s="793">
        <v>50025</v>
      </c>
      <c r="D73" s="793" t="s">
        <v>146</v>
      </c>
      <c r="E73" s="794"/>
      <c r="F73" s="794"/>
      <c r="G73" s="794"/>
      <c r="H73" s="794"/>
      <c r="I73" s="794"/>
      <c r="J73" s="794"/>
      <c r="K73" s="794"/>
      <c r="L73" s="794"/>
      <c r="M73" s="794"/>
      <c r="N73" s="794"/>
      <c r="O73" s="794"/>
      <c r="P73" s="774">
        <f>'Consolidated IS'!C55</f>
        <v>29474.19</v>
      </c>
      <c r="Q73" s="774"/>
      <c r="R73" s="792"/>
      <c r="S73" s="774"/>
      <c r="T73" s="774"/>
      <c r="U73" s="774"/>
      <c r="V73" s="776"/>
      <c r="W73" s="776"/>
      <c r="X73" s="788"/>
      <c r="Y73" s="792"/>
      <c r="Z73" s="776"/>
      <c r="AA73" s="774"/>
      <c r="AB73" s="776"/>
      <c r="AC73" s="776"/>
      <c r="AE73" s="660"/>
    </row>
    <row r="74" spans="1:32">
      <c r="C74" s="793">
        <v>50035</v>
      </c>
      <c r="D74" s="796" t="s">
        <v>147</v>
      </c>
      <c r="E74" s="794"/>
      <c r="F74" s="794"/>
      <c r="G74" s="794"/>
      <c r="H74" s="794"/>
      <c r="I74" s="794"/>
      <c r="J74" s="794"/>
      <c r="K74" s="794"/>
      <c r="L74" s="794"/>
      <c r="M74" s="794"/>
      <c r="N74" s="794"/>
      <c r="O74" s="794"/>
      <c r="P74" s="774">
        <f>'Consolidated IS'!C56</f>
        <v>16769</v>
      </c>
      <c r="Q74" s="774"/>
      <c r="R74" s="787"/>
      <c r="S74" s="774"/>
      <c r="T74" s="774"/>
      <c r="U74" s="774"/>
      <c r="V74" s="776"/>
      <c r="W74" s="775"/>
      <c r="X74" s="788"/>
      <c r="Y74" s="792"/>
      <c r="Z74" s="776"/>
      <c r="AA74" s="774"/>
      <c r="AB74" s="780"/>
      <c r="AC74" s="776"/>
      <c r="AE74" s="764"/>
    </row>
    <row r="75" spans="1:32">
      <c r="C75" s="793">
        <v>50065</v>
      </c>
      <c r="D75" s="793" t="s">
        <v>26</v>
      </c>
      <c r="E75" s="794"/>
      <c r="F75" s="794"/>
      <c r="G75" s="794"/>
      <c r="H75" s="794"/>
      <c r="I75" s="794"/>
      <c r="J75" s="794"/>
      <c r="K75" s="794"/>
      <c r="L75" s="794"/>
      <c r="M75" s="794"/>
      <c r="N75" s="794"/>
      <c r="O75" s="794"/>
      <c r="P75" s="774">
        <f>'Consolidated IS'!C57</f>
        <v>19842.159999999996</v>
      </c>
      <c r="Q75" s="774"/>
      <c r="R75" s="787"/>
      <c r="S75" s="763"/>
      <c r="T75" s="763"/>
      <c r="U75" s="763"/>
      <c r="V75" s="763"/>
      <c r="W75" s="763"/>
      <c r="X75" s="797"/>
      <c r="Y75" s="763"/>
      <c r="Z75" s="776"/>
      <c r="AA75" s="763"/>
      <c r="AB75" s="780"/>
      <c r="AC75" s="776"/>
      <c r="AE75" s="781"/>
    </row>
    <row r="76" spans="1:32">
      <c r="C76" s="793">
        <v>50070</v>
      </c>
      <c r="D76" s="793" t="s">
        <v>27</v>
      </c>
      <c r="E76" s="794"/>
      <c r="F76" s="794"/>
      <c r="G76" s="794"/>
      <c r="H76" s="794"/>
      <c r="I76" s="794"/>
      <c r="J76" s="794"/>
      <c r="K76" s="794"/>
      <c r="L76" s="794"/>
      <c r="M76" s="794"/>
      <c r="N76" s="794"/>
      <c r="O76" s="794"/>
      <c r="P76" s="839">
        <f>'Consolidated IS'!C58</f>
        <v>3859.7000000000003</v>
      </c>
      <c r="Q76" s="774"/>
      <c r="R76" s="774"/>
      <c r="S76" s="774"/>
      <c r="T76" s="775"/>
      <c r="U76" s="776"/>
      <c r="V76" s="776"/>
      <c r="W76" s="777"/>
      <c r="X76" s="778"/>
      <c r="Y76" s="792"/>
      <c r="Z76" s="776"/>
      <c r="AA76" s="798"/>
      <c r="AB76" s="780"/>
      <c r="AC76" s="776"/>
      <c r="AE76" s="781"/>
    </row>
    <row r="77" spans="1:32">
      <c r="C77" s="799"/>
      <c r="D77" s="799"/>
      <c r="E77" s="794"/>
      <c r="F77" s="794"/>
      <c r="G77" s="794"/>
      <c r="H77" s="794"/>
      <c r="I77" s="794"/>
      <c r="J77" s="794"/>
      <c r="K77" s="794"/>
      <c r="L77" s="794"/>
      <c r="M77" s="794"/>
      <c r="N77" s="794"/>
      <c r="O77" s="794"/>
      <c r="P77" s="774">
        <f>SUM(P72:P76)</f>
        <v>462825.18999999994</v>
      </c>
      <c r="Q77" s="774"/>
      <c r="R77" s="792"/>
      <c r="S77" s="775"/>
      <c r="T77" s="800"/>
      <c r="U77" s="775"/>
      <c r="V77" s="775"/>
      <c r="W77" s="777"/>
      <c r="X77" s="778"/>
      <c r="Y77" s="779"/>
      <c r="Z77" s="775"/>
      <c r="AA77" s="798"/>
      <c r="AB77" s="780"/>
      <c r="AC77" s="776"/>
      <c r="AE77" s="781"/>
    </row>
    <row r="78" spans="1:32">
      <c r="C78" s="799"/>
      <c r="D78" s="799"/>
      <c r="E78" s="794"/>
      <c r="F78" s="794"/>
      <c r="G78" s="794"/>
      <c r="H78" s="794"/>
      <c r="I78" s="794"/>
      <c r="J78" s="794"/>
      <c r="K78" s="794"/>
      <c r="L78" s="794"/>
      <c r="M78" s="794"/>
      <c r="N78" s="794"/>
      <c r="O78" s="794"/>
      <c r="P78" s="801"/>
      <c r="Q78" s="774"/>
      <c r="R78" s="792"/>
      <c r="S78" s="748"/>
      <c r="T78" s="784"/>
      <c r="U78" s="784"/>
      <c r="V78" s="784"/>
      <c r="W78" s="748"/>
      <c r="X78" s="785"/>
      <c r="Y78" s="748"/>
      <c r="Z78" s="775"/>
      <c r="AA78" s="802"/>
      <c r="AB78" s="780"/>
      <c r="AC78" s="776"/>
      <c r="AE78" s="781"/>
    </row>
    <row r="79" spans="1:32">
      <c r="C79" s="799"/>
      <c r="D79" s="796" t="s">
        <v>244</v>
      </c>
      <c r="E79" s="803"/>
      <c r="F79" s="803"/>
      <c r="G79" s="803"/>
      <c r="H79" s="803"/>
      <c r="I79" s="803"/>
      <c r="J79" s="803"/>
      <c r="K79" s="803"/>
      <c r="L79" s="803"/>
      <c r="M79" s="803"/>
      <c r="N79" s="803"/>
      <c r="O79" s="803"/>
      <c r="P79" s="801">
        <f>P65+P67-P77+P69</f>
        <v>2.0000000949949026E-4</v>
      </c>
      <c r="Q79" s="789">
        <f>P79/P77</f>
        <v>4.3212861750132978E-10</v>
      </c>
      <c r="R79" s="792"/>
      <c r="S79" s="804"/>
      <c r="T79" s="804"/>
      <c r="U79" s="804"/>
      <c r="V79" s="804"/>
      <c r="W79" s="774"/>
      <c r="X79" s="788"/>
      <c r="Y79" s="779"/>
      <c r="Z79" s="775"/>
      <c r="AA79" s="774"/>
      <c r="AB79" s="780"/>
      <c r="AC79" s="776"/>
      <c r="AE79" s="781"/>
      <c r="AF79" s="708"/>
    </row>
    <row r="80" spans="1:32" s="647" customFormat="1">
      <c r="B80" s="648"/>
      <c r="C80" s="648"/>
      <c r="D80" s="649"/>
      <c r="E80" s="649"/>
      <c r="F80" s="649"/>
      <c r="G80" s="649"/>
      <c r="H80" s="649"/>
      <c r="I80" s="649"/>
      <c r="J80" s="649"/>
      <c r="K80" s="649"/>
      <c r="L80" s="649"/>
      <c r="M80" s="649"/>
      <c r="N80" s="649"/>
      <c r="O80" s="649"/>
      <c r="P80" s="774"/>
      <c r="Q80" s="774"/>
      <c r="R80" s="792"/>
      <c r="S80" s="804"/>
      <c r="T80" s="804"/>
      <c r="U80" s="804"/>
      <c r="V80" s="804"/>
      <c r="W80" s="777"/>
      <c r="X80" s="788"/>
      <c r="Y80" s="779"/>
      <c r="Z80" s="775"/>
      <c r="AA80" s="774"/>
      <c r="AB80" s="775"/>
      <c r="AC80" s="775"/>
      <c r="AD80" s="781"/>
      <c r="AE80" s="781"/>
    </row>
    <row r="81" spans="1:33">
      <c r="P81" s="805"/>
      <c r="Q81" s="774"/>
      <c r="R81" s="792"/>
      <c r="S81" s="804"/>
      <c r="T81" s="804"/>
      <c r="U81" s="804"/>
      <c r="V81" s="804"/>
      <c r="W81" s="777"/>
      <c r="X81" s="788"/>
      <c r="Y81" s="779"/>
      <c r="Z81" s="775"/>
      <c r="AA81" s="774"/>
      <c r="AB81" s="775"/>
      <c r="AC81" s="775"/>
      <c r="AD81" s="781"/>
      <c r="AE81" s="781"/>
    </row>
    <row r="82" spans="1:33">
      <c r="A82" s="806"/>
      <c r="B82" s="806"/>
      <c r="C82" s="807" t="s">
        <v>1629</v>
      </c>
      <c r="D82" s="808"/>
      <c r="E82" s="808"/>
      <c r="F82" s="808"/>
      <c r="G82" s="808"/>
      <c r="H82" s="808"/>
      <c r="I82" s="808"/>
      <c r="J82" s="808"/>
      <c r="K82" s="808"/>
      <c r="L82" s="808"/>
      <c r="M82" s="808"/>
      <c r="N82" s="808"/>
      <c r="O82" s="808"/>
      <c r="P82" s="809">
        <f>P35</f>
        <v>84189.339899999977</v>
      </c>
      <c r="Q82" s="810"/>
      <c r="R82" s="792"/>
      <c r="S82" s="804"/>
      <c r="T82" s="804"/>
      <c r="U82" s="804"/>
      <c r="V82" s="804"/>
      <c r="W82" s="774"/>
      <c r="X82" s="788"/>
      <c r="Y82" s="779"/>
      <c r="Z82" s="775"/>
      <c r="AA82" s="774"/>
      <c r="AB82" s="775"/>
      <c r="AC82" s="775"/>
      <c r="AD82" s="781"/>
      <c r="AE82" s="781"/>
    </row>
    <row r="83" spans="1:33">
      <c r="D83" s="648"/>
      <c r="Q83" s="774"/>
      <c r="R83" s="792"/>
      <c r="S83" s="804"/>
      <c r="T83" s="804"/>
      <c r="U83" s="804"/>
      <c r="V83" s="804"/>
      <c r="W83" s="775"/>
      <c r="X83" s="788"/>
      <c r="Y83" s="811"/>
      <c r="Z83" s="777"/>
      <c r="AA83" s="774"/>
      <c r="AB83" s="775"/>
      <c r="AC83" s="775"/>
      <c r="AD83" s="781"/>
      <c r="AE83" s="781"/>
    </row>
    <row r="84" spans="1:33">
      <c r="D84" s="782" t="s">
        <v>1626</v>
      </c>
      <c r="P84" s="783">
        <v>-1674.9699999999998</v>
      </c>
      <c r="Q84" s="774"/>
      <c r="R84" s="792"/>
      <c r="S84" s="804"/>
      <c r="T84" s="804"/>
      <c r="U84" s="804"/>
      <c r="V84" s="804"/>
      <c r="W84" s="775"/>
      <c r="X84" s="788"/>
      <c r="Y84" s="811"/>
      <c r="Z84" s="777"/>
      <c r="AA84" s="774"/>
      <c r="AB84" s="775"/>
      <c r="AC84" s="775"/>
      <c r="AD84" s="781"/>
      <c r="AE84" s="781"/>
    </row>
    <row r="85" spans="1:33">
      <c r="D85" s="782" t="s">
        <v>1630</v>
      </c>
      <c r="Q85" s="774"/>
      <c r="R85" s="792"/>
      <c r="S85" s="804"/>
      <c r="T85" s="804"/>
      <c r="U85" s="804"/>
      <c r="V85" s="804"/>
      <c r="W85" s="775"/>
      <c r="X85" s="788"/>
      <c r="Y85" s="811"/>
      <c r="Z85" s="777"/>
      <c r="AA85" s="774"/>
      <c r="AB85" s="775"/>
      <c r="AC85" s="775"/>
      <c r="AD85" s="781"/>
      <c r="AE85" s="781"/>
    </row>
    <row r="86" spans="1:33">
      <c r="D86" s="782"/>
      <c r="Q86" s="774"/>
      <c r="R86" s="792"/>
      <c r="S86" s="804"/>
      <c r="T86" s="804"/>
      <c r="U86" s="804"/>
      <c r="V86" s="804"/>
      <c r="W86" s="776"/>
      <c r="X86" s="788"/>
      <c r="Y86" s="811"/>
      <c r="Z86" s="777"/>
      <c r="AA86" s="774"/>
      <c r="AB86" s="775"/>
      <c r="AC86" s="776"/>
      <c r="AD86" s="656"/>
    </row>
    <row r="87" spans="1:33">
      <c r="D87" s="648"/>
      <c r="E87" s="661"/>
      <c r="F87" s="661"/>
      <c r="G87" s="661"/>
      <c r="H87" s="661"/>
      <c r="I87" s="661"/>
      <c r="J87" s="661"/>
      <c r="K87" s="661"/>
      <c r="L87" s="661"/>
      <c r="M87" s="661"/>
      <c r="N87" s="661"/>
      <c r="O87" s="661"/>
      <c r="P87" s="791" t="s">
        <v>1628</v>
      </c>
      <c r="Q87" s="774"/>
      <c r="R87" s="774"/>
      <c r="S87" s="774"/>
      <c r="T87" s="774"/>
      <c r="U87" s="774"/>
      <c r="V87" s="774"/>
      <c r="W87" s="774"/>
      <c r="X87" s="788"/>
      <c r="Y87" s="774"/>
      <c r="Z87" s="774"/>
      <c r="AA87" s="774"/>
      <c r="AB87" s="780"/>
      <c r="AC87" s="776"/>
    </row>
    <row r="88" spans="1:33">
      <c r="C88" s="793">
        <v>52010</v>
      </c>
      <c r="D88" s="793" t="s">
        <v>58</v>
      </c>
      <c r="E88" s="661"/>
      <c r="F88" s="661"/>
      <c r="G88" s="661"/>
      <c r="H88" s="661"/>
      <c r="I88" s="661"/>
      <c r="J88" s="661"/>
      <c r="K88" s="661"/>
      <c r="L88" s="661"/>
      <c r="M88" s="661"/>
      <c r="N88" s="661"/>
      <c r="O88" s="661"/>
      <c r="P88" s="774">
        <f>'Consolidated IS'!C20</f>
        <v>28151.769999999997</v>
      </c>
      <c r="Q88" s="774"/>
      <c r="R88" s="774"/>
      <c r="S88" s="774"/>
      <c r="T88" s="775"/>
      <c r="U88" s="776"/>
      <c r="V88" s="776"/>
      <c r="W88" s="777"/>
      <c r="X88" s="778"/>
      <c r="Y88" s="779"/>
      <c r="Z88" s="775"/>
      <c r="AA88" s="776"/>
      <c r="AB88" s="780"/>
      <c r="AC88" s="776"/>
    </row>
    <row r="89" spans="1:33">
      <c r="C89" s="793">
        <v>52020</v>
      </c>
      <c r="D89" s="793" t="s">
        <v>39</v>
      </c>
      <c r="E89" s="794"/>
      <c r="F89" s="794"/>
      <c r="G89" s="794"/>
      <c r="H89" s="794"/>
      <c r="I89" s="794"/>
      <c r="J89" s="794"/>
      <c r="K89" s="794"/>
      <c r="L89" s="794"/>
      <c r="M89" s="794"/>
      <c r="N89" s="794"/>
      <c r="O89" s="794"/>
      <c r="P89" s="774">
        <f>'Consolidated IS'!C21</f>
        <v>50095.74</v>
      </c>
      <c r="Q89" s="774"/>
      <c r="R89" s="774"/>
      <c r="S89" s="774"/>
      <c r="T89" s="775"/>
      <c r="U89" s="776"/>
      <c r="V89" s="776"/>
      <c r="W89" s="777"/>
      <c r="X89" s="778"/>
      <c r="Y89" s="779"/>
      <c r="Z89" s="775"/>
      <c r="AA89" s="776"/>
      <c r="AB89" s="780"/>
      <c r="AC89" s="776"/>
    </row>
    <row r="90" spans="1:33">
      <c r="C90" s="793">
        <v>52025</v>
      </c>
      <c r="D90" s="793" t="s">
        <v>146</v>
      </c>
      <c r="E90" s="794"/>
      <c r="F90" s="794"/>
      <c r="G90" s="794"/>
      <c r="H90" s="794"/>
      <c r="I90" s="794"/>
      <c r="J90" s="794"/>
      <c r="K90" s="794"/>
      <c r="L90" s="794"/>
      <c r="M90" s="794"/>
      <c r="N90" s="794"/>
      <c r="O90" s="794"/>
      <c r="P90" s="774">
        <f>'Consolidated IS'!C22</f>
        <v>1428.79</v>
      </c>
      <c r="Q90" s="774"/>
    </row>
    <row r="91" spans="1:33">
      <c r="C91" s="793">
        <v>52065</v>
      </c>
      <c r="D91" s="793" t="s">
        <v>26</v>
      </c>
      <c r="E91" s="794"/>
      <c r="F91" s="794"/>
      <c r="G91" s="794"/>
      <c r="H91" s="794"/>
      <c r="I91" s="794"/>
      <c r="J91" s="794"/>
      <c r="K91" s="794"/>
      <c r="L91" s="794"/>
      <c r="M91" s="794"/>
      <c r="N91" s="794"/>
      <c r="O91" s="794"/>
      <c r="P91" s="774">
        <f>'Consolidated IS'!C23</f>
        <v>2481.96</v>
      </c>
      <c r="Q91" s="774"/>
      <c r="R91" s="774"/>
    </row>
    <row r="92" spans="1:33">
      <c r="C92" s="793">
        <v>52070</v>
      </c>
      <c r="D92" s="793" t="s">
        <v>27</v>
      </c>
      <c r="E92" s="794"/>
      <c r="F92" s="794"/>
      <c r="G92" s="794"/>
      <c r="H92" s="794"/>
      <c r="I92" s="794"/>
      <c r="J92" s="794"/>
      <c r="K92" s="794"/>
      <c r="L92" s="794"/>
      <c r="M92" s="794"/>
      <c r="N92" s="794"/>
      <c r="O92" s="794"/>
      <c r="P92" s="839">
        <f>'Consolidated IS'!C24</f>
        <v>356.11</v>
      </c>
      <c r="Q92" s="774"/>
      <c r="R92" s="774"/>
    </row>
    <row r="93" spans="1:33">
      <c r="C93" s="799"/>
      <c r="D93" s="799"/>
      <c r="E93" s="794"/>
      <c r="F93" s="794"/>
      <c r="G93" s="794"/>
      <c r="H93" s="794"/>
      <c r="I93" s="794"/>
      <c r="J93" s="794"/>
      <c r="K93" s="794"/>
      <c r="L93" s="794"/>
      <c r="M93" s="794"/>
      <c r="N93" s="794"/>
      <c r="O93" s="794"/>
      <c r="P93" s="774">
        <f>SUM(P88:P92)</f>
        <v>82514.37</v>
      </c>
      <c r="Q93" s="774"/>
      <c r="R93" s="774"/>
    </row>
    <row r="94" spans="1:33">
      <c r="C94" s="799"/>
      <c r="D94" s="799"/>
      <c r="E94" s="794"/>
      <c r="F94" s="794"/>
      <c r="G94" s="794"/>
      <c r="H94" s="794"/>
      <c r="I94" s="794"/>
      <c r="J94" s="794"/>
      <c r="K94" s="794"/>
      <c r="L94" s="794"/>
      <c r="M94" s="794"/>
      <c r="N94" s="794"/>
      <c r="O94" s="794"/>
      <c r="P94" s="801"/>
      <c r="Q94" s="774"/>
      <c r="R94" s="774"/>
    </row>
    <row r="95" spans="1:33">
      <c r="C95" s="799"/>
      <c r="D95" s="812" t="s">
        <v>244</v>
      </c>
      <c r="E95" s="803"/>
      <c r="F95" s="803"/>
      <c r="G95" s="803"/>
      <c r="H95" s="803"/>
      <c r="I95" s="803"/>
      <c r="J95" s="803"/>
      <c r="K95" s="803"/>
      <c r="L95" s="803"/>
      <c r="M95" s="803"/>
      <c r="N95" s="803"/>
      <c r="O95" s="803"/>
      <c r="P95" s="801">
        <f>P82+P84-P93</f>
        <v>-1.0000001930166036E-4</v>
      </c>
      <c r="Q95" s="789">
        <f>P95/P93</f>
        <v>-1.2119103533319151E-9</v>
      </c>
      <c r="R95" s="813"/>
      <c r="AG95" s="659"/>
    </row>
    <row r="96" spans="1:33" s="647" customFormat="1">
      <c r="B96" s="648"/>
      <c r="C96" s="648"/>
      <c r="D96" s="649"/>
      <c r="E96" s="649"/>
      <c r="F96" s="649"/>
      <c r="G96" s="649"/>
      <c r="H96" s="649"/>
      <c r="I96" s="649"/>
      <c r="J96" s="649"/>
      <c r="K96" s="649"/>
      <c r="L96" s="649"/>
      <c r="M96" s="649"/>
      <c r="N96" s="649"/>
      <c r="O96" s="649"/>
      <c r="P96" s="650"/>
      <c r="Q96" s="774"/>
      <c r="R96" s="774"/>
      <c r="S96" s="774"/>
      <c r="T96" s="775"/>
      <c r="U96" s="776"/>
      <c r="V96" s="776"/>
      <c r="W96" s="653"/>
      <c r="X96" s="654"/>
      <c r="Y96" s="655"/>
      <c r="Z96" s="652"/>
      <c r="AA96" s="648"/>
      <c r="AB96" s="656"/>
      <c r="AC96" s="648"/>
      <c r="AD96" s="648"/>
      <c r="AE96" s="781"/>
    </row>
    <row r="97" spans="1:31">
      <c r="Q97" s="774"/>
      <c r="R97" s="774"/>
      <c r="S97" s="774"/>
      <c r="T97" s="775"/>
      <c r="U97" s="776"/>
      <c r="V97" s="776"/>
      <c r="AE97" s="781"/>
    </row>
    <row r="98" spans="1:31" hidden="1">
      <c r="A98" s="806"/>
      <c r="B98" s="806"/>
      <c r="C98" s="807" t="s">
        <v>1631</v>
      </c>
      <c r="D98" s="808"/>
      <c r="E98" s="808"/>
      <c r="F98" s="808"/>
      <c r="G98" s="808"/>
      <c r="H98" s="808"/>
      <c r="I98" s="808"/>
      <c r="J98" s="808"/>
      <c r="K98" s="808"/>
      <c r="L98" s="808"/>
      <c r="M98" s="808"/>
      <c r="N98" s="808"/>
      <c r="O98" s="808"/>
      <c r="P98" s="814"/>
      <c r="Q98" s="810"/>
      <c r="R98" s="810"/>
      <c r="S98" s="810"/>
      <c r="T98" s="815"/>
      <c r="U98" s="816"/>
      <c r="V98" s="816"/>
      <c r="W98" s="647"/>
      <c r="X98" s="817"/>
      <c r="Y98" s="818"/>
      <c r="Z98" s="819"/>
      <c r="AA98" s="781"/>
      <c r="AB98" s="781"/>
      <c r="AC98" s="781"/>
      <c r="AD98" s="781"/>
      <c r="AE98" s="781"/>
    </row>
    <row r="99" spans="1:31" hidden="1">
      <c r="Q99" s="774"/>
      <c r="R99" s="774"/>
      <c r="S99" s="774"/>
      <c r="T99" s="775"/>
      <c r="U99" s="776"/>
      <c r="V99" s="776"/>
      <c r="X99" s="817"/>
      <c r="Y99" s="818"/>
      <c r="Z99" s="819"/>
      <c r="AA99" s="781"/>
      <c r="AB99" s="781"/>
      <c r="AC99" s="781"/>
      <c r="AD99" s="781"/>
      <c r="AE99" s="781"/>
    </row>
    <row r="100" spans="1:31" hidden="1">
      <c r="C100" s="782" t="s">
        <v>1632</v>
      </c>
      <c r="Q100" s="774"/>
      <c r="R100" s="774"/>
      <c r="S100" s="774"/>
      <c r="T100" s="775"/>
      <c r="U100" s="776"/>
      <c r="V100" s="776"/>
      <c r="X100" s="817"/>
      <c r="Y100" s="818"/>
      <c r="Z100" s="819"/>
      <c r="AA100" s="781"/>
      <c r="AB100" s="781"/>
      <c r="AC100" s="781"/>
      <c r="AD100" s="781"/>
      <c r="AE100" s="781"/>
    </row>
    <row r="101" spans="1:31" hidden="1">
      <c r="C101" s="782" t="s">
        <v>1633</v>
      </c>
      <c r="Q101" s="774"/>
      <c r="R101" s="774"/>
      <c r="S101" s="774"/>
      <c r="T101" s="775"/>
      <c r="U101" s="776"/>
      <c r="V101" s="776"/>
      <c r="X101" s="817"/>
      <c r="Y101" s="818"/>
      <c r="Z101" s="819"/>
      <c r="AA101" s="781"/>
      <c r="AB101" s="781"/>
      <c r="AC101" s="781"/>
      <c r="AD101" s="781"/>
      <c r="AE101" s="781"/>
    </row>
    <row r="102" spans="1:31" hidden="1">
      <c r="C102" s="782" t="s">
        <v>1634</v>
      </c>
      <c r="Q102" s="774"/>
      <c r="R102" s="774"/>
      <c r="S102" s="774"/>
      <c r="T102" s="775"/>
      <c r="U102" s="776"/>
      <c r="V102" s="776"/>
      <c r="X102" s="817"/>
      <c r="Y102" s="818"/>
      <c r="Z102" s="819"/>
      <c r="AA102" s="781"/>
      <c r="AB102" s="781"/>
      <c r="AC102" s="781"/>
      <c r="AD102" s="781"/>
      <c r="AE102" s="781"/>
    </row>
    <row r="103" spans="1:31" hidden="1">
      <c r="C103" s="782" t="s">
        <v>1635</v>
      </c>
      <c r="Q103" s="774"/>
      <c r="R103" s="774"/>
      <c r="S103" s="774"/>
      <c r="T103" s="775"/>
      <c r="U103" s="776"/>
      <c r="V103" s="776"/>
      <c r="X103" s="817"/>
      <c r="Y103" s="818"/>
      <c r="Z103" s="819"/>
      <c r="AA103" s="781"/>
      <c r="AB103" s="781"/>
      <c r="AC103" s="781"/>
      <c r="AD103" s="781"/>
      <c r="AE103" s="781"/>
    </row>
    <row r="104" spans="1:31" hidden="1">
      <c r="C104" s="782" t="s">
        <v>1636</v>
      </c>
      <c r="Q104" s="774"/>
      <c r="R104" s="774"/>
      <c r="S104" s="774"/>
      <c r="T104" s="775"/>
      <c r="U104" s="776"/>
      <c r="V104" s="776"/>
      <c r="X104" s="817"/>
      <c r="Y104" s="818"/>
      <c r="Z104" s="819"/>
      <c r="AA104" s="781"/>
      <c r="AB104" s="781"/>
      <c r="AC104" s="781"/>
      <c r="AD104" s="781"/>
    </row>
    <row r="105" spans="1:31" hidden="1">
      <c r="C105" s="782" t="s">
        <v>1637</v>
      </c>
      <c r="Q105" s="774"/>
      <c r="R105" s="774"/>
      <c r="S105" s="774"/>
      <c r="T105" s="775"/>
      <c r="U105" s="776"/>
      <c r="V105" s="776"/>
      <c r="X105" s="817"/>
      <c r="Y105" s="818"/>
      <c r="Z105" s="819"/>
      <c r="AA105" s="781"/>
      <c r="AB105" s="781"/>
      <c r="AC105" s="781"/>
      <c r="AD105" s="781"/>
    </row>
    <row r="106" spans="1:31" hidden="1">
      <c r="C106" s="782" t="s">
        <v>1638</v>
      </c>
      <c r="Q106" s="774"/>
      <c r="R106" s="774"/>
      <c r="S106" s="774"/>
      <c r="T106" s="775"/>
      <c r="U106" s="776"/>
      <c r="V106" s="776"/>
      <c r="Y106" s="820"/>
      <c r="Z106" s="653"/>
      <c r="AA106" s="656"/>
      <c r="AB106" s="652"/>
      <c r="AE106" s="656"/>
    </row>
    <row r="107" spans="1:31" hidden="1">
      <c r="C107" s="782" t="s">
        <v>1639</v>
      </c>
      <c r="Q107" s="774"/>
      <c r="R107" s="774"/>
      <c r="S107" s="774"/>
      <c r="T107" s="775"/>
      <c r="U107" s="776"/>
      <c r="V107" s="776"/>
      <c r="Y107" s="820"/>
      <c r="Z107" s="653"/>
      <c r="AA107" s="656"/>
      <c r="AB107" s="652"/>
    </row>
    <row r="108" spans="1:31" hidden="1">
      <c r="C108" s="782" t="s">
        <v>1640</v>
      </c>
      <c r="Q108" s="774"/>
      <c r="R108" s="774"/>
      <c r="S108" s="774"/>
      <c r="T108" s="775"/>
      <c r="U108" s="776"/>
      <c r="V108" s="776"/>
      <c r="Y108" s="820"/>
      <c r="Z108" s="653"/>
      <c r="AA108" s="656"/>
      <c r="AB108" s="652"/>
      <c r="AD108" s="656"/>
    </row>
    <row r="109" spans="1:31" hidden="1">
      <c r="C109" s="782" t="s">
        <v>1641</v>
      </c>
      <c r="Q109" s="774"/>
      <c r="R109" s="774"/>
      <c r="S109" s="774"/>
      <c r="T109" s="775"/>
      <c r="U109" s="776"/>
      <c r="V109" s="776"/>
    </row>
    <row r="110" spans="1:31" hidden="1">
      <c r="Q110" s="774"/>
      <c r="R110" s="774"/>
      <c r="S110" s="774"/>
      <c r="T110" s="775"/>
      <c r="U110" s="776"/>
      <c r="V110" s="776"/>
    </row>
    <row r="111" spans="1:31" hidden="1">
      <c r="Q111" s="774"/>
      <c r="R111" s="774"/>
      <c r="S111" s="774"/>
      <c r="T111" s="775"/>
      <c r="U111" s="776"/>
      <c r="V111" s="776"/>
    </row>
    <row r="112" spans="1:31" hidden="1">
      <c r="B112" s="793">
        <v>55020</v>
      </c>
      <c r="C112" s="793" t="s">
        <v>39</v>
      </c>
      <c r="D112" s="799"/>
      <c r="E112" s="799"/>
      <c r="F112" s="799"/>
      <c r="G112" s="799"/>
      <c r="H112" s="799"/>
      <c r="I112" s="799"/>
      <c r="J112" s="799"/>
      <c r="K112" s="799"/>
      <c r="L112" s="799"/>
      <c r="M112" s="799"/>
      <c r="N112" s="799"/>
      <c r="O112" s="799"/>
      <c r="P112" s="821"/>
      <c r="Q112" s="774"/>
      <c r="R112" s="774"/>
      <c r="S112" s="774"/>
      <c r="T112" s="775"/>
      <c r="U112" s="776"/>
      <c r="V112" s="776"/>
    </row>
    <row r="113" spans="1:40" hidden="1">
      <c r="B113" s="793">
        <v>55025</v>
      </c>
      <c r="C113" s="793" t="s">
        <v>146</v>
      </c>
      <c r="D113" s="799"/>
      <c r="E113" s="799"/>
      <c r="F113" s="799"/>
      <c r="G113" s="799"/>
      <c r="H113" s="799"/>
      <c r="I113" s="799"/>
      <c r="J113" s="799"/>
      <c r="K113" s="799"/>
      <c r="L113" s="799"/>
      <c r="M113" s="799"/>
      <c r="N113" s="799"/>
      <c r="O113" s="799"/>
      <c r="P113" s="821"/>
      <c r="Q113" s="774"/>
      <c r="R113" s="774"/>
      <c r="S113" s="774"/>
      <c r="T113" s="775"/>
      <c r="U113" s="776"/>
      <c r="V113" s="776"/>
    </row>
    <row r="114" spans="1:40" hidden="1">
      <c r="B114" s="793">
        <v>55035</v>
      </c>
      <c r="C114" s="796" t="s">
        <v>24</v>
      </c>
      <c r="D114" s="799"/>
      <c r="E114" s="799"/>
      <c r="F114" s="799"/>
      <c r="G114" s="799"/>
      <c r="H114" s="799"/>
      <c r="I114" s="799"/>
      <c r="J114" s="799"/>
      <c r="K114" s="799"/>
      <c r="L114" s="799"/>
      <c r="M114" s="799"/>
      <c r="N114" s="799"/>
      <c r="O114" s="799"/>
      <c r="P114" s="821"/>
      <c r="Q114" s="774"/>
      <c r="R114" s="774"/>
      <c r="S114" s="774"/>
      <c r="T114" s="775"/>
      <c r="U114" s="776"/>
      <c r="V114" s="776"/>
    </row>
    <row r="115" spans="1:40" hidden="1">
      <c r="B115" s="793">
        <v>50065</v>
      </c>
      <c r="C115" s="793" t="s">
        <v>26</v>
      </c>
      <c r="D115" s="799"/>
      <c r="E115" s="799"/>
      <c r="F115" s="799"/>
      <c r="G115" s="799"/>
      <c r="H115" s="799"/>
      <c r="I115" s="799"/>
      <c r="J115" s="799"/>
      <c r="K115" s="799"/>
      <c r="L115" s="799"/>
      <c r="M115" s="799"/>
      <c r="N115" s="799"/>
      <c r="O115" s="799"/>
      <c r="P115" s="821"/>
      <c r="Q115" s="774"/>
      <c r="R115" s="774"/>
      <c r="S115" s="774"/>
      <c r="T115" s="775"/>
      <c r="U115" s="776"/>
      <c r="V115" s="776"/>
    </row>
    <row r="116" spans="1:40" hidden="1">
      <c r="B116" s="793">
        <v>55070</v>
      </c>
      <c r="C116" s="793" t="s">
        <v>27</v>
      </c>
      <c r="D116" s="799"/>
      <c r="E116" s="799"/>
      <c r="F116" s="799"/>
      <c r="G116" s="799"/>
      <c r="H116" s="799"/>
      <c r="I116" s="799"/>
      <c r="J116" s="799"/>
      <c r="K116" s="799"/>
      <c r="L116" s="799"/>
      <c r="M116" s="799"/>
      <c r="N116" s="799"/>
      <c r="O116" s="799"/>
      <c r="P116" s="821"/>
      <c r="Q116" s="774"/>
      <c r="R116" s="774"/>
      <c r="S116" s="774"/>
      <c r="T116" s="775"/>
      <c r="U116" s="776"/>
      <c r="V116" s="776"/>
    </row>
    <row r="117" spans="1:40" hidden="1">
      <c r="B117" s="799"/>
      <c r="C117" s="799"/>
      <c r="D117" s="799"/>
      <c r="E117" s="799"/>
      <c r="F117" s="799"/>
      <c r="G117" s="799"/>
      <c r="H117" s="799"/>
      <c r="I117" s="799"/>
      <c r="J117" s="799"/>
      <c r="K117" s="799"/>
      <c r="L117" s="799"/>
      <c r="M117" s="799"/>
      <c r="N117" s="799"/>
      <c r="O117" s="799"/>
      <c r="P117" s="821"/>
      <c r="Q117" s="774"/>
      <c r="R117" s="774"/>
      <c r="S117" s="774"/>
      <c r="T117" s="775"/>
      <c r="U117" s="776"/>
      <c r="V117" s="776"/>
    </row>
    <row r="118" spans="1:40" hidden="1">
      <c r="B118" s="799"/>
      <c r="C118" s="799"/>
      <c r="D118" s="799"/>
      <c r="E118" s="799"/>
      <c r="F118" s="799"/>
      <c r="G118" s="799"/>
      <c r="H118" s="799"/>
      <c r="I118" s="799"/>
      <c r="J118" s="799"/>
      <c r="K118" s="799"/>
      <c r="L118" s="799"/>
      <c r="M118" s="799"/>
      <c r="N118" s="799"/>
      <c r="O118" s="799"/>
      <c r="P118" s="821"/>
      <c r="Q118" s="774"/>
      <c r="R118" s="774"/>
      <c r="S118" s="774"/>
      <c r="T118" s="775"/>
      <c r="U118" s="776"/>
      <c r="V118" s="776"/>
    </row>
    <row r="119" spans="1:40" hidden="1">
      <c r="B119" s="799"/>
      <c r="C119" s="812" t="s">
        <v>244</v>
      </c>
      <c r="D119" s="812"/>
      <c r="E119" s="812"/>
      <c r="F119" s="812"/>
      <c r="G119" s="812"/>
      <c r="H119" s="812"/>
      <c r="I119" s="812"/>
      <c r="J119" s="812"/>
      <c r="K119" s="812"/>
      <c r="L119" s="812"/>
      <c r="M119" s="812"/>
      <c r="N119" s="812"/>
      <c r="O119" s="812"/>
      <c r="P119" s="822"/>
      <c r="Q119" s="774"/>
      <c r="R119" s="823"/>
      <c r="S119" s="774"/>
      <c r="T119" s="775"/>
      <c r="U119" s="776"/>
      <c r="V119" s="776"/>
      <c r="AE119" s="734"/>
      <c r="AF119" s="734"/>
      <c r="AG119" s="734"/>
      <c r="AH119" s="734"/>
      <c r="AI119" s="734"/>
      <c r="AJ119" s="734"/>
      <c r="AK119" s="734"/>
      <c r="AL119" s="734"/>
      <c r="AM119" s="734"/>
      <c r="AN119" s="734"/>
    </row>
    <row r="120" spans="1:40" s="824" customFormat="1" hidden="1">
      <c r="A120" s="648"/>
      <c r="B120" s="648"/>
      <c r="C120" s="648"/>
      <c r="D120" s="649"/>
      <c r="E120" s="649"/>
      <c r="F120" s="649"/>
      <c r="G120" s="649"/>
      <c r="H120" s="649"/>
      <c r="I120" s="649"/>
      <c r="J120" s="649"/>
      <c r="K120" s="649"/>
      <c r="L120" s="649"/>
      <c r="M120" s="649"/>
      <c r="N120" s="649"/>
      <c r="O120" s="649"/>
      <c r="P120" s="650"/>
      <c r="Q120" s="774"/>
      <c r="R120" s="774"/>
      <c r="S120" s="774"/>
      <c r="T120" s="775"/>
      <c r="U120" s="776"/>
      <c r="V120" s="776"/>
      <c r="W120" s="653"/>
      <c r="X120" s="654"/>
      <c r="Y120" s="655"/>
      <c r="Z120" s="652"/>
      <c r="AA120" s="648"/>
      <c r="AB120" s="656"/>
      <c r="AC120" s="648"/>
      <c r="AD120" s="648"/>
      <c r="AE120" s="734"/>
      <c r="AF120" s="734"/>
      <c r="AG120" s="734"/>
      <c r="AH120" s="734"/>
      <c r="AI120" s="734"/>
      <c r="AJ120" s="734"/>
      <c r="AK120" s="734"/>
      <c r="AL120" s="734"/>
      <c r="AM120" s="734"/>
      <c r="AN120" s="734"/>
    </row>
    <row r="121" spans="1:40">
      <c r="Q121" s="774"/>
      <c r="R121" s="774"/>
      <c r="S121" s="774"/>
      <c r="T121" s="775"/>
      <c r="U121" s="776"/>
      <c r="V121" s="776"/>
      <c r="W121" s="732"/>
      <c r="X121" s="752"/>
      <c r="Y121" s="753"/>
      <c r="Z121" s="751"/>
      <c r="AA121" s="734"/>
      <c r="AB121" s="754"/>
      <c r="AC121" s="734"/>
      <c r="AD121" s="734"/>
      <c r="AE121" s="734"/>
      <c r="AF121" s="734"/>
      <c r="AG121" s="734"/>
      <c r="AH121" s="734"/>
      <c r="AI121" s="734"/>
      <c r="AJ121" s="734"/>
      <c r="AK121" s="734"/>
      <c r="AL121" s="734"/>
      <c r="AM121" s="734"/>
      <c r="AN121" s="734"/>
    </row>
    <row r="122" spans="1:40">
      <c r="A122" s="825"/>
      <c r="B122" s="825"/>
      <c r="C122" s="826" t="s">
        <v>1642</v>
      </c>
      <c r="D122" s="827"/>
      <c r="E122" s="827"/>
      <c r="F122" s="827"/>
      <c r="G122" s="827"/>
      <c r="H122" s="827"/>
      <c r="I122" s="827"/>
      <c r="J122" s="827"/>
      <c r="K122" s="827"/>
      <c r="L122" s="827"/>
      <c r="M122" s="827"/>
      <c r="N122" s="827"/>
      <c r="O122" s="827"/>
      <c r="P122" s="828">
        <f>P57</f>
        <v>67587.5</v>
      </c>
      <c r="Q122" s="763"/>
      <c r="R122" s="763"/>
      <c r="S122" s="763"/>
      <c r="T122" s="829"/>
      <c r="U122" s="776"/>
      <c r="V122" s="776"/>
      <c r="W122" s="732"/>
      <c r="X122" s="752"/>
      <c r="Y122" s="753"/>
      <c r="Z122" s="751"/>
      <c r="AA122" s="734"/>
      <c r="AB122" s="754"/>
      <c r="AC122" s="734"/>
      <c r="AD122" s="734"/>
      <c r="AE122" s="734"/>
      <c r="AF122" s="734"/>
      <c r="AG122" s="734"/>
      <c r="AH122" s="734"/>
      <c r="AI122" s="734"/>
      <c r="AJ122" s="734"/>
      <c r="AK122" s="734"/>
      <c r="AL122" s="734"/>
      <c r="AM122" s="734"/>
      <c r="AN122" s="734"/>
    </row>
    <row r="123" spans="1:40">
      <c r="B123" s="734"/>
      <c r="C123" s="830"/>
      <c r="D123" s="650"/>
      <c r="E123" s="650"/>
      <c r="F123" s="650"/>
      <c r="G123" s="650"/>
      <c r="H123" s="650"/>
      <c r="I123" s="650"/>
      <c r="J123" s="650"/>
      <c r="K123" s="650"/>
      <c r="L123" s="650"/>
      <c r="M123" s="650"/>
      <c r="N123" s="650"/>
      <c r="O123" s="650"/>
      <c r="Q123" s="763"/>
      <c r="R123" s="763"/>
      <c r="S123" s="763"/>
      <c r="T123" s="829"/>
      <c r="U123" s="776"/>
      <c r="V123" s="776"/>
      <c r="W123" s="732"/>
      <c r="X123" s="752"/>
      <c r="Y123" s="753"/>
      <c r="Z123" s="751"/>
      <c r="AA123" s="734"/>
      <c r="AB123" s="754"/>
      <c r="AC123" s="734"/>
      <c r="AD123" s="734"/>
      <c r="AE123" s="734"/>
      <c r="AF123" s="734"/>
      <c r="AG123" s="734"/>
      <c r="AH123" s="734"/>
      <c r="AI123" s="734"/>
      <c r="AJ123" s="734"/>
      <c r="AK123" s="734"/>
      <c r="AL123" s="734"/>
      <c r="AM123" s="734"/>
      <c r="AN123" s="734"/>
    </row>
    <row r="124" spans="1:40">
      <c r="D124" s="782" t="s">
        <v>1643</v>
      </c>
      <c r="P124" s="783">
        <v>42344.700000000004</v>
      </c>
      <c r="Q124" s="774"/>
      <c r="R124" s="774"/>
      <c r="S124" s="774"/>
      <c r="T124" s="775"/>
      <c r="U124" s="776"/>
      <c r="V124" s="776"/>
      <c r="W124" s="732"/>
      <c r="X124" s="752"/>
      <c r="Y124" s="753"/>
      <c r="Z124" s="751"/>
      <c r="AA124" s="734"/>
      <c r="AB124" s="754"/>
      <c r="AC124" s="734"/>
      <c r="AD124" s="734"/>
      <c r="AE124" s="734"/>
      <c r="AF124" s="734"/>
      <c r="AG124" s="734"/>
      <c r="AH124" s="734"/>
      <c r="AI124" s="734"/>
      <c r="AJ124" s="734"/>
      <c r="AK124" s="734"/>
      <c r="AL124" s="734"/>
      <c r="AM124" s="734"/>
      <c r="AN124" s="734"/>
    </row>
    <row r="125" spans="1:40">
      <c r="D125" s="786" t="s">
        <v>1644</v>
      </c>
      <c r="Q125" s="774"/>
      <c r="R125" s="774"/>
      <c r="S125" s="774"/>
      <c r="T125" s="775"/>
      <c r="U125" s="776"/>
      <c r="V125" s="776"/>
      <c r="W125" s="732"/>
      <c r="X125" s="752"/>
      <c r="Y125" s="753"/>
      <c r="Z125" s="751"/>
      <c r="AA125" s="734"/>
      <c r="AB125" s="754"/>
      <c r="AC125" s="734"/>
      <c r="AD125" s="734"/>
      <c r="AE125" s="734"/>
      <c r="AF125" s="734"/>
      <c r="AG125" s="734"/>
      <c r="AH125" s="734"/>
      <c r="AI125" s="734"/>
      <c r="AJ125" s="734"/>
      <c r="AK125" s="734"/>
      <c r="AL125" s="734"/>
      <c r="AM125" s="734"/>
      <c r="AN125" s="734"/>
    </row>
    <row r="126" spans="1:40">
      <c r="D126" s="782"/>
      <c r="Q126" s="774"/>
      <c r="R126" s="774"/>
      <c r="S126" s="774"/>
      <c r="T126" s="775"/>
      <c r="U126" s="776"/>
      <c r="V126" s="776"/>
      <c r="W126" s="732"/>
      <c r="X126" s="752"/>
      <c r="Y126" s="753"/>
      <c r="Z126" s="751"/>
      <c r="AA126" s="734"/>
      <c r="AB126" s="754"/>
      <c r="AC126" s="734"/>
      <c r="AD126" s="734"/>
      <c r="AE126" s="734"/>
      <c r="AF126" s="734"/>
      <c r="AG126" s="734"/>
      <c r="AH126" s="734"/>
      <c r="AI126" s="734"/>
      <c r="AJ126" s="734"/>
      <c r="AK126" s="734"/>
      <c r="AL126" s="734"/>
      <c r="AM126" s="734"/>
      <c r="AN126" s="734"/>
    </row>
    <row r="127" spans="1:40">
      <c r="B127" s="696"/>
      <c r="D127" s="696"/>
      <c r="P127" s="791" t="s">
        <v>1628</v>
      </c>
      <c r="Q127" s="831"/>
      <c r="R127" s="831"/>
      <c r="S127" s="831"/>
      <c r="T127" s="832"/>
      <c r="U127" s="833"/>
      <c r="V127" s="833"/>
      <c r="W127" s="728"/>
      <c r="X127" s="834"/>
      <c r="Y127" s="753"/>
      <c r="Z127" s="730"/>
      <c r="AA127" s="835"/>
      <c r="AB127" s="836"/>
      <c r="AC127" s="835"/>
      <c r="AD127" s="835"/>
      <c r="AE127" s="734"/>
      <c r="AF127" s="734"/>
      <c r="AG127" s="734"/>
      <c r="AH127" s="734"/>
      <c r="AI127" s="734"/>
      <c r="AJ127" s="734"/>
      <c r="AK127" s="734"/>
      <c r="AL127" s="734"/>
      <c r="AM127" s="734"/>
      <c r="AN127" s="734"/>
    </row>
    <row r="128" spans="1:40">
      <c r="C128" s="782">
        <v>56010</v>
      </c>
      <c r="D128" s="782" t="s">
        <v>58</v>
      </c>
      <c r="E128" s="661"/>
      <c r="F128" s="661"/>
      <c r="G128" s="661"/>
      <c r="H128" s="661"/>
      <c r="I128" s="661"/>
      <c r="J128" s="661"/>
      <c r="K128" s="661"/>
      <c r="L128" s="661"/>
      <c r="M128" s="661"/>
      <c r="N128" s="661"/>
      <c r="O128" s="661"/>
      <c r="P128" s="774">
        <f>'Consolidated IS'!C50</f>
        <v>110939.20999999998</v>
      </c>
      <c r="Q128" s="831"/>
      <c r="R128" s="831"/>
      <c r="S128" s="831"/>
      <c r="T128" s="832"/>
      <c r="U128" s="833"/>
      <c r="V128" s="833"/>
      <c r="W128" s="728"/>
      <c r="X128" s="834"/>
      <c r="Y128" s="753"/>
      <c r="Z128" s="730"/>
      <c r="AA128" s="835"/>
      <c r="AB128" s="836"/>
      <c r="AC128" s="835"/>
      <c r="AD128" s="835"/>
      <c r="AE128" s="734"/>
      <c r="AF128" s="734"/>
      <c r="AG128" s="734"/>
      <c r="AH128" s="734"/>
      <c r="AI128" s="734"/>
      <c r="AJ128" s="734"/>
      <c r="AK128" s="734"/>
      <c r="AL128" s="734"/>
      <c r="AM128" s="734"/>
      <c r="AN128" s="734"/>
    </row>
    <row r="129" spans="1:40">
      <c r="C129" s="782">
        <v>56065</v>
      </c>
      <c r="D129" s="796" t="s">
        <v>26</v>
      </c>
      <c r="E129" s="661"/>
      <c r="F129" s="661"/>
      <c r="G129" s="661"/>
      <c r="H129" s="661"/>
      <c r="I129" s="661"/>
      <c r="J129" s="661"/>
      <c r="K129" s="661"/>
      <c r="L129" s="661"/>
      <c r="M129" s="661"/>
      <c r="N129" s="661"/>
      <c r="O129" s="661"/>
      <c r="P129" s="774">
        <f>'Consolidated IS'!C51</f>
        <v>-1012.0099999999995</v>
      </c>
      <c r="Q129" s="774"/>
      <c r="R129" s="774"/>
      <c r="S129" s="774"/>
      <c r="T129" s="775"/>
      <c r="U129" s="776"/>
      <c r="V129" s="776"/>
      <c r="W129" s="732"/>
      <c r="X129" s="752"/>
      <c r="Y129" s="753"/>
      <c r="Z129" s="751"/>
      <c r="AA129" s="734"/>
      <c r="AB129" s="754"/>
      <c r="AC129" s="734"/>
      <c r="AD129" s="734"/>
      <c r="AE129" s="734"/>
      <c r="AF129" s="734"/>
      <c r="AG129" s="734"/>
      <c r="AH129" s="734"/>
      <c r="AI129" s="734"/>
      <c r="AJ129" s="734"/>
      <c r="AK129" s="734"/>
      <c r="AL129" s="734"/>
      <c r="AM129" s="734"/>
      <c r="AN129" s="734"/>
    </row>
    <row r="130" spans="1:40">
      <c r="D130" s="782"/>
      <c r="P130" s="774"/>
      <c r="Q130" s="774"/>
      <c r="R130" s="774"/>
      <c r="S130" s="774"/>
      <c r="T130" s="775"/>
      <c r="U130" s="776"/>
      <c r="V130" s="776"/>
      <c r="W130" s="732"/>
      <c r="X130" s="752"/>
      <c r="Y130" s="753"/>
      <c r="Z130" s="751"/>
      <c r="AA130" s="734"/>
      <c r="AB130" s="754"/>
      <c r="AC130" s="734"/>
      <c r="AD130" s="734"/>
      <c r="AE130" s="734"/>
      <c r="AF130" s="734"/>
      <c r="AG130" s="734"/>
      <c r="AH130" s="734"/>
      <c r="AI130" s="734"/>
      <c r="AJ130" s="734"/>
      <c r="AK130" s="734"/>
      <c r="AL130" s="734"/>
      <c r="AM130" s="734"/>
      <c r="AN130" s="734"/>
    </row>
    <row r="131" spans="1:40">
      <c r="D131" s="782"/>
      <c r="P131" s="837"/>
      <c r="Q131" s="774"/>
      <c r="R131" s="774"/>
      <c r="S131" s="774"/>
      <c r="T131" s="775"/>
      <c r="U131" s="776"/>
      <c r="V131" s="776"/>
      <c r="W131" s="732"/>
      <c r="X131" s="752"/>
      <c r="Y131" s="753"/>
      <c r="Z131" s="751"/>
      <c r="AA131" s="734"/>
      <c r="AB131" s="754"/>
      <c r="AC131" s="734"/>
      <c r="AD131" s="734"/>
      <c r="AE131" s="734"/>
      <c r="AF131" s="734"/>
      <c r="AG131" s="734"/>
      <c r="AH131" s="734"/>
      <c r="AI131" s="734"/>
      <c r="AJ131" s="734"/>
      <c r="AK131" s="734"/>
      <c r="AL131" s="734"/>
      <c r="AM131" s="734"/>
      <c r="AN131" s="734"/>
    </row>
    <row r="132" spans="1:40">
      <c r="D132" s="648"/>
      <c r="P132" s="774">
        <f>SUM(P128:P131)</f>
        <v>109927.19999999998</v>
      </c>
      <c r="Q132" s="763"/>
      <c r="R132" s="838"/>
      <c r="S132" s="774"/>
      <c r="T132" s="775"/>
      <c r="U132" s="776"/>
      <c r="V132" s="776"/>
      <c r="W132" s="732"/>
      <c r="X132" s="752"/>
      <c r="Y132" s="753"/>
      <c r="Z132" s="751"/>
      <c r="AA132" s="734"/>
      <c r="AB132" s="754"/>
      <c r="AC132" s="734"/>
      <c r="AD132" s="734"/>
      <c r="AE132" s="734"/>
      <c r="AF132" s="734"/>
      <c r="AG132" s="734"/>
      <c r="AH132" s="734"/>
      <c r="AI132" s="734"/>
      <c r="AJ132" s="734"/>
      <c r="AK132" s="734"/>
      <c r="AL132" s="734"/>
      <c r="AM132" s="734"/>
      <c r="AN132" s="734"/>
    </row>
    <row r="133" spans="1:40" s="824" customFormat="1">
      <c r="A133" s="734"/>
      <c r="B133" s="648"/>
      <c r="C133" s="734"/>
      <c r="D133" s="648"/>
      <c r="E133" s="649"/>
      <c r="F133" s="649"/>
      <c r="G133" s="649"/>
      <c r="H133" s="649"/>
      <c r="I133" s="649"/>
      <c r="J133" s="649"/>
      <c r="K133" s="649"/>
      <c r="L133" s="649"/>
      <c r="M133" s="649"/>
      <c r="N133" s="649"/>
      <c r="O133" s="649"/>
      <c r="P133" s="801"/>
      <c r="Q133" s="774"/>
      <c r="R133" s="774"/>
      <c r="S133" s="774"/>
      <c r="T133" s="775"/>
      <c r="U133" s="776"/>
      <c r="V133" s="776"/>
      <c r="W133" s="732"/>
      <c r="X133" s="752"/>
      <c r="Y133" s="753"/>
      <c r="Z133" s="751"/>
      <c r="AA133" s="734"/>
      <c r="AB133" s="754"/>
      <c r="AC133" s="734"/>
      <c r="AD133" s="734"/>
      <c r="AE133" s="734"/>
      <c r="AF133" s="734"/>
      <c r="AG133" s="734"/>
      <c r="AH133" s="734"/>
      <c r="AI133" s="734"/>
      <c r="AJ133" s="734"/>
      <c r="AK133" s="734"/>
      <c r="AL133" s="734"/>
      <c r="AM133" s="734"/>
      <c r="AN133" s="734"/>
    </row>
    <row r="134" spans="1:40">
      <c r="D134" s="782" t="s">
        <v>244</v>
      </c>
      <c r="P134" s="801">
        <f>P122+P124-P132</f>
        <v>5.0000000000291038</v>
      </c>
      <c r="Q134" s="789">
        <f>P134/P132</f>
        <v>4.5484648021864515E-5</v>
      </c>
      <c r="R134" s="774"/>
      <c r="S134" s="774"/>
      <c r="T134" s="775"/>
      <c r="U134" s="776"/>
      <c r="V134" s="776"/>
      <c r="W134" s="732"/>
      <c r="X134" s="752"/>
      <c r="Y134" s="753"/>
      <c r="Z134" s="751"/>
      <c r="AA134" s="734"/>
      <c r="AB134" s="754"/>
      <c r="AC134" s="734"/>
      <c r="AD134" s="734"/>
      <c r="AE134" s="734"/>
      <c r="AF134" s="734"/>
      <c r="AG134" s="734"/>
      <c r="AH134" s="734"/>
      <c r="AI134" s="734"/>
      <c r="AJ134" s="734"/>
      <c r="AK134" s="734"/>
      <c r="AL134" s="734"/>
      <c r="AM134" s="734"/>
      <c r="AN134" s="734"/>
    </row>
    <row r="135" spans="1:40">
      <c r="C135" s="782"/>
      <c r="P135" s="801"/>
      <c r="Q135" s="774"/>
      <c r="R135" s="774"/>
      <c r="S135" s="774"/>
      <c r="T135" s="775"/>
      <c r="U135" s="776"/>
      <c r="V135" s="776"/>
      <c r="W135" s="732"/>
      <c r="X135" s="752"/>
      <c r="Y135" s="753"/>
      <c r="Z135" s="751"/>
      <c r="AA135" s="734"/>
      <c r="AB135" s="754"/>
      <c r="AC135" s="734"/>
      <c r="AD135" s="734"/>
      <c r="AE135" s="734"/>
      <c r="AF135" s="734"/>
      <c r="AG135" s="734"/>
      <c r="AH135" s="734"/>
      <c r="AI135" s="734"/>
      <c r="AJ135" s="734"/>
      <c r="AK135" s="734"/>
      <c r="AL135" s="734"/>
      <c r="AM135" s="734"/>
      <c r="AN135" s="734"/>
    </row>
    <row r="136" spans="1:40">
      <c r="A136" s="825"/>
      <c r="B136" s="825"/>
      <c r="C136" s="826" t="s">
        <v>1645</v>
      </c>
      <c r="D136" s="827"/>
      <c r="E136" s="827"/>
      <c r="F136" s="827"/>
      <c r="G136" s="827"/>
      <c r="H136" s="827"/>
      <c r="I136" s="827"/>
      <c r="J136" s="827"/>
      <c r="K136" s="827"/>
      <c r="L136" s="827"/>
      <c r="M136" s="827"/>
      <c r="N136" s="827"/>
      <c r="O136" s="827"/>
      <c r="P136" s="828">
        <f>P50</f>
        <v>67692.339500000002</v>
      </c>
      <c r="Q136" s="763"/>
      <c r="R136" s="763"/>
      <c r="S136" s="763"/>
      <c r="T136" s="829"/>
      <c r="U136" s="776"/>
      <c r="V136" s="776"/>
      <c r="W136" s="732"/>
      <c r="X136" s="752"/>
      <c r="Y136" s="753"/>
      <c r="Z136" s="751"/>
      <c r="AA136" s="734"/>
      <c r="AB136" s="754"/>
      <c r="AC136" s="734"/>
      <c r="AD136" s="734"/>
      <c r="AE136" s="734"/>
      <c r="AF136" s="734"/>
      <c r="AG136" s="734"/>
      <c r="AH136" s="734"/>
      <c r="AI136" s="734"/>
      <c r="AJ136" s="734"/>
      <c r="AK136" s="734"/>
      <c r="AL136" s="734"/>
      <c r="AM136" s="734"/>
      <c r="AN136" s="734"/>
    </row>
    <row r="137" spans="1:40">
      <c r="B137" s="734"/>
      <c r="C137" s="830"/>
      <c r="D137" s="650"/>
      <c r="E137" s="650"/>
      <c r="F137" s="650"/>
      <c r="G137" s="650"/>
      <c r="H137" s="650"/>
      <c r="I137" s="650"/>
      <c r="J137" s="650"/>
      <c r="K137" s="650"/>
      <c r="L137" s="650"/>
      <c r="M137" s="650"/>
      <c r="N137" s="650"/>
      <c r="O137" s="650"/>
      <c r="Q137" s="763"/>
      <c r="R137" s="763"/>
      <c r="S137" s="763"/>
      <c r="T137" s="829"/>
      <c r="U137" s="776"/>
      <c r="V137" s="776"/>
      <c r="W137" s="732"/>
      <c r="X137" s="752"/>
      <c r="Y137" s="753"/>
      <c r="Z137" s="751"/>
      <c r="AA137" s="734"/>
      <c r="AB137" s="754"/>
      <c r="AC137" s="734"/>
      <c r="AD137" s="734"/>
      <c r="AE137" s="734"/>
      <c r="AF137" s="734"/>
      <c r="AG137" s="734"/>
      <c r="AH137" s="734"/>
      <c r="AI137" s="734"/>
      <c r="AJ137" s="734"/>
      <c r="AK137" s="734"/>
      <c r="AL137" s="734"/>
      <c r="AM137" s="734"/>
      <c r="AN137" s="734"/>
    </row>
    <row r="138" spans="1:40">
      <c r="D138" s="782" t="s">
        <v>1646</v>
      </c>
      <c r="P138" s="783">
        <v>51800.030000000006</v>
      </c>
      <c r="Q138" s="774"/>
      <c r="R138" s="774"/>
      <c r="S138" s="774"/>
      <c r="T138" s="775"/>
      <c r="U138" s="776"/>
      <c r="V138" s="776"/>
      <c r="W138" s="732"/>
      <c r="X138" s="752"/>
      <c r="Y138" s="753"/>
      <c r="Z138" s="751"/>
      <c r="AA138" s="734"/>
      <c r="AB138" s="754"/>
      <c r="AC138" s="734"/>
      <c r="AD138" s="734"/>
      <c r="AE138" s="734"/>
      <c r="AF138" s="734"/>
      <c r="AG138" s="734"/>
      <c r="AH138" s="734"/>
      <c r="AI138" s="734"/>
      <c r="AJ138" s="734"/>
      <c r="AK138" s="734"/>
      <c r="AL138" s="734"/>
      <c r="AM138" s="734"/>
      <c r="AN138" s="734"/>
    </row>
    <row r="139" spans="1:40">
      <c r="D139" s="786" t="s">
        <v>1647</v>
      </c>
      <c r="Q139" s="774"/>
      <c r="R139" s="774"/>
      <c r="S139" s="774"/>
      <c r="T139" s="775"/>
      <c r="U139" s="776"/>
      <c r="V139" s="776"/>
      <c r="W139" s="732"/>
      <c r="X139" s="752"/>
      <c r="Y139" s="753"/>
      <c r="Z139" s="751"/>
      <c r="AA139" s="734"/>
      <c r="AB139" s="754"/>
      <c r="AC139" s="734"/>
      <c r="AD139" s="734"/>
      <c r="AE139" s="734"/>
      <c r="AF139" s="734"/>
      <c r="AG139" s="734"/>
      <c r="AH139" s="734"/>
      <c r="AI139" s="734"/>
      <c r="AJ139" s="734"/>
      <c r="AK139" s="734"/>
      <c r="AL139" s="734"/>
      <c r="AM139" s="734"/>
      <c r="AN139" s="734"/>
    </row>
    <row r="140" spans="1:40">
      <c r="C140" s="782"/>
      <c r="D140" s="782"/>
      <c r="P140" s="790"/>
      <c r="Q140" s="774"/>
      <c r="R140" s="774"/>
      <c r="S140" s="774"/>
      <c r="T140" s="775"/>
      <c r="U140" s="776"/>
      <c r="V140" s="776"/>
      <c r="W140" s="732"/>
      <c r="X140" s="752"/>
      <c r="Y140" s="753"/>
      <c r="Z140" s="751"/>
      <c r="AA140" s="734"/>
      <c r="AB140" s="754"/>
      <c r="AC140" s="734"/>
      <c r="AD140" s="734"/>
      <c r="AE140" s="734"/>
      <c r="AF140" s="734"/>
      <c r="AG140" s="734"/>
      <c r="AH140" s="734"/>
      <c r="AI140" s="734"/>
      <c r="AJ140" s="734"/>
      <c r="AK140" s="734"/>
      <c r="AL140" s="734"/>
      <c r="AM140" s="734"/>
      <c r="AN140" s="734"/>
    </row>
    <row r="141" spans="1:40">
      <c r="C141" s="782"/>
      <c r="D141" s="782"/>
      <c r="P141" s="790"/>
      <c r="Q141" s="774"/>
      <c r="R141" s="774"/>
      <c r="S141" s="774"/>
      <c r="T141" s="775"/>
      <c r="U141" s="776"/>
      <c r="V141" s="776"/>
      <c r="W141" s="732"/>
      <c r="X141" s="752"/>
      <c r="Y141" s="753"/>
      <c r="Z141" s="751"/>
      <c r="AA141" s="734"/>
      <c r="AB141" s="754"/>
      <c r="AC141" s="734"/>
      <c r="AD141" s="734"/>
      <c r="AE141" s="734"/>
      <c r="AF141" s="734"/>
      <c r="AG141" s="734"/>
      <c r="AH141" s="734"/>
      <c r="AI141" s="734"/>
      <c r="AJ141" s="734"/>
      <c r="AK141" s="734"/>
      <c r="AL141" s="734"/>
      <c r="AM141" s="734"/>
      <c r="AN141" s="734"/>
    </row>
    <row r="142" spans="1:40" s="696" customFormat="1">
      <c r="D142" s="649"/>
      <c r="E142" s="649"/>
      <c r="F142" s="649"/>
      <c r="G142" s="649"/>
      <c r="H142" s="649"/>
      <c r="I142" s="649"/>
      <c r="J142" s="649"/>
      <c r="K142" s="649"/>
      <c r="L142" s="649"/>
      <c r="M142" s="649"/>
      <c r="N142" s="649"/>
      <c r="O142" s="649"/>
      <c r="P142" s="791" t="s">
        <v>1628</v>
      </c>
      <c r="R142" s="831"/>
      <c r="S142" s="831"/>
      <c r="T142" s="832"/>
      <c r="U142" s="833"/>
      <c r="V142" s="833"/>
      <c r="W142" s="728"/>
      <c r="X142" s="834"/>
      <c r="Y142" s="753"/>
      <c r="Z142" s="730"/>
      <c r="AA142" s="835"/>
      <c r="AB142" s="836"/>
      <c r="AC142" s="835"/>
      <c r="AD142" s="835"/>
      <c r="AE142" s="835"/>
      <c r="AF142" s="835"/>
      <c r="AG142" s="835"/>
      <c r="AH142" s="835"/>
      <c r="AI142" s="835"/>
      <c r="AJ142" s="835"/>
      <c r="AK142" s="835"/>
      <c r="AL142" s="835"/>
      <c r="AM142" s="835"/>
      <c r="AN142" s="835"/>
    </row>
    <row r="143" spans="1:40">
      <c r="C143" s="793">
        <v>70010</v>
      </c>
      <c r="D143" s="782" t="s">
        <v>58</v>
      </c>
      <c r="E143" s="661"/>
      <c r="F143" s="661"/>
      <c r="G143" s="661"/>
      <c r="H143" s="661"/>
      <c r="I143" s="661"/>
      <c r="J143" s="661"/>
      <c r="K143" s="661"/>
      <c r="L143" s="661"/>
      <c r="M143" s="661"/>
      <c r="N143" s="661"/>
      <c r="O143" s="661"/>
      <c r="P143" s="774">
        <f>'Consolidated IS'!C100</f>
        <v>48235.45</v>
      </c>
      <c r="R143" s="774"/>
      <c r="S143" s="774"/>
      <c r="T143" s="775"/>
      <c r="U143" s="776"/>
      <c r="V143" s="776"/>
      <c r="W143" s="732"/>
      <c r="X143" s="752"/>
      <c r="Y143" s="753"/>
      <c r="Z143" s="751"/>
      <c r="AA143" s="734"/>
      <c r="AB143" s="754"/>
      <c r="AC143" s="734"/>
      <c r="AD143" s="734"/>
      <c r="AE143" s="734"/>
      <c r="AF143" s="734"/>
      <c r="AG143" s="734"/>
      <c r="AH143" s="734"/>
      <c r="AI143" s="734"/>
      <c r="AJ143" s="734"/>
      <c r="AK143" s="734"/>
      <c r="AL143" s="734"/>
      <c r="AM143" s="734"/>
      <c r="AN143" s="734"/>
    </row>
    <row r="144" spans="1:40">
      <c r="C144" s="793">
        <v>70020</v>
      </c>
      <c r="D144" s="793" t="s">
        <v>39</v>
      </c>
      <c r="E144" s="661"/>
      <c r="F144" s="661"/>
      <c r="G144" s="661"/>
      <c r="H144" s="661"/>
      <c r="I144" s="661"/>
      <c r="J144" s="661"/>
      <c r="K144" s="661"/>
      <c r="L144" s="661"/>
      <c r="M144" s="661"/>
      <c r="N144" s="661"/>
      <c r="O144" s="661"/>
      <c r="P144" s="774">
        <f>'Consolidated IS'!C101</f>
        <v>59350.219999999994</v>
      </c>
      <c r="R144" s="774"/>
      <c r="S144" s="774"/>
      <c r="T144" s="775"/>
      <c r="U144" s="776"/>
      <c r="V144" s="776"/>
      <c r="W144" s="732"/>
      <c r="X144" s="752"/>
      <c r="Y144" s="753"/>
      <c r="Z144" s="751"/>
      <c r="AA144" s="734"/>
      <c r="AB144" s="754"/>
      <c r="AC144" s="734"/>
      <c r="AD144" s="734"/>
      <c r="AE144" s="734"/>
      <c r="AF144" s="734"/>
      <c r="AG144" s="734"/>
      <c r="AH144" s="734"/>
      <c r="AI144" s="734"/>
      <c r="AJ144" s="734"/>
      <c r="AK144" s="734"/>
      <c r="AL144" s="734"/>
      <c r="AM144" s="734"/>
      <c r="AN144" s="734"/>
    </row>
    <row r="145" spans="3:40">
      <c r="C145" s="793">
        <v>70025</v>
      </c>
      <c r="D145" s="793" t="s">
        <v>146</v>
      </c>
      <c r="E145" s="661"/>
      <c r="F145" s="661"/>
      <c r="G145" s="661"/>
      <c r="H145" s="661"/>
      <c r="I145" s="661"/>
      <c r="J145" s="661"/>
      <c r="K145" s="661"/>
      <c r="L145" s="661"/>
      <c r="M145" s="661"/>
      <c r="N145" s="661"/>
      <c r="O145" s="661"/>
      <c r="P145" s="774">
        <f>'Consolidated IS'!C102</f>
        <v>657.2</v>
      </c>
      <c r="R145" s="774"/>
      <c r="S145" s="774"/>
      <c r="T145" s="775"/>
      <c r="U145" s="776"/>
      <c r="V145" s="776"/>
      <c r="W145" s="732"/>
      <c r="X145" s="752"/>
      <c r="Y145" s="753"/>
      <c r="Z145" s="751"/>
      <c r="AA145" s="734"/>
      <c r="AB145" s="754"/>
      <c r="AC145" s="734"/>
      <c r="AD145" s="734"/>
      <c r="AE145" s="734"/>
      <c r="AF145" s="734"/>
      <c r="AG145" s="734"/>
      <c r="AH145" s="734"/>
      <c r="AI145" s="734"/>
      <c r="AJ145" s="734"/>
      <c r="AK145" s="734"/>
      <c r="AL145" s="734"/>
      <c r="AM145" s="734"/>
      <c r="AN145" s="734"/>
    </row>
    <row r="146" spans="3:40">
      <c r="C146" s="793">
        <v>70036</v>
      </c>
      <c r="D146" s="796" t="s">
        <v>1648</v>
      </c>
      <c r="E146" s="661"/>
      <c r="F146" s="661"/>
      <c r="G146" s="661"/>
      <c r="H146" s="661"/>
      <c r="I146" s="661"/>
      <c r="J146" s="661"/>
      <c r="K146" s="661"/>
      <c r="L146" s="661"/>
      <c r="M146" s="661"/>
      <c r="N146" s="661"/>
      <c r="O146" s="661"/>
      <c r="P146" s="774">
        <f>'Consolidated IS'!C103</f>
        <v>7266.25</v>
      </c>
      <c r="R146" s="774"/>
      <c r="S146" s="774"/>
      <c r="T146" s="775"/>
      <c r="U146" s="776"/>
      <c r="V146" s="776"/>
      <c r="W146" s="732"/>
      <c r="X146" s="752"/>
      <c r="Y146" s="753"/>
      <c r="Z146" s="751"/>
      <c r="AA146" s="734"/>
      <c r="AB146" s="754"/>
      <c r="AC146" s="734"/>
      <c r="AD146" s="734"/>
      <c r="AE146" s="734"/>
      <c r="AF146" s="734"/>
      <c r="AG146" s="734"/>
      <c r="AH146" s="734"/>
      <c r="AI146" s="734"/>
      <c r="AJ146" s="734"/>
      <c r="AK146" s="734"/>
      <c r="AL146" s="734"/>
      <c r="AM146" s="734"/>
      <c r="AN146" s="734"/>
    </row>
    <row r="147" spans="3:40">
      <c r="C147" s="793">
        <v>70065</v>
      </c>
      <c r="D147" s="793" t="s">
        <v>26</v>
      </c>
      <c r="E147" s="661"/>
      <c r="F147" s="661"/>
      <c r="G147" s="661"/>
      <c r="H147" s="661"/>
      <c r="I147" s="661"/>
      <c r="J147" s="661"/>
      <c r="K147" s="661"/>
      <c r="L147" s="661"/>
      <c r="M147" s="661"/>
      <c r="N147" s="661"/>
      <c r="O147" s="661"/>
      <c r="P147" s="774">
        <f>'Consolidated IS'!C104</f>
        <v>3521.7100000000005</v>
      </c>
      <c r="R147" s="774"/>
      <c r="S147" s="774"/>
      <c r="T147" s="775"/>
      <c r="U147" s="776"/>
      <c r="V147" s="776"/>
      <c r="W147" s="732"/>
      <c r="X147" s="752"/>
      <c r="Y147" s="753"/>
      <c r="Z147" s="751"/>
      <c r="AA147" s="734"/>
      <c r="AB147" s="754"/>
      <c r="AC147" s="734"/>
      <c r="AD147" s="734"/>
      <c r="AE147" s="734"/>
      <c r="AF147" s="734"/>
      <c r="AG147" s="734"/>
      <c r="AH147" s="734"/>
      <c r="AI147" s="734"/>
      <c r="AJ147" s="734"/>
      <c r="AK147" s="734"/>
      <c r="AL147" s="734"/>
      <c r="AM147" s="734"/>
      <c r="AN147" s="734"/>
    </row>
    <row r="148" spans="3:40">
      <c r="C148" s="793">
        <v>70070</v>
      </c>
      <c r="D148" s="793" t="s">
        <v>27</v>
      </c>
      <c r="E148" s="661"/>
      <c r="F148" s="661"/>
      <c r="G148" s="661"/>
      <c r="H148" s="661"/>
      <c r="I148" s="661"/>
      <c r="J148" s="661"/>
      <c r="K148" s="661"/>
      <c r="L148" s="661"/>
      <c r="M148" s="661"/>
      <c r="N148" s="661"/>
      <c r="O148" s="661"/>
      <c r="P148" s="839">
        <f>'Consolidated IS'!C105</f>
        <v>461.54000000000008</v>
      </c>
      <c r="R148" s="774"/>
      <c r="S148" s="774"/>
      <c r="T148" s="775"/>
      <c r="U148" s="776"/>
      <c r="V148" s="776"/>
      <c r="W148" s="732"/>
      <c r="X148" s="752"/>
      <c r="Y148" s="753"/>
      <c r="Z148" s="751"/>
      <c r="AA148" s="734"/>
      <c r="AB148" s="754"/>
      <c r="AC148" s="734"/>
      <c r="AD148" s="734"/>
      <c r="AE148" s="734"/>
      <c r="AF148" s="734"/>
      <c r="AG148" s="734"/>
      <c r="AH148" s="734"/>
      <c r="AI148" s="734"/>
      <c r="AJ148" s="734"/>
      <c r="AK148" s="734"/>
      <c r="AL148" s="734"/>
      <c r="AM148" s="734"/>
      <c r="AN148" s="734"/>
    </row>
    <row r="149" spans="3:40">
      <c r="D149" s="648"/>
      <c r="E149" s="661"/>
      <c r="F149" s="661"/>
      <c r="G149" s="661"/>
      <c r="H149" s="661"/>
      <c r="I149" s="661"/>
      <c r="J149" s="661"/>
      <c r="K149" s="661"/>
      <c r="L149" s="661"/>
      <c r="M149" s="661"/>
      <c r="N149" s="661"/>
      <c r="O149" s="661"/>
      <c r="P149" s="774">
        <f>SUM(P143:P148)</f>
        <v>119492.36999999998</v>
      </c>
      <c r="R149" s="774"/>
      <c r="S149" s="774"/>
      <c r="T149" s="775"/>
      <c r="U149" s="776"/>
      <c r="V149" s="776"/>
      <c r="W149" s="732"/>
      <c r="X149" s="752"/>
      <c r="Y149" s="753"/>
      <c r="Z149" s="751"/>
      <c r="AA149" s="734"/>
      <c r="AB149" s="754"/>
      <c r="AC149" s="734"/>
      <c r="AD149" s="734"/>
      <c r="AE149" s="734"/>
      <c r="AF149" s="734"/>
      <c r="AG149" s="734"/>
      <c r="AH149" s="734"/>
      <c r="AI149" s="734"/>
      <c r="AJ149" s="734"/>
      <c r="AK149" s="734"/>
      <c r="AL149" s="734"/>
      <c r="AM149" s="734"/>
      <c r="AN149" s="734"/>
    </row>
    <row r="150" spans="3:40">
      <c r="C150" s="782"/>
      <c r="D150" s="782"/>
      <c r="E150" s="661"/>
      <c r="F150" s="661"/>
      <c r="G150" s="661"/>
      <c r="H150" s="661"/>
      <c r="I150" s="661"/>
      <c r="J150" s="661"/>
      <c r="K150" s="661"/>
      <c r="L150" s="661"/>
      <c r="M150" s="661"/>
      <c r="N150" s="661"/>
      <c r="O150" s="661"/>
      <c r="P150" s="662"/>
      <c r="Q150" s="774"/>
      <c r="R150" s="774"/>
      <c r="S150" s="774"/>
      <c r="T150" s="775"/>
      <c r="U150" s="776"/>
      <c r="V150" s="776"/>
      <c r="W150" s="732"/>
      <c r="X150" s="752"/>
      <c r="Y150" s="753"/>
      <c r="Z150" s="751"/>
      <c r="AA150" s="734"/>
      <c r="AB150" s="754"/>
      <c r="AC150" s="734"/>
      <c r="AD150" s="734"/>
      <c r="AE150" s="734"/>
      <c r="AF150" s="734"/>
      <c r="AG150" s="734"/>
      <c r="AH150" s="734"/>
      <c r="AI150" s="734"/>
      <c r="AJ150" s="734"/>
      <c r="AK150" s="734"/>
      <c r="AL150" s="734"/>
      <c r="AM150" s="734"/>
      <c r="AN150" s="734"/>
    </row>
    <row r="151" spans="3:40">
      <c r="D151" s="782"/>
      <c r="E151" s="661"/>
      <c r="F151" s="661"/>
      <c r="G151" s="661"/>
      <c r="H151" s="661"/>
      <c r="I151" s="661"/>
      <c r="J151" s="661"/>
      <c r="K151" s="661"/>
      <c r="L151" s="661"/>
      <c r="M151" s="661"/>
      <c r="N151" s="661"/>
      <c r="O151" s="661"/>
      <c r="P151" s="662"/>
      <c r="Q151" s="774"/>
      <c r="R151" s="774"/>
      <c r="S151" s="774"/>
      <c r="T151" s="775"/>
      <c r="U151" s="776"/>
      <c r="V151" s="776"/>
      <c r="W151" s="732"/>
      <c r="X151" s="752"/>
      <c r="Y151" s="753"/>
      <c r="Z151" s="751"/>
      <c r="AA151" s="734"/>
      <c r="AB151" s="754"/>
      <c r="AC151" s="734"/>
      <c r="AD151" s="734"/>
      <c r="AE151" s="734"/>
      <c r="AF151" s="734"/>
      <c r="AG151" s="734"/>
      <c r="AH151" s="734"/>
      <c r="AI151" s="734"/>
      <c r="AJ151" s="734"/>
      <c r="AK151" s="734"/>
      <c r="AL151" s="734"/>
      <c r="AM151" s="734"/>
      <c r="AN151" s="734"/>
    </row>
    <row r="152" spans="3:40">
      <c r="D152" s="782" t="s">
        <v>244</v>
      </c>
      <c r="P152" s="790">
        <f>P136+P138-P149+P140</f>
        <v>-4.9999998009297997E-4</v>
      </c>
      <c r="Q152" s="789">
        <f>P152/P149</f>
        <v>-4.1843674210577636E-9</v>
      </c>
      <c r="R152" s="823"/>
      <c r="S152" s="774"/>
      <c r="T152" s="775"/>
      <c r="U152" s="776"/>
      <c r="V152" s="776"/>
      <c r="W152" s="732"/>
      <c r="X152" s="752"/>
      <c r="Y152" s="753"/>
      <c r="Z152" s="751"/>
      <c r="AA152" s="734"/>
      <c r="AB152" s="754"/>
      <c r="AC152" s="734"/>
      <c r="AD152" s="734"/>
      <c r="AE152" s="734"/>
      <c r="AF152" s="734"/>
      <c r="AG152" s="734"/>
      <c r="AH152" s="734"/>
      <c r="AI152" s="734"/>
      <c r="AJ152" s="734"/>
      <c r="AK152" s="734"/>
      <c r="AL152" s="734"/>
      <c r="AM152" s="734"/>
      <c r="AN152" s="734"/>
    </row>
    <row r="153" spans="3:40">
      <c r="Q153" s="774"/>
      <c r="R153" s="774"/>
      <c r="S153" s="774"/>
      <c r="T153" s="775"/>
      <c r="U153" s="776"/>
      <c r="V153" s="776"/>
      <c r="W153" s="732"/>
      <c r="X153" s="752"/>
      <c r="Y153" s="753"/>
      <c r="Z153" s="751"/>
      <c r="AA153" s="734"/>
      <c r="AB153" s="754"/>
      <c r="AC153" s="734"/>
      <c r="AD153" s="734"/>
      <c r="AE153" s="734"/>
      <c r="AF153" s="734"/>
      <c r="AG153" s="734"/>
      <c r="AH153" s="734"/>
      <c r="AI153" s="734"/>
      <c r="AJ153" s="734"/>
      <c r="AK153" s="734"/>
      <c r="AL153" s="734"/>
      <c r="AM153" s="734"/>
      <c r="AN153" s="734"/>
    </row>
    <row r="154" spans="3:40">
      <c r="D154" s="648"/>
      <c r="E154" s="648"/>
      <c r="F154" s="648"/>
      <c r="G154" s="648"/>
      <c r="H154" s="648"/>
      <c r="I154" s="648"/>
      <c r="J154" s="648"/>
      <c r="K154" s="648"/>
      <c r="L154" s="648"/>
      <c r="M154" s="648"/>
      <c r="N154" s="648"/>
      <c r="O154" s="648"/>
      <c r="P154" s="734"/>
      <c r="Q154" s="774"/>
      <c r="W154" s="732"/>
      <c r="X154" s="752"/>
      <c r="Y154" s="753"/>
      <c r="Z154" s="751"/>
      <c r="AA154" s="734"/>
      <c r="AB154" s="754"/>
      <c r="AC154" s="734"/>
      <c r="AD154" s="734"/>
      <c r="AE154" s="734"/>
      <c r="AF154" s="734"/>
      <c r="AG154" s="734"/>
      <c r="AH154" s="734"/>
      <c r="AI154" s="734"/>
      <c r="AJ154" s="734"/>
      <c r="AK154" s="734"/>
      <c r="AL154" s="734"/>
      <c r="AM154" s="734"/>
      <c r="AN154" s="734"/>
    </row>
    <row r="155" spans="3:40">
      <c r="D155" s="648"/>
      <c r="E155" s="648"/>
      <c r="F155" s="648"/>
      <c r="G155" s="648"/>
      <c r="H155" s="648"/>
      <c r="I155" s="648"/>
      <c r="J155" s="648"/>
      <c r="K155" s="648"/>
      <c r="L155" s="648"/>
      <c r="M155" s="648"/>
      <c r="N155" s="648"/>
      <c r="O155" s="648"/>
      <c r="P155" s="734"/>
      <c r="Q155" s="774"/>
      <c r="W155" s="732"/>
      <c r="X155" s="752"/>
      <c r="Y155" s="753"/>
      <c r="Z155" s="751"/>
      <c r="AA155" s="734"/>
      <c r="AB155" s="754"/>
      <c r="AC155" s="734"/>
      <c r="AD155" s="734"/>
      <c r="AE155" s="734"/>
      <c r="AF155" s="734"/>
      <c r="AG155" s="734"/>
      <c r="AH155" s="734"/>
      <c r="AI155" s="734"/>
      <c r="AJ155" s="734"/>
      <c r="AK155" s="734"/>
      <c r="AL155" s="734"/>
      <c r="AM155" s="734"/>
      <c r="AN155" s="734"/>
    </row>
    <row r="156" spans="3:40">
      <c r="D156" s="648"/>
      <c r="E156" s="648"/>
      <c r="F156" s="648"/>
      <c r="G156" s="648"/>
      <c r="H156" s="648"/>
      <c r="I156" s="648"/>
      <c r="J156" s="648"/>
      <c r="K156" s="648"/>
      <c r="L156" s="648"/>
      <c r="M156" s="648"/>
      <c r="N156" s="648"/>
      <c r="O156" s="648"/>
      <c r="P156" s="734"/>
      <c r="Q156" s="774"/>
      <c r="W156" s="732"/>
      <c r="X156" s="752"/>
      <c r="Y156" s="753"/>
      <c r="Z156" s="751"/>
      <c r="AA156" s="734"/>
      <c r="AB156" s="754"/>
      <c r="AC156" s="734"/>
      <c r="AD156" s="734"/>
      <c r="AE156" s="734"/>
      <c r="AF156" s="734"/>
      <c r="AG156" s="734"/>
      <c r="AH156" s="734"/>
      <c r="AI156" s="734"/>
      <c r="AJ156" s="734"/>
      <c r="AK156" s="734"/>
      <c r="AL156" s="734"/>
      <c r="AM156" s="734"/>
      <c r="AN156" s="734"/>
    </row>
    <row r="157" spans="3:40">
      <c r="D157" s="648"/>
      <c r="E157" s="648"/>
      <c r="F157" s="648"/>
      <c r="G157" s="648"/>
      <c r="H157" s="648"/>
      <c r="I157" s="648"/>
      <c r="J157" s="648"/>
      <c r="K157" s="648"/>
      <c r="L157" s="648"/>
      <c r="M157" s="648"/>
      <c r="N157" s="648"/>
      <c r="O157" s="648"/>
      <c r="P157" s="734"/>
      <c r="Q157" s="774"/>
      <c r="W157" s="732"/>
      <c r="X157" s="752"/>
      <c r="Y157" s="753"/>
      <c r="Z157" s="751"/>
      <c r="AA157" s="734"/>
      <c r="AB157" s="754"/>
      <c r="AC157" s="734"/>
      <c r="AD157" s="734"/>
      <c r="AE157" s="734"/>
      <c r="AF157" s="734"/>
      <c r="AG157" s="734"/>
      <c r="AH157" s="734"/>
      <c r="AI157" s="734"/>
      <c r="AJ157" s="734"/>
      <c r="AK157" s="734"/>
      <c r="AL157" s="734"/>
      <c r="AM157" s="734"/>
      <c r="AN157" s="734"/>
    </row>
    <row r="158" spans="3:40">
      <c r="D158" s="648"/>
      <c r="E158" s="648"/>
      <c r="F158" s="648"/>
      <c r="G158" s="648"/>
      <c r="H158" s="648"/>
      <c r="I158" s="648"/>
      <c r="J158" s="648"/>
      <c r="K158" s="648"/>
      <c r="L158" s="648"/>
      <c r="M158" s="648"/>
      <c r="N158" s="648"/>
      <c r="O158" s="648"/>
      <c r="P158" s="734"/>
      <c r="Q158" s="774"/>
      <c r="W158" s="732"/>
      <c r="X158" s="752"/>
      <c r="Y158" s="753"/>
      <c r="Z158" s="751"/>
      <c r="AA158" s="734"/>
      <c r="AB158" s="754"/>
      <c r="AC158" s="734"/>
      <c r="AD158" s="734"/>
      <c r="AE158" s="734"/>
      <c r="AF158" s="734"/>
      <c r="AG158" s="734"/>
      <c r="AH158" s="734"/>
      <c r="AI158" s="734"/>
      <c r="AJ158" s="734"/>
      <c r="AK158" s="734"/>
      <c r="AL158" s="734"/>
      <c r="AM158" s="734"/>
      <c r="AN158" s="734"/>
    </row>
    <row r="159" spans="3:40">
      <c r="D159" s="648"/>
      <c r="E159" s="648"/>
      <c r="F159" s="648"/>
      <c r="G159" s="648"/>
      <c r="H159" s="648"/>
      <c r="I159" s="648"/>
      <c r="J159" s="648"/>
      <c r="K159" s="648"/>
      <c r="L159" s="648"/>
      <c r="M159" s="648"/>
      <c r="N159" s="648"/>
      <c r="O159" s="648"/>
      <c r="P159" s="734"/>
      <c r="W159" s="732"/>
      <c r="X159" s="752"/>
      <c r="Y159" s="753"/>
      <c r="Z159" s="751"/>
      <c r="AA159" s="734"/>
      <c r="AB159" s="754"/>
      <c r="AC159" s="734"/>
      <c r="AD159" s="734"/>
      <c r="AE159" s="734"/>
      <c r="AF159" s="734"/>
      <c r="AG159" s="734"/>
      <c r="AH159" s="734"/>
      <c r="AI159" s="734"/>
      <c r="AJ159" s="734"/>
      <c r="AK159" s="734"/>
      <c r="AL159" s="734"/>
      <c r="AM159" s="734"/>
      <c r="AN159" s="734"/>
    </row>
    <row r="160" spans="3:40">
      <c r="D160" s="648"/>
      <c r="E160" s="648"/>
      <c r="F160" s="648"/>
      <c r="G160" s="648"/>
      <c r="H160" s="648"/>
      <c r="I160" s="648"/>
      <c r="J160" s="648"/>
      <c r="K160" s="648"/>
      <c r="L160" s="648"/>
      <c r="M160" s="648"/>
      <c r="N160" s="648"/>
      <c r="O160" s="648"/>
      <c r="P160" s="734"/>
      <c r="W160" s="732"/>
      <c r="X160" s="752"/>
      <c r="Y160" s="753"/>
      <c r="Z160" s="751"/>
      <c r="AA160" s="734"/>
      <c r="AB160" s="754"/>
      <c r="AC160" s="734"/>
      <c r="AD160" s="734"/>
      <c r="AE160" s="734"/>
      <c r="AF160" s="734"/>
      <c r="AG160" s="734"/>
      <c r="AH160" s="734"/>
      <c r="AI160" s="734"/>
      <c r="AJ160" s="734"/>
      <c r="AK160" s="734"/>
      <c r="AL160" s="734"/>
      <c r="AM160" s="734"/>
      <c r="AN160" s="734"/>
    </row>
    <row r="161" spans="4:40">
      <c r="D161" s="648"/>
      <c r="E161" s="648"/>
      <c r="F161" s="648"/>
      <c r="G161" s="648"/>
      <c r="H161" s="648"/>
      <c r="I161" s="648"/>
      <c r="J161" s="648"/>
      <c r="K161" s="648"/>
      <c r="L161" s="648"/>
      <c r="M161" s="648"/>
      <c r="N161" s="648"/>
      <c r="O161" s="648"/>
      <c r="P161" s="734"/>
      <c r="W161" s="732"/>
      <c r="X161" s="752"/>
      <c r="Y161" s="753"/>
      <c r="Z161" s="751"/>
      <c r="AA161" s="734"/>
      <c r="AB161" s="754"/>
      <c r="AC161" s="734"/>
      <c r="AD161" s="734"/>
      <c r="AE161" s="734"/>
      <c r="AF161" s="734"/>
      <c r="AG161" s="734"/>
      <c r="AH161" s="734"/>
      <c r="AI161" s="734"/>
      <c r="AJ161" s="734"/>
      <c r="AK161" s="734"/>
      <c r="AL161" s="734"/>
      <c r="AM161" s="734"/>
      <c r="AN161" s="734"/>
    </row>
    <row r="162" spans="4:40">
      <c r="D162" s="648"/>
      <c r="E162" s="648"/>
      <c r="F162" s="648"/>
      <c r="G162" s="648"/>
      <c r="H162" s="648"/>
      <c r="I162" s="648"/>
      <c r="J162" s="648"/>
      <c r="K162" s="648"/>
      <c r="L162" s="648"/>
      <c r="M162" s="648"/>
      <c r="N162" s="648"/>
      <c r="O162" s="648"/>
      <c r="P162" s="734"/>
      <c r="W162" s="732"/>
      <c r="X162" s="752"/>
      <c r="Y162" s="753"/>
      <c r="Z162" s="751"/>
      <c r="AA162" s="734"/>
      <c r="AB162" s="754"/>
      <c r="AC162" s="734"/>
      <c r="AD162" s="734"/>
      <c r="AE162" s="734"/>
      <c r="AF162" s="734"/>
      <c r="AG162" s="734"/>
      <c r="AH162" s="734"/>
      <c r="AI162" s="734"/>
      <c r="AJ162" s="734"/>
      <c r="AK162" s="734"/>
      <c r="AL162" s="734"/>
      <c r="AM162" s="734"/>
      <c r="AN162" s="734"/>
    </row>
    <row r="163" spans="4:40">
      <c r="D163" s="648"/>
      <c r="E163" s="648"/>
      <c r="F163" s="648"/>
      <c r="G163" s="648"/>
      <c r="H163" s="648"/>
      <c r="I163" s="648"/>
      <c r="J163" s="648"/>
      <c r="K163" s="648"/>
      <c r="L163" s="648"/>
      <c r="M163" s="648"/>
      <c r="N163" s="648"/>
      <c r="O163" s="648"/>
      <c r="P163" s="734"/>
      <c r="W163" s="732"/>
      <c r="X163" s="752"/>
      <c r="Y163" s="753"/>
      <c r="Z163" s="751"/>
      <c r="AA163" s="734"/>
      <c r="AB163" s="754"/>
      <c r="AC163" s="734"/>
      <c r="AD163" s="734"/>
      <c r="AE163" s="734"/>
      <c r="AF163" s="734"/>
      <c r="AG163" s="734"/>
      <c r="AH163" s="734"/>
      <c r="AI163" s="734"/>
      <c r="AJ163" s="734"/>
      <c r="AK163" s="734"/>
      <c r="AL163" s="734"/>
      <c r="AM163" s="734"/>
      <c r="AN163" s="734"/>
    </row>
    <row r="164" spans="4:40">
      <c r="D164" s="648"/>
      <c r="E164" s="648"/>
      <c r="F164" s="648"/>
      <c r="G164" s="648"/>
      <c r="H164" s="648"/>
      <c r="I164" s="648"/>
      <c r="J164" s="648"/>
      <c r="K164" s="648"/>
      <c r="L164" s="648"/>
      <c r="M164" s="648"/>
      <c r="N164" s="648"/>
      <c r="O164" s="648"/>
      <c r="P164" s="734"/>
      <c r="W164" s="732"/>
      <c r="X164" s="752"/>
      <c r="Y164" s="753"/>
      <c r="Z164" s="751"/>
      <c r="AA164" s="734"/>
      <c r="AB164" s="754"/>
      <c r="AC164" s="734"/>
      <c r="AD164" s="734"/>
      <c r="AE164" s="734"/>
      <c r="AF164" s="734"/>
      <c r="AG164" s="734"/>
      <c r="AH164" s="734"/>
      <c r="AI164" s="734"/>
      <c r="AJ164" s="734"/>
      <c r="AK164" s="734"/>
      <c r="AL164" s="734"/>
      <c r="AM164" s="734"/>
      <c r="AN164" s="734"/>
    </row>
    <row r="165" spans="4:40">
      <c r="D165" s="648"/>
      <c r="E165" s="648"/>
      <c r="F165" s="648"/>
      <c r="G165" s="648"/>
      <c r="H165" s="648"/>
      <c r="I165" s="648"/>
      <c r="J165" s="648"/>
      <c r="K165" s="648"/>
      <c r="L165" s="648"/>
      <c r="M165" s="648"/>
      <c r="N165" s="648"/>
      <c r="O165" s="648"/>
      <c r="P165" s="734"/>
      <c r="W165" s="732"/>
      <c r="X165" s="752"/>
      <c r="Y165" s="753"/>
      <c r="Z165" s="751"/>
      <c r="AA165" s="734"/>
      <c r="AB165" s="754"/>
      <c r="AC165" s="734"/>
      <c r="AD165" s="734"/>
      <c r="AE165" s="734"/>
      <c r="AF165" s="734"/>
      <c r="AG165" s="734"/>
      <c r="AH165" s="734"/>
      <c r="AI165" s="734"/>
      <c r="AJ165" s="734"/>
      <c r="AK165" s="734"/>
      <c r="AL165" s="734"/>
      <c r="AM165" s="734"/>
      <c r="AN165" s="734"/>
    </row>
    <row r="166" spans="4:40">
      <c r="W166" s="732"/>
      <c r="X166" s="752"/>
      <c r="Y166" s="753"/>
      <c r="Z166" s="751"/>
      <c r="AA166" s="734"/>
      <c r="AB166" s="754"/>
      <c r="AC166" s="734"/>
      <c r="AD166" s="734"/>
      <c r="AE166" s="734"/>
      <c r="AF166" s="734"/>
      <c r="AG166" s="734"/>
      <c r="AH166" s="734"/>
      <c r="AI166" s="734"/>
      <c r="AJ166" s="734"/>
      <c r="AK166" s="734"/>
      <c r="AL166" s="734"/>
      <c r="AM166" s="734"/>
      <c r="AN166" s="734"/>
    </row>
    <row r="167" spans="4:40">
      <c r="W167" s="732"/>
      <c r="X167" s="752"/>
      <c r="Y167" s="753"/>
      <c r="Z167" s="751"/>
      <c r="AA167" s="734"/>
      <c r="AB167" s="754"/>
      <c r="AC167" s="734"/>
      <c r="AD167" s="734"/>
      <c r="AE167" s="734"/>
      <c r="AF167" s="734"/>
      <c r="AG167" s="734"/>
      <c r="AH167" s="734"/>
      <c r="AI167" s="734"/>
      <c r="AJ167" s="734"/>
      <c r="AK167" s="734"/>
      <c r="AL167" s="734"/>
      <c r="AM167" s="734"/>
      <c r="AN167" s="734"/>
    </row>
    <row r="168" spans="4:40">
      <c r="W168" s="732"/>
      <c r="X168" s="752"/>
      <c r="Y168" s="753"/>
      <c r="Z168" s="751"/>
      <c r="AA168" s="734"/>
      <c r="AB168" s="754"/>
      <c r="AC168" s="734"/>
      <c r="AD168" s="734"/>
      <c r="AE168" s="734"/>
      <c r="AF168" s="734"/>
      <c r="AG168" s="734"/>
      <c r="AH168" s="734"/>
      <c r="AI168" s="734"/>
      <c r="AJ168" s="734"/>
      <c r="AK168" s="734"/>
      <c r="AL168" s="734"/>
      <c r="AM168" s="734"/>
      <c r="AN168" s="734"/>
    </row>
    <row r="169" spans="4:40">
      <c r="W169" s="732"/>
      <c r="X169" s="752"/>
      <c r="Y169" s="753"/>
      <c r="Z169" s="751"/>
      <c r="AA169" s="734"/>
      <c r="AB169" s="754"/>
      <c r="AC169" s="734"/>
      <c r="AD169" s="734"/>
      <c r="AE169" s="734"/>
      <c r="AF169" s="734"/>
      <c r="AG169" s="734"/>
      <c r="AH169" s="734"/>
      <c r="AI169" s="734"/>
      <c r="AJ169" s="734"/>
      <c r="AK169" s="734"/>
      <c r="AL169" s="734"/>
      <c r="AM169" s="734"/>
      <c r="AN169" s="734"/>
    </row>
    <row r="170" spans="4:40">
      <c r="W170" s="732"/>
      <c r="X170" s="752"/>
      <c r="Y170" s="753"/>
      <c r="Z170" s="751"/>
      <c r="AA170" s="734"/>
      <c r="AB170" s="754"/>
      <c r="AC170" s="734"/>
      <c r="AD170" s="734"/>
      <c r="AE170" s="734"/>
      <c r="AF170" s="734"/>
      <c r="AG170" s="734"/>
      <c r="AH170" s="734"/>
      <c r="AI170" s="734"/>
      <c r="AJ170" s="734"/>
      <c r="AK170" s="734"/>
      <c r="AL170" s="734"/>
      <c r="AM170" s="734"/>
      <c r="AN170" s="734"/>
    </row>
    <row r="171" spans="4:40">
      <c r="D171" s="648"/>
      <c r="E171" s="648"/>
      <c r="F171" s="648"/>
      <c r="G171" s="648"/>
      <c r="H171" s="648"/>
      <c r="I171" s="648"/>
      <c r="J171" s="648"/>
      <c r="K171" s="648"/>
      <c r="L171" s="648"/>
      <c r="M171" s="648"/>
      <c r="N171" s="648"/>
      <c r="O171" s="648"/>
      <c r="P171" s="734"/>
      <c r="W171" s="732"/>
      <c r="X171" s="752"/>
      <c r="Y171" s="753"/>
      <c r="Z171" s="751"/>
      <c r="AA171" s="734"/>
      <c r="AB171" s="754"/>
      <c r="AC171" s="734"/>
      <c r="AD171" s="734"/>
      <c r="AE171" s="734"/>
      <c r="AF171" s="734"/>
      <c r="AG171" s="734"/>
      <c r="AH171" s="734"/>
      <c r="AI171" s="734"/>
      <c r="AJ171" s="734"/>
      <c r="AK171" s="734"/>
      <c r="AL171" s="734"/>
      <c r="AM171" s="734"/>
      <c r="AN171" s="734"/>
    </row>
    <row r="172" spans="4:40">
      <c r="D172" s="648"/>
      <c r="E172" s="648"/>
      <c r="F172" s="648"/>
      <c r="G172" s="648"/>
      <c r="H172" s="648"/>
      <c r="I172" s="648"/>
      <c r="J172" s="648"/>
      <c r="K172" s="648"/>
      <c r="L172" s="648"/>
      <c r="M172" s="648"/>
      <c r="N172" s="648"/>
      <c r="O172" s="648"/>
      <c r="P172" s="734"/>
      <c r="W172" s="732"/>
      <c r="X172" s="752"/>
      <c r="Y172" s="753"/>
      <c r="Z172" s="751"/>
      <c r="AA172" s="734"/>
      <c r="AB172" s="754"/>
      <c r="AC172" s="734"/>
      <c r="AD172" s="734"/>
      <c r="AE172" s="734"/>
      <c r="AF172" s="734"/>
      <c r="AG172" s="734"/>
      <c r="AH172" s="734"/>
      <c r="AI172" s="734"/>
      <c r="AJ172" s="734"/>
      <c r="AK172" s="734"/>
      <c r="AL172" s="734"/>
      <c r="AM172" s="734"/>
      <c r="AN172" s="734"/>
    </row>
    <row r="173" spans="4:40">
      <c r="D173" s="648"/>
      <c r="E173" s="648"/>
      <c r="F173" s="648"/>
      <c r="G173" s="648"/>
      <c r="H173" s="648"/>
      <c r="I173" s="648"/>
      <c r="J173" s="648"/>
      <c r="K173" s="648"/>
      <c r="L173" s="648"/>
      <c r="M173" s="648"/>
      <c r="N173" s="648"/>
      <c r="O173" s="648"/>
      <c r="P173" s="734"/>
      <c r="W173" s="732"/>
      <c r="X173" s="752"/>
      <c r="Y173" s="753"/>
      <c r="Z173" s="751"/>
      <c r="AA173" s="734"/>
      <c r="AB173" s="754"/>
      <c r="AC173" s="734"/>
      <c r="AD173" s="734"/>
      <c r="AE173" s="734"/>
      <c r="AF173" s="734"/>
      <c r="AG173" s="734"/>
      <c r="AH173" s="734"/>
      <c r="AI173" s="734"/>
      <c r="AJ173" s="734"/>
      <c r="AK173" s="734"/>
      <c r="AL173" s="734"/>
      <c r="AM173" s="734"/>
      <c r="AN173" s="734"/>
    </row>
    <row r="174" spans="4:40">
      <c r="D174" s="648"/>
      <c r="E174" s="648"/>
      <c r="F174" s="648"/>
      <c r="G174" s="648"/>
      <c r="H174" s="648"/>
      <c r="I174" s="648"/>
      <c r="J174" s="648"/>
      <c r="K174" s="648"/>
      <c r="L174" s="648"/>
      <c r="M174" s="648"/>
      <c r="N174" s="648"/>
      <c r="O174" s="648"/>
      <c r="P174" s="734"/>
      <c r="W174" s="732"/>
      <c r="X174" s="752"/>
      <c r="Y174" s="753"/>
      <c r="Z174" s="751"/>
      <c r="AA174" s="734"/>
      <c r="AB174" s="754"/>
      <c r="AC174" s="734"/>
      <c r="AD174" s="734"/>
      <c r="AE174" s="734"/>
      <c r="AF174" s="734"/>
      <c r="AG174" s="734"/>
      <c r="AH174" s="734"/>
      <c r="AI174" s="734"/>
      <c r="AJ174" s="734"/>
      <c r="AK174" s="734"/>
      <c r="AL174" s="734"/>
      <c r="AM174" s="734"/>
      <c r="AN174" s="734"/>
    </row>
    <row r="175" spans="4:40">
      <c r="D175" s="648"/>
      <c r="E175" s="648"/>
      <c r="F175" s="648"/>
      <c r="G175" s="648"/>
      <c r="H175" s="648"/>
      <c r="I175" s="648"/>
      <c r="J175" s="648"/>
      <c r="K175" s="648"/>
      <c r="L175" s="648"/>
      <c r="M175" s="648"/>
      <c r="N175" s="648"/>
      <c r="O175" s="648"/>
      <c r="P175" s="734"/>
      <c r="W175" s="732"/>
      <c r="X175" s="752"/>
      <c r="Y175" s="753"/>
      <c r="Z175" s="751"/>
      <c r="AA175" s="734"/>
      <c r="AB175" s="754"/>
      <c r="AC175" s="734"/>
      <c r="AD175" s="734"/>
      <c r="AE175" s="734"/>
      <c r="AF175" s="734"/>
      <c r="AG175" s="734"/>
      <c r="AH175" s="734"/>
      <c r="AI175" s="734"/>
      <c r="AJ175" s="734"/>
      <c r="AK175" s="734"/>
      <c r="AL175" s="734"/>
      <c r="AM175" s="734"/>
      <c r="AN175" s="734"/>
    </row>
    <row r="176" spans="4:40">
      <c r="D176" s="648"/>
      <c r="E176" s="648"/>
      <c r="F176" s="648"/>
      <c r="G176" s="648"/>
      <c r="H176" s="648"/>
      <c r="I176" s="648"/>
      <c r="J176" s="648"/>
      <c r="K176" s="648"/>
      <c r="L176" s="648"/>
      <c r="M176" s="648"/>
      <c r="N176" s="648"/>
      <c r="O176" s="648"/>
      <c r="P176" s="734"/>
      <c r="W176" s="732"/>
      <c r="X176" s="752"/>
      <c r="Y176" s="753"/>
      <c r="Z176" s="751"/>
      <c r="AA176" s="734"/>
      <c r="AB176" s="754"/>
      <c r="AC176" s="734"/>
      <c r="AD176" s="734"/>
      <c r="AE176" s="734"/>
      <c r="AF176" s="734"/>
      <c r="AG176" s="734"/>
      <c r="AH176" s="734"/>
      <c r="AI176" s="734"/>
      <c r="AJ176" s="734"/>
      <c r="AK176" s="734"/>
      <c r="AL176" s="734"/>
      <c r="AM176" s="734"/>
      <c r="AN176" s="734"/>
    </row>
    <row r="177" spans="4:40">
      <c r="D177" s="648"/>
      <c r="E177" s="648"/>
      <c r="F177" s="648"/>
      <c r="G177" s="648"/>
      <c r="H177" s="648"/>
      <c r="I177" s="648"/>
      <c r="J177" s="648"/>
      <c r="K177" s="648"/>
      <c r="L177" s="648"/>
      <c r="M177" s="648"/>
      <c r="N177" s="648"/>
      <c r="O177" s="648"/>
      <c r="P177" s="734"/>
      <c r="W177" s="732"/>
      <c r="X177" s="752"/>
      <c r="Y177" s="753"/>
      <c r="Z177" s="751"/>
      <c r="AA177" s="734"/>
      <c r="AB177" s="754"/>
      <c r="AC177" s="734"/>
      <c r="AD177" s="734"/>
      <c r="AE177" s="734"/>
      <c r="AF177" s="734"/>
      <c r="AG177" s="734"/>
      <c r="AH177" s="734"/>
      <c r="AI177" s="734"/>
      <c r="AJ177" s="734"/>
      <c r="AK177" s="734"/>
      <c r="AL177" s="734"/>
      <c r="AM177" s="734"/>
      <c r="AN177" s="734"/>
    </row>
    <row r="178" spans="4:40">
      <c r="D178" s="648"/>
      <c r="E178" s="648"/>
      <c r="F178" s="648"/>
      <c r="G178" s="648"/>
      <c r="H178" s="648"/>
      <c r="I178" s="648"/>
      <c r="J178" s="648"/>
      <c r="K178" s="648"/>
      <c r="L178" s="648"/>
      <c r="M178" s="648"/>
      <c r="N178" s="648"/>
      <c r="O178" s="648"/>
      <c r="P178" s="734"/>
      <c r="W178" s="732"/>
      <c r="X178" s="752"/>
      <c r="Y178" s="753"/>
      <c r="Z178" s="751"/>
      <c r="AA178" s="734"/>
      <c r="AB178" s="754"/>
      <c r="AC178" s="734"/>
      <c r="AD178" s="734"/>
      <c r="AE178" s="734"/>
      <c r="AF178" s="734"/>
      <c r="AG178" s="734"/>
      <c r="AH178" s="734"/>
      <c r="AI178" s="734"/>
      <c r="AJ178" s="734"/>
      <c r="AK178" s="734"/>
      <c r="AL178" s="734"/>
      <c r="AM178" s="734"/>
      <c r="AN178" s="734"/>
    </row>
    <row r="179" spans="4:40">
      <c r="D179" s="648"/>
      <c r="E179" s="648"/>
      <c r="F179" s="648"/>
      <c r="G179" s="648"/>
      <c r="H179" s="648"/>
      <c r="I179" s="648"/>
      <c r="J179" s="648"/>
      <c r="K179" s="648"/>
      <c r="L179" s="648"/>
      <c r="M179" s="648"/>
      <c r="N179" s="648"/>
      <c r="O179" s="648"/>
      <c r="P179" s="734"/>
      <c r="W179" s="732"/>
      <c r="X179" s="752"/>
      <c r="Y179" s="753"/>
      <c r="Z179" s="751"/>
      <c r="AA179" s="734"/>
      <c r="AB179" s="754"/>
      <c r="AC179" s="734"/>
      <c r="AD179" s="734"/>
      <c r="AE179" s="734"/>
      <c r="AF179" s="734"/>
      <c r="AG179" s="734"/>
      <c r="AH179" s="734"/>
      <c r="AI179" s="734"/>
      <c r="AJ179" s="734"/>
      <c r="AK179" s="734"/>
      <c r="AL179" s="734"/>
      <c r="AM179" s="734"/>
      <c r="AN179" s="734"/>
    </row>
    <row r="180" spans="4:40">
      <c r="D180" s="648"/>
      <c r="E180" s="648"/>
      <c r="F180" s="648"/>
      <c r="G180" s="648"/>
      <c r="H180" s="648"/>
      <c r="I180" s="648"/>
      <c r="J180" s="648"/>
      <c r="K180" s="648"/>
      <c r="L180" s="648"/>
      <c r="M180" s="648"/>
      <c r="N180" s="648"/>
      <c r="O180" s="648"/>
      <c r="P180" s="734"/>
    </row>
    <row r="181" spans="4:40">
      <c r="D181" s="648"/>
      <c r="E181" s="648"/>
      <c r="F181" s="648"/>
      <c r="G181" s="648"/>
      <c r="H181" s="648"/>
      <c r="I181" s="648"/>
      <c r="J181" s="648"/>
      <c r="K181" s="648"/>
      <c r="L181" s="648"/>
      <c r="M181" s="648"/>
      <c r="N181" s="648"/>
      <c r="O181" s="648"/>
      <c r="P181" s="734"/>
    </row>
    <row r="182" spans="4:40">
      <c r="D182" s="648"/>
      <c r="E182" s="648"/>
      <c r="F182" s="648"/>
      <c r="G182" s="648"/>
      <c r="H182" s="648"/>
      <c r="I182" s="648"/>
      <c r="J182" s="648"/>
      <c r="K182" s="648"/>
      <c r="L182" s="648"/>
      <c r="M182" s="648"/>
      <c r="N182" s="648"/>
      <c r="O182" s="648"/>
      <c r="P182" s="734"/>
    </row>
    <row r="183" spans="4:40">
      <c r="D183" s="648"/>
      <c r="E183" s="648"/>
      <c r="F183" s="648"/>
      <c r="G183" s="648"/>
      <c r="H183" s="648"/>
      <c r="I183" s="648"/>
      <c r="J183" s="648"/>
      <c r="K183" s="648"/>
      <c r="L183" s="648"/>
      <c r="M183" s="648"/>
      <c r="N183" s="648"/>
      <c r="O183" s="648"/>
      <c r="P183" s="734"/>
    </row>
  </sheetData>
  <mergeCells count="3">
    <mergeCell ref="A63:D63"/>
    <mergeCell ref="R66:AA66"/>
    <mergeCell ref="E4:O4"/>
  </mergeCells>
  <pageMargins left="0.75" right="0.75" top="1" bottom="1" header="0.5" footer="0.5"/>
  <pageSetup scale="65" fitToHeight="4" orientation="landscape" horizontalDpi="4294967293" verticalDpi="300" r:id="rId1"/>
  <headerFooter alignWithMargins="0"/>
  <rowBreaks count="2" manualBreakCount="2">
    <brk id="64" max="29" man="1"/>
    <brk id="135" max="29"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workbookViewId="0">
      <selection activeCell="H24" sqref="H24"/>
    </sheetView>
  </sheetViews>
  <sheetFormatPr defaultRowHeight="15"/>
  <cols>
    <col min="1" max="1" width="29.42578125" style="401" customWidth="1"/>
    <col min="2" max="2" width="13.7109375" style="401" bestFit="1" customWidth="1"/>
    <col min="3" max="3" width="15.85546875" style="401" bestFit="1" customWidth="1"/>
    <col min="4" max="16384" width="9.140625" style="401"/>
  </cols>
  <sheetData>
    <row r="1" spans="1:7">
      <c r="A1" s="283" t="s">
        <v>112</v>
      </c>
    </row>
    <row r="2" spans="1:7">
      <c r="A2" s="283" t="s">
        <v>2113</v>
      </c>
    </row>
    <row r="4" spans="1:7" ht="75" customHeight="1">
      <c r="A4" s="1159" t="s">
        <v>2114</v>
      </c>
      <c r="B4" s="1159"/>
      <c r="C4" s="1159"/>
      <c r="D4" s="1159"/>
      <c r="E4" s="1159"/>
      <c r="F4" s="1159"/>
      <c r="G4" s="1159"/>
    </row>
    <row r="6" spans="1:7">
      <c r="A6" s="1036"/>
      <c r="B6" s="208"/>
      <c r="C6" s="208"/>
    </row>
    <row r="7" spans="1:7" ht="45">
      <c r="A7" s="1037" t="s">
        <v>1</v>
      </c>
      <c r="B7" s="1044" t="s">
        <v>2128</v>
      </c>
      <c r="C7" s="1038" t="s">
        <v>2115</v>
      </c>
    </row>
    <row r="8" spans="1:7">
      <c r="A8" s="1039" t="s">
        <v>2116</v>
      </c>
      <c r="B8" s="1046">
        <v>61761116</v>
      </c>
      <c r="C8" s="1045">
        <f>B8/$B$19</f>
        <v>0.38570900996843677</v>
      </c>
    </row>
    <row r="9" spans="1:7">
      <c r="A9" s="1040" t="s">
        <v>2117</v>
      </c>
      <c r="B9" s="1047">
        <v>37443948</v>
      </c>
      <c r="C9" s="1045">
        <f t="shared" ref="C9:C18" si="0">B9/$B$19</f>
        <v>0.2338440275656552</v>
      </c>
    </row>
    <row r="10" spans="1:7">
      <c r="A10" s="1040" t="s">
        <v>2118</v>
      </c>
      <c r="B10" s="1047">
        <v>842987</v>
      </c>
      <c r="C10" s="1045">
        <f t="shared" si="0"/>
        <v>5.2646017793179546E-3</v>
      </c>
    </row>
    <row r="11" spans="1:7">
      <c r="A11" s="1040" t="s">
        <v>2119</v>
      </c>
      <c r="B11" s="1047">
        <v>2941146</v>
      </c>
      <c r="C11" s="1045">
        <f t="shared" si="0"/>
        <v>1.8367973011249147E-2</v>
      </c>
    </row>
    <row r="12" spans="1:7">
      <c r="A12" s="1040" t="s">
        <v>2120</v>
      </c>
      <c r="B12" s="1047">
        <v>5033514</v>
      </c>
      <c r="C12" s="1045">
        <f t="shared" si="0"/>
        <v>3.1435178431721764E-2</v>
      </c>
    </row>
    <row r="13" spans="1:7">
      <c r="A13" s="1040" t="s">
        <v>2121</v>
      </c>
      <c r="B13" s="1047">
        <v>22911285</v>
      </c>
      <c r="C13" s="1045">
        <f t="shared" si="0"/>
        <v>0.14308499630179441</v>
      </c>
    </row>
    <row r="14" spans="1:7">
      <c r="A14" s="1040" t="s">
        <v>2122</v>
      </c>
      <c r="B14" s="1047">
        <v>957875</v>
      </c>
      <c r="C14" s="1045">
        <f t="shared" si="0"/>
        <v>5.9820975049012454E-3</v>
      </c>
    </row>
    <row r="15" spans="1:7">
      <c r="A15" s="1040" t="s">
        <v>2123</v>
      </c>
      <c r="B15" s="1047">
        <v>5608537</v>
      </c>
      <c r="C15" s="1045">
        <f t="shared" si="0"/>
        <v>3.5026297996968617E-2</v>
      </c>
    </row>
    <row r="16" spans="1:7">
      <c r="A16" s="1040" t="s">
        <v>2124</v>
      </c>
      <c r="B16" s="1047">
        <v>4447401</v>
      </c>
      <c r="C16" s="1045">
        <f t="shared" si="0"/>
        <v>2.7774799869915493E-2</v>
      </c>
    </row>
    <row r="17" spans="1:3">
      <c r="A17" s="1040" t="s">
        <v>2125</v>
      </c>
      <c r="B17" s="1047">
        <v>3976683</v>
      </c>
      <c r="C17" s="1045">
        <f t="shared" si="0"/>
        <v>2.4835083337683098E-2</v>
      </c>
    </row>
    <row r="18" spans="1:3">
      <c r="A18" s="1041" t="s">
        <v>2126</v>
      </c>
      <c r="B18" s="1048">
        <v>14199110</v>
      </c>
      <c r="C18" s="604">
        <f t="shared" si="0"/>
        <v>8.8675934232356327E-2</v>
      </c>
    </row>
    <row r="19" spans="1:3" ht="15.75" thickBot="1">
      <c r="B19" s="1042">
        <f t="shared" ref="B19:C19" si="1">SUM(B8:B18)</f>
        <v>160123602</v>
      </c>
      <c r="C19" s="1043">
        <f t="shared" si="1"/>
        <v>1</v>
      </c>
    </row>
    <row r="22" spans="1:3">
      <c r="B22" s="128" t="s">
        <v>2127</v>
      </c>
      <c r="C22" s="292">
        <v>174917.46</v>
      </c>
    </row>
    <row r="23" spans="1:3">
      <c r="B23" s="128"/>
      <c r="C23" s="292"/>
    </row>
    <row r="24" spans="1:3">
      <c r="B24" s="128" t="s">
        <v>2129</v>
      </c>
      <c r="C24" s="292">
        <f>C22*C11</f>
        <v>3212.8791844762518</v>
      </c>
    </row>
    <row r="25" spans="1:3">
      <c r="B25" s="128" t="s">
        <v>106</v>
      </c>
      <c r="C25" s="292">
        <f>C24*0.0765</f>
        <v>245.78525761243327</v>
      </c>
    </row>
  </sheetData>
  <mergeCells count="1">
    <mergeCell ref="A4:G4"/>
  </mergeCells>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94"/>
  <sheetViews>
    <sheetView showGridLines="0" zoomScale="85" zoomScaleNormal="85" workbookViewId="0">
      <pane xSplit="6" ySplit="5" topLeftCell="G6" activePane="bottomRight" state="frozen"/>
      <selection pane="topRight" activeCell="G1" sqref="G1"/>
      <selection pane="bottomLeft" activeCell="A6" sqref="A6"/>
      <selection pane="bottomRight" activeCell="AH292" sqref="AH292"/>
    </sheetView>
  </sheetViews>
  <sheetFormatPr defaultColWidth="13.85546875" defaultRowHeight="12.75" outlineLevelRow="1"/>
  <cols>
    <col min="1" max="1" width="7.85546875" style="60" customWidth="1"/>
    <col min="2" max="3" width="2.28515625" style="60" customWidth="1"/>
    <col min="4" max="4" width="31.42578125" style="60" customWidth="1"/>
    <col min="5" max="5" width="2.28515625" style="60" customWidth="1"/>
    <col min="6" max="6" width="2.140625" style="60" customWidth="1"/>
    <col min="7" max="7" width="12.28515625" style="119" customWidth="1"/>
    <col min="8" max="8" width="1.5703125" style="60" customWidth="1"/>
    <col min="9" max="9" width="12.28515625" style="119" customWidth="1"/>
    <col min="10" max="10" width="1.5703125" style="60" customWidth="1"/>
    <col min="11" max="11" width="12.28515625" style="119" customWidth="1"/>
    <col min="12" max="12" width="1.5703125" style="60" customWidth="1"/>
    <col min="13" max="13" width="13.5703125" style="119" customWidth="1"/>
    <col min="14" max="14" width="0.85546875" style="60" customWidth="1"/>
    <col min="15" max="15" width="12.28515625" style="119" customWidth="1"/>
    <col min="16" max="16" width="1.5703125" style="60" customWidth="1"/>
    <col min="17" max="17" width="12.28515625" style="119" customWidth="1"/>
    <col min="18" max="18" width="1.5703125" style="60" customWidth="1"/>
    <col min="19" max="19" width="12.28515625" style="119" customWidth="1"/>
    <col min="20" max="20" width="0.85546875" style="60" customWidth="1"/>
    <col min="21" max="21" width="12.28515625" style="119" customWidth="1"/>
    <col min="22" max="22" width="1.5703125" style="60" customWidth="1"/>
    <col min="23" max="23" width="12.28515625" style="119" customWidth="1"/>
    <col min="24" max="24" width="1.5703125" style="60" customWidth="1"/>
    <col min="25" max="25" width="12.28515625" style="119" customWidth="1"/>
    <col min="26" max="26" width="0.85546875" style="60" customWidth="1"/>
    <col min="27" max="27" width="12.28515625" style="119" customWidth="1"/>
    <col min="28" max="28" width="1.5703125" style="60" customWidth="1"/>
    <col min="29" max="29" width="12.28515625" style="119" customWidth="1"/>
    <col min="30" max="30" width="1.5703125" style="60" customWidth="1"/>
    <col min="31" max="31" width="12.28515625" style="119" customWidth="1"/>
    <col min="32" max="32" width="4.5703125" style="60" customWidth="1"/>
    <col min="33" max="33" width="1.42578125" style="60" customWidth="1"/>
    <col min="34" max="256" width="13.85546875" style="60"/>
    <col min="257" max="257" width="7.85546875" style="60" customWidth="1"/>
    <col min="258" max="259" width="2.28515625" style="60" customWidth="1"/>
    <col min="260" max="260" width="31.42578125" style="60" customWidth="1"/>
    <col min="261" max="261" width="2.28515625" style="60" customWidth="1"/>
    <col min="262" max="262" width="2.140625" style="60" customWidth="1"/>
    <col min="263" max="263" width="12.28515625" style="60" customWidth="1"/>
    <col min="264" max="264" width="1.5703125" style="60" customWidth="1"/>
    <col min="265" max="265" width="12.28515625" style="60" customWidth="1"/>
    <col min="266" max="266" width="1.5703125" style="60" customWidth="1"/>
    <col min="267" max="267" width="12.28515625" style="60" customWidth="1"/>
    <col min="268" max="268" width="1.5703125" style="60" customWidth="1"/>
    <col min="269" max="269" width="13.5703125" style="60" customWidth="1"/>
    <col min="270" max="270" width="0.85546875" style="60" customWidth="1"/>
    <col min="271" max="271" width="12.28515625" style="60" customWidth="1"/>
    <col min="272" max="272" width="1.5703125" style="60" customWidth="1"/>
    <col min="273" max="273" width="12.28515625" style="60" customWidth="1"/>
    <col min="274" max="274" width="1.5703125" style="60" customWidth="1"/>
    <col min="275" max="275" width="12.28515625" style="60" customWidth="1"/>
    <col min="276" max="276" width="0.85546875" style="60" customWidth="1"/>
    <col min="277" max="277" width="12.28515625" style="60" customWidth="1"/>
    <col min="278" max="278" width="1.5703125" style="60" customWidth="1"/>
    <col min="279" max="279" width="12.28515625" style="60" customWidth="1"/>
    <col min="280" max="280" width="1.5703125" style="60" customWidth="1"/>
    <col min="281" max="281" width="12.28515625" style="60" customWidth="1"/>
    <col min="282" max="282" width="0.85546875" style="60" customWidth="1"/>
    <col min="283" max="283" width="12.28515625" style="60" customWidth="1"/>
    <col min="284" max="284" width="1.5703125" style="60" customWidth="1"/>
    <col min="285" max="285" width="12.28515625" style="60" customWidth="1"/>
    <col min="286" max="286" width="1.5703125" style="60" customWidth="1"/>
    <col min="287" max="287" width="12.28515625" style="60" customWidth="1"/>
    <col min="288" max="288" width="4.5703125" style="60" customWidth="1"/>
    <col min="289" max="289" width="1.42578125" style="60" customWidth="1"/>
    <col min="290" max="512" width="13.85546875" style="60"/>
    <col min="513" max="513" width="7.85546875" style="60" customWidth="1"/>
    <col min="514" max="515" width="2.28515625" style="60" customWidth="1"/>
    <col min="516" max="516" width="31.42578125" style="60" customWidth="1"/>
    <col min="517" max="517" width="2.28515625" style="60" customWidth="1"/>
    <col min="518" max="518" width="2.140625" style="60" customWidth="1"/>
    <col min="519" max="519" width="12.28515625" style="60" customWidth="1"/>
    <col min="520" max="520" width="1.5703125" style="60" customWidth="1"/>
    <col min="521" max="521" width="12.28515625" style="60" customWidth="1"/>
    <col min="522" max="522" width="1.5703125" style="60" customWidth="1"/>
    <col min="523" max="523" width="12.28515625" style="60" customWidth="1"/>
    <col min="524" max="524" width="1.5703125" style="60" customWidth="1"/>
    <col min="525" max="525" width="13.5703125" style="60" customWidth="1"/>
    <col min="526" max="526" width="0.85546875" style="60" customWidth="1"/>
    <col min="527" max="527" width="12.28515625" style="60" customWidth="1"/>
    <col min="528" max="528" width="1.5703125" style="60" customWidth="1"/>
    <col min="529" max="529" width="12.28515625" style="60" customWidth="1"/>
    <col min="530" max="530" width="1.5703125" style="60" customWidth="1"/>
    <col min="531" max="531" width="12.28515625" style="60" customWidth="1"/>
    <col min="532" max="532" width="0.85546875" style="60" customWidth="1"/>
    <col min="533" max="533" width="12.28515625" style="60" customWidth="1"/>
    <col min="534" max="534" width="1.5703125" style="60" customWidth="1"/>
    <col min="535" max="535" width="12.28515625" style="60" customWidth="1"/>
    <col min="536" max="536" width="1.5703125" style="60" customWidth="1"/>
    <col min="537" max="537" width="12.28515625" style="60" customWidth="1"/>
    <col min="538" max="538" width="0.85546875" style="60" customWidth="1"/>
    <col min="539" max="539" width="12.28515625" style="60" customWidth="1"/>
    <col min="540" max="540" width="1.5703125" style="60" customWidth="1"/>
    <col min="541" max="541" width="12.28515625" style="60" customWidth="1"/>
    <col min="542" max="542" width="1.5703125" style="60" customWidth="1"/>
    <col min="543" max="543" width="12.28515625" style="60" customWidth="1"/>
    <col min="544" max="544" width="4.5703125" style="60" customWidth="1"/>
    <col min="545" max="545" width="1.42578125" style="60" customWidth="1"/>
    <col min="546" max="768" width="13.85546875" style="60"/>
    <col min="769" max="769" width="7.85546875" style="60" customWidth="1"/>
    <col min="770" max="771" width="2.28515625" style="60" customWidth="1"/>
    <col min="772" max="772" width="31.42578125" style="60" customWidth="1"/>
    <col min="773" max="773" width="2.28515625" style="60" customWidth="1"/>
    <col min="774" max="774" width="2.140625" style="60" customWidth="1"/>
    <col min="775" max="775" width="12.28515625" style="60" customWidth="1"/>
    <col min="776" max="776" width="1.5703125" style="60" customWidth="1"/>
    <col min="777" max="777" width="12.28515625" style="60" customWidth="1"/>
    <col min="778" max="778" width="1.5703125" style="60" customWidth="1"/>
    <col min="779" max="779" width="12.28515625" style="60" customWidth="1"/>
    <col min="780" max="780" width="1.5703125" style="60" customWidth="1"/>
    <col min="781" max="781" width="13.5703125" style="60" customWidth="1"/>
    <col min="782" max="782" width="0.85546875" style="60" customWidth="1"/>
    <col min="783" max="783" width="12.28515625" style="60" customWidth="1"/>
    <col min="784" max="784" width="1.5703125" style="60" customWidth="1"/>
    <col min="785" max="785" width="12.28515625" style="60" customWidth="1"/>
    <col min="786" max="786" width="1.5703125" style="60" customWidth="1"/>
    <col min="787" max="787" width="12.28515625" style="60" customWidth="1"/>
    <col min="788" max="788" width="0.85546875" style="60" customWidth="1"/>
    <col min="789" max="789" width="12.28515625" style="60" customWidth="1"/>
    <col min="790" max="790" width="1.5703125" style="60" customWidth="1"/>
    <col min="791" max="791" width="12.28515625" style="60" customWidth="1"/>
    <col min="792" max="792" width="1.5703125" style="60" customWidth="1"/>
    <col min="793" max="793" width="12.28515625" style="60" customWidth="1"/>
    <col min="794" max="794" width="0.85546875" style="60" customWidth="1"/>
    <col min="795" max="795" width="12.28515625" style="60" customWidth="1"/>
    <col min="796" max="796" width="1.5703125" style="60" customWidth="1"/>
    <col min="797" max="797" width="12.28515625" style="60" customWidth="1"/>
    <col min="798" max="798" width="1.5703125" style="60" customWidth="1"/>
    <col min="799" max="799" width="12.28515625" style="60" customWidth="1"/>
    <col min="800" max="800" width="4.5703125" style="60" customWidth="1"/>
    <col min="801" max="801" width="1.42578125" style="60" customWidth="1"/>
    <col min="802" max="1024" width="13.85546875" style="60"/>
    <col min="1025" max="1025" width="7.85546875" style="60" customWidth="1"/>
    <col min="1026" max="1027" width="2.28515625" style="60" customWidth="1"/>
    <col min="1028" max="1028" width="31.42578125" style="60" customWidth="1"/>
    <col min="1029" max="1029" width="2.28515625" style="60" customWidth="1"/>
    <col min="1030" max="1030" width="2.140625" style="60" customWidth="1"/>
    <col min="1031" max="1031" width="12.28515625" style="60" customWidth="1"/>
    <col min="1032" max="1032" width="1.5703125" style="60" customWidth="1"/>
    <col min="1033" max="1033" width="12.28515625" style="60" customWidth="1"/>
    <col min="1034" max="1034" width="1.5703125" style="60" customWidth="1"/>
    <col min="1035" max="1035" width="12.28515625" style="60" customWidth="1"/>
    <col min="1036" max="1036" width="1.5703125" style="60" customWidth="1"/>
    <col min="1037" max="1037" width="13.5703125" style="60" customWidth="1"/>
    <col min="1038" max="1038" width="0.85546875" style="60" customWidth="1"/>
    <col min="1039" max="1039" width="12.28515625" style="60" customWidth="1"/>
    <col min="1040" max="1040" width="1.5703125" style="60" customWidth="1"/>
    <col min="1041" max="1041" width="12.28515625" style="60" customWidth="1"/>
    <col min="1042" max="1042" width="1.5703125" style="60" customWidth="1"/>
    <col min="1043" max="1043" width="12.28515625" style="60" customWidth="1"/>
    <col min="1044" max="1044" width="0.85546875" style="60" customWidth="1"/>
    <col min="1045" max="1045" width="12.28515625" style="60" customWidth="1"/>
    <col min="1046" max="1046" width="1.5703125" style="60" customWidth="1"/>
    <col min="1047" max="1047" width="12.28515625" style="60" customWidth="1"/>
    <col min="1048" max="1048" width="1.5703125" style="60" customWidth="1"/>
    <col min="1049" max="1049" width="12.28515625" style="60" customWidth="1"/>
    <col min="1050" max="1050" width="0.85546875" style="60" customWidth="1"/>
    <col min="1051" max="1051" width="12.28515625" style="60" customWidth="1"/>
    <col min="1052" max="1052" width="1.5703125" style="60" customWidth="1"/>
    <col min="1053" max="1053" width="12.28515625" style="60" customWidth="1"/>
    <col min="1054" max="1054" width="1.5703125" style="60" customWidth="1"/>
    <col min="1055" max="1055" width="12.28515625" style="60" customWidth="1"/>
    <col min="1056" max="1056" width="4.5703125" style="60" customWidth="1"/>
    <col min="1057" max="1057" width="1.42578125" style="60" customWidth="1"/>
    <col min="1058" max="1280" width="13.85546875" style="60"/>
    <col min="1281" max="1281" width="7.85546875" style="60" customWidth="1"/>
    <col min="1282" max="1283" width="2.28515625" style="60" customWidth="1"/>
    <col min="1284" max="1284" width="31.42578125" style="60" customWidth="1"/>
    <col min="1285" max="1285" width="2.28515625" style="60" customWidth="1"/>
    <col min="1286" max="1286" width="2.140625" style="60" customWidth="1"/>
    <col min="1287" max="1287" width="12.28515625" style="60" customWidth="1"/>
    <col min="1288" max="1288" width="1.5703125" style="60" customWidth="1"/>
    <col min="1289" max="1289" width="12.28515625" style="60" customWidth="1"/>
    <col min="1290" max="1290" width="1.5703125" style="60" customWidth="1"/>
    <col min="1291" max="1291" width="12.28515625" style="60" customWidth="1"/>
    <col min="1292" max="1292" width="1.5703125" style="60" customWidth="1"/>
    <col min="1293" max="1293" width="13.5703125" style="60" customWidth="1"/>
    <col min="1294" max="1294" width="0.85546875" style="60" customWidth="1"/>
    <col min="1295" max="1295" width="12.28515625" style="60" customWidth="1"/>
    <col min="1296" max="1296" width="1.5703125" style="60" customWidth="1"/>
    <col min="1297" max="1297" width="12.28515625" style="60" customWidth="1"/>
    <col min="1298" max="1298" width="1.5703125" style="60" customWidth="1"/>
    <col min="1299" max="1299" width="12.28515625" style="60" customWidth="1"/>
    <col min="1300" max="1300" width="0.85546875" style="60" customWidth="1"/>
    <col min="1301" max="1301" width="12.28515625" style="60" customWidth="1"/>
    <col min="1302" max="1302" width="1.5703125" style="60" customWidth="1"/>
    <col min="1303" max="1303" width="12.28515625" style="60" customWidth="1"/>
    <col min="1304" max="1304" width="1.5703125" style="60" customWidth="1"/>
    <col min="1305" max="1305" width="12.28515625" style="60" customWidth="1"/>
    <col min="1306" max="1306" width="0.85546875" style="60" customWidth="1"/>
    <col min="1307" max="1307" width="12.28515625" style="60" customWidth="1"/>
    <col min="1308" max="1308" width="1.5703125" style="60" customWidth="1"/>
    <col min="1309" max="1309" width="12.28515625" style="60" customWidth="1"/>
    <col min="1310" max="1310" width="1.5703125" style="60" customWidth="1"/>
    <col min="1311" max="1311" width="12.28515625" style="60" customWidth="1"/>
    <col min="1312" max="1312" width="4.5703125" style="60" customWidth="1"/>
    <col min="1313" max="1313" width="1.42578125" style="60" customWidth="1"/>
    <col min="1314" max="1536" width="13.85546875" style="60"/>
    <col min="1537" max="1537" width="7.85546875" style="60" customWidth="1"/>
    <col min="1538" max="1539" width="2.28515625" style="60" customWidth="1"/>
    <col min="1540" max="1540" width="31.42578125" style="60" customWidth="1"/>
    <col min="1541" max="1541" width="2.28515625" style="60" customWidth="1"/>
    <col min="1542" max="1542" width="2.140625" style="60" customWidth="1"/>
    <col min="1543" max="1543" width="12.28515625" style="60" customWidth="1"/>
    <col min="1544" max="1544" width="1.5703125" style="60" customWidth="1"/>
    <col min="1545" max="1545" width="12.28515625" style="60" customWidth="1"/>
    <col min="1546" max="1546" width="1.5703125" style="60" customWidth="1"/>
    <col min="1547" max="1547" width="12.28515625" style="60" customWidth="1"/>
    <col min="1548" max="1548" width="1.5703125" style="60" customWidth="1"/>
    <col min="1549" max="1549" width="13.5703125" style="60" customWidth="1"/>
    <col min="1550" max="1550" width="0.85546875" style="60" customWidth="1"/>
    <col min="1551" max="1551" width="12.28515625" style="60" customWidth="1"/>
    <col min="1552" max="1552" width="1.5703125" style="60" customWidth="1"/>
    <col min="1553" max="1553" width="12.28515625" style="60" customWidth="1"/>
    <col min="1554" max="1554" width="1.5703125" style="60" customWidth="1"/>
    <col min="1555" max="1555" width="12.28515625" style="60" customWidth="1"/>
    <col min="1556" max="1556" width="0.85546875" style="60" customWidth="1"/>
    <col min="1557" max="1557" width="12.28515625" style="60" customWidth="1"/>
    <col min="1558" max="1558" width="1.5703125" style="60" customWidth="1"/>
    <col min="1559" max="1559" width="12.28515625" style="60" customWidth="1"/>
    <col min="1560" max="1560" width="1.5703125" style="60" customWidth="1"/>
    <col min="1561" max="1561" width="12.28515625" style="60" customWidth="1"/>
    <col min="1562" max="1562" width="0.85546875" style="60" customWidth="1"/>
    <col min="1563" max="1563" width="12.28515625" style="60" customWidth="1"/>
    <col min="1564" max="1564" width="1.5703125" style="60" customWidth="1"/>
    <col min="1565" max="1565" width="12.28515625" style="60" customWidth="1"/>
    <col min="1566" max="1566" width="1.5703125" style="60" customWidth="1"/>
    <col min="1567" max="1567" width="12.28515625" style="60" customWidth="1"/>
    <col min="1568" max="1568" width="4.5703125" style="60" customWidth="1"/>
    <col min="1569" max="1569" width="1.42578125" style="60" customWidth="1"/>
    <col min="1570" max="1792" width="13.85546875" style="60"/>
    <col min="1793" max="1793" width="7.85546875" style="60" customWidth="1"/>
    <col min="1794" max="1795" width="2.28515625" style="60" customWidth="1"/>
    <col min="1796" max="1796" width="31.42578125" style="60" customWidth="1"/>
    <col min="1797" max="1797" width="2.28515625" style="60" customWidth="1"/>
    <col min="1798" max="1798" width="2.140625" style="60" customWidth="1"/>
    <col min="1799" max="1799" width="12.28515625" style="60" customWidth="1"/>
    <col min="1800" max="1800" width="1.5703125" style="60" customWidth="1"/>
    <col min="1801" max="1801" width="12.28515625" style="60" customWidth="1"/>
    <col min="1802" max="1802" width="1.5703125" style="60" customWidth="1"/>
    <col min="1803" max="1803" width="12.28515625" style="60" customWidth="1"/>
    <col min="1804" max="1804" width="1.5703125" style="60" customWidth="1"/>
    <col min="1805" max="1805" width="13.5703125" style="60" customWidth="1"/>
    <col min="1806" max="1806" width="0.85546875" style="60" customWidth="1"/>
    <col min="1807" max="1807" width="12.28515625" style="60" customWidth="1"/>
    <col min="1808" max="1808" width="1.5703125" style="60" customWidth="1"/>
    <col min="1809" max="1809" width="12.28515625" style="60" customWidth="1"/>
    <col min="1810" max="1810" width="1.5703125" style="60" customWidth="1"/>
    <col min="1811" max="1811" width="12.28515625" style="60" customWidth="1"/>
    <col min="1812" max="1812" width="0.85546875" style="60" customWidth="1"/>
    <col min="1813" max="1813" width="12.28515625" style="60" customWidth="1"/>
    <col min="1814" max="1814" width="1.5703125" style="60" customWidth="1"/>
    <col min="1815" max="1815" width="12.28515625" style="60" customWidth="1"/>
    <col min="1816" max="1816" width="1.5703125" style="60" customWidth="1"/>
    <col min="1817" max="1817" width="12.28515625" style="60" customWidth="1"/>
    <col min="1818" max="1818" width="0.85546875" style="60" customWidth="1"/>
    <col min="1819" max="1819" width="12.28515625" style="60" customWidth="1"/>
    <col min="1820" max="1820" width="1.5703125" style="60" customWidth="1"/>
    <col min="1821" max="1821" width="12.28515625" style="60" customWidth="1"/>
    <col min="1822" max="1822" width="1.5703125" style="60" customWidth="1"/>
    <col min="1823" max="1823" width="12.28515625" style="60" customWidth="1"/>
    <col min="1824" max="1824" width="4.5703125" style="60" customWidth="1"/>
    <col min="1825" max="1825" width="1.42578125" style="60" customWidth="1"/>
    <col min="1826" max="2048" width="13.85546875" style="60"/>
    <col min="2049" max="2049" width="7.85546875" style="60" customWidth="1"/>
    <col min="2050" max="2051" width="2.28515625" style="60" customWidth="1"/>
    <col min="2052" max="2052" width="31.42578125" style="60" customWidth="1"/>
    <col min="2053" max="2053" width="2.28515625" style="60" customWidth="1"/>
    <col min="2054" max="2054" width="2.140625" style="60" customWidth="1"/>
    <col min="2055" max="2055" width="12.28515625" style="60" customWidth="1"/>
    <col min="2056" max="2056" width="1.5703125" style="60" customWidth="1"/>
    <col min="2057" max="2057" width="12.28515625" style="60" customWidth="1"/>
    <col min="2058" max="2058" width="1.5703125" style="60" customWidth="1"/>
    <col min="2059" max="2059" width="12.28515625" style="60" customWidth="1"/>
    <col min="2060" max="2060" width="1.5703125" style="60" customWidth="1"/>
    <col min="2061" max="2061" width="13.5703125" style="60" customWidth="1"/>
    <col min="2062" max="2062" width="0.85546875" style="60" customWidth="1"/>
    <col min="2063" max="2063" width="12.28515625" style="60" customWidth="1"/>
    <col min="2064" max="2064" width="1.5703125" style="60" customWidth="1"/>
    <col min="2065" max="2065" width="12.28515625" style="60" customWidth="1"/>
    <col min="2066" max="2066" width="1.5703125" style="60" customWidth="1"/>
    <col min="2067" max="2067" width="12.28515625" style="60" customWidth="1"/>
    <col min="2068" max="2068" width="0.85546875" style="60" customWidth="1"/>
    <col min="2069" max="2069" width="12.28515625" style="60" customWidth="1"/>
    <col min="2070" max="2070" width="1.5703125" style="60" customWidth="1"/>
    <col min="2071" max="2071" width="12.28515625" style="60" customWidth="1"/>
    <col min="2072" max="2072" width="1.5703125" style="60" customWidth="1"/>
    <col min="2073" max="2073" width="12.28515625" style="60" customWidth="1"/>
    <col min="2074" max="2074" width="0.85546875" style="60" customWidth="1"/>
    <col min="2075" max="2075" width="12.28515625" style="60" customWidth="1"/>
    <col min="2076" max="2076" width="1.5703125" style="60" customWidth="1"/>
    <col min="2077" max="2077" width="12.28515625" style="60" customWidth="1"/>
    <col min="2078" max="2078" width="1.5703125" style="60" customWidth="1"/>
    <col min="2079" max="2079" width="12.28515625" style="60" customWidth="1"/>
    <col min="2080" max="2080" width="4.5703125" style="60" customWidth="1"/>
    <col min="2081" max="2081" width="1.42578125" style="60" customWidth="1"/>
    <col min="2082" max="2304" width="13.85546875" style="60"/>
    <col min="2305" max="2305" width="7.85546875" style="60" customWidth="1"/>
    <col min="2306" max="2307" width="2.28515625" style="60" customWidth="1"/>
    <col min="2308" max="2308" width="31.42578125" style="60" customWidth="1"/>
    <col min="2309" max="2309" width="2.28515625" style="60" customWidth="1"/>
    <col min="2310" max="2310" width="2.140625" style="60" customWidth="1"/>
    <col min="2311" max="2311" width="12.28515625" style="60" customWidth="1"/>
    <col min="2312" max="2312" width="1.5703125" style="60" customWidth="1"/>
    <col min="2313" max="2313" width="12.28515625" style="60" customWidth="1"/>
    <col min="2314" max="2314" width="1.5703125" style="60" customWidth="1"/>
    <col min="2315" max="2315" width="12.28515625" style="60" customWidth="1"/>
    <col min="2316" max="2316" width="1.5703125" style="60" customWidth="1"/>
    <col min="2317" max="2317" width="13.5703125" style="60" customWidth="1"/>
    <col min="2318" max="2318" width="0.85546875" style="60" customWidth="1"/>
    <col min="2319" max="2319" width="12.28515625" style="60" customWidth="1"/>
    <col min="2320" max="2320" width="1.5703125" style="60" customWidth="1"/>
    <col min="2321" max="2321" width="12.28515625" style="60" customWidth="1"/>
    <col min="2322" max="2322" width="1.5703125" style="60" customWidth="1"/>
    <col min="2323" max="2323" width="12.28515625" style="60" customWidth="1"/>
    <col min="2324" max="2324" width="0.85546875" style="60" customWidth="1"/>
    <col min="2325" max="2325" width="12.28515625" style="60" customWidth="1"/>
    <col min="2326" max="2326" width="1.5703125" style="60" customWidth="1"/>
    <col min="2327" max="2327" width="12.28515625" style="60" customWidth="1"/>
    <col min="2328" max="2328" width="1.5703125" style="60" customWidth="1"/>
    <col min="2329" max="2329" width="12.28515625" style="60" customWidth="1"/>
    <col min="2330" max="2330" width="0.85546875" style="60" customWidth="1"/>
    <col min="2331" max="2331" width="12.28515625" style="60" customWidth="1"/>
    <col min="2332" max="2332" width="1.5703125" style="60" customWidth="1"/>
    <col min="2333" max="2333" width="12.28515625" style="60" customWidth="1"/>
    <col min="2334" max="2334" width="1.5703125" style="60" customWidth="1"/>
    <col min="2335" max="2335" width="12.28515625" style="60" customWidth="1"/>
    <col min="2336" max="2336" width="4.5703125" style="60" customWidth="1"/>
    <col min="2337" max="2337" width="1.42578125" style="60" customWidth="1"/>
    <col min="2338" max="2560" width="13.85546875" style="60"/>
    <col min="2561" max="2561" width="7.85546875" style="60" customWidth="1"/>
    <col min="2562" max="2563" width="2.28515625" style="60" customWidth="1"/>
    <col min="2564" max="2564" width="31.42578125" style="60" customWidth="1"/>
    <col min="2565" max="2565" width="2.28515625" style="60" customWidth="1"/>
    <col min="2566" max="2566" width="2.140625" style="60" customWidth="1"/>
    <col min="2567" max="2567" width="12.28515625" style="60" customWidth="1"/>
    <col min="2568" max="2568" width="1.5703125" style="60" customWidth="1"/>
    <col min="2569" max="2569" width="12.28515625" style="60" customWidth="1"/>
    <col min="2570" max="2570" width="1.5703125" style="60" customWidth="1"/>
    <col min="2571" max="2571" width="12.28515625" style="60" customWidth="1"/>
    <col min="2572" max="2572" width="1.5703125" style="60" customWidth="1"/>
    <col min="2573" max="2573" width="13.5703125" style="60" customWidth="1"/>
    <col min="2574" max="2574" width="0.85546875" style="60" customWidth="1"/>
    <col min="2575" max="2575" width="12.28515625" style="60" customWidth="1"/>
    <col min="2576" max="2576" width="1.5703125" style="60" customWidth="1"/>
    <col min="2577" max="2577" width="12.28515625" style="60" customWidth="1"/>
    <col min="2578" max="2578" width="1.5703125" style="60" customWidth="1"/>
    <col min="2579" max="2579" width="12.28515625" style="60" customWidth="1"/>
    <col min="2580" max="2580" width="0.85546875" style="60" customWidth="1"/>
    <col min="2581" max="2581" width="12.28515625" style="60" customWidth="1"/>
    <col min="2582" max="2582" width="1.5703125" style="60" customWidth="1"/>
    <col min="2583" max="2583" width="12.28515625" style="60" customWidth="1"/>
    <col min="2584" max="2584" width="1.5703125" style="60" customWidth="1"/>
    <col min="2585" max="2585" width="12.28515625" style="60" customWidth="1"/>
    <col min="2586" max="2586" width="0.85546875" style="60" customWidth="1"/>
    <col min="2587" max="2587" width="12.28515625" style="60" customWidth="1"/>
    <col min="2588" max="2588" width="1.5703125" style="60" customWidth="1"/>
    <col min="2589" max="2589" width="12.28515625" style="60" customWidth="1"/>
    <col min="2590" max="2590" width="1.5703125" style="60" customWidth="1"/>
    <col min="2591" max="2591" width="12.28515625" style="60" customWidth="1"/>
    <col min="2592" max="2592" width="4.5703125" style="60" customWidth="1"/>
    <col min="2593" max="2593" width="1.42578125" style="60" customWidth="1"/>
    <col min="2594" max="2816" width="13.85546875" style="60"/>
    <col min="2817" max="2817" width="7.85546875" style="60" customWidth="1"/>
    <col min="2818" max="2819" width="2.28515625" style="60" customWidth="1"/>
    <col min="2820" max="2820" width="31.42578125" style="60" customWidth="1"/>
    <col min="2821" max="2821" width="2.28515625" style="60" customWidth="1"/>
    <col min="2822" max="2822" width="2.140625" style="60" customWidth="1"/>
    <col min="2823" max="2823" width="12.28515625" style="60" customWidth="1"/>
    <col min="2824" max="2824" width="1.5703125" style="60" customWidth="1"/>
    <col min="2825" max="2825" width="12.28515625" style="60" customWidth="1"/>
    <col min="2826" max="2826" width="1.5703125" style="60" customWidth="1"/>
    <col min="2827" max="2827" width="12.28515625" style="60" customWidth="1"/>
    <col min="2828" max="2828" width="1.5703125" style="60" customWidth="1"/>
    <col min="2829" max="2829" width="13.5703125" style="60" customWidth="1"/>
    <col min="2830" max="2830" width="0.85546875" style="60" customWidth="1"/>
    <col min="2831" max="2831" width="12.28515625" style="60" customWidth="1"/>
    <col min="2832" max="2832" width="1.5703125" style="60" customWidth="1"/>
    <col min="2833" max="2833" width="12.28515625" style="60" customWidth="1"/>
    <col min="2834" max="2834" width="1.5703125" style="60" customWidth="1"/>
    <col min="2835" max="2835" width="12.28515625" style="60" customWidth="1"/>
    <col min="2836" max="2836" width="0.85546875" style="60" customWidth="1"/>
    <col min="2837" max="2837" width="12.28515625" style="60" customWidth="1"/>
    <col min="2838" max="2838" width="1.5703125" style="60" customWidth="1"/>
    <col min="2839" max="2839" width="12.28515625" style="60" customWidth="1"/>
    <col min="2840" max="2840" width="1.5703125" style="60" customWidth="1"/>
    <col min="2841" max="2841" width="12.28515625" style="60" customWidth="1"/>
    <col min="2842" max="2842" width="0.85546875" style="60" customWidth="1"/>
    <col min="2843" max="2843" width="12.28515625" style="60" customWidth="1"/>
    <col min="2844" max="2844" width="1.5703125" style="60" customWidth="1"/>
    <col min="2845" max="2845" width="12.28515625" style="60" customWidth="1"/>
    <col min="2846" max="2846" width="1.5703125" style="60" customWidth="1"/>
    <col min="2847" max="2847" width="12.28515625" style="60" customWidth="1"/>
    <col min="2848" max="2848" width="4.5703125" style="60" customWidth="1"/>
    <col min="2849" max="2849" width="1.42578125" style="60" customWidth="1"/>
    <col min="2850" max="3072" width="13.85546875" style="60"/>
    <col min="3073" max="3073" width="7.85546875" style="60" customWidth="1"/>
    <col min="3074" max="3075" width="2.28515625" style="60" customWidth="1"/>
    <col min="3076" max="3076" width="31.42578125" style="60" customWidth="1"/>
    <col min="3077" max="3077" width="2.28515625" style="60" customWidth="1"/>
    <col min="3078" max="3078" width="2.140625" style="60" customWidth="1"/>
    <col min="3079" max="3079" width="12.28515625" style="60" customWidth="1"/>
    <col min="3080" max="3080" width="1.5703125" style="60" customWidth="1"/>
    <col min="3081" max="3081" width="12.28515625" style="60" customWidth="1"/>
    <col min="3082" max="3082" width="1.5703125" style="60" customWidth="1"/>
    <col min="3083" max="3083" width="12.28515625" style="60" customWidth="1"/>
    <col min="3084" max="3084" width="1.5703125" style="60" customWidth="1"/>
    <col min="3085" max="3085" width="13.5703125" style="60" customWidth="1"/>
    <col min="3086" max="3086" width="0.85546875" style="60" customWidth="1"/>
    <col min="3087" max="3087" width="12.28515625" style="60" customWidth="1"/>
    <col min="3088" max="3088" width="1.5703125" style="60" customWidth="1"/>
    <col min="3089" max="3089" width="12.28515625" style="60" customWidth="1"/>
    <col min="3090" max="3090" width="1.5703125" style="60" customWidth="1"/>
    <col min="3091" max="3091" width="12.28515625" style="60" customWidth="1"/>
    <col min="3092" max="3092" width="0.85546875" style="60" customWidth="1"/>
    <col min="3093" max="3093" width="12.28515625" style="60" customWidth="1"/>
    <col min="3094" max="3094" width="1.5703125" style="60" customWidth="1"/>
    <col min="3095" max="3095" width="12.28515625" style="60" customWidth="1"/>
    <col min="3096" max="3096" width="1.5703125" style="60" customWidth="1"/>
    <col min="3097" max="3097" width="12.28515625" style="60" customWidth="1"/>
    <col min="3098" max="3098" width="0.85546875" style="60" customWidth="1"/>
    <col min="3099" max="3099" width="12.28515625" style="60" customWidth="1"/>
    <col min="3100" max="3100" width="1.5703125" style="60" customWidth="1"/>
    <col min="3101" max="3101" width="12.28515625" style="60" customWidth="1"/>
    <col min="3102" max="3102" width="1.5703125" style="60" customWidth="1"/>
    <col min="3103" max="3103" width="12.28515625" style="60" customWidth="1"/>
    <col min="3104" max="3104" width="4.5703125" style="60" customWidth="1"/>
    <col min="3105" max="3105" width="1.42578125" style="60" customWidth="1"/>
    <col min="3106" max="3328" width="13.85546875" style="60"/>
    <col min="3329" max="3329" width="7.85546875" style="60" customWidth="1"/>
    <col min="3330" max="3331" width="2.28515625" style="60" customWidth="1"/>
    <col min="3332" max="3332" width="31.42578125" style="60" customWidth="1"/>
    <col min="3333" max="3333" width="2.28515625" style="60" customWidth="1"/>
    <col min="3334" max="3334" width="2.140625" style="60" customWidth="1"/>
    <col min="3335" max="3335" width="12.28515625" style="60" customWidth="1"/>
    <col min="3336" max="3336" width="1.5703125" style="60" customWidth="1"/>
    <col min="3337" max="3337" width="12.28515625" style="60" customWidth="1"/>
    <col min="3338" max="3338" width="1.5703125" style="60" customWidth="1"/>
    <col min="3339" max="3339" width="12.28515625" style="60" customWidth="1"/>
    <col min="3340" max="3340" width="1.5703125" style="60" customWidth="1"/>
    <col min="3341" max="3341" width="13.5703125" style="60" customWidth="1"/>
    <col min="3342" max="3342" width="0.85546875" style="60" customWidth="1"/>
    <col min="3343" max="3343" width="12.28515625" style="60" customWidth="1"/>
    <col min="3344" max="3344" width="1.5703125" style="60" customWidth="1"/>
    <col min="3345" max="3345" width="12.28515625" style="60" customWidth="1"/>
    <col min="3346" max="3346" width="1.5703125" style="60" customWidth="1"/>
    <col min="3347" max="3347" width="12.28515625" style="60" customWidth="1"/>
    <col min="3348" max="3348" width="0.85546875" style="60" customWidth="1"/>
    <col min="3349" max="3349" width="12.28515625" style="60" customWidth="1"/>
    <col min="3350" max="3350" width="1.5703125" style="60" customWidth="1"/>
    <col min="3351" max="3351" width="12.28515625" style="60" customWidth="1"/>
    <col min="3352" max="3352" width="1.5703125" style="60" customWidth="1"/>
    <col min="3353" max="3353" width="12.28515625" style="60" customWidth="1"/>
    <col min="3354" max="3354" width="0.85546875" style="60" customWidth="1"/>
    <col min="3355" max="3355" width="12.28515625" style="60" customWidth="1"/>
    <col min="3356" max="3356" width="1.5703125" style="60" customWidth="1"/>
    <col min="3357" max="3357" width="12.28515625" style="60" customWidth="1"/>
    <col min="3358" max="3358" width="1.5703125" style="60" customWidth="1"/>
    <col min="3359" max="3359" width="12.28515625" style="60" customWidth="1"/>
    <col min="3360" max="3360" width="4.5703125" style="60" customWidth="1"/>
    <col min="3361" max="3361" width="1.42578125" style="60" customWidth="1"/>
    <col min="3362" max="3584" width="13.85546875" style="60"/>
    <col min="3585" max="3585" width="7.85546875" style="60" customWidth="1"/>
    <col min="3586" max="3587" width="2.28515625" style="60" customWidth="1"/>
    <col min="3588" max="3588" width="31.42578125" style="60" customWidth="1"/>
    <col min="3589" max="3589" width="2.28515625" style="60" customWidth="1"/>
    <col min="3590" max="3590" width="2.140625" style="60" customWidth="1"/>
    <col min="3591" max="3591" width="12.28515625" style="60" customWidth="1"/>
    <col min="3592" max="3592" width="1.5703125" style="60" customWidth="1"/>
    <col min="3593" max="3593" width="12.28515625" style="60" customWidth="1"/>
    <col min="3594" max="3594" width="1.5703125" style="60" customWidth="1"/>
    <col min="3595" max="3595" width="12.28515625" style="60" customWidth="1"/>
    <col min="3596" max="3596" width="1.5703125" style="60" customWidth="1"/>
    <col min="3597" max="3597" width="13.5703125" style="60" customWidth="1"/>
    <col min="3598" max="3598" width="0.85546875" style="60" customWidth="1"/>
    <col min="3599" max="3599" width="12.28515625" style="60" customWidth="1"/>
    <col min="3600" max="3600" width="1.5703125" style="60" customWidth="1"/>
    <col min="3601" max="3601" width="12.28515625" style="60" customWidth="1"/>
    <col min="3602" max="3602" width="1.5703125" style="60" customWidth="1"/>
    <col min="3603" max="3603" width="12.28515625" style="60" customWidth="1"/>
    <col min="3604" max="3604" width="0.85546875" style="60" customWidth="1"/>
    <col min="3605" max="3605" width="12.28515625" style="60" customWidth="1"/>
    <col min="3606" max="3606" width="1.5703125" style="60" customWidth="1"/>
    <col min="3607" max="3607" width="12.28515625" style="60" customWidth="1"/>
    <col min="3608" max="3608" width="1.5703125" style="60" customWidth="1"/>
    <col min="3609" max="3609" width="12.28515625" style="60" customWidth="1"/>
    <col min="3610" max="3610" width="0.85546875" style="60" customWidth="1"/>
    <col min="3611" max="3611" width="12.28515625" style="60" customWidth="1"/>
    <col min="3612" max="3612" width="1.5703125" style="60" customWidth="1"/>
    <col min="3613" max="3613" width="12.28515625" style="60" customWidth="1"/>
    <col min="3614" max="3614" width="1.5703125" style="60" customWidth="1"/>
    <col min="3615" max="3615" width="12.28515625" style="60" customWidth="1"/>
    <col min="3616" max="3616" width="4.5703125" style="60" customWidth="1"/>
    <col min="3617" max="3617" width="1.42578125" style="60" customWidth="1"/>
    <col min="3618" max="3840" width="13.85546875" style="60"/>
    <col min="3841" max="3841" width="7.85546875" style="60" customWidth="1"/>
    <col min="3842" max="3843" width="2.28515625" style="60" customWidth="1"/>
    <col min="3844" max="3844" width="31.42578125" style="60" customWidth="1"/>
    <col min="3845" max="3845" width="2.28515625" style="60" customWidth="1"/>
    <col min="3846" max="3846" width="2.140625" style="60" customWidth="1"/>
    <col min="3847" max="3847" width="12.28515625" style="60" customWidth="1"/>
    <col min="3848" max="3848" width="1.5703125" style="60" customWidth="1"/>
    <col min="3849" max="3849" width="12.28515625" style="60" customWidth="1"/>
    <col min="3850" max="3850" width="1.5703125" style="60" customWidth="1"/>
    <col min="3851" max="3851" width="12.28515625" style="60" customWidth="1"/>
    <col min="3852" max="3852" width="1.5703125" style="60" customWidth="1"/>
    <col min="3853" max="3853" width="13.5703125" style="60" customWidth="1"/>
    <col min="3854" max="3854" width="0.85546875" style="60" customWidth="1"/>
    <col min="3855" max="3855" width="12.28515625" style="60" customWidth="1"/>
    <col min="3856" max="3856" width="1.5703125" style="60" customWidth="1"/>
    <col min="3857" max="3857" width="12.28515625" style="60" customWidth="1"/>
    <col min="3858" max="3858" width="1.5703125" style="60" customWidth="1"/>
    <col min="3859" max="3859" width="12.28515625" style="60" customWidth="1"/>
    <col min="3860" max="3860" width="0.85546875" style="60" customWidth="1"/>
    <col min="3861" max="3861" width="12.28515625" style="60" customWidth="1"/>
    <col min="3862" max="3862" width="1.5703125" style="60" customWidth="1"/>
    <col min="3863" max="3863" width="12.28515625" style="60" customWidth="1"/>
    <col min="3864" max="3864" width="1.5703125" style="60" customWidth="1"/>
    <col min="3865" max="3865" width="12.28515625" style="60" customWidth="1"/>
    <col min="3866" max="3866" width="0.85546875" style="60" customWidth="1"/>
    <col min="3867" max="3867" width="12.28515625" style="60" customWidth="1"/>
    <col min="3868" max="3868" width="1.5703125" style="60" customWidth="1"/>
    <col min="3869" max="3869" width="12.28515625" style="60" customWidth="1"/>
    <col min="3870" max="3870" width="1.5703125" style="60" customWidth="1"/>
    <col min="3871" max="3871" width="12.28515625" style="60" customWidth="1"/>
    <col min="3872" max="3872" width="4.5703125" style="60" customWidth="1"/>
    <col min="3873" max="3873" width="1.42578125" style="60" customWidth="1"/>
    <col min="3874" max="4096" width="13.85546875" style="60"/>
    <col min="4097" max="4097" width="7.85546875" style="60" customWidth="1"/>
    <col min="4098" max="4099" width="2.28515625" style="60" customWidth="1"/>
    <col min="4100" max="4100" width="31.42578125" style="60" customWidth="1"/>
    <col min="4101" max="4101" width="2.28515625" style="60" customWidth="1"/>
    <col min="4102" max="4102" width="2.140625" style="60" customWidth="1"/>
    <col min="4103" max="4103" width="12.28515625" style="60" customWidth="1"/>
    <col min="4104" max="4104" width="1.5703125" style="60" customWidth="1"/>
    <col min="4105" max="4105" width="12.28515625" style="60" customWidth="1"/>
    <col min="4106" max="4106" width="1.5703125" style="60" customWidth="1"/>
    <col min="4107" max="4107" width="12.28515625" style="60" customWidth="1"/>
    <col min="4108" max="4108" width="1.5703125" style="60" customWidth="1"/>
    <col min="4109" max="4109" width="13.5703125" style="60" customWidth="1"/>
    <col min="4110" max="4110" width="0.85546875" style="60" customWidth="1"/>
    <col min="4111" max="4111" width="12.28515625" style="60" customWidth="1"/>
    <col min="4112" max="4112" width="1.5703125" style="60" customWidth="1"/>
    <col min="4113" max="4113" width="12.28515625" style="60" customWidth="1"/>
    <col min="4114" max="4114" width="1.5703125" style="60" customWidth="1"/>
    <col min="4115" max="4115" width="12.28515625" style="60" customWidth="1"/>
    <col min="4116" max="4116" width="0.85546875" style="60" customWidth="1"/>
    <col min="4117" max="4117" width="12.28515625" style="60" customWidth="1"/>
    <col min="4118" max="4118" width="1.5703125" style="60" customWidth="1"/>
    <col min="4119" max="4119" width="12.28515625" style="60" customWidth="1"/>
    <col min="4120" max="4120" width="1.5703125" style="60" customWidth="1"/>
    <col min="4121" max="4121" width="12.28515625" style="60" customWidth="1"/>
    <col min="4122" max="4122" width="0.85546875" style="60" customWidth="1"/>
    <col min="4123" max="4123" width="12.28515625" style="60" customWidth="1"/>
    <col min="4124" max="4124" width="1.5703125" style="60" customWidth="1"/>
    <col min="4125" max="4125" width="12.28515625" style="60" customWidth="1"/>
    <col min="4126" max="4126" width="1.5703125" style="60" customWidth="1"/>
    <col min="4127" max="4127" width="12.28515625" style="60" customWidth="1"/>
    <col min="4128" max="4128" width="4.5703125" style="60" customWidth="1"/>
    <col min="4129" max="4129" width="1.42578125" style="60" customWidth="1"/>
    <col min="4130" max="4352" width="13.85546875" style="60"/>
    <col min="4353" max="4353" width="7.85546875" style="60" customWidth="1"/>
    <col min="4354" max="4355" width="2.28515625" style="60" customWidth="1"/>
    <col min="4356" max="4356" width="31.42578125" style="60" customWidth="1"/>
    <col min="4357" max="4357" width="2.28515625" style="60" customWidth="1"/>
    <col min="4358" max="4358" width="2.140625" style="60" customWidth="1"/>
    <col min="4359" max="4359" width="12.28515625" style="60" customWidth="1"/>
    <col min="4360" max="4360" width="1.5703125" style="60" customWidth="1"/>
    <col min="4361" max="4361" width="12.28515625" style="60" customWidth="1"/>
    <col min="4362" max="4362" width="1.5703125" style="60" customWidth="1"/>
    <col min="4363" max="4363" width="12.28515625" style="60" customWidth="1"/>
    <col min="4364" max="4364" width="1.5703125" style="60" customWidth="1"/>
    <col min="4365" max="4365" width="13.5703125" style="60" customWidth="1"/>
    <col min="4366" max="4366" width="0.85546875" style="60" customWidth="1"/>
    <col min="4367" max="4367" width="12.28515625" style="60" customWidth="1"/>
    <col min="4368" max="4368" width="1.5703125" style="60" customWidth="1"/>
    <col min="4369" max="4369" width="12.28515625" style="60" customWidth="1"/>
    <col min="4370" max="4370" width="1.5703125" style="60" customWidth="1"/>
    <col min="4371" max="4371" width="12.28515625" style="60" customWidth="1"/>
    <col min="4372" max="4372" width="0.85546875" style="60" customWidth="1"/>
    <col min="4373" max="4373" width="12.28515625" style="60" customWidth="1"/>
    <col min="4374" max="4374" width="1.5703125" style="60" customWidth="1"/>
    <col min="4375" max="4375" width="12.28515625" style="60" customWidth="1"/>
    <col min="4376" max="4376" width="1.5703125" style="60" customWidth="1"/>
    <col min="4377" max="4377" width="12.28515625" style="60" customWidth="1"/>
    <col min="4378" max="4378" width="0.85546875" style="60" customWidth="1"/>
    <col min="4379" max="4379" width="12.28515625" style="60" customWidth="1"/>
    <col min="4380" max="4380" width="1.5703125" style="60" customWidth="1"/>
    <col min="4381" max="4381" width="12.28515625" style="60" customWidth="1"/>
    <col min="4382" max="4382" width="1.5703125" style="60" customWidth="1"/>
    <col min="4383" max="4383" width="12.28515625" style="60" customWidth="1"/>
    <col min="4384" max="4384" width="4.5703125" style="60" customWidth="1"/>
    <col min="4385" max="4385" width="1.42578125" style="60" customWidth="1"/>
    <col min="4386" max="4608" width="13.85546875" style="60"/>
    <col min="4609" max="4609" width="7.85546875" style="60" customWidth="1"/>
    <col min="4610" max="4611" width="2.28515625" style="60" customWidth="1"/>
    <col min="4612" max="4612" width="31.42578125" style="60" customWidth="1"/>
    <col min="4613" max="4613" width="2.28515625" style="60" customWidth="1"/>
    <col min="4614" max="4614" width="2.140625" style="60" customWidth="1"/>
    <col min="4615" max="4615" width="12.28515625" style="60" customWidth="1"/>
    <col min="4616" max="4616" width="1.5703125" style="60" customWidth="1"/>
    <col min="4617" max="4617" width="12.28515625" style="60" customWidth="1"/>
    <col min="4618" max="4618" width="1.5703125" style="60" customWidth="1"/>
    <col min="4619" max="4619" width="12.28515625" style="60" customWidth="1"/>
    <col min="4620" max="4620" width="1.5703125" style="60" customWidth="1"/>
    <col min="4621" max="4621" width="13.5703125" style="60" customWidth="1"/>
    <col min="4622" max="4622" width="0.85546875" style="60" customWidth="1"/>
    <col min="4623" max="4623" width="12.28515625" style="60" customWidth="1"/>
    <col min="4624" max="4624" width="1.5703125" style="60" customWidth="1"/>
    <col min="4625" max="4625" width="12.28515625" style="60" customWidth="1"/>
    <col min="4626" max="4626" width="1.5703125" style="60" customWidth="1"/>
    <col min="4627" max="4627" width="12.28515625" style="60" customWidth="1"/>
    <col min="4628" max="4628" width="0.85546875" style="60" customWidth="1"/>
    <col min="4629" max="4629" width="12.28515625" style="60" customWidth="1"/>
    <col min="4630" max="4630" width="1.5703125" style="60" customWidth="1"/>
    <col min="4631" max="4631" width="12.28515625" style="60" customWidth="1"/>
    <col min="4632" max="4632" width="1.5703125" style="60" customWidth="1"/>
    <col min="4633" max="4633" width="12.28515625" style="60" customWidth="1"/>
    <col min="4634" max="4634" width="0.85546875" style="60" customWidth="1"/>
    <col min="4635" max="4635" width="12.28515625" style="60" customWidth="1"/>
    <col min="4636" max="4636" width="1.5703125" style="60" customWidth="1"/>
    <col min="4637" max="4637" width="12.28515625" style="60" customWidth="1"/>
    <col min="4638" max="4638" width="1.5703125" style="60" customWidth="1"/>
    <col min="4639" max="4639" width="12.28515625" style="60" customWidth="1"/>
    <col min="4640" max="4640" width="4.5703125" style="60" customWidth="1"/>
    <col min="4641" max="4641" width="1.42578125" style="60" customWidth="1"/>
    <col min="4642" max="4864" width="13.85546875" style="60"/>
    <col min="4865" max="4865" width="7.85546875" style="60" customWidth="1"/>
    <col min="4866" max="4867" width="2.28515625" style="60" customWidth="1"/>
    <col min="4868" max="4868" width="31.42578125" style="60" customWidth="1"/>
    <col min="4869" max="4869" width="2.28515625" style="60" customWidth="1"/>
    <col min="4870" max="4870" width="2.140625" style="60" customWidth="1"/>
    <col min="4871" max="4871" width="12.28515625" style="60" customWidth="1"/>
    <col min="4872" max="4872" width="1.5703125" style="60" customWidth="1"/>
    <col min="4873" max="4873" width="12.28515625" style="60" customWidth="1"/>
    <col min="4874" max="4874" width="1.5703125" style="60" customWidth="1"/>
    <col min="4875" max="4875" width="12.28515625" style="60" customWidth="1"/>
    <col min="4876" max="4876" width="1.5703125" style="60" customWidth="1"/>
    <col min="4877" max="4877" width="13.5703125" style="60" customWidth="1"/>
    <col min="4878" max="4878" width="0.85546875" style="60" customWidth="1"/>
    <col min="4879" max="4879" width="12.28515625" style="60" customWidth="1"/>
    <col min="4880" max="4880" width="1.5703125" style="60" customWidth="1"/>
    <col min="4881" max="4881" width="12.28515625" style="60" customWidth="1"/>
    <col min="4882" max="4882" width="1.5703125" style="60" customWidth="1"/>
    <col min="4883" max="4883" width="12.28515625" style="60" customWidth="1"/>
    <col min="4884" max="4884" width="0.85546875" style="60" customWidth="1"/>
    <col min="4885" max="4885" width="12.28515625" style="60" customWidth="1"/>
    <col min="4886" max="4886" width="1.5703125" style="60" customWidth="1"/>
    <col min="4887" max="4887" width="12.28515625" style="60" customWidth="1"/>
    <col min="4888" max="4888" width="1.5703125" style="60" customWidth="1"/>
    <col min="4889" max="4889" width="12.28515625" style="60" customWidth="1"/>
    <col min="4890" max="4890" width="0.85546875" style="60" customWidth="1"/>
    <col min="4891" max="4891" width="12.28515625" style="60" customWidth="1"/>
    <col min="4892" max="4892" width="1.5703125" style="60" customWidth="1"/>
    <col min="4893" max="4893" width="12.28515625" style="60" customWidth="1"/>
    <col min="4894" max="4894" width="1.5703125" style="60" customWidth="1"/>
    <col min="4895" max="4895" width="12.28515625" style="60" customWidth="1"/>
    <col min="4896" max="4896" width="4.5703125" style="60" customWidth="1"/>
    <col min="4897" max="4897" width="1.42578125" style="60" customWidth="1"/>
    <col min="4898" max="5120" width="13.85546875" style="60"/>
    <col min="5121" max="5121" width="7.85546875" style="60" customWidth="1"/>
    <col min="5122" max="5123" width="2.28515625" style="60" customWidth="1"/>
    <col min="5124" max="5124" width="31.42578125" style="60" customWidth="1"/>
    <col min="5125" max="5125" width="2.28515625" style="60" customWidth="1"/>
    <col min="5126" max="5126" width="2.140625" style="60" customWidth="1"/>
    <col min="5127" max="5127" width="12.28515625" style="60" customWidth="1"/>
    <col min="5128" max="5128" width="1.5703125" style="60" customWidth="1"/>
    <col min="5129" max="5129" width="12.28515625" style="60" customWidth="1"/>
    <col min="5130" max="5130" width="1.5703125" style="60" customWidth="1"/>
    <col min="5131" max="5131" width="12.28515625" style="60" customWidth="1"/>
    <col min="5132" max="5132" width="1.5703125" style="60" customWidth="1"/>
    <col min="5133" max="5133" width="13.5703125" style="60" customWidth="1"/>
    <col min="5134" max="5134" width="0.85546875" style="60" customWidth="1"/>
    <col min="5135" max="5135" width="12.28515625" style="60" customWidth="1"/>
    <col min="5136" max="5136" width="1.5703125" style="60" customWidth="1"/>
    <col min="5137" max="5137" width="12.28515625" style="60" customWidth="1"/>
    <col min="5138" max="5138" width="1.5703125" style="60" customWidth="1"/>
    <col min="5139" max="5139" width="12.28515625" style="60" customWidth="1"/>
    <col min="5140" max="5140" width="0.85546875" style="60" customWidth="1"/>
    <col min="5141" max="5141" width="12.28515625" style="60" customWidth="1"/>
    <col min="5142" max="5142" width="1.5703125" style="60" customWidth="1"/>
    <col min="5143" max="5143" width="12.28515625" style="60" customWidth="1"/>
    <col min="5144" max="5144" width="1.5703125" style="60" customWidth="1"/>
    <col min="5145" max="5145" width="12.28515625" style="60" customWidth="1"/>
    <col min="5146" max="5146" width="0.85546875" style="60" customWidth="1"/>
    <col min="5147" max="5147" width="12.28515625" style="60" customWidth="1"/>
    <col min="5148" max="5148" width="1.5703125" style="60" customWidth="1"/>
    <col min="5149" max="5149" width="12.28515625" style="60" customWidth="1"/>
    <col min="5150" max="5150" width="1.5703125" style="60" customWidth="1"/>
    <col min="5151" max="5151" width="12.28515625" style="60" customWidth="1"/>
    <col min="5152" max="5152" width="4.5703125" style="60" customWidth="1"/>
    <col min="5153" max="5153" width="1.42578125" style="60" customWidth="1"/>
    <col min="5154" max="5376" width="13.85546875" style="60"/>
    <col min="5377" max="5377" width="7.85546875" style="60" customWidth="1"/>
    <col min="5378" max="5379" width="2.28515625" style="60" customWidth="1"/>
    <col min="5380" max="5380" width="31.42578125" style="60" customWidth="1"/>
    <col min="5381" max="5381" width="2.28515625" style="60" customWidth="1"/>
    <col min="5382" max="5382" width="2.140625" style="60" customWidth="1"/>
    <col min="5383" max="5383" width="12.28515625" style="60" customWidth="1"/>
    <col min="5384" max="5384" width="1.5703125" style="60" customWidth="1"/>
    <col min="5385" max="5385" width="12.28515625" style="60" customWidth="1"/>
    <col min="5386" max="5386" width="1.5703125" style="60" customWidth="1"/>
    <col min="5387" max="5387" width="12.28515625" style="60" customWidth="1"/>
    <col min="5388" max="5388" width="1.5703125" style="60" customWidth="1"/>
    <col min="5389" max="5389" width="13.5703125" style="60" customWidth="1"/>
    <col min="5390" max="5390" width="0.85546875" style="60" customWidth="1"/>
    <col min="5391" max="5391" width="12.28515625" style="60" customWidth="1"/>
    <col min="5392" max="5392" width="1.5703125" style="60" customWidth="1"/>
    <col min="5393" max="5393" width="12.28515625" style="60" customWidth="1"/>
    <col min="5394" max="5394" width="1.5703125" style="60" customWidth="1"/>
    <col min="5395" max="5395" width="12.28515625" style="60" customWidth="1"/>
    <col min="5396" max="5396" width="0.85546875" style="60" customWidth="1"/>
    <col min="5397" max="5397" width="12.28515625" style="60" customWidth="1"/>
    <col min="5398" max="5398" width="1.5703125" style="60" customWidth="1"/>
    <col min="5399" max="5399" width="12.28515625" style="60" customWidth="1"/>
    <col min="5400" max="5400" width="1.5703125" style="60" customWidth="1"/>
    <col min="5401" max="5401" width="12.28515625" style="60" customWidth="1"/>
    <col min="5402" max="5402" width="0.85546875" style="60" customWidth="1"/>
    <col min="5403" max="5403" width="12.28515625" style="60" customWidth="1"/>
    <col min="5404" max="5404" width="1.5703125" style="60" customWidth="1"/>
    <col min="5405" max="5405" width="12.28515625" style="60" customWidth="1"/>
    <col min="5406" max="5406" width="1.5703125" style="60" customWidth="1"/>
    <col min="5407" max="5407" width="12.28515625" style="60" customWidth="1"/>
    <col min="5408" max="5408" width="4.5703125" style="60" customWidth="1"/>
    <col min="5409" max="5409" width="1.42578125" style="60" customWidth="1"/>
    <col min="5410" max="5632" width="13.85546875" style="60"/>
    <col min="5633" max="5633" width="7.85546875" style="60" customWidth="1"/>
    <col min="5634" max="5635" width="2.28515625" style="60" customWidth="1"/>
    <col min="5636" max="5636" width="31.42578125" style="60" customWidth="1"/>
    <col min="5637" max="5637" width="2.28515625" style="60" customWidth="1"/>
    <col min="5638" max="5638" width="2.140625" style="60" customWidth="1"/>
    <col min="5639" max="5639" width="12.28515625" style="60" customWidth="1"/>
    <col min="5640" max="5640" width="1.5703125" style="60" customWidth="1"/>
    <col min="5641" max="5641" width="12.28515625" style="60" customWidth="1"/>
    <col min="5642" max="5642" width="1.5703125" style="60" customWidth="1"/>
    <col min="5643" max="5643" width="12.28515625" style="60" customWidth="1"/>
    <col min="5644" max="5644" width="1.5703125" style="60" customWidth="1"/>
    <col min="5645" max="5645" width="13.5703125" style="60" customWidth="1"/>
    <col min="5646" max="5646" width="0.85546875" style="60" customWidth="1"/>
    <col min="5647" max="5647" width="12.28515625" style="60" customWidth="1"/>
    <col min="5648" max="5648" width="1.5703125" style="60" customWidth="1"/>
    <col min="5649" max="5649" width="12.28515625" style="60" customWidth="1"/>
    <col min="5650" max="5650" width="1.5703125" style="60" customWidth="1"/>
    <col min="5651" max="5651" width="12.28515625" style="60" customWidth="1"/>
    <col min="5652" max="5652" width="0.85546875" style="60" customWidth="1"/>
    <col min="5653" max="5653" width="12.28515625" style="60" customWidth="1"/>
    <col min="5654" max="5654" width="1.5703125" style="60" customWidth="1"/>
    <col min="5655" max="5655" width="12.28515625" style="60" customWidth="1"/>
    <col min="5656" max="5656" width="1.5703125" style="60" customWidth="1"/>
    <col min="5657" max="5657" width="12.28515625" style="60" customWidth="1"/>
    <col min="5658" max="5658" width="0.85546875" style="60" customWidth="1"/>
    <col min="5659" max="5659" width="12.28515625" style="60" customWidth="1"/>
    <col min="5660" max="5660" width="1.5703125" style="60" customWidth="1"/>
    <col min="5661" max="5661" width="12.28515625" style="60" customWidth="1"/>
    <col min="5662" max="5662" width="1.5703125" style="60" customWidth="1"/>
    <col min="5663" max="5663" width="12.28515625" style="60" customWidth="1"/>
    <col min="5664" max="5664" width="4.5703125" style="60" customWidth="1"/>
    <col min="5665" max="5665" width="1.42578125" style="60" customWidth="1"/>
    <col min="5666" max="5888" width="13.85546875" style="60"/>
    <col min="5889" max="5889" width="7.85546875" style="60" customWidth="1"/>
    <col min="5890" max="5891" width="2.28515625" style="60" customWidth="1"/>
    <col min="5892" max="5892" width="31.42578125" style="60" customWidth="1"/>
    <col min="5893" max="5893" width="2.28515625" style="60" customWidth="1"/>
    <col min="5894" max="5894" width="2.140625" style="60" customWidth="1"/>
    <col min="5895" max="5895" width="12.28515625" style="60" customWidth="1"/>
    <col min="5896" max="5896" width="1.5703125" style="60" customWidth="1"/>
    <col min="5897" max="5897" width="12.28515625" style="60" customWidth="1"/>
    <col min="5898" max="5898" width="1.5703125" style="60" customWidth="1"/>
    <col min="5899" max="5899" width="12.28515625" style="60" customWidth="1"/>
    <col min="5900" max="5900" width="1.5703125" style="60" customWidth="1"/>
    <col min="5901" max="5901" width="13.5703125" style="60" customWidth="1"/>
    <col min="5902" max="5902" width="0.85546875" style="60" customWidth="1"/>
    <col min="5903" max="5903" width="12.28515625" style="60" customWidth="1"/>
    <col min="5904" max="5904" width="1.5703125" style="60" customWidth="1"/>
    <col min="5905" max="5905" width="12.28515625" style="60" customWidth="1"/>
    <col min="5906" max="5906" width="1.5703125" style="60" customWidth="1"/>
    <col min="5907" max="5907" width="12.28515625" style="60" customWidth="1"/>
    <col min="5908" max="5908" width="0.85546875" style="60" customWidth="1"/>
    <col min="5909" max="5909" width="12.28515625" style="60" customWidth="1"/>
    <col min="5910" max="5910" width="1.5703125" style="60" customWidth="1"/>
    <col min="5911" max="5911" width="12.28515625" style="60" customWidth="1"/>
    <col min="5912" max="5912" width="1.5703125" style="60" customWidth="1"/>
    <col min="5913" max="5913" width="12.28515625" style="60" customWidth="1"/>
    <col min="5914" max="5914" width="0.85546875" style="60" customWidth="1"/>
    <col min="5915" max="5915" width="12.28515625" style="60" customWidth="1"/>
    <col min="5916" max="5916" width="1.5703125" style="60" customWidth="1"/>
    <col min="5917" max="5917" width="12.28515625" style="60" customWidth="1"/>
    <col min="5918" max="5918" width="1.5703125" style="60" customWidth="1"/>
    <col min="5919" max="5919" width="12.28515625" style="60" customWidth="1"/>
    <col min="5920" max="5920" width="4.5703125" style="60" customWidth="1"/>
    <col min="5921" max="5921" width="1.42578125" style="60" customWidth="1"/>
    <col min="5922" max="6144" width="13.85546875" style="60"/>
    <col min="6145" max="6145" width="7.85546875" style="60" customWidth="1"/>
    <col min="6146" max="6147" width="2.28515625" style="60" customWidth="1"/>
    <col min="6148" max="6148" width="31.42578125" style="60" customWidth="1"/>
    <col min="6149" max="6149" width="2.28515625" style="60" customWidth="1"/>
    <col min="6150" max="6150" width="2.140625" style="60" customWidth="1"/>
    <col min="6151" max="6151" width="12.28515625" style="60" customWidth="1"/>
    <col min="6152" max="6152" width="1.5703125" style="60" customWidth="1"/>
    <col min="6153" max="6153" width="12.28515625" style="60" customWidth="1"/>
    <col min="6154" max="6154" width="1.5703125" style="60" customWidth="1"/>
    <col min="6155" max="6155" width="12.28515625" style="60" customWidth="1"/>
    <col min="6156" max="6156" width="1.5703125" style="60" customWidth="1"/>
    <col min="6157" max="6157" width="13.5703125" style="60" customWidth="1"/>
    <col min="6158" max="6158" width="0.85546875" style="60" customWidth="1"/>
    <col min="6159" max="6159" width="12.28515625" style="60" customWidth="1"/>
    <col min="6160" max="6160" width="1.5703125" style="60" customWidth="1"/>
    <col min="6161" max="6161" width="12.28515625" style="60" customWidth="1"/>
    <col min="6162" max="6162" width="1.5703125" style="60" customWidth="1"/>
    <col min="6163" max="6163" width="12.28515625" style="60" customWidth="1"/>
    <col min="6164" max="6164" width="0.85546875" style="60" customWidth="1"/>
    <col min="6165" max="6165" width="12.28515625" style="60" customWidth="1"/>
    <col min="6166" max="6166" width="1.5703125" style="60" customWidth="1"/>
    <col min="6167" max="6167" width="12.28515625" style="60" customWidth="1"/>
    <col min="6168" max="6168" width="1.5703125" style="60" customWidth="1"/>
    <col min="6169" max="6169" width="12.28515625" style="60" customWidth="1"/>
    <col min="6170" max="6170" width="0.85546875" style="60" customWidth="1"/>
    <col min="6171" max="6171" width="12.28515625" style="60" customWidth="1"/>
    <col min="6172" max="6172" width="1.5703125" style="60" customWidth="1"/>
    <col min="6173" max="6173" width="12.28515625" style="60" customWidth="1"/>
    <col min="6174" max="6174" width="1.5703125" style="60" customWidth="1"/>
    <col min="6175" max="6175" width="12.28515625" style="60" customWidth="1"/>
    <col min="6176" max="6176" width="4.5703125" style="60" customWidth="1"/>
    <col min="6177" max="6177" width="1.42578125" style="60" customWidth="1"/>
    <col min="6178" max="6400" width="13.85546875" style="60"/>
    <col min="6401" max="6401" width="7.85546875" style="60" customWidth="1"/>
    <col min="6402" max="6403" width="2.28515625" style="60" customWidth="1"/>
    <col min="6404" max="6404" width="31.42578125" style="60" customWidth="1"/>
    <col min="6405" max="6405" width="2.28515625" style="60" customWidth="1"/>
    <col min="6406" max="6406" width="2.140625" style="60" customWidth="1"/>
    <col min="6407" max="6407" width="12.28515625" style="60" customWidth="1"/>
    <col min="6408" max="6408" width="1.5703125" style="60" customWidth="1"/>
    <col min="6409" max="6409" width="12.28515625" style="60" customWidth="1"/>
    <col min="6410" max="6410" width="1.5703125" style="60" customWidth="1"/>
    <col min="6411" max="6411" width="12.28515625" style="60" customWidth="1"/>
    <col min="6412" max="6412" width="1.5703125" style="60" customWidth="1"/>
    <col min="6413" max="6413" width="13.5703125" style="60" customWidth="1"/>
    <col min="6414" max="6414" width="0.85546875" style="60" customWidth="1"/>
    <col min="6415" max="6415" width="12.28515625" style="60" customWidth="1"/>
    <col min="6416" max="6416" width="1.5703125" style="60" customWidth="1"/>
    <col min="6417" max="6417" width="12.28515625" style="60" customWidth="1"/>
    <col min="6418" max="6418" width="1.5703125" style="60" customWidth="1"/>
    <col min="6419" max="6419" width="12.28515625" style="60" customWidth="1"/>
    <col min="6420" max="6420" width="0.85546875" style="60" customWidth="1"/>
    <col min="6421" max="6421" width="12.28515625" style="60" customWidth="1"/>
    <col min="6422" max="6422" width="1.5703125" style="60" customWidth="1"/>
    <col min="6423" max="6423" width="12.28515625" style="60" customWidth="1"/>
    <col min="6424" max="6424" width="1.5703125" style="60" customWidth="1"/>
    <col min="6425" max="6425" width="12.28515625" style="60" customWidth="1"/>
    <col min="6426" max="6426" width="0.85546875" style="60" customWidth="1"/>
    <col min="6427" max="6427" width="12.28515625" style="60" customWidth="1"/>
    <col min="6428" max="6428" width="1.5703125" style="60" customWidth="1"/>
    <col min="6429" max="6429" width="12.28515625" style="60" customWidth="1"/>
    <col min="6430" max="6430" width="1.5703125" style="60" customWidth="1"/>
    <col min="6431" max="6431" width="12.28515625" style="60" customWidth="1"/>
    <col min="6432" max="6432" width="4.5703125" style="60" customWidth="1"/>
    <col min="6433" max="6433" width="1.42578125" style="60" customWidth="1"/>
    <col min="6434" max="6656" width="13.85546875" style="60"/>
    <col min="6657" max="6657" width="7.85546875" style="60" customWidth="1"/>
    <col min="6658" max="6659" width="2.28515625" style="60" customWidth="1"/>
    <col min="6660" max="6660" width="31.42578125" style="60" customWidth="1"/>
    <col min="6661" max="6661" width="2.28515625" style="60" customWidth="1"/>
    <col min="6662" max="6662" width="2.140625" style="60" customWidth="1"/>
    <col min="6663" max="6663" width="12.28515625" style="60" customWidth="1"/>
    <col min="6664" max="6664" width="1.5703125" style="60" customWidth="1"/>
    <col min="6665" max="6665" width="12.28515625" style="60" customWidth="1"/>
    <col min="6666" max="6666" width="1.5703125" style="60" customWidth="1"/>
    <col min="6667" max="6667" width="12.28515625" style="60" customWidth="1"/>
    <col min="6668" max="6668" width="1.5703125" style="60" customWidth="1"/>
    <col min="6669" max="6669" width="13.5703125" style="60" customWidth="1"/>
    <col min="6670" max="6670" width="0.85546875" style="60" customWidth="1"/>
    <col min="6671" max="6671" width="12.28515625" style="60" customWidth="1"/>
    <col min="6672" max="6672" width="1.5703125" style="60" customWidth="1"/>
    <col min="6673" max="6673" width="12.28515625" style="60" customWidth="1"/>
    <col min="6674" max="6674" width="1.5703125" style="60" customWidth="1"/>
    <col min="6675" max="6675" width="12.28515625" style="60" customWidth="1"/>
    <col min="6676" max="6676" width="0.85546875" style="60" customWidth="1"/>
    <col min="6677" max="6677" width="12.28515625" style="60" customWidth="1"/>
    <col min="6678" max="6678" width="1.5703125" style="60" customWidth="1"/>
    <col min="6679" max="6679" width="12.28515625" style="60" customWidth="1"/>
    <col min="6680" max="6680" width="1.5703125" style="60" customWidth="1"/>
    <col min="6681" max="6681" width="12.28515625" style="60" customWidth="1"/>
    <col min="6682" max="6682" width="0.85546875" style="60" customWidth="1"/>
    <col min="6683" max="6683" width="12.28515625" style="60" customWidth="1"/>
    <col min="6684" max="6684" width="1.5703125" style="60" customWidth="1"/>
    <col min="6685" max="6685" width="12.28515625" style="60" customWidth="1"/>
    <col min="6686" max="6686" width="1.5703125" style="60" customWidth="1"/>
    <col min="6687" max="6687" width="12.28515625" style="60" customWidth="1"/>
    <col min="6688" max="6688" width="4.5703125" style="60" customWidth="1"/>
    <col min="6689" max="6689" width="1.42578125" style="60" customWidth="1"/>
    <col min="6690" max="6912" width="13.85546875" style="60"/>
    <col min="6913" max="6913" width="7.85546875" style="60" customWidth="1"/>
    <col min="6914" max="6915" width="2.28515625" style="60" customWidth="1"/>
    <col min="6916" max="6916" width="31.42578125" style="60" customWidth="1"/>
    <col min="6917" max="6917" width="2.28515625" style="60" customWidth="1"/>
    <col min="6918" max="6918" width="2.140625" style="60" customWidth="1"/>
    <col min="6919" max="6919" width="12.28515625" style="60" customWidth="1"/>
    <col min="6920" max="6920" width="1.5703125" style="60" customWidth="1"/>
    <col min="6921" max="6921" width="12.28515625" style="60" customWidth="1"/>
    <col min="6922" max="6922" width="1.5703125" style="60" customWidth="1"/>
    <col min="6923" max="6923" width="12.28515625" style="60" customWidth="1"/>
    <col min="6924" max="6924" width="1.5703125" style="60" customWidth="1"/>
    <col min="6925" max="6925" width="13.5703125" style="60" customWidth="1"/>
    <col min="6926" max="6926" width="0.85546875" style="60" customWidth="1"/>
    <col min="6927" max="6927" width="12.28515625" style="60" customWidth="1"/>
    <col min="6928" max="6928" width="1.5703125" style="60" customWidth="1"/>
    <col min="6929" max="6929" width="12.28515625" style="60" customWidth="1"/>
    <col min="6930" max="6930" width="1.5703125" style="60" customWidth="1"/>
    <col min="6931" max="6931" width="12.28515625" style="60" customWidth="1"/>
    <col min="6932" max="6932" width="0.85546875" style="60" customWidth="1"/>
    <col min="6933" max="6933" width="12.28515625" style="60" customWidth="1"/>
    <col min="6934" max="6934" width="1.5703125" style="60" customWidth="1"/>
    <col min="6935" max="6935" width="12.28515625" style="60" customWidth="1"/>
    <col min="6936" max="6936" width="1.5703125" style="60" customWidth="1"/>
    <col min="6937" max="6937" width="12.28515625" style="60" customWidth="1"/>
    <col min="6938" max="6938" width="0.85546875" style="60" customWidth="1"/>
    <col min="6939" max="6939" width="12.28515625" style="60" customWidth="1"/>
    <col min="6940" max="6940" width="1.5703125" style="60" customWidth="1"/>
    <col min="6941" max="6941" width="12.28515625" style="60" customWidth="1"/>
    <col min="6942" max="6942" width="1.5703125" style="60" customWidth="1"/>
    <col min="6943" max="6943" width="12.28515625" style="60" customWidth="1"/>
    <col min="6944" max="6944" width="4.5703125" style="60" customWidth="1"/>
    <col min="6945" max="6945" width="1.42578125" style="60" customWidth="1"/>
    <col min="6946" max="7168" width="13.85546875" style="60"/>
    <col min="7169" max="7169" width="7.85546875" style="60" customWidth="1"/>
    <col min="7170" max="7171" width="2.28515625" style="60" customWidth="1"/>
    <col min="7172" max="7172" width="31.42578125" style="60" customWidth="1"/>
    <col min="7173" max="7173" width="2.28515625" style="60" customWidth="1"/>
    <col min="7174" max="7174" width="2.140625" style="60" customWidth="1"/>
    <col min="7175" max="7175" width="12.28515625" style="60" customWidth="1"/>
    <col min="7176" max="7176" width="1.5703125" style="60" customWidth="1"/>
    <col min="7177" max="7177" width="12.28515625" style="60" customWidth="1"/>
    <col min="7178" max="7178" width="1.5703125" style="60" customWidth="1"/>
    <col min="7179" max="7179" width="12.28515625" style="60" customWidth="1"/>
    <col min="7180" max="7180" width="1.5703125" style="60" customWidth="1"/>
    <col min="7181" max="7181" width="13.5703125" style="60" customWidth="1"/>
    <col min="7182" max="7182" width="0.85546875" style="60" customWidth="1"/>
    <col min="7183" max="7183" width="12.28515625" style="60" customWidth="1"/>
    <col min="7184" max="7184" width="1.5703125" style="60" customWidth="1"/>
    <col min="7185" max="7185" width="12.28515625" style="60" customWidth="1"/>
    <col min="7186" max="7186" width="1.5703125" style="60" customWidth="1"/>
    <col min="7187" max="7187" width="12.28515625" style="60" customWidth="1"/>
    <col min="7188" max="7188" width="0.85546875" style="60" customWidth="1"/>
    <col min="7189" max="7189" width="12.28515625" style="60" customWidth="1"/>
    <col min="7190" max="7190" width="1.5703125" style="60" customWidth="1"/>
    <col min="7191" max="7191" width="12.28515625" style="60" customWidth="1"/>
    <col min="7192" max="7192" width="1.5703125" style="60" customWidth="1"/>
    <col min="7193" max="7193" width="12.28515625" style="60" customWidth="1"/>
    <col min="7194" max="7194" width="0.85546875" style="60" customWidth="1"/>
    <col min="7195" max="7195" width="12.28515625" style="60" customWidth="1"/>
    <col min="7196" max="7196" width="1.5703125" style="60" customWidth="1"/>
    <col min="7197" max="7197" width="12.28515625" style="60" customWidth="1"/>
    <col min="7198" max="7198" width="1.5703125" style="60" customWidth="1"/>
    <col min="7199" max="7199" width="12.28515625" style="60" customWidth="1"/>
    <col min="7200" max="7200" width="4.5703125" style="60" customWidth="1"/>
    <col min="7201" max="7201" width="1.42578125" style="60" customWidth="1"/>
    <col min="7202" max="7424" width="13.85546875" style="60"/>
    <col min="7425" max="7425" width="7.85546875" style="60" customWidth="1"/>
    <col min="7426" max="7427" width="2.28515625" style="60" customWidth="1"/>
    <col min="7428" max="7428" width="31.42578125" style="60" customWidth="1"/>
    <col min="7429" max="7429" width="2.28515625" style="60" customWidth="1"/>
    <col min="7430" max="7430" width="2.140625" style="60" customWidth="1"/>
    <col min="7431" max="7431" width="12.28515625" style="60" customWidth="1"/>
    <col min="7432" max="7432" width="1.5703125" style="60" customWidth="1"/>
    <col min="7433" max="7433" width="12.28515625" style="60" customWidth="1"/>
    <col min="7434" max="7434" width="1.5703125" style="60" customWidth="1"/>
    <col min="7435" max="7435" width="12.28515625" style="60" customWidth="1"/>
    <col min="7436" max="7436" width="1.5703125" style="60" customWidth="1"/>
    <col min="7437" max="7437" width="13.5703125" style="60" customWidth="1"/>
    <col min="7438" max="7438" width="0.85546875" style="60" customWidth="1"/>
    <col min="7439" max="7439" width="12.28515625" style="60" customWidth="1"/>
    <col min="7440" max="7440" width="1.5703125" style="60" customWidth="1"/>
    <col min="7441" max="7441" width="12.28515625" style="60" customWidth="1"/>
    <col min="7442" max="7442" width="1.5703125" style="60" customWidth="1"/>
    <col min="7443" max="7443" width="12.28515625" style="60" customWidth="1"/>
    <col min="7444" max="7444" width="0.85546875" style="60" customWidth="1"/>
    <col min="7445" max="7445" width="12.28515625" style="60" customWidth="1"/>
    <col min="7446" max="7446" width="1.5703125" style="60" customWidth="1"/>
    <col min="7447" max="7447" width="12.28515625" style="60" customWidth="1"/>
    <col min="7448" max="7448" width="1.5703125" style="60" customWidth="1"/>
    <col min="7449" max="7449" width="12.28515625" style="60" customWidth="1"/>
    <col min="7450" max="7450" width="0.85546875" style="60" customWidth="1"/>
    <col min="7451" max="7451" width="12.28515625" style="60" customWidth="1"/>
    <col min="7452" max="7452" width="1.5703125" style="60" customWidth="1"/>
    <col min="7453" max="7453" width="12.28515625" style="60" customWidth="1"/>
    <col min="7454" max="7454" width="1.5703125" style="60" customWidth="1"/>
    <col min="7455" max="7455" width="12.28515625" style="60" customWidth="1"/>
    <col min="7456" max="7456" width="4.5703125" style="60" customWidth="1"/>
    <col min="7457" max="7457" width="1.42578125" style="60" customWidth="1"/>
    <col min="7458" max="7680" width="13.85546875" style="60"/>
    <col min="7681" max="7681" width="7.85546875" style="60" customWidth="1"/>
    <col min="7682" max="7683" width="2.28515625" style="60" customWidth="1"/>
    <col min="7684" max="7684" width="31.42578125" style="60" customWidth="1"/>
    <col min="7685" max="7685" width="2.28515625" style="60" customWidth="1"/>
    <col min="7686" max="7686" width="2.140625" style="60" customWidth="1"/>
    <col min="7687" max="7687" width="12.28515625" style="60" customWidth="1"/>
    <col min="7688" max="7688" width="1.5703125" style="60" customWidth="1"/>
    <col min="7689" max="7689" width="12.28515625" style="60" customWidth="1"/>
    <col min="7690" max="7690" width="1.5703125" style="60" customWidth="1"/>
    <col min="7691" max="7691" width="12.28515625" style="60" customWidth="1"/>
    <col min="7692" max="7692" width="1.5703125" style="60" customWidth="1"/>
    <col min="7693" max="7693" width="13.5703125" style="60" customWidth="1"/>
    <col min="7694" max="7694" width="0.85546875" style="60" customWidth="1"/>
    <col min="7695" max="7695" width="12.28515625" style="60" customWidth="1"/>
    <col min="7696" max="7696" width="1.5703125" style="60" customWidth="1"/>
    <col min="7697" max="7697" width="12.28515625" style="60" customWidth="1"/>
    <col min="7698" max="7698" width="1.5703125" style="60" customWidth="1"/>
    <col min="7699" max="7699" width="12.28515625" style="60" customWidth="1"/>
    <col min="7700" max="7700" width="0.85546875" style="60" customWidth="1"/>
    <col min="7701" max="7701" width="12.28515625" style="60" customWidth="1"/>
    <col min="7702" max="7702" width="1.5703125" style="60" customWidth="1"/>
    <col min="7703" max="7703" width="12.28515625" style="60" customWidth="1"/>
    <col min="7704" max="7704" width="1.5703125" style="60" customWidth="1"/>
    <col min="7705" max="7705" width="12.28515625" style="60" customWidth="1"/>
    <col min="7706" max="7706" width="0.85546875" style="60" customWidth="1"/>
    <col min="7707" max="7707" width="12.28515625" style="60" customWidth="1"/>
    <col min="7708" max="7708" width="1.5703125" style="60" customWidth="1"/>
    <col min="7709" max="7709" width="12.28515625" style="60" customWidth="1"/>
    <col min="7710" max="7710" width="1.5703125" style="60" customWidth="1"/>
    <col min="7711" max="7711" width="12.28515625" style="60" customWidth="1"/>
    <col min="7712" max="7712" width="4.5703125" style="60" customWidth="1"/>
    <col min="7713" max="7713" width="1.42578125" style="60" customWidth="1"/>
    <col min="7714" max="7936" width="13.85546875" style="60"/>
    <col min="7937" max="7937" width="7.85546875" style="60" customWidth="1"/>
    <col min="7938" max="7939" width="2.28515625" style="60" customWidth="1"/>
    <col min="7940" max="7940" width="31.42578125" style="60" customWidth="1"/>
    <col min="7941" max="7941" width="2.28515625" style="60" customWidth="1"/>
    <col min="7942" max="7942" width="2.140625" style="60" customWidth="1"/>
    <col min="7943" max="7943" width="12.28515625" style="60" customWidth="1"/>
    <col min="7944" max="7944" width="1.5703125" style="60" customWidth="1"/>
    <col min="7945" max="7945" width="12.28515625" style="60" customWidth="1"/>
    <col min="7946" max="7946" width="1.5703125" style="60" customWidth="1"/>
    <col min="7947" max="7947" width="12.28515625" style="60" customWidth="1"/>
    <col min="7948" max="7948" width="1.5703125" style="60" customWidth="1"/>
    <col min="7949" max="7949" width="13.5703125" style="60" customWidth="1"/>
    <col min="7950" max="7950" width="0.85546875" style="60" customWidth="1"/>
    <col min="7951" max="7951" width="12.28515625" style="60" customWidth="1"/>
    <col min="7952" max="7952" width="1.5703125" style="60" customWidth="1"/>
    <col min="7953" max="7953" width="12.28515625" style="60" customWidth="1"/>
    <col min="7954" max="7954" width="1.5703125" style="60" customWidth="1"/>
    <col min="7955" max="7955" width="12.28515625" style="60" customWidth="1"/>
    <col min="7956" max="7956" width="0.85546875" style="60" customWidth="1"/>
    <col min="7957" max="7957" width="12.28515625" style="60" customWidth="1"/>
    <col min="7958" max="7958" width="1.5703125" style="60" customWidth="1"/>
    <col min="7959" max="7959" width="12.28515625" style="60" customWidth="1"/>
    <col min="7960" max="7960" width="1.5703125" style="60" customWidth="1"/>
    <col min="7961" max="7961" width="12.28515625" style="60" customWidth="1"/>
    <col min="7962" max="7962" width="0.85546875" style="60" customWidth="1"/>
    <col min="7963" max="7963" width="12.28515625" style="60" customWidth="1"/>
    <col min="7964" max="7964" width="1.5703125" style="60" customWidth="1"/>
    <col min="7965" max="7965" width="12.28515625" style="60" customWidth="1"/>
    <col min="7966" max="7966" width="1.5703125" style="60" customWidth="1"/>
    <col min="7967" max="7967" width="12.28515625" style="60" customWidth="1"/>
    <col min="7968" max="7968" width="4.5703125" style="60" customWidth="1"/>
    <col min="7969" max="7969" width="1.42578125" style="60" customWidth="1"/>
    <col min="7970" max="8192" width="13.85546875" style="60"/>
    <col min="8193" max="8193" width="7.85546875" style="60" customWidth="1"/>
    <col min="8194" max="8195" width="2.28515625" style="60" customWidth="1"/>
    <col min="8196" max="8196" width="31.42578125" style="60" customWidth="1"/>
    <col min="8197" max="8197" width="2.28515625" style="60" customWidth="1"/>
    <col min="8198" max="8198" width="2.140625" style="60" customWidth="1"/>
    <col min="8199" max="8199" width="12.28515625" style="60" customWidth="1"/>
    <col min="8200" max="8200" width="1.5703125" style="60" customWidth="1"/>
    <col min="8201" max="8201" width="12.28515625" style="60" customWidth="1"/>
    <col min="8202" max="8202" width="1.5703125" style="60" customWidth="1"/>
    <col min="8203" max="8203" width="12.28515625" style="60" customWidth="1"/>
    <col min="8204" max="8204" width="1.5703125" style="60" customWidth="1"/>
    <col min="8205" max="8205" width="13.5703125" style="60" customWidth="1"/>
    <col min="8206" max="8206" width="0.85546875" style="60" customWidth="1"/>
    <col min="8207" max="8207" width="12.28515625" style="60" customWidth="1"/>
    <col min="8208" max="8208" width="1.5703125" style="60" customWidth="1"/>
    <col min="8209" max="8209" width="12.28515625" style="60" customWidth="1"/>
    <col min="8210" max="8210" width="1.5703125" style="60" customWidth="1"/>
    <col min="8211" max="8211" width="12.28515625" style="60" customWidth="1"/>
    <col min="8212" max="8212" width="0.85546875" style="60" customWidth="1"/>
    <col min="8213" max="8213" width="12.28515625" style="60" customWidth="1"/>
    <col min="8214" max="8214" width="1.5703125" style="60" customWidth="1"/>
    <col min="8215" max="8215" width="12.28515625" style="60" customWidth="1"/>
    <col min="8216" max="8216" width="1.5703125" style="60" customWidth="1"/>
    <col min="8217" max="8217" width="12.28515625" style="60" customWidth="1"/>
    <col min="8218" max="8218" width="0.85546875" style="60" customWidth="1"/>
    <col min="8219" max="8219" width="12.28515625" style="60" customWidth="1"/>
    <col min="8220" max="8220" width="1.5703125" style="60" customWidth="1"/>
    <col min="8221" max="8221" width="12.28515625" style="60" customWidth="1"/>
    <col min="8222" max="8222" width="1.5703125" style="60" customWidth="1"/>
    <col min="8223" max="8223" width="12.28515625" style="60" customWidth="1"/>
    <col min="8224" max="8224" width="4.5703125" style="60" customWidth="1"/>
    <col min="8225" max="8225" width="1.42578125" style="60" customWidth="1"/>
    <col min="8226" max="8448" width="13.85546875" style="60"/>
    <col min="8449" max="8449" width="7.85546875" style="60" customWidth="1"/>
    <col min="8450" max="8451" width="2.28515625" style="60" customWidth="1"/>
    <col min="8452" max="8452" width="31.42578125" style="60" customWidth="1"/>
    <col min="8453" max="8453" width="2.28515625" style="60" customWidth="1"/>
    <col min="8454" max="8454" width="2.140625" style="60" customWidth="1"/>
    <col min="8455" max="8455" width="12.28515625" style="60" customWidth="1"/>
    <col min="8456" max="8456" width="1.5703125" style="60" customWidth="1"/>
    <col min="8457" max="8457" width="12.28515625" style="60" customWidth="1"/>
    <col min="8458" max="8458" width="1.5703125" style="60" customWidth="1"/>
    <col min="8459" max="8459" width="12.28515625" style="60" customWidth="1"/>
    <col min="8460" max="8460" width="1.5703125" style="60" customWidth="1"/>
    <col min="8461" max="8461" width="13.5703125" style="60" customWidth="1"/>
    <col min="8462" max="8462" width="0.85546875" style="60" customWidth="1"/>
    <col min="8463" max="8463" width="12.28515625" style="60" customWidth="1"/>
    <col min="8464" max="8464" width="1.5703125" style="60" customWidth="1"/>
    <col min="8465" max="8465" width="12.28515625" style="60" customWidth="1"/>
    <col min="8466" max="8466" width="1.5703125" style="60" customWidth="1"/>
    <col min="8467" max="8467" width="12.28515625" style="60" customWidth="1"/>
    <col min="8468" max="8468" width="0.85546875" style="60" customWidth="1"/>
    <col min="8469" max="8469" width="12.28515625" style="60" customWidth="1"/>
    <col min="8470" max="8470" width="1.5703125" style="60" customWidth="1"/>
    <col min="8471" max="8471" width="12.28515625" style="60" customWidth="1"/>
    <col min="8472" max="8472" width="1.5703125" style="60" customWidth="1"/>
    <col min="8473" max="8473" width="12.28515625" style="60" customWidth="1"/>
    <col min="8474" max="8474" width="0.85546875" style="60" customWidth="1"/>
    <col min="8475" max="8475" width="12.28515625" style="60" customWidth="1"/>
    <col min="8476" max="8476" width="1.5703125" style="60" customWidth="1"/>
    <col min="8477" max="8477" width="12.28515625" style="60" customWidth="1"/>
    <col min="8478" max="8478" width="1.5703125" style="60" customWidth="1"/>
    <col min="8479" max="8479" width="12.28515625" style="60" customWidth="1"/>
    <col min="8480" max="8480" width="4.5703125" style="60" customWidth="1"/>
    <col min="8481" max="8481" width="1.42578125" style="60" customWidth="1"/>
    <col min="8482" max="8704" width="13.85546875" style="60"/>
    <col min="8705" max="8705" width="7.85546875" style="60" customWidth="1"/>
    <col min="8706" max="8707" width="2.28515625" style="60" customWidth="1"/>
    <col min="8708" max="8708" width="31.42578125" style="60" customWidth="1"/>
    <col min="8709" max="8709" width="2.28515625" style="60" customWidth="1"/>
    <col min="8710" max="8710" width="2.140625" style="60" customWidth="1"/>
    <col min="8711" max="8711" width="12.28515625" style="60" customWidth="1"/>
    <col min="8712" max="8712" width="1.5703125" style="60" customWidth="1"/>
    <col min="8713" max="8713" width="12.28515625" style="60" customWidth="1"/>
    <col min="8714" max="8714" width="1.5703125" style="60" customWidth="1"/>
    <col min="8715" max="8715" width="12.28515625" style="60" customWidth="1"/>
    <col min="8716" max="8716" width="1.5703125" style="60" customWidth="1"/>
    <col min="8717" max="8717" width="13.5703125" style="60" customWidth="1"/>
    <col min="8718" max="8718" width="0.85546875" style="60" customWidth="1"/>
    <col min="8719" max="8719" width="12.28515625" style="60" customWidth="1"/>
    <col min="8720" max="8720" width="1.5703125" style="60" customWidth="1"/>
    <col min="8721" max="8721" width="12.28515625" style="60" customWidth="1"/>
    <col min="8722" max="8722" width="1.5703125" style="60" customWidth="1"/>
    <col min="8723" max="8723" width="12.28515625" style="60" customWidth="1"/>
    <col min="8724" max="8724" width="0.85546875" style="60" customWidth="1"/>
    <col min="8725" max="8725" width="12.28515625" style="60" customWidth="1"/>
    <col min="8726" max="8726" width="1.5703125" style="60" customWidth="1"/>
    <col min="8727" max="8727" width="12.28515625" style="60" customWidth="1"/>
    <col min="8728" max="8728" width="1.5703125" style="60" customWidth="1"/>
    <col min="8729" max="8729" width="12.28515625" style="60" customWidth="1"/>
    <col min="8730" max="8730" width="0.85546875" style="60" customWidth="1"/>
    <col min="8731" max="8731" width="12.28515625" style="60" customWidth="1"/>
    <col min="8732" max="8732" width="1.5703125" style="60" customWidth="1"/>
    <col min="8733" max="8733" width="12.28515625" style="60" customWidth="1"/>
    <col min="8734" max="8734" width="1.5703125" style="60" customWidth="1"/>
    <col min="8735" max="8735" width="12.28515625" style="60" customWidth="1"/>
    <col min="8736" max="8736" width="4.5703125" style="60" customWidth="1"/>
    <col min="8737" max="8737" width="1.42578125" style="60" customWidth="1"/>
    <col min="8738" max="8960" width="13.85546875" style="60"/>
    <col min="8961" max="8961" width="7.85546875" style="60" customWidth="1"/>
    <col min="8962" max="8963" width="2.28515625" style="60" customWidth="1"/>
    <col min="8964" max="8964" width="31.42578125" style="60" customWidth="1"/>
    <col min="8965" max="8965" width="2.28515625" style="60" customWidth="1"/>
    <col min="8966" max="8966" width="2.140625" style="60" customWidth="1"/>
    <col min="8967" max="8967" width="12.28515625" style="60" customWidth="1"/>
    <col min="8968" max="8968" width="1.5703125" style="60" customWidth="1"/>
    <col min="8969" max="8969" width="12.28515625" style="60" customWidth="1"/>
    <col min="8970" max="8970" width="1.5703125" style="60" customWidth="1"/>
    <col min="8971" max="8971" width="12.28515625" style="60" customWidth="1"/>
    <col min="8972" max="8972" width="1.5703125" style="60" customWidth="1"/>
    <col min="8973" max="8973" width="13.5703125" style="60" customWidth="1"/>
    <col min="8974" max="8974" width="0.85546875" style="60" customWidth="1"/>
    <col min="8975" max="8975" width="12.28515625" style="60" customWidth="1"/>
    <col min="8976" max="8976" width="1.5703125" style="60" customWidth="1"/>
    <col min="8977" max="8977" width="12.28515625" style="60" customWidth="1"/>
    <col min="8978" max="8978" width="1.5703125" style="60" customWidth="1"/>
    <col min="8979" max="8979" width="12.28515625" style="60" customWidth="1"/>
    <col min="8980" max="8980" width="0.85546875" style="60" customWidth="1"/>
    <col min="8981" max="8981" width="12.28515625" style="60" customWidth="1"/>
    <col min="8982" max="8982" width="1.5703125" style="60" customWidth="1"/>
    <col min="8983" max="8983" width="12.28515625" style="60" customWidth="1"/>
    <col min="8984" max="8984" width="1.5703125" style="60" customWidth="1"/>
    <col min="8985" max="8985" width="12.28515625" style="60" customWidth="1"/>
    <col min="8986" max="8986" width="0.85546875" style="60" customWidth="1"/>
    <col min="8987" max="8987" width="12.28515625" style="60" customWidth="1"/>
    <col min="8988" max="8988" width="1.5703125" style="60" customWidth="1"/>
    <col min="8989" max="8989" width="12.28515625" style="60" customWidth="1"/>
    <col min="8990" max="8990" width="1.5703125" style="60" customWidth="1"/>
    <col min="8991" max="8991" width="12.28515625" style="60" customWidth="1"/>
    <col min="8992" max="8992" width="4.5703125" style="60" customWidth="1"/>
    <col min="8993" max="8993" width="1.42578125" style="60" customWidth="1"/>
    <col min="8994" max="9216" width="13.85546875" style="60"/>
    <col min="9217" max="9217" width="7.85546875" style="60" customWidth="1"/>
    <col min="9218" max="9219" width="2.28515625" style="60" customWidth="1"/>
    <col min="9220" max="9220" width="31.42578125" style="60" customWidth="1"/>
    <col min="9221" max="9221" width="2.28515625" style="60" customWidth="1"/>
    <col min="9222" max="9222" width="2.140625" style="60" customWidth="1"/>
    <col min="9223" max="9223" width="12.28515625" style="60" customWidth="1"/>
    <col min="9224" max="9224" width="1.5703125" style="60" customWidth="1"/>
    <col min="9225" max="9225" width="12.28515625" style="60" customWidth="1"/>
    <col min="9226" max="9226" width="1.5703125" style="60" customWidth="1"/>
    <col min="9227" max="9227" width="12.28515625" style="60" customWidth="1"/>
    <col min="9228" max="9228" width="1.5703125" style="60" customWidth="1"/>
    <col min="9229" max="9229" width="13.5703125" style="60" customWidth="1"/>
    <col min="9230" max="9230" width="0.85546875" style="60" customWidth="1"/>
    <col min="9231" max="9231" width="12.28515625" style="60" customWidth="1"/>
    <col min="9232" max="9232" width="1.5703125" style="60" customWidth="1"/>
    <col min="9233" max="9233" width="12.28515625" style="60" customWidth="1"/>
    <col min="9234" max="9234" width="1.5703125" style="60" customWidth="1"/>
    <col min="9235" max="9235" width="12.28515625" style="60" customWidth="1"/>
    <col min="9236" max="9236" width="0.85546875" style="60" customWidth="1"/>
    <col min="9237" max="9237" width="12.28515625" style="60" customWidth="1"/>
    <col min="9238" max="9238" width="1.5703125" style="60" customWidth="1"/>
    <col min="9239" max="9239" width="12.28515625" style="60" customWidth="1"/>
    <col min="9240" max="9240" width="1.5703125" style="60" customWidth="1"/>
    <col min="9241" max="9241" width="12.28515625" style="60" customWidth="1"/>
    <col min="9242" max="9242" width="0.85546875" style="60" customWidth="1"/>
    <col min="9243" max="9243" width="12.28515625" style="60" customWidth="1"/>
    <col min="9244" max="9244" width="1.5703125" style="60" customWidth="1"/>
    <col min="9245" max="9245" width="12.28515625" style="60" customWidth="1"/>
    <col min="9246" max="9246" width="1.5703125" style="60" customWidth="1"/>
    <col min="9247" max="9247" width="12.28515625" style="60" customWidth="1"/>
    <col min="9248" max="9248" width="4.5703125" style="60" customWidth="1"/>
    <col min="9249" max="9249" width="1.42578125" style="60" customWidth="1"/>
    <col min="9250" max="9472" width="13.85546875" style="60"/>
    <col min="9473" max="9473" width="7.85546875" style="60" customWidth="1"/>
    <col min="9474" max="9475" width="2.28515625" style="60" customWidth="1"/>
    <col min="9476" max="9476" width="31.42578125" style="60" customWidth="1"/>
    <col min="9477" max="9477" width="2.28515625" style="60" customWidth="1"/>
    <col min="9478" max="9478" width="2.140625" style="60" customWidth="1"/>
    <col min="9479" max="9479" width="12.28515625" style="60" customWidth="1"/>
    <col min="9480" max="9480" width="1.5703125" style="60" customWidth="1"/>
    <col min="9481" max="9481" width="12.28515625" style="60" customWidth="1"/>
    <col min="9482" max="9482" width="1.5703125" style="60" customWidth="1"/>
    <col min="9483" max="9483" width="12.28515625" style="60" customWidth="1"/>
    <col min="9484" max="9484" width="1.5703125" style="60" customWidth="1"/>
    <col min="9485" max="9485" width="13.5703125" style="60" customWidth="1"/>
    <col min="9486" max="9486" width="0.85546875" style="60" customWidth="1"/>
    <col min="9487" max="9487" width="12.28515625" style="60" customWidth="1"/>
    <col min="9488" max="9488" width="1.5703125" style="60" customWidth="1"/>
    <col min="9489" max="9489" width="12.28515625" style="60" customWidth="1"/>
    <col min="9490" max="9490" width="1.5703125" style="60" customWidth="1"/>
    <col min="9491" max="9491" width="12.28515625" style="60" customWidth="1"/>
    <col min="9492" max="9492" width="0.85546875" style="60" customWidth="1"/>
    <col min="9493" max="9493" width="12.28515625" style="60" customWidth="1"/>
    <col min="9494" max="9494" width="1.5703125" style="60" customWidth="1"/>
    <col min="9495" max="9495" width="12.28515625" style="60" customWidth="1"/>
    <col min="9496" max="9496" width="1.5703125" style="60" customWidth="1"/>
    <col min="9497" max="9497" width="12.28515625" style="60" customWidth="1"/>
    <col min="9498" max="9498" width="0.85546875" style="60" customWidth="1"/>
    <col min="9499" max="9499" width="12.28515625" style="60" customWidth="1"/>
    <col min="9500" max="9500" width="1.5703125" style="60" customWidth="1"/>
    <col min="9501" max="9501" width="12.28515625" style="60" customWidth="1"/>
    <col min="9502" max="9502" width="1.5703125" style="60" customWidth="1"/>
    <col min="9503" max="9503" width="12.28515625" style="60" customWidth="1"/>
    <col min="9504" max="9504" width="4.5703125" style="60" customWidth="1"/>
    <col min="9505" max="9505" width="1.42578125" style="60" customWidth="1"/>
    <col min="9506" max="9728" width="13.85546875" style="60"/>
    <col min="9729" max="9729" width="7.85546875" style="60" customWidth="1"/>
    <col min="9730" max="9731" width="2.28515625" style="60" customWidth="1"/>
    <col min="9732" max="9732" width="31.42578125" style="60" customWidth="1"/>
    <col min="9733" max="9733" width="2.28515625" style="60" customWidth="1"/>
    <col min="9734" max="9734" width="2.140625" style="60" customWidth="1"/>
    <col min="9735" max="9735" width="12.28515625" style="60" customWidth="1"/>
    <col min="9736" max="9736" width="1.5703125" style="60" customWidth="1"/>
    <col min="9737" max="9737" width="12.28515625" style="60" customWidth="1"/>
    <col min="9738" max="9738" width="1.5703125" style="60" customWidth="1"/>
    <col min="9739" max="9739" width="12.28515625" style="60" customWidth="1"/>
    <col min="9740" max="9740" width="1.5703125" style="60" customWidth="1"/>
    <col min="9741" max="9741" width="13.5703125" style="60" customWidth="1"/>
    <col min="9742" max="9742" width="0.85546875" style="60" customWidth="1"/>
    <col min="9743" max="9743" width="12.28515625" style="60" customWidth="1"/>
    <col min="9744" max="9744" width="1.5703125" style="60" customWidth="1"/>
    <col min="9745" max="9745" width="12.28515625" style="60" customWidth="1"/>
    <col min="9746" max="9746" width="1.5703125" style="60" customWidth="1"/>
    <col min="9747" max="9747" width="12.28515625" style="60" customWidth="1"/>
    <col min="9748" max="9748" width="0.85546875" style="60" customWidth="1"/>
    <col min="9749" max="9749" width="12.28515625" style="60" customWidth="1"/>
    <col min="9750" max="9750" width="1.5703125" style="60" customWidth="1"/>
    <col min="9751" max="9751" width="12.28515625" style="60" customWidth="1"/>
    <col min="9752" max="9752" width="1.5703125" style="60" customWidth="1"/>
    <col min="9753" max="9753" width="12.28515625" style="60" customWidth="1"/>
    <col min="9754" max="9754" width="0.85546875" style="60" customWidth="1"/>
    <col min="9755" max="9755" width="12.28515625" style="60" customWidth="1"/>
    <col min="9756" max="9756" width="1.5703125" style="60" customWidth="1"/>
    <col min="9757" max="9757" width="12.28515625" style="60" customWidth="1"/>
    <col min="9758" max="9758" width="1.5703125" style="60" customWidth="1"/>
    <col min="9759" max="9759" width="12.28515625" style="60" customWidth="1"/>
    <col min="9760" max="9760" width="4.5703125" style="60" customWidth="1"/>
    <col min="9761" max="9761" width="1.42578125" style="60" customWidth="1"/>
    <col min="9762" max="9984" width="13.85546875" style="60"/>
    <col min="9985" max="9985" width="7.85546875" style="60" customWidth="1"/>
    <col min="9986" max="9987" width="2.28515625" style="60" customWidth="1"/>
    <col min="9988" max="9988" width="31.42578125" style="60" customWidth="1"/>
    <col min="9989" max="9989" width="2.28515625" style="60" customWidth="1"/>
    <col min="9990" max="9990" width="2.140625" style="60" customWidth="1"/>
    <col min="9991" max="9991" width="12.28515625" style="60" customWidth="1"/>
    <col min="9992" max="9992" width="1.5703125" style="60" customWidth="1"/>
    <col min="9993" max="9993" width="12.28515625" style="60" customWidth="1"/>
    <col min="9994" max="9994" width="1.5703125" style="60" customWidth="1"/>
    <col min="9995" max="9995" width="12.28515625" style="60" customWidth="1"/>
    <col min="9996" max="9996" width="1.5703125" style="60" customWidth="1"/>
    <col min="9997" max="9997" width="13.5703125" style="60" customWidth="1"/>
    <col min="9998" max="9998" width="0.85546875" style="60" customWidth="1"/>
    <col min="9999" max="9999" width="12.28515625" style="60" customWidth="1"/>
    <col min="10000" max="10000" width="1.5703125" style="60" customWidth="1"/>
    <col min="10001" max="10001" width="12.28515625" style="60" customWidth="1"/>
    <col min="10002" max="10002" width="1.5703125" style="60" customWidth="1"/>
    <col min="10003" max="10003" width="12.28515625" style="60" customWidth="1"/>
    <col min="10004" max="10004" width="0.85546875" style="60" customWidth="1"/>
    <col min="10005" max="10005" width="12.28515625" style="60" customWidth="1"/>
    <col min="10006" max="10006" width="1.5703125" style="60" customWidth="1"/>
    <col min="10007" max="10007" width="12.28515625" style="60" customWidth="1"/>
    <col min="10008" max="10008" width="1.5703125" style="60" customWidth="1"/>
    <col min="10009" max="10009" width="12.28515625" style="60" customWidth="1"/>
    <col min="10010" max="10010" width="0.85546875" style="60" customWidth="1"/>
    <col min="10011" max="10011" width="12.28515625" style="60" customWidth="1"/>
    <col min="10012" max="10012" width="1.5703125" style="60" customWidth="1"/>
    <col min="10013" max="10013" width="12.28515625" style="60" customWidth="1"/>
    <col min="10014" max="10014" width="1.5703125" style="60" customWidth="1"/>
    <col min="10015" max="10015" width="12.28515625" style="60" customWidth="1"/>
    <col min="10016" max="10016" width="4.5703125" style="60" customWidth="1"/>
    <col min="10017" max="10017" width="1.42578125" style="60" customWidth="1"/>
    <col min="10018" max="10240" width="13.85546875" style="60"/>
    <col min="10241" max="10241" width="7.85546875" style="60" customWidth="1"/>
    <col min="10242" max="10243" width="2.28515625" style="60" customWidth="1"/>
    <col min="10244" max="10244" width="31.42578125" style="60" customWidth="1"/>
    <col min="10245" max="10245" width="2.28515625" style="60" customWidth="1"/>
    <col min="10246" max="10246" width="2.140625" style="60" customWidth="1"/>
    <col min="10247" max="10247" width="12.28515625" style="60" customWidth="1"/>
    <col min="10248" max="10248" width="1.5703125" style="60" customWidth="1"/>
    <col min="10249" max="10249" width="12.28515625" style="60" customWidth="1"/>
    <col min="10250" max="10250" width="1.5703125" style="60" customWidth="1"/>
    <col min="10251" max="10251" width="12.28515625" style="60" customWidth="1"/>
    <col min="10252" max="10252" width="1.5703125" style="60" customWidth="1"/>
    <col min="10253" max="10253" width="13.5703125" style="60" customWidth="1"/>
    <col min="10254" max="10254" width="0.85546875" style="60" customWidth="1"/>
    <col min="10255" max="10255" width="12.28515625" style="60" customWidth="1"/>
    <col min="10256" max="10256" width="1.5703125" style="60" customWidth="1"/>
    <col min="10257" max="10257" width="12.28515625" style="60" customWidth="1"/>
    <col min="10258" max="10258" width="1.5703125" style="60" customWidth="1"/>
    <col min="10259" max="10259" width="12.28515625" style="60" customWidth="1"/>
    <col min="10260" max="10260" width="0.85546875" style="60" customWidth="1"/>
    <col min="10261" max="10261" width="12.28515625" style="60" customWidth="1"/>
    <col min="10262" max="10262" width="1.5703125" style="60" customWidth="1"/>
    <col min="10263" max="10263" width="12.28515625" style="60" customWidth="1"/>
    <col min="10264" max="10264" width="1.5703125" style="60" customWidth="1"/>
    <col min="10265" max="10265" width="12.28515625" style="60" customWidth="1"/>
    <col min="10266" max="10266" width="0.85546875" style="60" customWidth="1"/>
    <col min="10267" max="10267" width="12.28515625" style="60" customWidth="1"/>
    <col min="10268" max="10268" width="1.5703125" style="60" customWidth="1"/>
    <col min="10269" max="10269" width="12.28515625" style="60" customWidth="1"/>
    <col min="10270" max="10270" width="1.5703125" style="60" customWidth="1"/>
    <col min="10271" max="10271" width="12.28515625" style="60" customWidth="1"/>
    <col min="10272" max="10272" width="4.5703125" style="60" customWidth="1"/>
    <col min="10273" max="10273" width="1.42578125" style="60" customWidth="1"/>
    <col min="10274" max="10496" width="13.85546875" style="60"/>
    <col min="10497" max="10497" width="7.85546875" style="60" customWidth="1"/>
    <col min="10498" max="10499" width="2.28515625" style="60" customWidth="1"/>
    <col min="10500" max="10500" width="31.42578125" style="60" customWidth="1"/>
    <col min="10501" max="10501" width="2.28515625" style="60" customWidth="1"/>
    <col min="10502" max="10502" width="2.140625" style="60" customWidth="1"/>
    <col min="10503" max="10503" width="12.28515625" style="60" customWidth="1"/>
    <col min="10504" max="10504" width="1.5703125" style="60" customWidth="1"/>
    <col min="10505" max="10505" width="12.28515625" style="60" customWidth="1"/>
    <col min="10506" max="10506" width="1.5703125" style="60" customWidth="1"/>
    <col min="10507" max="10507" width="12.28515625" style="60" customWidth="1"/>
    <col min="10508" max="10508" width="1.5703125" style="60" customWidth="1"/>
    <col min="10509" max="10509" width="13.5703125" style="60" customWidth="1"/>
    <col min="10510" max="10510" width="0.85546875" style="60" customWidth="1"/>
    <col min="10511" max="10511" width="12.28515625" style="60" customWidth="1"/>
    <col min="10512" max="10512" width="1.5703125" style="60" customWidth="1"/>
    <col min="10513" max="10513" width="12.28515625" style="60" customWidth="1"/>
    <col min="10514" max="10514" width="1.5703125" style="60" customWidth="1"/>
    <col min="10515" max="10515" width="12.28515625" style="60" customWidth="1"/>
    <col min="10516" max="10516" width="0.85546875" style="60" customWidth="1"/>
    <col min="10517" max="10517" width="12.28515625" style="60" customWidth="1"/>
    <col min="10518" max="10518" width="1.5703125" style="60" customWidth="1"/>
    <col min="10519" max="10519" width="12.28515625" style="60" customWidth="1"/>
    <col min="10520" max="10520" width="1.5703125" style="60" customWidth="1"/>
    <col min="10521" max="10521" width="12.28515625" style="60" customWidth="1"/>
    <col min="10522" max="10522" width="0.85546875" style="60" customWidth="1"/>
    <col min="10523" max="10523" width="12.28515625" style="60" customWidth="1"/>
    <col min="10524" max="10524" width="1.5703125" style="60" customWidth="1"/>
    <col min="10525" max="10525" width="12.28515625" style="60" customWidth="1"/>
    <col min="10526" max="10526" width="1.5703125" style="60" customWidth="1"/>
    <col min="10527" max="10527" width="12.28515625" style="60" customWidth="1"/>
    <col min="10528" max="10528" width="4.5703125" style="60" customWidth="1"/>
    <col min="10529" max="10529" width="1.42578125" style="60" customWidth="1"/>
    <col min="10530" max="10752" width="13.85546875" style="60"/>
    <col min="10753" max="10753" width="7.85546875" style="60" customWidth="1"/>
    <col min="10754" max="10755" width="2.28515625" style="60" customWidth="1"/>
    <col min="10756" max="10756" width="31.42578125" style="60" customWidth="1"/>
    <col min="10757" max="10757" width="2.28515625" style="60" customWidth="1"/>
    <col min="10758" max="10758" width="2.140625" style="60" customWidth="1"/>
    <col min="10759" max="10759" width="12.28515625" style="60" customWidth="1"/>
    <col min="10760" max="10760" width="1.5703125" style="60" customWidth="1"/>
    <col min="10761" max="10761" width="12.28515625" style="60" customWidth="1"/>
    <col min="10762" max="10762" width="1.5703125" style="60" customWidth="1"/>
    <col min="10763" max="10763" width="12.28515625" style="60" customWidth="1"/>
    <col min="10764" max="10764" width="1.5703125" style="60" customWidth="1"/>
    <col min="10765" max="10765" width="13.5703125" style="60" customWidth="1"/>
    <col min="10766" max="10766" width="0.85546875" style="60" customWidth="1"/>
    <col min="10767" max="10767" width="12.28515625" style="60" customWidth="1"/>
    <col min="10768" max="10768" width="1.5703125" style="60" customWidth="1"/>
    <col min="10769" max="10769" width="12.28515625" style="60" customWidth="1"/>
    <col min="10770" max="10770" width="1.5703125" style="60" customWidth="1"/>
    <col min="10771" max="10771" width="12.28515625" style="60" customWidth="1"/>
    <col min="10772" max="10772" width="0.85546875" style="60" customWidth="1"/>
    <col min="10773" max="10773" width="12.28515625" style="60" customWidth="1"/>
    <col min="10774" max="10774" width="1.5703125" style="60" customWidth="1"/>
    <col min="10775" max="10775" width="12.28515625" style="60" customWidth="1"/>
    <col min="10776" max="10776" width="1.5703125" style="60" customWidth="1"/>
    <col min="10777" max="10777" width="12.28515625" style="60" customWidth="1"/>
    <col min="10778" max="10778" width="0.85546875" style="60" customWidth="1"/>
    <col min="10779" max="10779" width="12.28515625" style="60" customWidth="1"/>
    <col min="10780" max="10780" width="1.5703125" style="60" customWidth="1"/>
    <col min="10781" max="10781" width="12.28515625" style="60" customWidth="1"/>
    <col min="10782" max="10782" width="1.5703125" style="60" customWidth="1"/>
    <col min="10783" max="10783" width="12.28515625" style="60" customWidth="1"/>
    <col min="10784" max="10784" width="4.5703125" style="60" customWidth="1"/>
    <col min="10785" max="10785" width="1.42578125" style="60" customWidth="1"/>
    <col min="10786" max="11008" width="13.85546875" style="60"/>
    <col min="11009" max="11009" width="7.85546875" style="60" customWidth="1"/>
    <col min="11010" max="11011" width="2.28515625" style="60" customWidth="1"/>
    <col min="11012" max="11012" width="31.42578125" style="60" customWidth="1"/>
    <col min="11013" max="11013" width="2.28515625" style="60" customWidth="1"/>
    <col min="11014" max="11014" width="2.140625" style="60" customWidth="1"/>
    <col min="11015" max="11015" width="12.28515625" style="60" customWidth="1"/>
    <col min="11016" max="11016" width="1.5703125" style="60" customWidth="1"/>
    <col min="11017" max="11017" width="12.28515625" style="60" customWidth="1"/>
    <col min="11018" max="11018" width="1.5703125" style="60" customWidth="1"/>
    <col min="11019" max="11019" width="12.28515625" style="60" customWidth="1"/>
    <col min="11020" max="11020" width="1.5703125" style="60" customWidth="1"/>
    <col min="11021" max="11021" width="13.5703125" style="60" customWidth="1"/>
    <col min="11022" max="11022" width="0.85546875" style="60" customWidth="1"/>
    <col min="11023" max="11023" width="12.28515625" style="60" customWidth="1"/>
    <col min="11024" max="11024" width="1.5703125" style="60" customWidth="1"/>
    <col min="11025" max="11025" width="12.28515625" style="60" customWidth="1"/>
    <col min="11026" max="11026" width="1.5703125" style="60" customWidth="1"/>
    <col min="11027" max="11027" width="12.28515625" style="60" customWidth="1"/>
    <col min="11028" max="11028" width="0.85546875" style="60" customWidth="1"/>
    <col min="11029" max="11029" width="12.28515625" style="60" customWidth="1"/>
    <col min="11030" max="11030" width="1.5703125" style="60" customWidth="1"/>
    <col min="11031" max="11031" width="12.28515625" style="60" customWidth="1"/>
    <col min="11032" max="11032" width="1.5703125" style="60" customWidth="1"/>
    <col min="11033" max="11033" width="12.28515625" style="60" customWidth="1"/>
    <col min="11034" max="11034" width="0.85546875" style="60" customWidth="1"/>
    <col min="11035" max="11035" width="12.28515625" style="60" customWidth="1"/>
    <col min="11036" max="11036" width="1.5703125" style="60" customWidth="1"/>
    <col min="11037" max="11037" width="12.28515625" style="60" customWidth="1"/>
    <col min="11038" max="11038" width="1.5703125" style="60" customWidth="1"/>
    <col min="11039" max="11039" width="12.28515625" style="60" customWidth="1"/>
    <col min="11040" max="11040" width="4.5703125" style="60" customWidth="1"/>
    <col min="11041" max="11041" width="1.42578125" style="60" customWidth="1"/>
    <col min="11042" max="11264" width="13.85546875" style="60"/>
    <col min="11265" max="11265" width="7.85546875" style="60" customWidth="1"/>
    <col min="11266" max="11267" width="2.28515625" style="60" customWidth="1"/>
    <col min="11268" max="11268" width="31.42578125" style="60" customWidth="1"/>
    <col min="11269" max="11269" width="2.28515625" style="60" customWidth="1"/>
    <col min="11270" max="11270" width="2.140625" style="60" customWidth="1"/>
    <col min="11271" max="11271" width="12.28515625" style="60" customWidth="1"/>
    <col min="11272" max="11272" width="1.5703125" style="60" customWidth="1"/>
    <col min="11273" max="11273" width="12.28515625" style="60" customWidth="1"/>
    <col min="11274" max="11274" width="1.5703125" style="60" customWidth="1"/>
    <col min="11275" max="11275" width="12.28515625" style="60" customWidth="1"/>
    <col min="11276" max="11276" width="1.5703125" style="60" customWidth="1"/>
    <col min="11277" max="11277" width="13.5703125" style="60" customWidth="1"/>
    <col min="11278" max="11278" width="0.85546875" style="60" customWidth="1"/>
    <col min="11279" max="11279" width="12.28515625" style="60" customWidth="1"/>
    <col min="11280" max="11280" width="1.5703125" style="60" customWidth="1"/>
    <col min="11281" max="11281" width="12.28515625" style="60" customWidth="1"/>
    <col min="11282" max="11282" width="1.5703125" style="60" customWidth="1"/>
    <col min="11283" max="11283" width="12.28515625" style="60" customWidth="1"/>
    <col min="11284" max="11284" width="0.85546875" style="60" customWidth="1"/>
    <col min="11285" max="11285" width="12.28515625" style="60" customWidth="1"/>
    <col min="11286" max="11286" width="1.5703125" style="60" customWidth="1"/>
    <col min="11287" max="11287" width="12.28515625" style="60" customWidth="1"/>
    <col min="11288" max="11288" width="1.5703125" style="60" customWidth="1"/>
    <col min="11289" max="11289" width="12.28515625" style="60" customWidth="1"/>
    <col min="11290" max="11290" width="0.85546875" style="60" customWidth="1"/>
    <col min="11291" max="11291" width="12.28515625" style="60" customWidth="1"/>
    <col min="11292" max="11292" width="1.5703125" style="60" customWidth="1"/>
    <col min="11293" max="11293" width="12.28515625" style="60" customWidth="1"/>
    <col min="11294" max="11294" width="1.5703125" style="60" customWidth="1"/>
    <col min="11295" max="11295" width="12.28515625" style="60" customWidth="1"/>
    <col min="11296" max="11296" width="4.5703125" style="60" customWidth="1"/>
    <col min="11297" max="11297" width="1.42578125" style="60" customWidth="1"/>
    <col min="11298" max="11520" width="13.85546875" style="60"/>
    <col min="11521" max="11521" width="7.85546875" style="60" customWidth="1"/>
    <col min="11522" max="11523" width="2.28515625" style="60" customWidth="1"/>
    <col min="11524" max="11524" width="31.42578125" style="60" customWidth="1"/>
    <col min="11525" max="11525" width="2.28515625" style="60" customWidth="1"/>
    <col min="11526" max="11526" width="2.140625" style="60" customWidth="1"/>
    <col min="11527" max="11527" width="12.28515625" style="60" customWidth="1"/>
    <col min="11528" max="11528" width="1.5703125" style="60" customWidth="1"/>
    <col min="11529" max="11529" width="12.28515625" style="60" customWidth="1"/>
    <col min="11530" max="11530" width="1.5703125" style="60" customWidth="1"/>
    <col min="11531" max="11531" width="12.28515625" style="60" customWidth="1"/>
    <col min="11532" max="11532" width="1.5703125" style="60" customWidth="1"/>
    <col min="11533" max="11533" width="13.5703125" style="60" customWidth="1"/>
    <col min="11534" max="11534" width="0.85546875" style="60" customWidth="1"/>
    <col min="11535" max="11535" width="12.28515625" style="60" customWidth="1"/>
    <col min="11536" max="11536" width="1.5703125" style="60" customWidth="1"/>
    <col min="11537" max="11537" width="12.28515625" style="60" customWidth="1"/>
    <col min="11538" max="11538" width="1.5703125" style="60" customWidth="1"/>
    <col min="11539" max="11539" width="12.28515625" style="60" customWidth="1"/>
    <col min="11540" max="11540" width="0.85546875" style="60" customWidth="1"/>
    <col min="11541" max="11541" width="12.28515625" style="60" customWidth="1"/>
    <col min="11542" max="11542" width="1.5703125" style="60" customWidth="1"/>
    <col min="11543" max="11543" width="12.28515625" style="60" customWidth="1"/>
    <col min="11544" max="11544" width="1.5703125" style="60" customWidth="1"/>
    <col min="11545" max="11545" width="12.28515625" style="60" customWidth="1"/>
    <col min="11546" max="11546" width="0.85546875" style="60" customWidth="1"/>
    <col min="11547" max="11547" width="12.28515625" style="60" customWidth="1"/>
    <col min="11548" max="11548" width="1.5703125" style="60" customWidth="1"/>
    <col min="11549" max="11549" width="12.28515625" style="60" customWidth="1"/>
    <col min="11550" max="11550" width="1.5703125" style="60" customWidth="1"/>
    <col min="11551" max="11551" width="12.28515625" style="60" customWidth="1"/>
    <col min="11552" max="11552" width="4.5703125" style="60" customWidth="1"/>
    <col min="11553" max="11553" width="1.42578125" style="60" customWidth="1"/>
    <col min="11554" max="11776" width="13.85546875" style="60"/>
    <col min="11777" max="11777" width="7.85546875" style="60" customWidth="1"/>
    <col min="11778" max="11779" width="2.28515625" style="60" customWidth="1"/>
    <col min="11780" max="11780" width="31.42578125" style="60" customWidth="1"/>
    <col min="11781" max="11781" width="2.28515625" style="60" customWidth="1"/>
    <col min="11782" max="11782" width="2.140625" style="60" customWidth="1"/>
    <col min="11783" max="11783" width="12.28515625" style="60" customWidth="1"/>
    <col min="11784" max="11784" width="1.5703125" style="60" customWidth="1"/>
    <col min="11785" max="11785" width="12.28515625" style="60" customWidth="1"/>
    <col min="11786" max="11786" width="1.5703125" style="60" customWidth="1"/>
    <col min="11787" max="11787" width="12.28515625" style="60" customWidth="1"/>
    <col min="11788" max="11788" width="1.5703125" style="60" customWidth="1"/>
    <col min="11789" max="11789" width="13.5703125" style="60" customWidth="1"/>
    <col min="11790" max="11790" width="0.85546875" style="60" customWidth="1"/>
    <col min="11791" max="11791" width="12.28515625" style="60" customWidth="1"/>
    <col min="11792" max="11792" width="1.5703125" style="60" customWidth="1"/>
    <col min="11793" max="11793" width="12.28515625" style="60" customWidth="1"/>
    <col min="11794" max="11794" width="1.5703125" style="60" customWidth="1"/>
    <col min="11795" max="11795" width="12.28515625" style="60" customWidth="1"/>
    <col min="11796" max="11796" width="0.85546875" style="60" customWidth="1"/>
    <col min="11797" max="11797" width="12.28515625" style="60" customWidth="1"/>
    <col min="11798" max="11798" width="1.5703125" style="60" customWidth="1"/>
    <col min="11799" max="11799" width="12.28515625" style="60" customWidth="1"/>
    <col min="11800" max="11800" width="1.5703125" style="60" customWidth="1"/>
    <col min="11801" max="11801" width="12.28515625" style="60" customWidth="1"/>
    <col min="11802" max="11802" width="0.85546875" style="60" customWidth="1"/>
    <col min="11803" max="11803" width="12.28515625" style="60" customWidth="1"/>
    <col min="11804" max="11804" width="1.5703125" style="60" customWidth="1"/>
    <col min="11805" max="11805" width="12.28515625" style="60" customWidth="1"/>
    <col min="11806" max="11806" width="1.5703125" style="60" customWidth="1"/>
    <col min="11807" max="11807" width="12.28515625" style="60" customWidth="1"/>
    <col min="11808" max="11808" width="4.5703125" style="60" customWidth="1"/>
    <col min="11809" max="11809" width="1.42578125" style="60" customWidth="1"/>
    <col min="11810" max="12032" width="13.85546875" style="60"/>
    <col min="12033" max="12033" width="7.85546875" style="60" customWidth="1"/>
    <col min="12034" max="12035" width="2.28515625" style="60" customWidth="1"/>
    <col min="12036" max="12036" width="31.42578125" style="60" customWidth="1"/>
    <col min="12037" max="12037" width="2.28515625" style="60" customWidth="1"/>
    <col min="12038" max="12038" width="2.140625" style="60" customWidth="1"/>
    <col min="12039" max="12039" width="12.28515625" style="60" customWidth="1"/>
    <col min="12040" max="12040" width="1.5703125" style="60" customWidth="1"/>
    <col min="12041" max="12041" width="12.28515625" style="60" customWidth="1"/>
    <col min="12042" max="12042" width="1.5703125" style="60" customWidth="1"/>
    <col min="12043" max="12043" width="12.28515625" style="60" customWidth="1"/>
    <col min="12044" max="12044" width="1.5703125" style="60" customWidth="1"/>
    <col min="12045" max="12045" width="13.5703125" style="60" customWidth="1"/>
    <col min="12046" max="12046" width="0.85546875" style="60" customWidth="1"/>
    <col min="12047" max="12047" width="12.28515625" style="60" customWidth="1"/>
    <col min="12048" max="12048" width="1.5703125" style="60" customWidth="1"/>
    <col min="12049" max="12049" width="12.28515625" style="60" customWidth="1"/>
    <col min="12050" max="12050" width="1.5703125" style="60" customWidth="1"/>
    <col min="12051" max="12051" width="12.28515625" style="60" customWidth="1"/>
    <col min="12052" max="12052" width="0.85546875" style="60" customWidth="1"/>
    <col min="12053" max="12053" width="12.28515625" style="60" customWidth="1"/>
    <col min="12054" max="12054" width="1.5703125" style="60" customWidth="1"/>
    <col min="12055" max="12055" width="12.28515625" style="60" customWidth="1"/>
    <col min="12056" max="12056" width="1.5703125" style="60" customWidth="1"/>
    <col min="12057" max="12057" width="12.28515625" style="60" customWidth="1"/>
    <col min="12058" max="12058" width="0.85546875" style="60" customWidth="1"/>
    <col min="12059" max="12059" width="12.28515625" style="60" customWidth="1"/>
    <col min="12060" max="12060" width="1.5703125" style="60" customWidth="1"/>
    <col min="12061" max="12061" width="12.28515625" style="60" customWidth="1"/>
    <col min="12062" max="12062" width="1.5703125" style="60" customWidth="1"/>
    <col min="12063" max="12063" width="12.28515625" style="60" customWidth="1"/>
    <col min="12064" max="12064" width="4.5703125" style="60" customWidth="1"/>
    <col min="12065" max="12065" width="1.42578125" style="60" customWidth="1"/>
    <col min="12066" max="12288" width="13.85546875" style="60"/>
    <col min="12289" max="12289" width="7.85546875" style="60" customWidth="1"/>
    <col min="12290" max="12291" width="2.28515625" style="60" customWidth="1"/>
    <col min="12292" max="12292" width="31.42578125" style="60" customWidth="1"/>
    <col min="12293" max="12293" width="2.28515625" style="60" customWidth="1"/>
    <col min="12294" max="12294" width="2.140625" style="60" customWidth="1"/>
    <col min="12295" max="12295" width="12.28515625" style="60" customWidth="1"/>
    <col min="12296" max="12296" width="1.5703125" style="60" customWidth="1"/>
    <col min="12297" max="12297" width="12.28515625" style="60" customWidth="1"/>
    <col min="12298" max="12298" width="1.5703125" style="60" customWidth="1"/>
    <col min="12299" max="12299" width="12.28515625" style="60" customWidth="1"/>
    <col min="12300" max="12300" width="1.5703125" style="60" customWidth="1"/>
    <col min="12301" max="12301" width="13.5703125" style="60" customWidth="1"/>
    <col min="12302" max="12302" width="0.85546875" style="60" customWidth="1"/>
    <col min="12303" max="12303" width="12.28515625" style="60" customWidth="1"/>
    <col min="12304" max="12304" width="1.5703125" style="60" customWidth="1"/>
    <col min="12305" max="12305" width="12.28515625" style="60" customWidth="1"/>
    <col min="12306" max="12306" width="1.5703125" style="60" customWidth="1"/>
    <col min="12307" max="12307" width="12.28515625" style="60" customWidth="1"/>
    <col min="12308" max="12308" width="0.85546875" style="60" customWidth="1"/>
    <col min="12309" max="12309" width="12.28515625" style="60" customWidth="1"/>
    <col min="12310" max="12310" width="1.5703125" style="60" customWidth="1"/>
    <col min="12311" max="12311" width="12.28515625" style="60" customWidth="1"/>
    <col min="12312" max="12312" width="1.5703125" style="60" customWidth="1"/>
    <col min="12313" max="12313" width="12.28515625" style="60" customWidth="1"/>
    <col min="12314" max="12314" width="0.85546875" style="60" customWidth="1"/>
    <col min="12315" max="12315" width="12.28515625" style="60" customWidth="1"/>
    <col min="12316" max="12316" width="1.5703125" style="60" customWidth="1"/>
    <col min="12317" max="12317" width="12.28515625" style="60" customWidth="1"/>
    <col min="12318" max="12318" width="1.5703125" style="60" customWidth="1"/>
    <col min="12319" max="12319" width="12.28515625" style="60" customWidth="1"/>
    <col min="12320" max="12320" width="4.5703125" style="60" customWidth="1"/>
    <col min="12321" max="12321" width="1.42578125" style="60" customWidth="1"/>
    <col min="12322" max="12544" width="13.85546875" style="60"/>
    <col min="12545" max="12545" width="7.85546875" style="60" customWidth="1"/>
    <col min="12546" max="12547" width="2.28515625" style="60" customWidth="1"/>
    <col min="12548" max="12548" width="31.42578125" style="60" customWidth="1"/>
    <col min="12549" max="12549" width="2.28515625" style="60" customWidth="1"/>
    <col min="12550" max="12550" width="2.140625" style="60" customWidth="1"/>
    <col min="12551" max="12551" width="12.28515625" style="60" customWidth="1"/>
    <col min="12552" max="12552" width="1.5703125" style="60" customWidth="1"/>
    <col min="12553" max="12553" width="12.28515625" style="60" customWidth="1"/>
    <col min="12554" max="12554" width="1.5703125" style="60" customWidth="1"/>
    <col min="12555" max="12555" width="12.28515625" style="60" customWidth="1"/>
    <col min="12556" max="12556" width="1.5703125" style="60" customWidth="1"/>
    <col min="12557" max="12557" width="13.5703125" style="60" customWidth="1"/>
    <col min="12558" max="12558" width="0.85546875" style="60" customWidth="1"/>
    <col min="12559" max="12559" width="12.28515625" style="60" customWidth="1"/>
    <col min="12560" max="12560" width="1.5703125" style="60" customWidth="1"/>
    <col min="12561" max="12561" width="12.28515625" style="60" customWidth="1"/>
    <col min="12562" max="12562" width="1.5703125" style="60" customWidth="1"/>
    <col min="12563" max="12563" width="12.28515625" style="60" customWidth="1"/>
    <col min="12564" max="12564" width="0.85546875" style="60" customWidth="1"/>
    <col min="12565" max="12565" width="12.28515625" style="60" customWidth="1"/>
    <col min="12566" max="12566" width="1.5703125" style="60" customWidth="1"/>
    <col min="12567" max="12567" width="12.28515625" style="60" customWidth="1"/>
    <col min="12568" max="12568" width="1.5703125" style="60" customWidth="1"/>
    <col min="12569" max="12569" width="12.28515625" style="60" customWidth="1"/>
    <col min="12570" max="12570" width="0.85546875" style="60" customWidth="1"/>
    <col min="12571" max="12571" width="12.28515625" style="60" customWidth="1"/>
    <col min="12572" max="12572" width="1.5703125" style="60" customWidth="1"/>
    <col min="12573" max="12573" width="12.28515625" style="60" customWidth="1"/>
    <col min="12574" max="12574" width="1.5703125" style="60" customWidth="1"/>
    <col min="12575" max="12575" width="12.28515625" style="60" customWidth="1"/>
    <col min="12576" max="12576" width="4.5703125" style="60" customWidth="1"/>
    <col min="12577" max="12577" width="1.42578125" style="60" customWidth="1"/>
    <col min="12578" max="12800" width="13.85546875" style="60"/>
    <col min="12801" max="12801" width="7.85546875" style="60" customWidth="1"/>
    <col min="12802" max="12803" width="2.28515625" style="60" customWidth="1"/>
    <col min="12804" max="12804" width="31.42578125" style="60" customWidth="1"/>
    <col min="12805" max="12805" width="2.28515625" style="60" customWidth="1"/>
    <col min="12806" max="12806" width="2.140625" style="60" customWidth="1"/>
    <col min="12807" max="12807" width="12.28515625" style="60" customWidth="1"/>
    <col min="12808" max="12808" width="1.5703125" style="60" customWidth="1"/>
    <col min="12809" max="12809" width="12.28515625" style="60" customWidth="1"/>
    <col min="12810" max="12810" width="1.5703125" style="60" customWidth="1"/>
    <col min="12811" max="12811" width="12.28515625" style="60" customWidth="1"/>
    <col min="12812" max="12812" width="1.5703125" style="60" customWidth="1"/>
    <col min="12813" max="12813" width="13.5703125" style="60" customWidth="1"/>
    <col min="12814" max="12814" width="0.85546875" style="60" customWidth="1"/>
    <col min="12815" max="12815" width="12.28515625" style="60" customWidth="1"/>
    <col min="12816" max="12816" width="1.5703125" style="60" customWidth="1"/>
    <col min="12817" max="12817" width="12.28515625" style="60" customWidth="1"/>
    <col min="12818" max="12818" width="1.5703125" style="60" customWidth="1"/>
    <col min="12819" max="12819" width="12.28515625" style="60" customWidth="1"/>
    <col min="12820" max="12820" width="0.85546875" style="60" customWidth="1"/>
    <col min="12821" max="12821" width="12.28515625" style="60" customWidth="1"/>
    <col min="12822" max="12822" width="1.5703125" style="60" customWidth="1"/>
    <col min="12823" max="12823" width="12.28515625" style="60" customWidth="1"/>
    <col min="12824" max="12824" width="1.5703125" style="60" customWidth="1"/>
    <col min="12825" max="12825" width="12.28515625" style="60" customWidth="1"/>
    <col min="12826" max="12826" width="0.85546875" style="60" customWidth="1"/>
    <col min="12827" max="12827" width="12.28515625" style="60" customWidth="1"/>
    <col min="12828" max="12828" width="1.5703125" style="60" customWidth="1"/>
    <col min="12829" max="12829" width="12.28515625" style="60" customWidth="1"/>
    <col min="12830" max="12830" width="1.5703125" style="60" customWidth="1"/>
    <col min="12831" max="12831" width="12.28515625" style="60" customWidth="1"/>
    <col min="12832" max="12832" width="4.5703125" style="60" customWidth="1"/>
    <col min="12833" max="12833" width="1.42578125" style="60" customWidth="1"/>
    <col min="12834" max="13056" width="13.85546875" style="60"/>
    <col min="13057" max="13057" width="7.85546875" style="60" customWidth="1"/>
    <col min="13058" max="13059" width="2.28515625" style="60" customWidth="1"/>
    <col min="13060" max="13060" width="31.42578125" style="60" customWidth="1"/>
    <col min="13061" max="13061" width="2.28515625" style="60" customWidth="1"/>
    <col min="13062" max="13062" width="2.140625" style="60" customWidth="1"/>
    <col min="13063" max="13063" width="12.28515625" style="60" customWidth="1"/>
    <col min="13064" max="13064" width="1.5703125" style="60" customWidth="1"/>
    <col min="13065" max="13065" width="12.28515625" style="60" customWidth="1"/>
    <col min="13066" max="13066" width="1.5703125" style="60" customWidth="1"/>
    <col min="13067" max="13067" width="12.28515625" style="60" customWidth="1"/>
    <col min="13068" max="13068" width="1.5703125" style="60" customWidth="1"/>
    <col min="13069" max="13069" width="13.5703125" style="60" customWidth="1"/>
    <col min="13070" max="13070" width="0.85546875" style="60" customWidth="1"/>
    <col min="13071" max="13071" width="12.28515625" style="60" customWidth="1"/>
    <col min="13072" max="13072" width="1.5703125" style="60" customWidth="1"/>
    <col min="13073" max="13073" width="12.28515625" style="60" customWidth="1"/>
    <col min="13074" max="13074" width="1.5703125" style="60" customWidth="1"/>
    <col min="13075" max="13075" width="12.28515625" style="60" customWidth="1"/>
    <col min="13076" max="13076" width="0.85546875" style="60" customWidth="1"/>
    <col min="13077" max="13077" width="12.28515625" style="60" customWidth="1"/>
    <col min="13078" max="13078" width="1.5703125" style="60" customWidth="1"/>
    <col min="13079" max="13079" width="12.28515625" style="60" customWidth="1"/>
    <col min="13080" max="13080" width="1.5703125" style="60" customWidth="1"/>
    <col min="13081" max="13081" width="12.28515625" style="60" customWidth="1"/>
    <col min="13082" max="13082" width="0.85546875" style="60" customWidth="1"/>
    <col min="13083" max="13083" width="12.28515625" style="60" customWidth="1"/>
    <col min="13084" max="13084" width="1.5703125" style="60" customWidth="1"/>
    <col min="13085" max="13085" width="12.28515625" style="60" customWidth="1"/>
    <col min="13086" max="13086" width="1.5703125" style="60" customWidth="1"/>
    <col min="13087" max="13087" width="12.28515625" style="60" customWidth="1"/>
    <col min="13088" max="13088" width="4.5703125" style="60" customWidth="1"/>
    <col min="13089" max="13089" width="1.42578125" style="60" customWidth="1"/>
    <col min="13090" max="13312" width="13.85546875" style="60"/>
    <col min="13313" max="13313" width="7.85546875" style="60" customWidth="1"/>
    <col min="13314" max="13315" width="2.28515625" style="60" customWidth="1"/>
    <col min="13316" max="13316" width="31.42578125" style="60" customWidth="1"/>
    <col min="13317" max="13317" width="2.28515625" style="60" customWidth="1"/>
    <col min="13318" max="13318" width="2.140625" style="60" customWidth="1"/>
    <col min="13319" max="13319" width="12.28515625" style="60" customWidth="1"/>
    <col min="13320" max="13320" width="1.5703125" style="60" customWidth="1"/>
    <col min="13321" max="13321" width="12.28515625" style="60" customWidth="1"/>
    <col min="13322" max="13322" width="1.5703125" style="60" customWidth="1"/>
    <col min="13323" max="13323" width="12.28515625" style="60" customWidth="1"/>
    <col min="13324" max="13324" width="1.5703125" style="60" customWidth="1"/>
    <col min="13325" max="13325" width="13.5703125" style="60" customWidth="1"/>
    <col min="13326" max="13326" width="0.85546875" style="60" customWidth="1"/>
    <col min="13327" max="13327" width="12.28515625" style="60" customWidth="1"/>
    <col min="13328" max="13328" width="1.5703125" style="60" customWidth="1"/>
    <col min="13329" max="13329" width="12.28515625" style="60" customWidth="1"/>
    <col min="13330" max="13330" width="1.5703125" style="60" customWidth="1"/>
    <col min="13331" max="13331" width="12.28515625" style="60" customWidth="1"/>
    <col min="13332" max="13332" width="0.85546875" style="60" customWidth="1"/>
    <col min="13333" max="13333" width="12.28515625" style="60" customWidth="1"/>
    <col min="13334" max="13334" width="1.5703125" style="60" customWidth="1"/>
    <col min="13335" max="13335" width="12.28515625" style="60" customWidth="1"/>
    <col min="13336" max="13336" width="1.5703125" style="60" customWidth="1"/>
    <col min="13337" max="13337" width="12.28515625" style="60" customWidth="1"/>
    <col min="13338" max="13338" width="0.85546875" style="60" customWidth="1"/>
    <col min="13339" max="13339" width="12.28515625" style="60" customWidth="1"/>
    <col min="13340" max="13340" width="1.5703125" style="60" customWidth="1"/>
    <col min="13341" max="13341" width="12.28515625" style="60" customWidth="1"/>
    <col min="13342" max="13342" width="1.5703125" style="60" customWidth="1"/>
    <col min="13343" max="13343" width="12.28515625" style="60" customWidth="1"/>
    <col min="13344" max="13344" width="4.5703125" style="60" customWidth="1"/>
    <col min="13345" max="13345" width="1.42578125" style="60" customWidth="1"/>
    <col min="13346" max="13568" width="13.85546875" style="60"/>
    <col min="13569" max="13569" width="7.85546875" style="60" customWidth="1"/>
    <col min="13570" max="13571" width="2.28515625" style="60" customWidth="1"/>
    <col min="13572" max="13572" width="31.42578125" style="60" customWidth="1"/>
    <col min="13573" max="13573" width="2.28515625" style="60" customWidth="1"/>
    <col min="13574" max="13574" width="2.140625" style="60" customWidth="1"/>
    <col min="13575" max="13575" width="12.28515625" style="60" customWidth="1"/>
    <col min="13576" max="13576" width="1.5703125" style="60" customWidth="1"/>
    <col min="13577" max="13577" width="12.28515625" style="60" customWidth="1"/>
    <col min="13578" max="13578" width="1.5703125" style="60" customWidth="1"/>
    <col min="13579" max="13579" width="12.28515625" style="60" customWidth="1"/>
    <col min="13580" max="13580" width="1.5703125" style="60" customWidth="1"/>
    <col min="13581" max="13581" width="13.5703125" style="60" customWidth="1"/>
    <col min="13582" max="13582" width="0.85546875" style="60" customWidth="1"/>
    <col min="13583" max="13583" width="12.28515625" style="60" customWidth="1"/>
    <col min="13584" max="13584" width="1.5703125" style="60" customWidth="1"/>
    <col min="13585" max="13585" width="12.28515625" style="60" customWidth="1"/>
    <col min="13586" max="13586" width="1.5703125" style="60" customWidth="1"/>
    <col min="13587" max="13587" width="12.28515625" style="60" customWidth="1"/>
    <col min="13588" max="13588" width="0.85546875" style="60" customWidth="1"/>
    <col min="13589" max="13589" width="12.28515625" style="60" customWidth="1"/>
    <col min="13590" max="13590" width="1.5703125" style="60" customWidth="1"/>
    <col min="13591" max="13591" width="12.28515625" style="60" customWidth="1"/>
    <col min="13592" max="13592" width="1.5703125" style="60" customWidth="1"/>
    <col min="13593" max="13593" width="12.28515625" style="60" customWidth="1"/>
    <col min="13594" max="13594" width="0.85546875" style="60" customWidth="1"/>
    <col min="13595" max="13595" width="12.28515625" style="60" customWidth="1"/>
    <col min="13596" max="13596" width="1.5703125" style="60" customWidth="1"/>
    <col min="13597" max="13597" width="12.28515625" style="60" customWidth="1"/>
    <col min="13598" max="13598" width="1.5703125" style="60" customWidth="1"/>
    <col min="13599" max="13599" width="12.28515625" style="60" customWidth="1"/>
    <col min="13600" max="13600" width="4.5703125" style="60" customWidth="1"/>
    <col min="13601" max="13601" width="1.42578125" style="60" customWidth="1"/>
    <col min="13602" max="13824" width="13.85546875" style="60"/>
    <col min="13825" max="13825" width="7.85546875" style="60" customWidth="1"/>
    <col min="13826" max="13827" width="2.28515625" style="60" customWidth="1"/>
    <col min="13828" max="13828" width="31.42578125" style="60" customWidth="1"/>
    <col min="13829" max="13829" width="2.28515625" style="60" customWidth="1"/>
    <col min="13830" max="13830" width="2.140625" style="60" customWidth="1"/>
    <col min="13831" max="13831" width="12.28515625" style="60" customWidth="1"/>
    <col min="13832" max="13832" width="1.5703125" style="60" customWidth="1"/>
    <col min="13833" max="13833" width="12.28515625" style="60" customWidth="1"/>
    <col min="13834" max="13834" width="1.5703125" style="60" customWidth="1"/>
    <col min="13835" max="13835" width="12.28515625" style="60" customWidth="1"/>
    <col min="13836" max="13836" width="1.5703125" style="60" customWidth="1"/>
    <col min="13837" max="13837" width="13.5703125" style="60" customWidth="1"/>
    <col min="13838" max="13838" width="0.85546875" style="60" customWidth="1"/>
    <col min="13839" max="13839" width="12.28515625" style="60" customWidth="1"/>
    <col min="13840" max="13840" width="1.5703125" style="60" customWidth="1"/>
    <col min="13841" max="13841" width="12.28515625" style="60" customWidth="1"/>
    <col min="13842" max="13842" width="1.5703125" style="60" customWidth="1"/>
    <col min="13843" max="13843" width="12.28515625" style="60" customWidth="1"/>
    <col min="13844" max="13844" width="0.85546875" style="60" customWidth="1"/>
    <col min="13845" max="13845" width="12.28515625" style="60" customWidth="1"/>
    <col min="13846" max="13846" width="1.5703125" style="60" customWidth="1"/>
    <col min="13847" max="13847" width="12.28515625" style="60" customWidth="1"/>
    <col min="13848" max="13848" width="1.5703125" style="60" customWidth="1"/>
    <col min="13849" max="13849" width="12.28515625" style="60" customWidth="1"/>
    <col min="13850" max="13850" width="0.85546875" style="60" customWidth="1"/>
    <col min="13851" max="13851" width="12.28515625" style="60" customWidth="1"/>
    <col min="13852" max="13852" width="1.5703125" style="60" customWidth="1"/>
    <col min="13853" max="13853" width="12.28515625" style="60" customWidth="1"/>
    <col min="13854" max="13854" width="1.5703125" style="60" customWidth="1"/>
    <col min="13855" max="13855" width="12.28515625" style="60" customWidth="1"/>
    <col min="13856" max="13856" width="4.5703125" style="60" customWidth="1"/>
    <col min="13857" max="13857" width="1.42578125" style="60" customWidth="1"/>
    <col min="13858" max="14080" width="13.85546875" style="60"/>
    <col min="14081" max="14081" width="7.85546875" style="60" customWidth="1"/>
    <col min="14082" max="14083" width="2.28515625" style="60" customWidth="1"/>
    <col min="14084" max="14084" width="31.42578125" style="60" customWidth="1"/>
    <col min="14085" max="14085" width="2.28515625" style="60" customWidth="1"/>
    <col min="14086" max="14086" width="2.140625" style="60" customWidth="1"/>
    <col min="14087" max="14087" width="12.28515625" style="60" customWidth="1"/>
    <col min="14088" max="14088" width="1.5703125" style="60" customWidth="1"/>
    <col min="14089" max="14089" width="12.28515625" style="60" customWidth="1"/>
    <col min="14090" max="14090" width="1.5703125" style="60" customWidth="1"/>
    <col min="14091" max="14091" width="12.28515625" style="60" customWidth="1"/>
    <col min="14092" max="14092" width="1.5703125" style="60" customWidth="1"/>
    <col min="14093" max="14093" width="13.5703125" style="60" customWidth="1"/>
    <col min="14094" max="14094" width="0.85546875" style="60" customWidth="1"/>
    <col min="14095" max="14095" width="12.28515625" style="60" customWidth="1"/>
    <col min="14096" max="14096" width="1.5703125" style="60" customWidth="1"/>
    <col min="14097" max="14097" width="12.28515625" style="60" customWidth="1"/>
    <col min="14098" max="14098" width="1.5703125" style="60" customWidth="1"/>
    <col min="14099" max="14099" width="12.28515625" style="60" customWidth="1"/>
    <col min="14100" max="14100" width="0.85546875" style="60" customWidth="1"/>
    <col min="14101" max="14101" width="12.28515625" style="60" customWidth="1"/>
    <col min="14102" max="14102" width="1.5703125" style="60" customWidth="1"/>
    <col min="14103" max="14103" width="12.28515625" style="60" customWidth="1"/>
    <col min="14104" max="14104" width="1.5703125" style="60" customWidth="1"/>
    <col min="14105" max="14105" width="12.28515625" style="60" customWidth="1"/>
    <col min="14106" max="14106" width="0.85546875" style="60" customWidth="1"/>
    <col min="14107" max="14107" width="12.28515625" style="60" customWidth="1"/>
    <col min="14108" max="14108" width="1.5703125" style="60" customWidth="1"/>
    <col min="14109" max="14109" width="12.28515625" style="60" customWidth="1"/>
    <col min="14110" max="14110" width="1.5703125" style="60" customWidth="1"/>
    <col min="14111" max="14111" width="12.28515625" style="60" customWidth="1"/>
    <col min="14112" max="14112" width="4.5703125" style="60" customWidth="1"/>
    <col min="14113" max="14113" width="1.42578125" style="60" customWidth="1"/>
    <col min="14114" max="14336" width="13.85546875" style="60"/>
    <col min="14337" max="14337" width="7.85546875" style="60" customWidth="1"/>
    <col min="14338" max="14339" width="2.28515625" style="60" customWidth="1"/>
    <col min="14340" max="14340" width="31.42578125" style="60" customWidth="1"/>
    <col min="14341" max="14341" width="2.28515625" style="60" customWidth="1"/>
    <col min="14342" max="14342" width="2.140625" style="60" customWidth="1"/>
    <col min="14343" max="14343" width="12.28515625" style="60" customWidth="1"/>
    <col min="14344" max="14344" width="1.5703125" style="60" customWidth="1"/>
    <col min="14345" max="14345" width="12.28515625" style="60" customWidth="1"/>
    <col min="14346" max="14346" width="1.5703125" style="60" customWidth="1"/>
    <col min="14347" max="14347" width="12.28515625" style="60" customWidth="1"/>
    <col min="14348" max="14348" width="1.5703125" style="60" customWidth="1"/>
    <col min="14349" max="14349" width="13.5703125" style="60" customWidth="1"/>
    <col min="14350" max="14350" width="0.85546875" style="60" customWidth="1"/>
    <col min="14351" max="14351" width="12.28515625" style="60" customWidth="1"/>
    <col min="14352" max="14352" width="1.5703125" style="60" customWidth="1"/>
    <col min="14353" max="14353" width="12.28515625" style="60" customWidth="1"/>
    <col min="14354" max="14354" width="1.5703125" style="60" customWidth="1"/>
    <col min="14355" max="14355" width="12.28515625" style="60" customWidth="1"/>
    <col min="14356" max="14356" width="0.85546875" style="60" customWidth="1"/>
    <col min="14357" max="14357" width="12.28515625" style="60" customWidth="1"/>
    <col min="14358" max="14358" width="1.5703125" style="60" customWidth="1"/>
    <col min="14359" max="14359" width="12.28515625" style="60" customWidth="1"/>
    <col min="14360" max="14360" width="1.5703125" style="60" customWidth="1"/>
    <col min="14361" max="14361" width="12.28515625" style="60" customWidth="1"/>
    <col min="14362" max="14362" width="0.85546875" style="60" customWidth="1"/>
    <col min="14363" max="14363" width="12.28515625" style="60" customWidth="1"/>
    <col min="14364" max="14364" width="1.5703125" style="60" customWidth="1"/>
    <col min="14365" max="14365" width="12.28515625" style="60" customWidth="1"/>
    <col min="14366" max="14366" width="1.5703125" style="60" customWidth="1"/>
    <col min="14367" max="14367" width="12.28515625" style="60" customWidth="1"/>
    <col min="14368" max="14368" width="4.5703125" style="60" customWidth="1"/>
    <col min="14369" max="14369" width="1.42578125" style="60" customWidth="1"/>
    <col min="14370" max="14592" width="13.85546875" style="60"/>
    <col min="14593" max="14593" width="7.85546875" style="60" customWidth="1"/>
    <col min="14594" max="14595" width="2.28515625" style="60" customWidth="1"/>
    <col min="14596" max="14596" width="31.42578125" style="60" customWidth="1"/>
    <col min="14597" max="14597" width="2.28515625" style="60" customWidth="1"/>
    <col min="14598" max="14598" width="2.140625" style="60" customWidth="1"/>
    <col min="14599" max="14599" width="12.28515625" style="60" customWidth="1"/>
    <col min="14600" max="14600" width="1.5703125" style="60" customWidth="1"/>
    <col min="14601" max="14601" width="12.28515625" style="60" customWidth="1"/>
    <col min="14602" max="14602" width="1.5703125" style="60" customWidth="1"/>
    <col min="14603" max="14603" width="12.28515625" style="60" customWidth="1"/>
    <col min="14604" max="14604" width="1.5703125" style="60" customWidth="1"/>
    <col min="14605" max="14605" width="13.5703125" style="60" customWidth="1"/>
    <col min="14606" max="14606" width="0.85546875" style="60" customWidth="1"/>
    <col min="14607" max="14607" width="12.28515625" style="60" customWidth="1"/>
    <col min="14608" max="14608" width="1.5703125" style="60" customWidth="1"/>
    <col min="14609" max="14609" width="12.28515625" style="60" customWidth="1"/>
    <col min="14610" max="14610" width="1.5703125" style="60" customWidth="1"/>
    <col min="14611" max="14611" width="12.28515625" style="60" customWidth="1"/>
    <col min="14612" max="14612" width="0.85546875" style="60" customWidth="1"/>
    <col min="14613" max="14613" width="12.28515625" style="60" customWidth="1"/>
    <col min="14614" max="14614" width="1.5703125" style="60" customWidth="1"/>
    <col min="14615" max="14615" width="12.28515625" style="60" customWidth="1"/>
    <col min="14616" max="14616" width="1.5703125" style="60" customWidth="1"/>
    <col min="14617" max="14617" width="12.28515625" style="60" customWidth="1"/>
    <col min="14618" max="14618" width="0.85546875" style="60" customWidth="1"/>
    <col min="14619" max="14619" width="12.28515625" style="60" customWidth="1"/>
    <col min="14620" max="14620" width="1.5703125" style="60" customWidth="1"/>
    <col min="14621" max="14621" width="12.28515625" style="60" customWidth="1"/>
    <col min="14622" max="14622" width="1.5703125" style="60" customWidth="1"/>
    <col min="14623" max="14623" width="12.28515625" style="60" customWidth="1"/>
    <col min="14624" max="14624" width="4.5703125" style="60" customWidth="1"/>
    <col min="14625" max="14625" width="1.42578125" style="60" customWidth="1"/>
    <col min="14626" max="14848" width="13.85546875" style="60"/>
    <col min="14849" max="14849" width="7.85546875" style="60" customWidth="1"/>
    <col min="14850" max="14851" width="2.28515625" style="60" customWidth="1"/>
    <col min="14852" max="14852" width="31.42578125" style="60" customWidth="1"/>
    <col min="14853" max="14853" width="2.28515625" style="60" customWidth="1"/>
    <col min="14854" max="14854" width="2.140625" style="60" customWidth="1"/>
    <col min="14855" max="14855" width="12.28515625" style="60" customWidth="1"/>
    <col min="14856" max="14856" width="1.5703125" style="60" customWidth="1"/>
    <col min="14857" max="14857" width="12.28515625" style="60" customWidth="1"/>
    <col min="14858" max="14858" width="1.5703125" style="60" customWidth="1"/>
    <col min="14859" max="14859" width="12.28515625" style="60" customWidth="1"/>
    <col min="14860" max="14860" width="1.5703125" style="60" customWidth="1"/>
    <col min="14861" max="14861" width="13.5703125" style="60" customWidth="1"/>
    <col min="14862" max="14862" width="0.85546875" style="60" customWidth="1"/>
    <col min="14863" max="14863" width="12.28515625" style="60" customWidth="1"/>
    <col min="14864" max="14864" width="1.5703125" style="60" customWidth="1"/>
    <col min="14865" max="14865" width="12.28515625" style="60" customWidth="1"/>
    <col min="14866" max="14866" width="1.5703125" style="60" customWidth="1"/>
    <col min="14867" max="14867" width="12.28515625" style="60" customWidth="1"/>
    <col min="14868" max="14868" width="0.85546875" style="60" customWidth="1"/>
    <col min="14869" max="14869" width="12.28515625" style="60" customWidth="1"/>
    <col min="14870" max="14870" width="1.5703125" style="60" customWidth="1"/>
    <col min="14871" max="14871" width="12.28515625" style="60" customWidth="1"/>
    <col min="14872" max="14872" width="1.5703125" style="60" customWidth="1"/>
    <col min="14873" max="14873" width="12.28515625" style="60" customWidth="1"/>
    <col min="14874" max="14874" width="0.85546875" style="60" customWidth="1"/>
    <col min="14875" max="14875" width="12.28515625" style="60" customWidth="1"/>
    <col min="14876" max="14876" width="1.5703125" style="60" customWidth="1"/>
    <col min="14877" max="14877" width="12.28515625" style="60" customWidth="1"/>
    <col min="14878" max="14878" width="1.5703125" style="60" customWidth="1"/>
    <col min="14879" max="14879" width="12.28515625" style="60" customWidth="1"/>
    <col min="14880" max="14880" width="4.5703125" style="60" customWidth="1"/>
    <col min="14881" max="14881" width="1.42578125" style="60" customWidth="1"/>
    <col min="14882" max="15104" width="13.85546875" style="60"/>
    <col min="15105" max="15105" width="7.85546875" style="60" customWidth="1"/>
    <col min="15106" max="15107" width="2.28515625" style="60" customWidth="1"/>
    <col min="15108" max="15108" width="31.42578125" style="60" customWidth="1"/>
    <col min="15109" max="15109" width="2.28515625" style="60" customWidth="1"/>
    <col min="15110" max="15110" width="2.140625" style="60" customWidth="1"/>
    <col min="15111" max="15111" width="12.28515625" style="60" customWidth="1"/>
    <col min="15112" max="15112" width="1.5703125" style="60" customWidth="1"/>
    <col min="15113" max="15113" width="12.28515625" style="60" customWidth="1"/>
    <col min="15114" max="15114" width="1.5703125" style="60" customWidth="1"/>
    <col min="15115" max="15115" width="12.28515625" style="60" customWidth="1"/>
    <col min="15116" max="15116" width="1.5703125" style="60" customWidth="1"/>
    <col min="15117" max="15117" width="13.5703125" style="60" customWidth="1"/>
    <col min="15118" max="15118" width="0.85546875" style="60" customWidth="1"/>
    <col min="15119" max="15119" width="12.28515625" style="60" customWidth="1"/>
    <col min="15120" max="15120" width="1.5703125" style="60" customWidth="1"/>
    <col min="15121" max="15121" width="12.28515625" style="60" customWidth="1"/>
    <col min="15122" max="15122" width="1.5703125" style="60" customWidth="1"/>
    <col min="15123" max="15123" width="12.28515625" style="60" customWidth="1"/>
    <col min="15124" max="15124" width="0.85546875" style="60" customWidth="1"/>
    <col min="15125" max="15125" width="12.28515625" style="60" customWidth="1"/>
    <col min="15126" max="15126" width="1.5703125" style="60" customWidth="1"/>
    <col min="15127" max="15127" width="12.28515625" style="60" customWidth="1"/>
    <col min="15128" max="15128" width="1.5703125" style="60" customWidth="1"/>
    <col min="15129" max="15129" width="12.28515625" style="60" customWidth="1"/>
    <col min="15130" max="15130" width="0.85546875" style="60" customWidth="1"/>
    <col min="15131" max="15131" width="12.28515625" style="60" customWidth="1"/>
    <col min="15132" max="15132" width="1.5703125" style="60" customWidth="1"/>
    <col min="15133" max="15133" width="12.28515625" style="60" customWidth="1"/>
    <col min="15134" max="15134" width="1.5703125" style="60" customWidth="1"/>
    <col min="15135" max="15135" width="12.28515625" style="60" customWidth="1"/>
    <col min="15136" max="15136" width="4.5703125" style="60" customWidth="1"/>
    <col min="15137" max="15137" width="1.42578125" style="60" customWidth="1"/>
    <col min="15138" max="15360" width="13.85546875" style="60"/>
    <col min="15361" max="15361" width="7.85546875" style="60" customWidth="1"/>
    <col min="15362" max="15363" width="2.28515625" style="60" customWidth="1"/>
    <col min="15364" max="15364" width="31.42578125" style="60" customWidth="1"/>
    <col min="15365" max="15365" width="2.28515625" style="60" customWidth="1"/>
    <col min="15366" max="15366" width="2.140625" style="60" customWidth="1"/>
    <col min="15367" max="15367" width="12.28515625" style="60" customWidth="1"/>
    <col min="15368" max="15368" width="1.5703125" style="60" customWidth="1"/>
    <col min="15369" max="15369" width="12.28515625" style="60" customWidth="1"/>
    <col min="15370" max="15370" width="1.5703125" style="60" customWidth="1"/>
    <col min="15371" max="15371" width="12.28515625" style="60" customWidth="1"/>
    <col min="15372" max="15372" width="1.5703125" style="60" customWidth="1"/>
    <col min="15373" max="15373" width="13.5703125" style="60" customWidth="1"/>
    <col min="15374" max="15374" width="0.85546875" style="60" customWidth="1"/>
    <col min="15375" max="15375" width="12.28515625" style="60" customWidth="1"/>
    <col min="15376" max="15376" width="1.5703125" style="60" customWidth="1"/>
    <col min="15377" max="15377" width="12.28515625" style="60" customWidth="1"/>
    <col min="15378" max="15378" width="1.5703125" style="60" customWidth="1"/>
    <col min="15379" max="15379" width="12.28515625" style="60" customWidth="1"/>
    <col min="15380" max="15380" width="0.85546875" style="60" customWidth="1"/>
    <col min="15381" max="15381" width="12.28515625" style="60" customWidth="1"/>
    <col min="15382" max="15382" width="1.5703125" style="60" customWidth="1"/>
    <col min="15383" max="15383" width="12.28515625" style="60" customWidth="1"/>
    <col min="15384" max="15384" width="1.5703125" style="60" customWidth="1"/>
    <col min="15385" max="15385" width="12.28515625" style="60" customWidth="1"/>
    <col min="15386" max="15386" width="0.85546875" style="60" customWidth="1"/>
    <col min="15387" max="15387" width="12.28515625" style="60" customWidth="1"/>
    <col min="15388" max="15388" width="1.5703125" style="60" customWidth="1"/>
    <col min="15389" max="15389" width="12.28515625" style="60" customWidth="1"/>
    <col min="15390" max="15390" width="1.5703125" style="60" customWidth="1"/>
    <col min="15391" max="15391" width="12.28515625" style="60" customWidth="1"/>
    <col min="15392" max="15392" width="4.5703125" style="60" customWidth="1"/>
    <col min="15393" max="15393" width="1.42578125" style="60" customWidth="1"/>
    <col min="15394" max="15616" width="13.85546875" style="60"/>
    <col min="15617" max="15617" width="7.85546875" style="60" customWidth="1"/>
    <col min="15618" max="15619" width="2.28515625" style="60" customWidth="1"/>
    <col min="15620" max="15620" width="31.42578125" style="60" customWidth="1"/>
    <col min="15621" max="15621" width="2.28515625" style="60" customWidth="1"/>
    <col min="15622" max="15622" width="2.140625" style="60" customWidth="1"/>
    <col min="15623" max="15623" width="12.28515625" style="60" customWidth="1"/>
    <col min="15624" max="15624" width="1.5703125" style="60" customWidth="1"/>
    <col min="15625" max="15625" width="12.28515625" style="60" customWidth="1"/>
    <col min="15626" max="15626" width="1.5703125" style="60" customWidth="1"/>
    <col min="15627" max="15627" width="12.28515625" style="60" customWidth="1"/>
    <col min="15628" max="15628" width="1.5703125" style="60" customWidth="1"/>
    <col min="15629" max="15629" width="13.5703125" style="60" customWidth="1"/>
    <col min="15630" max="15630" width="0.85546875" style="60" customWidth="1"/>
    <col min="15631" max="15631" width="12.28515625" style="60" customWidth="1"/>
    <col min="15632" max="15632" width="1.5703125" style="60" customWidth="1"/>
    <col min="15633" max="15633" width="12.28515625" style="60" customWidth="1"/>
    <col min="15634" max="15634" width="1.5703125" style="60" customWidth="1"/>
    <col min="15635" max="15635" width="12.28515625" style="60" customWidth="1"/>
    <col min="15636" max="15636" width="0.85546875" style="60" customWidth="1"/>
    <col min="15637" max="15637" width="12.28515625" style="60" customWidth="1"/>
    <col min="15638" max="15638" width="1.5703125" style="60" customWidth="1"/>
    <col min="15639" max="15639" width="12.28515625" style="60" customWidth="1"/>
    <col min="15640" max="15640" width="1.5703125" style="60" customWidth="1"/>
    <col min="15641" max="15641" width="12.28515625" style="60" customWidth="1"/>
    <col min="15642" max="15642" width="0.85546875" style="60" customWidth="1"/>
    <col min="15643" max="15643" width="12.28515625" style="60" customWidth="1"/>
    <col min="15644" max="15644" width="1.5703125" style="60" customWidth="1"/>
    <col min="15645" max="15645" width="12.28515625" style="60" customWidth="1"/>
    <col min="15646" max="15646" width="1.5703125" style="60" customWidth="1"/>
    <col min="15647" max="15647" width="12.28515625" style="60" customWidth="1"/>
    <col min="15648" max="15648" width="4.5703125" style="60" customWidth="1"/>
    <col min="15649" max="15649" width="1.42578125" style="60" customWidth="1"/>
    <col min="15650" max="15872" width="13.85546875" style="60"/>
    <col min="15873" max="15873" width="7.85546875" style="60" customWidth="1"/>
    <col min="15874" max="15875" width="2.28515625" style="60" customWidth="1"/>
    <col min="15876" max="15876" width="31.42578125" style="60" customWidth="1"/>
    <col min="15877" max="15877" width="2.28515625" style="60" customWidth="1"/>
    <col min="15878" max="15878" width="2.140625" style="60" customWidth="1"/>
    <col min="15879" max="15879" width="12.28515625" style="60" customWidth="1"/>
    <col min="15880" max="15880" width="1.5703125" style="60" customWidth="1"/>
    <col min="15881" max="15881" width="12.28515625" style="60" customWidth="1"/>
    <col min="15882" max="15882" width="1.5703125" style="60" customWidth="1"/>
    <col min="15883" max="15883" width="12.28515625" style="60" customWidth="1"/>
    <col min="15884" max="15884" width="1.5703125" style="60" customWidth="1"/>
    <col min="15885" max="15885" width="13.5703125" style="60" customWidth="1"/>
    <col min="15886" max="15886" width="0.85546875" style="60" customWidth="1"/>
    <col min="15887" max="15887" width="12.28515625" style="60" customWidth="1"/>
    <col min="15888" max="15888" width="1.5703125" style="60" customWidth="1"/>
    <col min="15889" max="15889" width="12.28515625" style="60" customWidth="1"/>
    <col min="15890" max="15890" width="1.5703125" style="60" customWidth="1"/>
    <col min="15891" max="15891" width="12.28515625" style="60" customWidth="1"/>
    <col min="15892" max="15892" width="0.85546875" style="60" customWidth="1"/>
    <col min="15893" max="15893" width="12.28515625" style="60" customWidth="1"/>
    <col min="15894" max="15894" width="1.5703125" style="60" customWidth="1"/>
    <col min="15895" max="15895" width="12.28515625" style="60" customWidth="1"/>
    <col min="15896" max="15896" width="1.5703125" style="60" customWidth="1"/>
    <col min="15897" max="15897" width="12.28515625" style="60" customWidth="1"/>
    <col min="15898" max="15898" width="0.85546875" style="60" customWidth="1"/>
    <col min="15899" max="15899" width="12.28515625" style="60" customWidth="1"/>
    <col min="15900" max="15900" width="1.5703125" style="60" customWidth="1"/>
    <col min="15901" max="15901" width="12.28515625" style="60" customWidth="1"/>
    <col min="15902" max="15902" width="1.5703125" style="60" customWidth="1"/>
    <col min="15903" max="15903" width="12.28515625" style="60" customWidth="1"/>
    <col min="15904" max="15904" width="4.5703125" style="60" customWidth="1"/>
    <col min="15905" max="15905" width="1.42578125" style="60" customWidth="1"/>
    <col min="15906" max="16128" width="13.85546875" style="60"/>
    <col min="16129" max="16129" width="7.85546875" style="60" customWidth="1"/>
    <col min="16130" max="16131" width="2.28515625" style="60" customWidth="1"/>
    <col min="16132" max="16132" width="31.42578125" style="60" customWidth="1"/>
    <col min="16133" max="16133" width="2.28515625" style="60" customWidth="1"/>
    <col min="16134" max="16134" width="2.140625" style="60" customWidth="1"/>
    <col min="16135" max="16135" width="12.28515625" style="60" customWidth="1"/>
    <col min="16136" max="16136" width="1.5703125" style="60" customWidth="1"/>
    <col min="16137" max="16137" width="12.28515625" style="60" customWidth="1"/>
    <col min="16138" max="16138" width="1.5703125" style="60" customWidth="1"/>
    <col min="16139" max="16139" width="12.28515625" style="60" customWidth="1"/>
    <col min="16140" max="16140" width="1.5703125" style="60" customWidth="1"/>
    <col min="16141" max="16141" width="13.5703125" style="60" customWidth="1"/>
    <col min="16142" max="16142" width="0.85546875" style="60" customWidth="1"/>
    <col min="16143" max="16143" width="12.28515625" style="60" customWidth="1"/>
    <col min="16144" max="16144" width="1.5703125" style="60" customWidth="1"/>
    <col min="16145" max="16145" width="12.28515625" style="60" customWidth="1"/>
    <col min="16146" max="16146" width="1.5703125" style="60" customWidth="1"/>
    <col min="16147" max="16147" width="12.28515625" style="60" customWidth="1"/>
    <col min="16148" max="16148" width="0.85546875" style="60" customWidth="1"/>
    <col min="16149" max="16149" width="12.28515625" style="60" customWidth="1"/>
    <col min="16150" max="16150" width="1.5703125" style="60" customWidth="1"/>
    <col min="16151" max="16151" width="12.28515625" style="60" customWidth="1"/>
    <col min="16152" max="16152" width="1.5703125" style="60" customWidth="1"/>
    <col min="16153" max="16153" width="12.28515625" style="60" customWidth="1"/>
    <col min="16154" max="16154" width="0.85546875" style="60" customWidth="1"/>
    <col min="16155" max="16155" width="12.28515625" style="60" customWidth="1"/>
    <col min="16156" max="16156" width="1.5703125" style="60" customWidth="1"/>
    <col min="16157" max="16157" width="12.28515625" style="60" customWidth="1"/>
    <col min="16158" max="16158" width="1.5703125" style="60" customWidth="1"/>
    <col min="16159" max="16159" width="12.28515625" style="60" customWidth="1"/>
    <col min="16160" max="16160" width="4.5703125" style="60" customWidth="1"/>
    <col min="16161" max="16161" width="1.42578125" style="60" customWidth="1"/>
    <col min="16162" max="16384" width="13.85546875" style="60"/>
  </cols>
  <sheetData>
    <row r="1" spans="1:33" s="72" customFormat="1" ht="15.75">
      <c r="A1" s="71" t="s">
        <v>112</v>
      </c>
      <c r="J1" s="73"/>
      <c r="K1" s="74"/>
      <c r="N1" s="73"/>
      <c r="O1" s="75"/>
      <c r="P1" s="73"/>
      <c r="Q1" s="74"/>
      <c r="V1" s="73"/>
      <c r="W1" s="74"/>
      <c r="AB1" s="73"/>
      <c r="AC1" s="74"/>
      <c r="AE1" s="76"/>
    </row>
    <row r="2" spans="1:33" s="72" customFormat="1" ht="15.75">
      <c r="A2" s="71" t="s">
        <v>219</v>
      </c>
      <c r="K2" s="77"/>
      <c r="N2" s="73"/>
      <c r="O2" s="77"/>
      <c r="Q2" s="77" t="s">
        <v>114</v>
      </c>
      <c r="W2" s="77" t="s">
        <v>114</v>
      </c>
      <c r="AC2" s="77" t="s">
        <v>114</v>
      </c>
    </row>
    <row r="3" spans="1:33" s="72" customFormat="1" ht="15.75">
      <c r="A3" s="78" t="s">
        <v>220</v>
      </c>
    </row>
    <row r="4" spans="1:33" s="72" customFormat="1" ht="15">
      <c r="A4" s="79"/>
      <c r="B4" s="79"/>
      <c r="C4" s="79"/>
      <c r="D4" s="79"/>
      <c r="E4" s="79"/>
      <c r="F4" s="79"/>
      <c r="G4" s="80"/>
      <c r="H4" s="81"/>
      <c r="I4" s="80"/>
      <c r="J4" s="81"/>
      <c r="K4" s="82"/>
      <c r="L4" s="81"/>
      <c r="M4" s="80"/>
      <c r="N4" s="81"/>
      <c r="O4" s="80"/>
      <c r="P4" s="81"/>
      <c r="Q4" s="82"/>
      <c r="R4" s="81"/>
      <c r="S4" s="80"/>
      <c r="T4" s="81"/>
      <c r="U4" s="80"/>
      <c r="V4" s="81"/>
      <c r="W4" s="82"/>
      <c r="X4" s="81"/>
      <c r="Y4" s="80"/>
      <c r="Z4" s="81"/>
      <c r="AA4" s="80"/>
      <c r="AB4" s="81"/>
      <c r="AC4" s="82"/>
      <c r="AD4" s="81"/>
      <c r="AE4" s="80"/>
      <c r="AF4" s="80"/>
    </row>
    <row r="5" spans="1:33" s="72" customFormat="1" ht="15.75" thickBot="1">
      <c r="A5" s="79"/>
      <c r="B5" s="79"/>
      <c r="C5" s="79"/>
      <c r="D5" s="79"/>
      <c r="E5" s="79"/>
      <c r="F5" s="79"/>
      <c r="G5" s="83">
        <v>42192</v>
      </c>
      <c r="H5" s="84"/>
      <c r="I5" s="83">
        <v>42224</v>
      </c>
      <c r="J5" s="84"/>
      <c r="K5" s="83">
        <v>42256</v>
      </c>
      <c r="L5" s="85"/>
      <c r="M5" s="83">
        <v>42287</v>
      </c>
      <c r="N5" s="84"/>
      <c r="O5" s="83">
        <v>42319</v>
      </c>
      <c r="P5" s="84"/>
      <c r="Q5" s="83">
        <v>42350</v>
      </c>
      <c r="R5" s="85"/>
      <c r="S5" s="83">
        <v>42370</v>
      </c>
      <c r="T5" s="84"/>
      <c r="U5" s="83">
        <v>42402</v>
      </c>
      <c r="V5" s="84"/>
      <c r="W5" s="83">
        <v>42432</v>
      </c>
      <c r="X5" s="85"/>
      <c r="Y5" s="83">
        <v>42464</v>
      </c>
      <c r="Z5" s="84"/>
      <c r="AA5" s="83">
        <v>42495</v>
      </c>
      <c r="AB5" s="84"/>
      <c r="AC5" s="83">
        <v>42527</v>
      </c>
      <c r="AD5" s="85"/>
      <c r="AE5" s="86" t="s">
        <v>3</v>
      </c>
      <c r="AF5" s="87"/>
    </row>
    <row r="6" spans="1:33" customFormat="1" ht="15"/>
    <row r="7" spans="1:33" s="65" customFormat="1" ht="4.5" customHeight="1">
      <c r="G7" s="66"/>
      <c r="H7" s="72"/>
      <c r="I7" s="66"/>
      <c r="J7" s="72"/>
      <c r="K7" s="66"/>
      <c r="L7" s="72"/>
      <c r="M7" s="66"/>
      <c r="N7" s="72"/>
      <c r="O7" s="66"/>
      <c r="P7" s="72"/>
      <c r="Q7" s="66"/>
      <c r="R7" s="72"/>
      <c r="S7" s="66"/>
      <c r="T7" s="72"/>
      <c r="U7" s="66"/>
      <c r="V7" s="72"/>
      <c r="W7" s="66"/>
      <c r="X7" s="72"/>
      <c r="Y7" s="66"/>
      <c r="Z7" s="72"/>
      <c r="AA7" s="66"/>
      <c r="AB7" s="72"/>
      <c r="AC7" s="66"/>
      <c r="AD7" s="72"/>
      <c r="AE7" s="66"/>
      <c r="AF7" s="88"/>
      <c r="AG7" s="72"/>
    </row>
    <row r="8" spans="1:33" s="65" customFormat="1" ht="15" outlineLevel="1">
      <c r="G8" s="66"/>
      <c r="H8" s="72"/>
      <c r="I8" s="66"/>
      <c r="J8" s="72"/>
      <c r="K8" s="66"/>
      <c r="L8" s="72"/>
      <c r="M8" s="66"/>
      <c r="N8" s="72"/>
      <c r="O8" s="66"/>
      <c r="P8" s="72"/>
      <c r="Q8" s="66"/>
      <c r="R8" s="72"/>
      <c r="S8" s="66"/>
      <c r="T8" s="72"/>
      <c r="U8" s="66"/>
      <c r="V8" s="72"/>
      <c r="W8" s="66"/>
      <c r="X8" s="72"/>
      <c r="Y8" s="66"/>
      <c r="Z8" s="72"/>
      <c r="AA8" s="66"/>
      <c r="AB8" s="72"/>
      <c r="AC8" s="66"/>
      <c r="AD8" s="72"/>
      <c r="AE8" s="66"/>
      <c r="AF8" s="89"/>
      <c r="AG8" s="72"/>
    </row>
    <row r="9" spans="1:33" outlineLevel="1">
      <c r="A9" s="63">
        <v>31000</v>
      </c>
      <c r="B9" s="63" t="s">
        <v>115</v>
      </c>
      <c r="C9" s="64"/>
      <c r="D9" s="61"/>
      <c r="E9" s="65"/>
      <c r="F9" s="66"/>
      <c r="G9" s="67">
        <v>5975.37</v>
      </c>
      <c r="H9" s="66"/>
      <c r="I9" s="67">
        <v>8704.0300000000007</v>
      </c>
      <c r="J9" s="66"/>
      <c r="K9" s="67">
        <v>7382.58</v>
      </c>
      <c r="L9" s="66"/>
      <c r="M9" s="67">
        <v>5189.78</v>
      </c>
      <c r="N9" s="66"/>
      <c r="O9" s="67">
        <v>4991.1899999999996</v>
      </c>
      <c r="P9" s="66"/>
      <c r="Q9" s="67">
        <v>3291.57</v>
      </c>
      <c r="R9" s="66"/>
      <c r="S9" s="67">
        <v>2860.09</v>
      </c>
      <c r="T9" s="66"/>
      <c r="U9" s="67">
        <v>2946.13</v>
      </c>
      <c r="V9" s="66"/>
      <c r="W9" s="67">
        <v>6488.31</v>
      </c>
      <c r="X9" s="66"/>
      <c r="Y9" s="67">
        <v>8845.5400000000009</v>
      </c>
      <c r="Z9" s="66"/>
      <c r="AA9" s="67">
        <v>4143.07</v>
      </c>
      <c r="AB9" s="66"/>
      <c r="AC9" s="67">
        <v>8064.93</v>
      </c>
      <c r="AD9" s="66"/>
      <c r="AE9" s="67">
        <f t="shared" ref="AE9:AE16" si="0">AC9+AA9+Y9+W9+U9+S9+Q9+O9+M9+K9+I9+G9</f>
        <v>68882.590000000011</v>
      </c>
      <c r="AF9" s="68"/>
      <c r="AG9" s="69"/>
    </row>
    <row r="10" spans="1:33" outlineLevel="1">
      <c r="A10" s="63">
        <v>31005</v>
      </c>
      <c r="B10" s="63" t="s">
        <v>116</v>
      </c>
      <c r="C10" s="64"/>
      <c r="D10" s="61"/>
      <c r="E10" s="65"/>
      <c r="F10" s="66"/>
      <c r="G10" s="67">
        <v>6064</v>
      </c>
      <c r="H10" s="66"/>
      <c r="I10" s="67">
        <v>7204.46</v>
      </c>
      <c r="J10" s="66"/>
      <c r="K10" s="67">
        <v>6388.82</v>
      </c>
      <c r="L10" s="66"/>
      <c r="M10" s="67">
        <v>4415.62</v>
      </c>
      <c r="N10" s="66"/>
      <c r="O10" s="67">
        <v>7137.38</v>
      </c>
      <c r="P10" s="66"/>
      <c r="Q10" s="67">
        <v>3680.16</v>
      </c>
      <c r="R10" s="66"/>
      <c r="S10" s="67">
        <v>3587.3</v>
      </c>
      <c r="T10" s="66"/>
      <c r="U10" s="67">
        <v>3147.06</v>
      </c>
      <c r="V10" s="66"/>
      <c r="W10" s="67">
        <v>6618.52</v>
      </c>
      <c r="X10" s="66"/>
      <c r="Y10" s="67">
        <v>10236.02</v>
      </c>
      <c r="Z10" s="66"/>
      <c r="AA10" s="67">
        <v>4329.59</v>
      </c>
      <c r="AB10" s="66"/>
      <c r="AC10" s="67">
        <v>9499.3799999999992</v>
      </c>
      <c r="AD10" s="66"/>
      <c r="AE10" s="67">
        <f t="shared" si="0"/>
        <v>72308.31</v>
      </c>
      <c r="AF10" s="68"/>
      <c r="AG10" s="69"/>
    </row>
    <row r="11" spans="1:33" outlineLevel="1">
      <c r="A11" s="63">
        <v>31010</v>
      </c>
      <c r="B11" s="63" t="s">
        <v>117</v>
      </c>
      <c r="C11" s="64"/>
      <c r="D11" s="61"/>
      <c r="E11" s="65"/>
      <c r="F11" s="66"/>
      <c r="G11" s="67">
        <v>3564.6</v>
      </c>
      <c r="H11" s="66"/>
      <c r="I11" s="67">
        <v>4617.33</v>
      </c>
      <c r="J11" s="66"/>
      <c r="K11" s="67">
        <v>2768.17</v>
      </c>
      <c r="L11" s="66"/>
      <c r="M11" s="67">
        <v>2938.32</v>
      </c>
      <c r="N11" s="66"/>
      <c r="O11" s="67">
        <v>1873.64</v>
      </c>
      <c r="P11" s="66"/>
      <c r="Q11" s="67">
        <v>704.84</v>
      </c>
      <c r="R11" s="66"/>
      <c r="S11" s="67">
        <v>1115.02</v>
      </c>
      <c r="T11" s="66"/>
      <c r="U11" s="67">
        <v>971.08</v>
      </c>
      <c r="V11" s="66"/>
      <c r="W11" s="67">
        <v>2461.66</v>
      </c>
      <c r="X11" s="66"/>
      <c r="Y11" s="67">
        <v>2733.16</v>
      </c>
      <c r="Z11" s="66"/>
      <c r="AA11" s="67">
        <v>1458.26</v>
      </c>
      <c r="AB11" s="66"/>
      <c r="AC11" s="67">
        <v>3607.76</v>
      </c>
      <c r="AD11" s="66"/>
      <c r="AE11" s="67">
        <f t="shared" si="0"/>
        <v>28813.840000000004</v>
      </c>
      <c r="AF11" s="68"/>
      <c r="AG11" s="69"/>
    </row>
    <row r="12" spans="1:33" outlineLevel="1">
      <c r="A12" s="63">
        <v>32000</v>
      </c>
      <c r="B12" s="63" t="s">
        <v>118</v>
      </c>
      <c r="C12" s="64"/>
      <c r="D12" s="61"/>
      <c r="E12" s="65"/>
      <c r="F12" s="66"/>
      <c r="G12" s="67">
        <v>123494.82</v>
      </c>
      <c r="H12" s="66"/>
      <c r="I12" s="67">
        <v>124627.93</v>
      </c>
      <c r="J12" s="66"/>
      <c r="K12" s="67">
        <v>124611.59</v>
      </c>
      <c r="L12" s="66"/>
      <c r="M12" s="67">
        <v>124888.48</v>
      </c>
      <c r="N12" s="66"/>
      <c r="O12" s="67">
        <v>124754.55</v>
      </c>
      <c r="P12" s="66"/>
      <c r="Q12" s="67">
        <v>124485.21</v>
      </c>
      <c r="R12" s="66"/>
      <c r="S12" s="67">
        <v>123716.86</v>
      </c>
      <c r="T12" s="66"/>
      <c r="U12" s="67">
        <v>123719.06</v>
      </c>
      <c r="V12" s="66"/>
      <c r="W12" s="67">
        <v>124236.08</v>
      </c>
      <c r="X12" s="66"/>
      <c r="Y12" s="67">
        <v>125352.15</v>
      </c>
      <c r="Z12" s="66"/>
      <c r="AA12" s="67">
        <v>126300.97</v>
      </c>
      <c r="AB12" s="66"/>
      <c r="AC12" s="67">
        <v>126489.76</v>
      </c>
      <c r="AD12" s="66"/>
      <c r="AE12" s="67">
        <f t="shared" si="0"/>
        <v>1496677.4600000002</v>
      </c>
      <c r="AF12" s="68"/>
      <c r="AG12" s="69"/>
    </row>
    <row r="13" spans="1:33" outlineLevel="1">
      <c r="A13" s="63">
        <v>32001</v>
      </c>
      <c r="B13" s="63" t="s">
        <v>119</v>
      </c>
      <c r="C13" s="64"/>
      <c r="D13" s="61"/>
      <c r="E13" s="65"/>
      <c r="F13" s="66"/>
      <c r="G13" s="67">
        <v>4454.4399999999996</v>
      </c>
      <c r="H13" s="66"/>
      <c r="I13" s="67">
        <v>2827.57</v>
      </c>
      <c r="J13" s="66"/>
      <c r="K13" s="67">
        <v>3746.43</v>
      </c>
      <c r="L13" s="66"/>
      <c r="M13" s="67">
        <v>2525.15</v>
      </c>
      <c r="N13" s="66"/>
      <c r="O13" s="67">
        <v>3723.25</v>
      </c>
      <c r="P13" s="66"/>
      <c r="Q13" s="67">
        <v>2638.95</v>
      </c>
      <c r="R13" s="66"/>
      <c r="S13" s="67">
        <v>3162.26</v>
      </c>
      <c r="T13" s="66"/>
      <c r="U13" s="67">
        <v>2052.96</v>
      </c>
      <c r="V13" s="66"/>
      <c r="W13" s="67">
        <v>3425.48</v>
      </c>
      <c r="X13" s="66"/>
      <c r="Y13" s="67">
        <v>2854.99</v>
      </c>
      <c r="Z13" s="66"/>
      <c r="AA13" s="67">
        <v>4144.28</v>
      </c>
      <c r="AB13" s="66"/>
      <c r="AC13" s="67">
        <v>3821.53</v>
      </c>
      <c r="AD13" s="66"/>
      <c r="AE13" s="67">
        <f t="shared" si="0"/>
        <v>39377.290000000008</v>
      </c>
      <c r="AF13" s="68"/>
      <c r="AG13" s="69"/>
    </row>
    <row r="14" spans="1:33" outlineLevel="1">
      <c r="A14" s="63">
        <v>33000</v>
      </c>
      <c r="B14" s="63" t="s">
        <v>120</v>
      </c>
      <c r="C14" s="64"/>
      <c r="D14" s="61"/>
      <c r="E14" s="65"/>
      <c r="F14" s="66"/>
      <c r="G14" s="67">
        <v>104348.73</v>
      </c>
      <c r="H14" s="66"/>
      <c r="I14" s="67">
        <v>105091.25</v>
      </c>
      <c r="J14" s="66"/>
      <c r="K14" s="67">
        <v>105163.51</v>
      </c>
      <c r="L14" s="66"/>
      <c r="M14" s="67">
        <v>104107.97</v>
      </c>
      <c r="N14" s="66"/>
      <c r="O14" s="67">
        <v>101746.8</v>
      </c>
      <c r="P14" s="66"/>
      <c r="Q14" s="67">
        <v>98849.01</v>
      </c>
      <c r="R14" s="66"/>
      <c r="S14" s="67">
        <v>97964.09</v>
      </c>
      <c r="T14" s="66"/>
      <c r="U14" s="67">
        <v>98945.93</v>
      </c>
      <c r="V14" s="66"/>
      <c r="W14" s="67">
        <v>99538.87</v>
      </c>
      <c r="X14" s="66"/>
      <c r="Y14" s="67">
        <v>101793.31</v>
      </c>
      <c r="Z14" s="66"/>
      <c r="AA14" s="67">
        <v>102949.83</v>
      </c>
      <c r="AB14" s="66"/>
      <c r="AC14" s="67">
        <v>106085.64</v>
      </c>
      <c r="AD14" s="66"/>
      <c r="AE14" s="67">
        <f t="shared" si="0"/>
        <v>1226584.94</v>
      </c>
      <c r="AF14" s="68"/>
      <c r="AG14" s="69"/>
    </row>
    <row r="15" spans="1:33" outlineLevel="1">
      <c r="A15" s="63">
        <v>33001</v>
      </c>
      <c r="B15" s="63" t="s">
        <v>121</v>
      </c>
      <c r="C15" s="64"/>
      <c r="D15" s="61"/>
      <c r="E15" s="65"/>
      <c r="F15" s="66"/>
      <c r="G15" s="67">
        <v>59.58</v>
      </c>
      <c r="H15" s="66"/>
      <c r="I15" s="67">
        <v>62.89</v>
      </c>
      <c r="J15" s="66"/>
      <c r="K15" s="67">
        <v>589.58000000000004</v>
      </c>
      <c r="L15" s="66"/>
      <c r="M15" s="67">
        <v>56.27</v>
      </c>
      <c r="N15" s="66"/>
      <c r="O15" s="67">
        <v>52.96</v>
      </c>
      <c r="P15" s="66"/>
      <c r="Q15" s="67">
        <v>52.96</v>
      </c>
      <c r="R15" s="66"/>
      <c r="S15" s="67">
        <v>46.34</v>
      </c>
      <c r="T15" s="66"/>
      <c r="U15" s="67">
        <v>46.34</v>
      </c>
      <c r="V15" s="66"/>
      <c r="W15" s="67">
        <v>57.93</v>
      </c>
      <c r="X15" s="66"/>
      <c r="Y15" s="67">
        <v>59.58</v>
      </c>
      <c r="Z15" s="66"/>
      <c r="AA15" s="67">
        <v>39.72</v>
      </c>
      <c r="AB15" s="66"/>
      <c r="AC15" s="67">
        <v>52.96</v>
      </c>
      <c r="AD15" s="66"/>
      <c r="AE15" s="67">
        <f t="shared" si="0"/>
        <v>1177.1099999999999</v>
      </c>
      <c r="AF15" s="68"/>
      <c r="AG15" s="69"/>
    </row>
    <row r="16" spans="1:33" outlineLevel="1">
      <c r="A16" s="63">
        <v>33011</v>
      </c>
      <c r="B16" s="63" t="s">
        <v>122</v>
      </c>
      <c r="C16" s="64"/>
      <c r="D16" s="61"/>
      <c r="E16" s="65"/>
      <c r="F16" s="66"/>
      <c r="G16" s="67">
        <v>2018.6</v>
      </c>
      <c r="H16" s="66"/>
      <c r="I16" s="67">
        <v>2298.7800000000002</v>
      </c>
      <c r="J16" s="66"/>
      <c r="K16" s="67">
        <v>2177.56</v>
      </c>
      <c r="L16" s="66"/>
      <c r="M16" s="67">
        <v>1885.13</v>
      </c>
      <c r="N16" s="66"/>
      <c r="O16" s="67">
        <v>1753.12</v>
      </c>
      <c r="P16" s="66"/>
      <c r="Q16" s="67">
        <v>1601.76</v>
      </c>
      <c r="R16" s="66"/>
      <c r="S16" s="67">
        <v>1336.42</v>
      </c>
      <c r="T16" s="66"/>
      <c r="U16" s="67">
        <v>1091.25</v>
      </c>
      <c r="V16" s="66"/>
      <c r="W16" s="67">
        <v>1597.89</v>
      </c>
      <c r="X16" s="66"/>
      <c r="Y16" s="67">
        <v>1929.58</v>
      </c>
      <c r="Z16" s="66"/>
      <c r="AA16" s="67">
        <v>2064.87</v>
      </c>
      <c r="AB16" s="66"/>
      <c r="AC16" s="67">
        <v>2970.89</v>
      </c>
      <c r="AD16" s="66"/>
      <c r="AE16" s="67">
        <f t="shared" si="0"/>
        <v>22725.85</v>
      </c>
      <c r="AF16" s="68"/>
      <c r="AG16" s="69"/>
    </row>
    <row r="17" spans="1:33" s="65" customFormat="1" ht="4.5" customHeight="1" outlineLevel="1">
      <c r="G17" s="91"/>
      <c r="H17" s="72"/>
      <c r="I17" s="91"/>
      <c r="J17" s="72"/>
      <c r="K17" s="91"/>
      <c r="L17" s="72"/>
      <c r="M17" s="91"/>
      <c r="N17" s="72"/>
      <c r="O17" s="91"/>
      <c r="P17" s="72"/>
      <c r="Q17" s="91"/>
      <c r="R17" s="72"/>
      <c r="S17" s="91"/>
      <c r="T17" s="72"/>
      <c r="U17" s="91"/>
      <c r="V17" s="72"/>
      <c r="W17" s="91"/>
      <c r="X17" s="72"/>
      <c r="Y17" s="91"/>
      <c r="Z17" s="72"/>
      <c r="AA17" s="91"/>
      <c r="AB17" s="72"/>
      <c r="AC17" s="91"/>
      <c r="AD17" s="72"/>
      <c r="AE17" s="91"/>
      <c r="AF17" s="89"/>
      <c r="AG17" s="72"/>
    </row>
    <row r="18" spans="1:33" s="65" customFormat="1" ht="15">
      <c r="C18" s="65" t="s">
        <v>123</v>
      </c>
      <c r="G18" s="92">
        <f>SUM(G8:G17)</f>
        <v>249980.14</v>
      </c>
      <c r="H18" s="93"/>
      <c r="I18" s="92">
        <f>SUM(I8:I17)</f>
        <v>255434.24000000002</v>
      </c>
      <c r="J18" s="93"/>
      <c r="K18" s="92">
        <f>SUM(K8:K17)</f>
        <v>252828.23999999996</v>
      </c>
      <c r="L18" s="93"/>
      <c r="M18" s="92">
        <f>SUM(M8:M17)</f>
        <v>246006.71999999997</v>
      </c>
      <c r="N18" s="93"/>
      <c r="O18" s="92">
        <f>SUM(O8:O17)</f>
        <v>246032.88999999998</v>
      </c>
      <c r="P18" s="93"/>
      <c r="Q18" s="92">
        <f>SUM(Q8:Q17)</f>
        <v>235304.46</v>
      </c>
      <c r="R18" s="93"/>
      <c r="S18" s="92">
        <f>SUM(S8:S17)</f>
        <v>233788.38</v>
      </c>
      <c r="T18" s="93"/>
      <c r="U18" s="92">
        <f>SUM(U8:U17)</f>
        <v>232919.81</v>
      </c>
      <c r="V18" s="93"/>
      <c r="W18" s="92">
        <f>SUM(W8:W17)</f>
        <v>244424.74000000002</v>
      </c>
      <c r="X18" s="93"/>
      <c r="Y18" s="92">
        <f>SUM(Y8:Y17)</f>
        <v>253804.32999999996</v>
      </c>
      <c r="Z18" s="93"/>
      <c r="AA18" s="92">
        <f>SUM(AA8:AA17)</f>
        <v>245430.59</v>
      </c>
      <c r="AB18" s="93"/>
      <c r="AC18" s="92">
        <f>SUM(AC8:AC17)</f>
        <v>260592.85</v>
      </c>
      <c r="AD18" s="93"/>
      <c r="AE18" s="92">
        <f>SUM(AE8:AE17)</f>
        <v>2956547.39</v>
      </c>
      <c r="AF18" s="68"/>
      <c r="AG18" s="72"/>
    </row>
    <row r="19" spans="1:33" s="65" customFormat="1" ht="15" outlineLevel="1">
      <c r="G19" s="94"/>
      <c r="H19" s="93"/>
      <c r="I19" s="94"/>
      <c r="J19" s="93"/>
      <c r="K19" s="94"/>
      <c r="L19" s="93"/>
      <c r="M19" s="94"/>
      <c r="N19" s="93"/>
      <c r="O19" s="94"/>
      <c r="P19" s="93"/>
      <c r="Q19" s="94"/>
      <c r="R19" s="93"/>
      <c r="S19" s="94"/>
      <c r="T19" s="93"/>
      <c r="U19" s="94"/>
      <c r="V19" s="93"/>
      <c r="W19" s="94"/>
      <c r="X19" s="93"/>
      <c r="Y19" s="94"/>
      <c r="Z19" s="93"/>
      <c r="AA19" s="94"/>
      <c r="AB19" s="93"/>
      <c r="AC19" s="94"/>
      <c r="AD19" s="93"/>
      <c r="AE19" s="94"/>
      <c r="AF19" s="89"/>
      <c r="AG19" s="72"/>
    </row>
    <row r="20" spans="1:33" outlineLevel="1">
      <c r="A20" s="63"/>
      <c r="B20" s="63"/>
      <c r="C20" s="64"/>
      <c r="D20" s="61"/>
      <c r="E20" s="65"/>
      <c r="F20" s="66"/>
      <c r="G20" s="67"/>
      <c r="H20" s="66"/>
      <c r="I20" s="67"/>
      <c r="J20" s="66"/>
      <c r="K20" s="67"/>
      <c r="L20" s="66"/>
      <c r="M20" s="67"/>
      <c r="N20" s="66"/>
      <c r="O20" s="67"/>
      <c r="P20" s="66"/>
      <c r="Q20" s="67"/>
      <c r="R20" s="66"/>
      <c r="S20" s="67"/>
      <c r="T20" s="66"/>
      <c r="U20" s="67"/>
      <c r="V20" s="66"/>
      <c r="W20" s="67"/>
      <c r="X20" s="66"/>
      <c r="Y20" s="67"/>
      <c r="Z20" s="66"/>
      <c r="AA20" s="67"/>
      <c r="AB20" s="66"/>
      <c r="AC20" s="67"/>
      <c r="AD20" s="66"/>
      <c r="AE20" s="67"/>
      <c r="AF20" s="68"/>
      <c r="AG20" s="69"/>
    </row>
    <row r="21" spans="1:33" s="65" customFormat="1" ht="5.0999999999999996" customHeight="1" outlineLevel="1">
      <c r="A21" s="64"/>
      <c r="B21" s="64"/>
      <c r="C21" s="64"/>
      <c r="D21" s="64"/>
      <c r="G21" s="95"/>
      <c r="H21" s="93"/>
      <c r="I21" s="95"/>
      <c r="J21" s="93"/>
      <c r="K21" s="95"/>
      <c r="L21" s="93"/>
      <c r="M21" s="95"/>
      <c r="N21" s="93"/>
      <c r="O21" s="95"/>
      <c r="P21" s="93"/>
      <c r="Q21" s="95"/>
      <c r="R21" s="93"/>
      <c r="S21" s="95"/>
      <c r="T21" s="93"/>
      <c r="U21" s="95"/>
      <c r="V21" s="93"/>
      <c r="W21" s="95"/>
      <c r="X21" s="93"/>
      <c r="Y21" s="95"/>
      <c r="Z21" s="93"/>
      <c r="AA21" s="95"/>
      <c r="AB21" s="93"/>
      <c r="AC21" s="95"/>
      <c r="AD21" s="93"/>
      <c r="AE21" s="95"/>
      <c r="AF21" s="89"/>
      <c r="AG21" s="72"/>
    </row>
    <row r="22" spans="1:33" s="65" customFormat="1" ht="15">
      <c r="C22" s="64" t="s">
        <v>124</v>
      </c>
      <c r="G22" s="92">
        <f>SUM(G20:G21)</f>
        <v>0</v>
      </c>
      <c r="H22" s="93"/>
      <c r="I22" s="92">
        <f>SUM(I20:I21)</f>
        <v>0</v>
      </c>
      <c r="J22" s="93"/>
      <c r="K22" s="92">
        <f>SUM(K20:K21)</f>
        <v>0</v>
      </c>
      <c r="L22" s="93"/>
      <c r="M22" s="92">
        <f>SUM(M20:M21)</f>
        <v>0</v>
      </c>
      <c r="N22" s="93"/>
      <c r="O22" s="92">
        <f>SUM(O20:O21)</f>
        <v>0</v>
      </c>
      <c r="P22" s="93"/>
      <c r="Q22" s="92">
        <f>SUM(Q20:Q21)</f>
        <v>0</v>
      </c>
      <c r="R22" s="93"/>
      <c r="S22" s="92">
        <f>SUM(S20:S21)</f>
        <v>0</v>
      </c>
      <c r="T22" s="93"/>
      <c r="U22" s="92">
        <f>SUM(U20:U21)</f>
        <v>0</v>
      </c>
      <c r="V22" s="93"/>
      <c r="W22" s="92">
        <f>SUM(W20:W21)</f>
        <v>0</v>
      </c>
      <c r="X22" s="93"/>
      <c r="Y22" s="92">
        <f>SUM(Y20:Y21)</f>
        <v>0</v>
      </c>
      <c r="Z22" s="93"/>
      <c r="AA22" s="92">
        <f>SUM(AA20:AA21)</f>
        <v>0</v>
      </c>
      <c r="AB22" s="93"/>
      <c r="AC22" s="92">
        <f>SUM(AC20:AC21)</f>
        <v>0</v>
      </c>
      <c r="AD22" s="93"/>
      <c r="AE22" s="92">
        <f>SUM(AE20:AE21)</f>
        <v>0</v>
      </c>
      <c r="AF22" s="68"/>
      <c r="AG22" s="72"/>
    </row>
    <row r="23" spans="1:33" s="65" customFormat="1" ht="15" outlineLevel="1">
      <c r="G23" s="94"/>
      <c r="H23" s="93"/>
      <c r="I23" s="94"/>
      <c r="J23" s="93"/>
      <c r="K23" s="94"/>
      <c r="L23" s="93"/>
      <c r="M23" s="94"/>
      <c r="N23" s="93"/>
      <c r="O23" s="94"/>
      <c r="P23" s="93"/>
      <c r="Q23" s="94"/>
      <c r="R23" s="93"/>
      <c r="S23" s="94"/>
      <c r="T23" s="93"/>
      <c r="U23" s="94"/>
      <c r="V23" s="93"/>
      <c r="W23" s="94"/>
      <c r="X23" s="93"/>
      <c r="Y23" s="94"/>
      <c r="Z23" s="93"/>
      <c r="AA23" s="94"/>
      <c r="AB23" s="93"/>
      <c r="AC23" s="94"/>
      <c r="AD23" s="93"/>
      <c r="AE23" s="94"/>
      <c r="AF23" s="89"/>
      <c r="AG23" s="72"/>
    </row>
    <row r="24" spans="1:33" s="65" customFormat="1" ht="15" outlineLevel="1">
      <c r="G24" s="94"/>
      <c r="H24" s="93"/>
      <c r="I24" s="94"/>
      <c r="J24" s="93"/>
      <c r="K24" s="94"/>
      <c r="L24" s="93"/>
      <c r="M24" s="94"/>
      <c r="N24" s="93"/>
      <c r="O24" s="94"/>
      <c r="P24" s="93"/>
      <c r="Q24" s="94"/>
      <c r="R24" s="93"/>
      <c r="S24" s="94"/>
      <c r="T24" s="93"/>
      <c r="U24" s="94"/>
      <c r="V24" s="93"/>
      <c r="W24" s="94"/>
      <c r="X24" s="93"/>
      <c r="Y24" s="94"/>
      <c r="Z24" s="93"/>
      <c r="AA24" s="94"/>
      <c r="AB24" s="93"/>
      <c r="AC24" s="94"/>
      <c r="AD24" s="93"/>
      <c r="AE24" s="94"/>
      <c r="AF24" s="89"/>
      <c r="AG24" s="72"/>
    </row>
    <row r="25" spans="1:33" outlineLevel="1">
      <c r="A25" s="63">
        <v>35514</v>
      </c>
      <c r="B25" s="63" t="s">
        <v>125</v>
      </c>
      <c r="C25" s="64"/>
      <c r="D25" s="61"/>
      <c r="E25" s="65"/>
      <c r="F25" s="66"/>
      <c r="G25" s="67">
        <v>0</v>
      </c>
      <c r="H25" s="66"/>
      <c r="I25" s="67">
        <v>0</v>
      </c>
      <c r="J25" s="66"/>
      <c r="K25" s="67">
        <v>0</v>
      </c>
      <c r="L25" s="66"/>
      <c r="M25" s="67">
        <v>0</v>
      </c>
      <c r="N25" s="66"/>
      <c r="O25" s="67">
        <v>0</v>
      </c>
      <c r="P25" s="66"/>
      <c r="Q25" s="67">
        <v>0</v>
      </c>
      <c r="R25" s="66"/>
      <c r="S25" s="67">
        <v>0</v>
      </c>
      <c r="T25" s="66"/>
      <c r="U25" s="67">
        <v>198.6</v>
      </c>
      <c r="V25" s="66"/>
      <c r="W25" s="67">
        <v>142.19999999999999</v>
      </c>
      <c r="X25" s="66"/>
      <c r="Y25" s="67">
        <v>0</v>
      </c>
      <c r="Z25" s="66"/>
      <c r="AA25" s="67">
        <v>0</v>
      </c>
      <c r="AB25" s="66"/>
      <c r="AC25" s="67">
        <v>228.25</v>
      </c>
      <c r="AD25" s="66"/>
      <c r="AE25" s="67">
        <f t="shared" ref="AE25:AE26" si="1">AC25+AA25+Y25+W25+U25+S25+Q25+O25+M25+K25+I25+G25</f>
        <v>569.04999999999995</v>
      </c>
      <c r="AF25" s="68"/>
      <c r="AG25" s="69"/>
    </row>
    <row r="26" spans="1:33" outlineLevel="1">
      <c r="A26" s="63">
        <v>35518</v>
      </c>
      <c r="B26" s="63" t="s">
        <v>126</v>
      </c>
      <c r="C26" s="64"/>
      <c r="D26" s="61"/>
      <c r="E26" s="65"/>
      <c r="F26" s="66"/>
      <c r="G26" s="67">
        <v>1097.67</v>
      </c>
      <c r="H26" s="66"/>
      <c r="I26" s="67">
        <v>1015.18</v>
      </c>
      <c r="J26" s="66"/>
      <c r="K26" s="67">
        <v>0</v>
      </c>
      <c r="L26" s="66"/>
      <c r="M26" s="67">
        <v>575.63</v>
      </c>
      <c r="N26" s="66"/>
      <c r="O26" s="67">
        <v>1114.6199999999999</v>
      </c>
      <c r="P26" s="66"/>
      <c r="Q26" s="67">
        <v>557.03</v>
      </c>
      <c r="R26" s="66"/>
      <c r="S26" s="67">
        <v>0</v>
      </c>
      <c r="T26" s="66"/>
      <c r="U26" s="67">
        <v>0</v>
      </c>
      <c r="V26" s="66"/>
      <c r="W26" s="67">
        <v>650.24</v>
      </c>
      <c r="X26" s="66"/>
      <c r="Y26" s="67">
        <v>0</v>
      </c>
      <c r="Z26" s="66"/>
      <c r="AA26" s="67">
        <v>385.91</v>
      </c>
      <c r="AB26" s="66"/>
      <c r="AC26" s="67">
        <v>1247.75</v>
      </c>
      <c r="AD26" s="66"/>
      <c r="AE26" s="67">
        <f t="shared" si="1"/>
        <v>6644.0300000000007</v>
      </c>
      <c r="AF26" s="68"/>
      <c r="AG26" s="69"/>
    </row>
    <row r="27" spans="1:33" s="65" customFormat="1" ht="5.0999999999999996" customHeight="1" outlineLevel="1">
      <c r="A27" s="64"/>
      <c r="B27" s="64"/>
      <c r="C27" s="64"/>
      <c r="D27" s="64"/>
      <c r="G27" s="95"/>
      <c r="H27" s="93"/>
      <c r="I27" s="95"/>
      <c r="J27" s="93"/>
      <c r="K27" s="95"/>
      <c r="L27" s="93"/>
      <c r="M27" s="95"/>
      <c r="N27" s="93"/>
      <c r="O27" s="95"/>
      <c r="P27" s="93"/>
      <c r="Q27" s="95"/>
      <c r="R27" s="93"/>
      <c r="S27" s="95"/>
      <c r="T27" s="93"/>
      <c r="U27" s="95"/>
      <c r="V27" s="93"/>
      <c r="W27" s="95"/>
      <c r="X27" s="93"/>
      <c r="Y27" s="95"/>
      <c r="Z27" s="93"/>
      <c r="AA27" s="95"/>
      <c r="AB27" s="93"/>
      <c r="AC27" s="95"/>
      <c r="AD27" s="93"/>
      <c r="AE27" s="95"/>
      <c r="AF27" s="89"/>
      <c r="AG27" s="72"/>
    </row>
    <row r="28" spans="1:33" s="65" customFormat="1" ht="15">
      <c r="C28" s="64" t="s">
        <v>127</v>
      </c>
      <c r="G28" s="92">
        <f>SUM(G24:G27)</f>
        <v>1097.67</v>
      </c>
      <c r="H28" s="93"/>
      <c r="I28" s="92">
        <f>SUM(I24:I27)</f>
        <v>1015.18</v>
      </c>
      <c r="J28" s="93"/>
      <c r="K28" s="92">
        <f>SUM(K24:K27)</f>
        <v>0</v>
      </c>
      <c r="L28" s="93"/>
      <c r="M28" s="92">
        <f>SUM(M24:M27)</f>
        <v>575.63</v>
      </c>
      <c r="N28" s="93"/>
      <c r="O28" s="92">
        <f>SUM(O24:O27)</f>
        <v>1114.6199999999999</v>
      </c>
      <c r="P28" s="93"/>
      <c r="Q28" s="92">
        <f>SUM(Q24:Q27)</f>
        <v>557.03</v>
      </c>
      <c r="R28" s="93"/>
      <c r="S28" s="92">
        <f>SUM(S24:S27)</f>
        <v>0</v>
      </c>
      <c r="T28" s="93"/>
      <c r="U28" s="92">
        <f>SUM(U24:U27)</f>
        <v>198.6</v>
      </c>
      <c r="V28" s="93"/>
      <c r="W28" s="92">
        <f>SUM(W24:W27)</f>
        <v>792.44</v>
      </c>
      <c r="X28" s="93"/>
      <c r="Y28" s="92">
        <f>SUM(Y24:Y27)</f>
        <v>0</v>
      </c>
      <c r="Z28" s="93"/>
      <c r="AA28" s="92">
        <f>SUM(AA24:AA27)</f>
        <v>385.91</v>
      </c>
      <c r="AB28" s="93"/>
      <c r="AC28" s="92">
        <f>SUM(AC24:AC27)</f>
        <v>1476</v>
      </c>
      <c r="AD28" s="93"/>
      <c r="AE28" s="92">
        <f>SUM(AE24:AE27)</f>
        <v>7213.0800000000008</v>
      </c>
      <c r="AF28" s="68"/>
      <c r="AG28" s="72"/>
    </row>
    <row r="29" spans="1:33" s="65" customFormat="1" ht="15" outlineLevel="1">
      <c r="A29" s="64"/>
      <c r="B29" s="64"/>
      <c r="C29" s="64"/>
      <c r="D29" s="64"/>
      <c r="G29" s="94"/>
      <c r="H29" s="93"/>
      <c r="I29" s="94"/>
      <c r="J29" s="93"/>
      <c r="K29" s="94"/>
      <c r="L29" s="93"/>
      <c r="M29" s="94"/>
      <c r="N29" s="93"/>
      <c r="O29" s="94"/>
      <c r="P29" s="93"/>
      <c r="Q29" s="94"/>
      <c r="R29" s="93"/>
      <c r="S29" s="94"/>
      <c r="T29" s="93"/>
      <c r="U29" s="94"/>
      <c r="V29" s="93"/>
      <c r="W29" s="94"/>
      <c r="X29" s="93"/>
      <c r="Y29" s="94"/>
      <c r="Z29" s="93"/>
      <c r="AA29" s="94"/>
      <c r="AB29" s="93"/>
      <c r="AC29" s="94"/>
      <c r="AD29" s="93"/>
      <c r="AE29" s="94"/>
      <c r="AF29" s="89"/>
      <c r="AG29" s="72"/>
    </row>
    <row r="30" spans="1:33" s="65" customFormat="1" ht="15" outlineLevel="1">
      <c r="G30" s="94"/>
      <c r="H30" s="93"/>
      <c r="I30" s="94"/>
      <c r="J30" s="93"/>
      <c r="K30" s="94"/>
      <c r="L30" s="93"/>
      <c r="M30" s="94"/>
      <c r="N30" s="93"/>
      <c r="O30" s="94"/>
      <c r="P30" s="93"/>
      <c r="Q30" s="94"/>
      <c r="R30" s="93"/>
      <c r="S30" s="94"/>
      <c r="T30" s="93"/>
      <c r="U30" s="94"/>
      <c r="V30" s="93"/>
      <c r="W30" s="94"/>
      <c r="X30" s="93"/>
      <c r="Y30" s="94"/>
      <c r="Z30" s="93"/>
      <c r="AA30" s="94"/>
      <c r="AB30" s="93"/>
      <c r="AC30" s="94"/>
      <c r="AD30" s="93"/>
      <c r="AE30" s="94"/>
      <c r="AF30" s="89"/>
      <c r="AG30" s="72"/>
    </row>
    <row r="31" spans="1:33" customFormat="1" ht="15" outlineLevel="1"/>
    <row r="32" spans="1:33" s="65" customFormat="1" ht="3.75" customHeight="1" outlineLevel="1">
      <c r="A32" s="64"/>
      <c r="B32" s="64"/>
      <c r="C32" s="64"/>
      <c r="D32" s="64"/>
      <c r="G32" s="95"/>
      <c r="H32" s="93"/>
      <c r="I32" s="95"/>
      <c r="J32" s="93"/>
      <c r="K32" s="95"/>
      <c r="L32" s="93"/>
      <c r="M32" s="95"/>
      <c r="N32" s="93"/>
      <c r="O32" s="95"/>
      <c r="P32" s="93"/>
      <c r="Q32" s="95"/>
      <c r="R32" s="93"/>
      <c r="S32" s="95"/>
      <c r="T32" s="93"/>
      <c r="U32" s="95"/>
      <c r="V32" s="93"/>
      <c r="W32" s="95"/>
      <c r="X32" s="93"/>
      <c r="Y32" s="95"/>
      <c r="Z32" s="93"/>
      <c r="AA32" s="95"/>
      <c r="AB32" s="93"/>
      <c r="AC32" s="95"/>
      <c r="AD32" s="93"/>
      <c r="AE32" s="95"/>
      <c r="AF32" s="89"/>
      <c r="AG32" s="72"/>
    </row>
    <row r="33" spans="1:33" s="65" customFormat="1" ht="15">
      <c r="C33" s="64" t="s">
        <v>128</v>
      </c>
      <c r="G33" s="92">
        <f>SUM(G30:G32)</f>
        <v>0</v>
      </c>
      <c r="H33" s="93"/>
      <c r="I33" s="92">
        <f>SUM(I30:I32)</f>
        <v>0</v>
      </c>
      <c r="J33" s="93"/>
      <c r="K33" s="92">
        <f>SUM(K30:K32)</f>
        <v>0</v>
      </c>
      <c r="L33" s="93"/>
      <c r="M33" s="92">
        <f>SUM(M30:M32)</f>
        <v>0</v>
      </c>
      <c r="N33" s="93"/>
      <c r="O33" s="92">
        <f>SUM(O30:O32)</f>
        <v>0</v>
      </c>
      <c r="P33" s="93"/>
      <c r="Q33" s="92">
        <f>SUM(Q30:Q32)</f>
        <v>0</v>
      </c>
      <c r="R33" s="93"/>
      <c r="S33" s="92">
        <f>SUM(S30:S32)</f>
        <v>0</v>
      </c>
      <c r="T33" s="93"/>
      <c r="U33" s="92">
        <f>SUM(U30:U32)</f>
        <v>0</v>
      </c>
      <c r="V33" s="93"/>
      <c r="W33" s="92">
        <f>SUM(W30:W32)</f>
        <v>0</v>
      </c>
      <c r="X33" s="93"/>
      <c r="Y33" s="92">
        <f>SUM(Y30:Y32)</f>
        <v>0</v>
      </c>
      <c r="Z33" s="93"/>
      <c r="AA33" s="92">
        <f>SUM(AA30:AA32)</f>
        <v>0</v>
      </c>
      <c r="AB33" s="93"/>
      <c r="AC33" s="92">
        <f>SUM(AC30:AC32)</f>
        <v>0</v>
      </c>
      <c r="AD33" s="93"/>
      <c r="AE33" s="92">
        <f>SUM(AE30:AE32)</f>
        <v>0</v>
      </c>
      <c r="AF33" s="68"/>
      <c r="AG33" s="72"/>
    </row>
    <row r="34" spans="1:33" s="65" customFormat="1" ht="15" outlineLevel="1">
      <c r="G34" s="94"/>
      <c r="H34" s="93"/>
      <c r="I34" s="94"/>
      <c r="J34" s="93"/>
      <c r="K34" s="94"/>
      <c r="L34" s="93"/>
      <c r="M34" s="94"/>
      <c r="N34" s="93"/>
      <c r="O34" s="94"/>
      <c r="P34" s="93"/>
      <c r="Q34" s="94"/>
      <c r="R34" s="93"/>
      <c r="S34" s="94"/>
      <c r="T34" s="93"/>
      <c r="U34" s="94"/>
      <c r="V34" s="93"/>
      <c r="W34" s="94"/>
      <c r="X34" s="93"/>
      <c r="Y34" s="94"/>
      <c r="Z34" s="93"/>
      <c r="AA34" s="94"/>
      <c r="AB34" s="93"/>
      <c r="AC34" s="94"/>
      <c r="AD34" s="93"/>
      <c r="AE34" s="94"/>
      <c r="AF34" s="89"/>
      <c r="AG34" s="72"/>
    </row>
    <row r="35" spans="1:33" customFormat="1" ht="15" outlineLevel="1"/>
    <row r="36" spans="1:33" s="65" customFormat="1" ht="3.75" customHeight="1" outlineLevel="1">
      <c r="A36" s="64"/>
      <c r="B36" s="64"/>
      <c r="C36" s="64"/>
      <c r="D36" s="64"/>
      <c r="G36" s="95"/>
      <c r="H36" s="93"/>
      <c r="I36" s="95"/>
      <c r="J36" s="93"/>
      <c r="K36" s="95"/>
      <c r="L36" s="93"/>
      <c r="M36" s="95"/>
      <c r="N36" s="93"/>
      <c r="O36" s="95"/>
      <c r="P36" s="93"/>
      <c r="Q36" s="95"/>
      <c r="R36" s="93"/>
      <c r="S36" s="95"/>
      <c r="T36" s="93"/>
      <c r="U36" s="95"/>
      <c r="V36" s="93"/>
      <c r="W36" s="95"/>
      <c r="X36" s="93"/>
      <c r="Y36" s="95"/>
      <c r="Z36" s="93"/>
      <c r="AA36" s="95"/>
      <c r="AB36" s="93"/>
      <c r="AC36" s="95"/>
      <c r="AD36" s="93"/>
      <c r="AE36" s="95"/>
      <c r="AF36" s="89"/>
      <c r="AG36" s="72"/>
    </row>
    <row r="37" spans="1:33" s="65" customFormat="1" ht="15">
      <c r="C37" s="64" t="s">
        <v>129</v>
      </c>
      <c r="G37" s="92">
        <f>SUM(G35:G36)</f>
        <v>0</v>
      </c>
      <c r="H37" s="93"/>
      <c r="I37" s="92">
        <f>SUM(I35:I36)</f>
        <v>0</v>
      </c>
      <c r="J37" s="93"/>
      <c r="K37" s="92">
        <f>SUM(K35:K36)</f>
        <v>0</v>
      </c>
      <c r="L37" s="93"/>
      <c r="M37" s="92">
        <f>SUM(M35:M36)</f>
        <v>0</v>
      </c>
      <c r="N37" s="93"/>
      <c r="O37" s="92">
        <f>SUM(O35:O36)</f>
        <v>0</v>
      </c>
      <c r="P37" s="93"/>
      <c r="Q37" s="92">
        <f>SUM(Q35:Q36)</f>
        <v>0</v>
      </c>
      <c r="R37" s="93"/>
      <c r="S37" s="92">
        <f>SUM(S35:S36)</f>
        <v>0</v>
      </c>
      <c r="T37" s="93"/>
      <c r="U37" s="92">
        <f>SUM(U35:U36)</f>
        <v>0</v>
      </c>
      <c r="V37" s="93"/>
      <c r="W37" s="92">
        <f>SUM(W35:W36)</f>
        <v>0</v>
      </c>
      <c r="X37" s="93"/>
      <c r="Y37" s="92">
        <f>SUM(Y35:Y36)</f>
        <v>0</v>
      </c>
      <c r="Z37" s="93"/>
      <c r="AA37" s="92">
        <f>SUM(AA35:AA36)</f>
        <v>0</v>
      </c>
      <c r="AB37" s="93"/>
      <c r="AC37" s="92">
        <f>SUM(AC35:AC36)</f>
        <v>0</v>
      </c>
      <c r="AD37" s="93"/>
      <c r="AE37" s="92">
        <f>SUM(AE35:AE36)</f>
        <v>0</v>
      </c>
      <c r="AF37" s="68"/>
      <c r="AG37" s="72"/>
    </row>
    <row r="38" spans="1:33" s="65" customFormat="1" ht="15" outlineLevel="1">
      <c r="G38" s="94"/>
      <c r="H38" s="93"/>
      <c r="I38" s="94"/>
      <c r="J38" s="93"/>
      <c r="K38" s="94"/>
      <c r="L38" s="93"/>
      <c r="M38" s="94"/>
      <c r="N38" s="93"/>
      <c r="O38" s="94"/>
      <c r="P38" s="93"/>
      <c r="Q38" s="94"/>
      <c r="R38" s="93"/>
      <c r="S38" s="94"/>
      <c r="T38" s="93"/>
      <c r="U38" s="94"/>
      <c r="V38" s="93"/>
      <c r="W38" s="94"/>
      <c r="X38" s="93"/>
      <c r="Y38" s="94"/>
      <c r="Z38" s="93"/>
      <c r="AA38" s="94"/>
      <c r="AB38" s="93"/>
      <c r="AC38" s="94"/>
      <c r="AD38" s="93"/>
      <c r="AE38" s="94"/>
      <c r="AF38" s="89"/>
      <c r="AG38" s="72"/>
    </row>
    <row r="39" spans="1:33" s="65" customFormat="1" ht="15" outlineLevel="1">
      <c r="G39" s="94"/>
      <c r="H39" s="93"/>
      <c r="I39" s="94"/>
      <c r="J39" s="93"/>
      <c r="K39" s="94"/>
      <c r="L39" s="93"/>
      <c r="M39" s="94"/>
      <c r="N39" s="93"/>
      <c r="O39" s="94"/>
      <c r="P39" s="93"/>
      <c r="Q39" s="94"/>
      <c r="R39" s="93"/>
      <c r="S39" s="94"/>
      <c r="T39" s="93"/>
      <c r="U39" s="94"/>
      <c r="V39" s="93"/>
      <c r="W39" s="94"/>
      <c r="X39" s="93"/>
      <c r="Y39" s="94"/>
      <c r="Z39" s="93"/>
      <c r="AA39" s="94"/>
      <c r="AB39" s="93"/>
      <c r="AC39" s="94"/>
      <c r="AD39" s="93"/>
      <c r="AE39" s="94"/>
      <c r="AF39" s="89"/>
      <c r="AG39" s="72"/>
    </row>
    <row r="40" spans="1:33" outlineLevel="1">
      <c r="A40" s="63">
        <v>38000</v>
      </c>
      <c r="B40" s="63" t="s">
        <v>130</v>
      </c>
      <c r="C40" s="64"/>
      <c r="D40" s="61"/>
      <c r="E40" s="65"/>
      <c r="F40" s="66"/>
      <c r="G40" s="67">
        <v>295.42</v>
      </c>
      <c r="H40" s="66"/>
      <c r="I40" s="67">
        <v>413.98</v>
      </c>
      <c r="J40" s="66"/>
      <c r="K40" s="67">
        <v>430.34</v>
      </c>
      <c r="L40" s="66"/>
      <c r="M40" s="67">
        <v>434.68</v>
      </c>
      <c r="N40" s="66"/>
      <c r="O40" s="67">
        <v>248.76</v>
      </c>
      <c r="P40" s="66"/>
      <c r="Q40" s="67">
        <v>312.18</v>
      </c>
      <c r="R40" s="66"/>
      <c r="S40" s="67">
        <v>356.36</v>
      </c>
      <c r="T40" s="66"/>
      <c r="U40" s="67">
        <v>958.5</v>
      </c>
      <c r="V40" s="66"/>
      <c r="W40" s="67">
        <v>291.12</v>
      </c>
      <c r="X40" s="66"/>
      <c r="Y40" s="67">
        <v>303.06</v>
      </c>
      <c r="Z40" s="66"/>
      <c r="AA40" s="67">
        <v>255.19</v>
      </c>
      <c r="AB40" s="66"/>
      <c r="AC40" s="67">
        <v>256.79000000000002</v>
      </c>
      <c r="AD40" s="66"/>
      <c r="AE40" s="67">
        <f t="shared" ref="AE40:AE41" si="2">AC40+AA40+Y40+W40+U40+S40+Q40+O40+M40+K40+I40+G40</f>
        <v>4556.38</v>
      </c>
      <c r="AF40" s="68"/>
      <c r="AG40" s="69"/>
    </row>
    <row r="41" spans="1:33" outlineLevel="1">
      <c r="A41" s="63">
        <v>38001</v>
      </c>
      <c r="B41" s="63" t="s">
        <v>18</v>
      </c>
      <c r="C41" s="64"/>
      <c r="D41" s="61"/>
      <c r="E41" s="65"/>
      <c r="F41" s="66"/>
      <c r="G41" s="67">
        <v>183.54</v>
      </c>
      <c r="H41" s="66"/>
      <c r="I41" s="67">
        <v>162.68</v>
      </c>
      <c r="J41" s="66"/>
      <c r="K41" s="67">
        <v>138.07</v>
      </c>
      <c r="L41" s="66"/>
      <c r="M41" s="67">
        <v>220.54</v>
      </c>
      <c r="N41" s="66"/>
      <c r="O41" s="67">
        <v>357.22</v>
      </c>
      <c r="P41" s="66"/>
      <c r="Q41" s="67">
        <v>501.45</v>
      </c>
      <c r="R41" s="66"/>
      <c r="S41" s="67">
        <v>471.2</v>
      </c>
      <c r="T41" s="66"/>
      <c r="U41" s="67">
        <v>275.77999999999997</v>
      </c>
      <c r="V41" s="66"/>
      <c r="W41" s="67">
        <v>258.79000000000002</v>
      </c>
      <c r="X41" s="66"/>
      <c r="Y41" s="67">
        <v>170.66</v>
      </c>
      <c r="Z41" s="66"/>
      <c r="AA41" s="67">
        <v>142.93</v>
      </c>
      <c r="AB41" s="66"/>
      <c r="AC41" s="67">
        <v>135.84</v>
      </c>
      <c r="AD41" s="66"/>
      <c r="AE41" s="67">
        <f t="shared" si="2"/>
        <v>3018.7</v>
      </c>
      <c r="AF41" s="68"/>
      <c r="AG41" s="69"/>
    </row>
    <row r="42" spans="1:33" s="65" customFormat="1" ht="4.5" customHeight="1" outlineLevel="1">
      <c r="A42" s="96"/>
      <c r="G42" s="95"/>
      <c r="H42" s="93"/>
      <c r="I42" s="95"/>
      <c r="J42" s="93"/>
      <c r="K42" s="95"/>
      <c r="L42" s="93"/>
      <c r="M42" s="95"/>
      <c r="N42" s="93"/>
      <c r="O42" s="95"/>
      <c r="P42" s="93"/>
      <c r="Q42" s="95"/>
      <c r="R42" s="93"/>
      <c r="S42" s="95"/>
      <c r="T42" s="93"/>
      <c r="U42" s="95"/>
      <c r="V42" s="93"/>
      <c r="W42" s="95"/>
      <c r="X42" s="93"/>
      <c r="Y42" s="95"/>
      <c r="Z42" s="93"/>
      <c r="AA42" s="95"/>
      <c r="AB42" s="93"/>
      <c r="AC42" s="95"/>
      <c r="AD42" s="93"/>
      <c r="AE42" s="95"/>
      <c r="AF42" s="89"/>
      <c r="AG42" s="72"/>
    </row>
    <row r="43" spans="1:33" s="65" customFormat="1" ht="15">
      <c r="C43" s="65" t="s">
        <v>131</v>
      </c>
      <c r="G43" s="92">
        <f>SUM(G39:G42)</f>
        <v>478.96000000000004</v>
      </c>
      <c r="H43" s="93"/>
      <c r="I43" s="92">
        <f>SUM(I39:I42)</f>
        <v>576.66000000000008</v>
      </c>
      <c r="J43" s="93"/>
      <c r="K43" s="92">
        <f>SUM(K39:K42)</f>
        <v>568.41</v>
      </c>
      <c r="L43" s="93"/>
      <c r="M43" s="92">
        <f>SUM(M39:M42)</f>
        <v>655.22</v>
      </c>
      <c r="N43" s="93"/>
      <c r="O43" s="92">
        <f>SUM(O39:O42)</f>
        <v>605.98</v>
      </c>
      <c r="P43" s="93"/>
      <c r="Q43" s="92">
        <f>SUM(Q39:Q42)</f>
        <v>813.63</v>
      </c>
      <c r="R43" s="93"/>
      <c r="S43" s="92">
        <f>SUM(S39:S42)</f>
        <v>827.56</v>
      </c>
      <c r="T43" s="93"/>
      <c r="U43" s="92">
        <f>SUM(U39:U42)</f>
        <v>1234.28</v>
      </c>
      <c r="V43" s="93"/>
      <c r="W43" s="92">
        <f>SUM(W39:W42)</f>
        <v>549.91000000000008</v>
      </c>
      <c r="X43" s="93"/>
      <c r="Y43" s="92">
        <f>SUM(Y39:Y42)</f>
        <v>473.72</v>
      </c>
      <c r="Z43" s="93"/>
      <c r="AA43" s="92">
        <f>SUM(AA39:AA42)</f>
        <v>398.12</v>
      </c>
      <c r="AB43" s="93"/>
      <c r="AC43" s="92">
        <f>SUM(AC39:AC42)</f>
        <v>392.63</v>
      </c>
      <c r="AD43" s="93"/>
      <c r="AE43" s="92">
        <f>SUM(AE39:AE42)</f>
        <v>7575.08</v>
      </c>
      <c r="AF43" s="68"/>
      <c r="AG43" s="72"/>
    </row>
    <row r="44" spans="1:33" s="65" customFormat="1" ht="7.5" customHeight="1">
      <c r="G44" s="94"/>
      <c r="H44" s="93"/>
      <c r="I44" s="94"/>
      <c r="J44" s="93"/>
      <c r="K44" s="94"/>
      <c r="L44" s="93"/>
      <c r="M44" s="94"/>
      <c r="N44" s="93"/>
      <c r="O44" s="94"/>
      <c r="P44" s="93"/>
      <c r="Q44" s="94"/>
      <c r="R44" s="93"/>
      <c r="S44" s="94"/>
      <c r="T44" s="93"/>
      <c r="U44" s="94"/>
      <c r="V44" s="93"/>
      <c r="W44" s="94"/>
      <c r="X44" s="93"/>
      <c r="Y44" s="94"/>
      <c r="Z44" s="93"/>
      <c r="AA44" s="94"/>
      <c r="AB44" s="93"/>
      <c r="AC44" s="94"/>
      <c r="AD44" s="93"/>
      <c r="AE44" s="94"/>
      <c r="AF44" s="89"/>
      <c r="AG44" s="72"/>
    </row>
    <row r="45" spans="1:33" s="65" customFormat="1" ht="15">
      <c r="B45" s="97" t="s">
        <v>64</v>
      </c>
      <c r="G45" s="98">
        <f>+G22+G28+G33+G43+G18+G37</f>
        <v>251556.77000000002</v>
      </c>
      <c r="H45" s="93"/>
      <c r="I45" s="98">
        <f>+I22+I28+I33+I43+I18+I37</f>
        <v>257026.08000000002</v>
      </c>
      <c r="J45" s="93"/>
      <c r="K45" s="98">
        <f>+K22+K28+K33+K43+K18+K37</f>
        <v>253396.64999999997</v>
      </c>
      <c r="L45" s="93"/>
      <c r="M45" s="98">
        <f>+M22+M28+M33+M43+M18+M37</f>
        <v>247237.56999999998</v>
      </c>
      <c r="N45" s="93"/>
      <c r="O45" s="98">
        <f>+O22+O28+O33+O43+O18+O37</f>
        <v>247753.49</v>
      </c>
      <c r="P45" s="93"/>
      <c r="Q45" s="98">
        <f>+Q22+Q28+Q33+Q43+Q18+Q37</f>
        <v>236675.12</v>
      </c>
      <c r="R45" s="93"/>
      <c r="S45" s="98">
        <f>+S22+S28+S33+S43+S18+S37</f>
        <v>234615.94</v>
      </c>
      <c r="T45" s="93"/>
      <c r="U45" s="98">
        <f>+U22+U28+U33+U43+U18+U37</f>
        <v>234352.69</v>
      </c>
      <c r="V45" s="93"/>
      <c r="W45" s="98">
        <f>+W22+W28+W33+W43+W18+W37</f>
        <v>245767.09000000003</v>
      </c>
      <c r="X45" s="93"/>
      <c r="Y45" s="98">
        <f>+Y22+Y28+Y33+Y43+Y18+Y37</f>
        <v>254278.04999999996</v>
      </c>
      <c r="Z45" s="93"/>
      <c r="AA45" s="98">
        <f>+AA22+AA28+AA33+AA43+AA18+AA37</f>
        <v>246214.62</v>
      </c>
      <c r="AB45" s="93"/>
      <c r="AC45" s="98">
        <f>+AC22+AC28+AC33+AC43+AC18+AC37</f>
        <v>262461.48</v>
      </c>
      <c r="AD45" s="93"/>
      <c r="AE45" s="98">
        <f>+AE22+AE28+AE33+AE43+AE18+AE37</f>
        <v>2971335.5500000003</v>
      </c>
      <c r="AF45" s="68"/>
      <c r="AG45" s="72"/>
    </row>
    <row r="46" spans="1:33" s="65" customFormat="1" ht="7.5" customHeight="1">
      <c r="G46" s="94"/>
      <c r="H46" s="93"/>
      <c r="I46" s="94"/>
      <c r="J46" s="93"/>
      <c r="K46" s="94"/>
      <c r="L46" s="93"/>
      <c r="M46" s="94"/>
      <c r="N46" s="93"/>
      <c r="O46" s="94"/>
      <c r="P46" s="93"/>
      <c r="Q46" s="94"/>
      <c r="R46" s="93"/>
      <c r="S46" s="94"/>
      <c r="T46" s="93"/>
      <c r="U46" s="94"/>
      <c r="V46" s="93"/>
      <c r="W46" s="94"/>
      <c r="X46" s="93"/>
      <c r="Y46" s="94"/>
      <c r="Z46" s="93"/>
      <c r="AA46" s="94"/>
      <c r="AB46" s="93"/>
      <c r="AC46" s="94"/>
      <c r="AD46" s="93"/>
      <c r="AE46" s="94"/>
      <c r="AF46" s="89"/>
      <c r="AG46" s="72"/>
    </row>
    <row r="47" spans="1:33" s="65" customFormat="1" ht="15" outlineLevel="1">
      <c r="G47" s="94"/>
      <c r="H47" s="93"/>
      <c r="I47" s="94"/>
      <c r="J47" s="93"/>
      <c r="K47" s="94"/>
      <c r="L47" s="93"/>
      <c r="M47" s="94"/>
      <c r="N47" s="93"/>
      <c r="O47" s="94"/>
      <c r="P47" s="93"/>
      <c r="Q47" s="94"/>
      <c r="R47" s="93"/>
      <c r="S47" s="94"/>
      <c r="T47" s="93"/>
      <c r="U47" s="94"/>
      <c r="V47" s="93"/>
      <c r="W47" s="94"/>
      <c r="X47" s="93"/>
      <c r="Y47" s="94"/>
      <c r="Z47" s="93"/>
      <c r="AA47" s="94"/>
      <c r="AB47" s="93"/>
      <c r="AC47" s="94"/>
      <c r="AD47" s="93"/>
      <c r="AE47" s="94"/>
      <c r="AF47" s="89"/>
      <c r="AG47" s="72"/>
    </row>
    <row r="48" spans="1:33" outlineLevel="1">
      <c r="A48" s="63">
        <v>40101</v>
      </c>
      <c r="B48" s="63" t="s">
        <v>48</v>
      </c>
      <c r="C48" s="64"/>
      <c r="D48" s="61"/>
      <c r="E48" s="65"/>
      <c r="F48" s="66"/>
      <c r="G48" s="67">
        <v>61236.28</v>
      </c>
      <c r="H48" s="66"/>
      <c r="I48" s="67">
        <v>57339.040000000001</v>
      </c>
      <c r="J48" s="66"/>
      <c r="K48" s="67">
        <v>61294.12</v>
      </c>
      <c r="L48" s="66"/>
      <c r="M48" s="67">
        <v>57926.7</v>
      </c>
      <c r="N48" s="66"/>
      <c r="O48" s="67">
        <v>58990.78</v>
      </c>
      <c r="P48" s="66"/>
      <c r="Q48" s="67">
        <v>62094.84</v>
      </c>
      <c r="R48" s="66"/>
      <c r="S48" s="67">
        <v>54239.6</v>
      </c>
      <c r="T48" s="66"/>
      <c r="U48" s="67">
        <v>53536.66</v>
      </c>
      <c r="V48" s="66"/>
      <c r="W48" s="67">
        <v>64640.959999999999</v>
      </c>
      <c r="X48" s="66"/>
      <c r="Y48" s="67">
        <v>58760.04</v>
      </c>
      <c r="Z48" s="66"/>
      <c r="AA48" s="67">
        <v>60583.62</v>
      </c>
      <c r="AB48" s="66"/>
      <c r="AC48" s="67">
        <v>73526.149999999994</v>
      </c>
      <c r="AD48" s="66"/>
      <c r="AE48" s="67">
        <f t="shared" ref="AE48:AE50" si="3">AC48+AA48+Y48+W48+U48+S48+Q48+O48+M48+K48+I48+G48</f>
        <v>724168.79</v>
      </c>
      <c r="AF48" s="68"/>
      <c r="AG48" s="69"/>
    </row>
    <row r="49" spans="1:33" outlineLevel="1">
      <c r="A49" s="63">
        <v>40121</v>
      </c>
      <c r="B49" s="63" t="s">
        <v>132</v>
      </c>
      <c r="C49" s="64"/>
      <c r="D49" s="61"/>
      <c r="E49" s="65"/>
      <c r="F49" s="66"/>
      <c r="G49" s="67">
        <v>4164.62</v>
      </c>
      <c r="H49" s="66"/>
      <c r="I49" s="67">
        <v>4475.47</v>
      </c>
      <c r="J49" s="66"/>
      <c r="K49" s="67">
        <v>6080.94</v>
      </c>
      <c r="L49" s="66"/>
      <c r="M49" s="67">
        <v>3827.33</v>
      </c>
      <c r="N49" s="66"/>
      <c r="O49" s="67">
        <v>5396.97</v>
      </c>
      <c r="P49" s="66"/>
      <c r="Q49" s="67">
        <v>4836.8999999999996</v>
      </c>
      <c r="R49" s="66"/>
      <c r="S49" s="67">
        <v>5215.63</v>
      </c>
      <c r="T49" s="66"/>
      <c r="U49" s="67">
        <v>5044.63</v>
      </c>
      <c r="V49" s="66"/>
      <c r="W49" s="67">
        <v>3408.4</v>
      </c>
      <c r="X49" s="66"/>
      <c r="Y49" s="67">
        <v>5710.51</v>
      </c>
      <c r="Z49" s="66"/>
      <c r="AA49" s="67">
        <v>5082.58</v>
      </c>
      <c r="AB49" s="66"/>
      <c r="AC49" s="67">
        <v>5165.8</v>
      </c>
      <c r="AD49" s="66"/>
      <c r="AE49" s="67">
        <f t="shared" si="3"/>
        <v>58409.780000000013</v>
      </c>
      <c r="AF49" s="68"/>
      <c r="AG49" s="69"/>
    </row>
    <row r="50" spans="1:33" outlineLevel="1">
      <c r="A50" s="63">
        <v>40131</v>
      </c>
      <c r="B50" s="63" t="s">
        <v>133</v>
      </c>
      <c r="C50" s="64"/>
      <c r="D50" s="61"/>
      <c r="E50" s="65"/>
      <c r="F50" s="66"/>
      <c r="G50" s="67">
        <v>13032.41</v>
      </c>
      <c r="H50" s="66"/>
      <c r="I50" s="67">
        <v>10422.459999999999</v>
      </c>
      <c r="J50" s="66"/>
      <c r="K50" s="67">
        <v>13154.3</v>
      </c>
      <c r="L50" s="66"/>
      <c r="M50" s="67">
        <v>9681.8799999999992</v>
      </c>
      <c r="N50" s="66"/>
      <c r="O50" s="67">
        <v>12888.01</v>
      </c>
      <c r="P50" s="66"/>
      <c r="Q50" s="67">
        <v>14175.63</v>
      </c>
      <c r="R50" s="66"/>
      <c r="S50" s="67">
        <v>10254.1</v>
      </c>
      <c r="T50" s="66"/>
      <c r="U50" s="67">
        <v>9628.4699999999993</v>
      </c>
      <c r="V50" s="66"/>
      <c r="W50" s="67">
        <v>13515.39</v>
      </c>
      <c r="X50" s="66"/>
      <c r="Y50" s="67">
        <v>12555.03</v>
      </c>
      <c r="Z50" s="66"/>
      <c r="AA50" s="67">
        <v>12481.49</v>
      </c>
      <c r="AB50" s="66"/>
      <c r="AC50" s="67">
        <v>16684.32</v>
      </c>
      <c r="AD50" s="66"/>
      <c r="AE50" s="67">
        <f t="shared" si="3"/>
        <v>148473.49000000002</v>
      </c>
      <c r="AF50" s="68"/>
      <c r="AG50" s="69"/>
    </row>
    <row r="51" spans="1:33" s="65" customFormat="1" ht="5.0999999999999996" customHeight="1" outlineLevel="1">
      <c r="A51" s="64"/>
      <c r="B51" s="64"/>
      <c r="C51" s="64"/>
      <c r="D51" s="64"/>
      <c r="G51" s="95"/>
      <c r="H51" s="93"/>
      <c r="I51" s="95"/>
      <c r="J51" s="93"/>
      <c r="K51" s="95"/>
      <c r="L51" s="93"/>
      <c r="M51" s="95"/>
      <c r="N51" s="93"/>
      <c r="O51" s="95"/>
      <c r="P51" s="93"/>
      <c r="Q51" s="95"/>
      <c r="R51" s="93"/>
      <c r="S51" s="95"/>
      <c r="T51" s="93"/>
      <c r="U51" s="95"/>
      <c r="V51" s="93"/>
      <c r="W51" s="95"/>
      <c r="X51" s="93"/>
      <c r="Y51" s="95"/>
      <c r="Z51" s="93"/>
      <c r="AA51" s="95"/>
      <c r="AB51" s="93"/>
      <c r="AC51" s="95"/>
      <c r="AD51" s="93"/>
      <c r="AE51" s="95"/>
      <c r="AF51" s="89"/>
      <c r="AG51" s="72"/>
    </row>
    <row r="52" spans="1:33" s="65" customFormat="1" ht="15">
      <c r="C52" s="64" t="s">
        <v>134</v>
      </c>
      <c r="G52" s="92">
        <f>SUM(G47:G51)</f>
        <v>78433.31</v>
      </c>
      <c r="H52" s="93"/>
      <c r="I52" s="92">
        <f>SUM(I47:I51)</f>
        <v>72236.97</v>
      </c>
      <c r="J52" s="93"/>
      <c r="K52" s="92">
        <f>SUM(K47:K51)</f>
        <v>80529.36</v>
      </c>
      <c r="L52" s="93"/>
      <c r="M52" s="92">
        <f>SUM(M47:M51)</f>
        <v>71435.91</v>
      </c>
      <c r="N52" s="93"/>
      <c r="O52" s="92">
        <f>SUM(O47:O51)</f>
        <v>77275.759999999995</v>
      </c>
      <c r="P52" s="93"/>
      <c r="Q52" s="92">
        <f>SUM(Q47:Q51)</f>
        <v>81107.37</v>
      </c>
      <c r="R52" s="93"/>
      <c r="S52" s="92">
        <f>SUM(S47:S51)</f>
        <v>69709.33</v>
      </c>
      <c r="T52" s="93"/>
      <c r="U52" s="92">
        <f>SUM(U47:U51)</f>
        <v>68209.759999999995</v>
      </c>
      <c r="V52" s="93"/>
      <c r="W52" s="92">
        <f>SUM(W47:W51)</f>
        <v>81564.75</v>
      </c>
      <c r="X52" s="93"/>
      <c r="Y52" s="92">
        <f>SUM(Y47:Y51)</f>
        <v>77025.58</v>
      </c>
      <c r="Z52" s="93"/>
      <c r="AA52" s="92">
        <f>SUM(AA47:AA51)</f>
        <v>78147.69</v>
      </c>
      <c r="AB52" s="93"/>
      <c r="AC52" s="92">
        <f>SUM(AC47:AC51)</f>
        <v>95376.26999999999</v>
      </c>
      <c r="AD52" s="93"/>
      <c r="AE52" s="92">
        <f>SUM(AE47:AE51)</f>
        <v>931052.06</v>
      </c>
      <c r="AF52" s="68"/>
      <c r="AG52" s="72"/>
    </row>
    <row r="53" spans="1:33" s="65" customFormat="1" ht="15" outlineLevel="1">
      <c r="G53" s="94"/>
      <c r="H53" s="93"/>
      <c r="I53" s="94"/>
      <c r="J53" s="93"/>
      <c r="K53" s="94"/>
      <c r="L53" s="93"/>
      <c r="M53" s="94"/>
      <c r="N53" s="93"/>
      <c r="O53" s="94"/>
      <c r="P53" s="93"/>
      <c r="Q53" s="94"/>
      <c r="R53" s="93"/>
      <c r="S53" s="94"/>
      <c r="T53" s="93"/>
      <c r="U53" s="94"/>
      <c r="V53" s="93"/>
      <c r="W53" s="94"/>
      <c r="X53" s="93"/>
      <c r="Y53" s="94"/>
      <c r="Z53" s="93"/>
      <c r="AA53" s="94"/>
      <c r="AB53" s="93"/>
      <c r="AC53" s="94"/>
      <c r="AD53" s="93"/>
      <c r="AE53" s="94"/>
      <c r="AF53" s="89"/>
      <c r="AG53" s="72"/>
    </row>
    <row r="54" spans="1:33" outlineLevel="1">
      <c r="A54" s="63"/>
      <c r="B54" s="63"/>
      <c r="C54" s="64"/>
      <c r="D54" s="61"/>
      <c r="E54" s="65"/>
      <c r="F54" s="66"/>
      <c r="G54" s="67"/>
      <c r="H54" s="66"/>
      <c r="I54" s="67"/>
      <c r="J54" s="66"/>
      <c r="K54" s="67"/>
      <c r="L54" s="66"/>
      <c r="M54" s="67"/>
      <c r="N54" s="66"/>
      <c r="O54" s="67"/>
      <c r="P54" s="66"/>
      <c r="Q54" s="67"/>
      <c r="R54" s="66"/>
      <c r="S54" s="67"/>
      <c r="T54" s="66"/>
      <c r="U54" s="67"/>
      <c r="V54" s="66"/>
      <c r="W54" s="67"/>
      <c r="X54" s="66"/>
      <c r="Y54" s="67"/>
      <c r="Z54" s="66"/>
      <c r="AA54" s="67"/>
      <c r="AB54" s="66"/>
      <c r="AC54" s="67"/>
      <c r="AD54" s="66"/>
      <c r="AE54" s="67"/>
      <c r="AF54" s="68"/>
      <c r="AG54" s="69"/>
    </row>
    <row r="55" spans="1:33" s="65" customFormat="1" ht="4.5" customHeight="1" outlineLevel="1">
      <c r="A55" s="96"/>
      <c r="G55" s="95"/>
      <c r="H55" s="93"/>
      <c r="I55" s="95"/>
      <c r="J55" s="93"/>
      <c r="K55" s="95"/>
      <c r="L55" s="93"/>
      <c r="M55" s="95"/>
      <c r="N55" s="93"/>
      <c r="O55" s="95"/>
      <c r="P55" s="93"/>
      <c r="Q55" s="95"/>
      <c r="R55" s="93"/>
      <c r="S55" s="95"/>
      <c r="T55" s="93"/>
      <c r="U55" s="95"/>
      <c r="V55" s="93"/>
      <c r="W55" s="95"/>
      <c r="X55" s="93"/>
      <c r="Y55" s="95"/>
      <c r="Z55" s="93"/>
      <c r="AA55" s="95"/>
      <c r="AB55" s="93"/>
      <c r="AC55" s="95"/>
      <c r="AD55" s="93"/>
      <c r="AE55" s="95"/>
      <c r="AF55" s="89"/>
      <c r="AG55" s="72"/>
    </row>
    <row r="56" spans="1:33" s="65" customFormat="1" ht="15">
      <c r="C56" s="65" t="s">
        <v>135</v>
      </c>
      <c r="G56" s="92">
        <f>SUM(G54:G55)</f>
        <v>0</v>
      </c>
      <c r="H56" s="93"/>
      <c r="I56" s="92">
        <f>SUM(I54:I55)</f>
        <v>0</v>
      </c>
      <c r="J56" s="93"/>
      <c r="K56" s="92">
        <f>SUM(K54:K55)</f>
        <v>0</v>
      </c>
      <c r="L56" s="93"/>
      <c r="M56" s="92">
        <f>SUM(M54:M55)</f>
        <v>0</v>
      </c>
      <c r="N56" s="93"/>
      <c r="O56" s="92">
        <f>SUM(O54:O55)</f>
        <v>0</v>
      </c>
      <c r="P56" s="93"/>
      <c r="Q56" s="92">
        <f>SUM(Q54:Q55)</f>
        <v>0</v>
      </c>
      <c r="R56" s="93"/>
      <c r="S56" s="92">
        <f>SUM(S54:S55)</f>
        <v>0</v>
      </c>
      <c r="T56" s="93"/>
      <c r="U56" s="92">
        <f>SUM(U54:U55)</f>
        <v>0</v>
      </c>
      <c r="V56" s="93"/>
      <c r="W56" s="92">
        <f>SUM(W54:W55)</f>
        <v>0</v>
      </c>
      <c r="X56" s="93"/>
      <c r="Y56" s="92">
        <f>SUM(Y54:Y55)</f>
        <v>0</v>
      </c>
      <c r="Z56" s="93"/>
      <c r="AA56" s="92">
        <f>SUM(AA54:AA55)</f>
        <v>0</v>
      </c>
      <c r="AB56" s="93"/>
      <c r="AC56" s="92">
        <f>SUM(AC54:AC55)</f>
        <v>0</v>
      </c>
      <c r="AD56" s="93"/>
      <c r="AE56" s="92">
        <f>SUM(AE54:AE55)</f>
        <v>0</v>
      </c>
      <c r="AF56" s="68"/>
      <c r="AG56" s="72"/>
    </row>
    <row r="57" spans="1:33" s="65" customFormat="1" ht="15" outlineLevel="1">
      <c r="G57" s="94"/>
      <c r="H57" s="93"/>
      <c r="I57" s="94"/>
      <c r="J57" s="93"/>
      <c r="K57" s="94"/>
      <c r="L57" s="93"/>
      <c r="M57" s="94"/>
      <c r="N57" s="93"/>
      <c r="O57" s="94"/>
      <c r="P57" s="93"/>
      <c r="Q57" s="94"/>
      <c r="R57" s="93"/>
      <c r="S57" s="94"/>
      <c r="T57" s="93"/>
      <c r="U57" s="94"/>
      <c r="V57" s="93"/>
      <c r="W57" s="94"/>
      <c r="X57" s="93"/>
      <c r="Y57" s="94"/>
      <c r="Z57" s="93"/>
      <c r="AA57" s="94"/>
      <c r="AB57" s="93"/>
      <c r="AC57" s="94"/>
      <c r="AD57" s="93"/>
      <c r="AE57" s="94"/>
      <c r="AF57" s="89"/>
      <c r="AG57" s="72"/>
    </row>
    <row r="58" spans="1:33" s="65" customFormat="1" ht="15" outlineLevel="1">
      <c r="G58" s="94"/>
      <c r="H58" s="93"/>
      <c r="I58" s="94"/>
      <c r="J58" s="93"/>
      <c r="K58" s="94"/>
      <c r="L58" s="93"/>
      <c r="M58" s="94"/>
      <c r="N58" s="93"/>
      <c r="O58" s="94"/>
      <c r="P58" s="93"/>
      <c r="Q58" s="94"/>
      <c r="R58" s="93"/>
      <c r="S58" s="94"/>
      <c r="T58" s="93"/>
      <c r="U58" s="94"/>
      <c r="V58" s="93"/>
      <c r="W58" s="94"/>
      <c r="X58" s="93"/>
      <c r="Y58" s="94"/>
      <c r="Z58" s="93"/>
      <c r="AA58" s="94"/>
      <c r="AB58" s="93"/>
      <c r="AC58" s="94"/>
      <c r="AD58" s="93"/>
      <c r="AE58" s="94"/>
      <c r="AF58" s="89"/>
      <c r="AG58" s="72"/>
    </row>
    <row r="59" spans="1:33" outlineLevel="1">
      <c r="A59" s="63">
        <v>41201</v>
      </c>
      <c r="B59" s="63" t="s">
        <v>136</v>
      </c>
      <c r="C59" s="64"/>
      <c r="D59" s="61"/>
      <c r="E59" s="65"/>
      <c r="F59" s="66"/>
      <c r="G59" s="67">
        <v>2492.6</v>
      </c>
      <c r="H59" s="66"/>
      <c r="I59" s="67">
        <v>2484.4699999999998</v>
      </c>
      <c r="J59" s="66"/>
      <c r="K59" s="67">
        <v>2482.0100000000002</v>
      </c>
      <c r="L59" s="66"/>
      <c r="M59" s="67">
        <v>2453.98</v>
      </c>
      <c r="N59" s="66"/>
      <c r="O59" s="67">
        <v>2442.12</v>
      </c>
      <c r="P59" s="66"/>
      <c r="Q59" s="67">
        <v>2415.5700000000002</v>
      </c>
      <c r="R59" s="66"/>
      <c r="S59" s="67">
        <v>2368.9299999999998</v>
      </c>
      <c r="T59" s="66"/>
      <c r="U59" s="67">
        <v>2356.3200000000002</v>
      </c>
      <c r="V59" s="66"/>
      <c r="W59" s="67">
        <v>2449.71</v>
      </c>
      <c r="X59" s="66"/>
      <c r="Y59" s="67">
        <v>2392.35</v>
      </c>
      <c r="Z59" s="66"/>
      <c r="AA59" s="67">
        <v>2438.9299999999998</v>
      </c>
      <c r="AB59" s="66"/>
      <c r="AC59" s="67">
        <v>2514.0700000000002</v>
      </c>
      <c r="AD59" s="66"/>
      <c r="AE59" s="67">
        <f t="shared" ref="AE59:AE61" si="4">AC59+AA59+Y59+W59+U59+S59+Q59+O59+M59+K59+I59+G59</f>
        <v>29291.059999999998</v>
      </c>
      <c r="AF59" s="68"/>
      <c r="AG59" s="69"/>
    </row>
    <row r="60" spans="1:33" outlineLevel="1">
      <c r="A60" s="63">
        <v>43001</v>
      </c>
      <c r="B60" s="63" t="s">
        <v>137</v>
      </c>
      <c r="C60" s="64"/>
      <c r="D60" s="61"/>
      <c r="E60" s="65"/>
      <c r="F60" s="66"/>
      <c r="G60" s="67">
        <v>3924.9</v>
      </c>
      <c r="H60" s="66"/>
      <c r="I60" s="67">
        <v>3864.74</v>
      </c>
      <c r="J60" s="66"/>
      <c r="K60" s="67">
        <v>3715.26</v>
      </c>
      <c r="L60" s="66"/>
      <c r="M60" s="67">
        <v>5560.13</v>
      </c>
      <c r="N60" s="66"/>
      <c r="O60" s="67">
        <v>3766.5</v>
      </c>
      <c r="P60" s="66"/>
      <c r="Q60" s="67">
        <v>3531.01</v>
      </c>
      <c r="R60" s="66"/>
      <c r="S60" s="67">
        <v>3642.01</v>
      </c>
      <c r="T60" s="66"/>
      <c r="U60" s="67">
        <v>3577.59</v>
      </c>
      <c r="V60" s="66"/>
      <c r="W60" s="67">
        <v>3747.73</v>
      </c>
      <c r="X60" s="66"/>
      <c r="Y60" s="67">
        <v>3813.05</v>
      </c>
      <c r="Z60" s="66"/>
      <c r="AA60" s="67">
        <v>3873.44</v>
      </c>
      <c r="AB60" s="66"/>
      <c r="AC60" s="67">
        <v>4011.98</v>
      </c>
      <c r="AD60" s="66"/>
      <c r="AE60" s="67">
        <f t="shared" si="4"/>
        <v>47028.340000000004</v>
      </c>
      <c r="AF60" s="68"/>
      <c r="AG60" s="69"/>
    </row>
    <row r="61" spans="1:33" outlineLevel="1">
      <c r="A61" s="63">
        <v>43002</v>
      </c>
      <c r="B61" s="63" t="s">
        <v>138</v>
      </c>
      <c r="C61" s="64"/>
      <c r="D61" s="61"/>
      <c r="E61" s="65"/>
      <c r="F61" s="66"/>
      <c r="G61" s="67">
        <v>1163</v>
      </c>
      <c r="H61" s="66"/>
      <c r="I61" s="67">
        <v>738</v>
      </c>
      <c r="J61" s="66"/>
      <c r="K61" s="67">
        <v>1153</v>
      </c>
      <c r="L61" s="66"/>
      <c r="M61" s="67">
        <v>717</v>
      </c>
      <c r="N61" s="66"/>
      <c r="O61" s="67">
        <v>1139</v>
      </c>
      <c r="P61" s="66"/>
      <c r="Q61" s="67">
        <v>546</v>
      </c>
      <c r="R61" s="66"/>
      <c r="S61" s="67">
        <v>1211</v>
      </c>
      <c r="T61" s="66"/>
      <c r="U61" s="67">
        <v>657</v>
      </c>
      <c r="V61" s="66"/>
      <c r="W61" s="67">
        <v>1118</v>
      </c>
      <c r="X61" s="66"/>
      <c r="Y61" s="67">
        <v>744</v>
      </c>
      <c r="Z61" s="66"/>
      <c r="AA61" s="67">
        <v>1113.81</v>
      </c>
      <c r="AB61" s="66"/>
      <c r="AC61" s="67">
        <v>771</v>
      </c>
      <c r="AD61" s="66"/>
      <c r="AE61" s="67">
        <f t="shared" si="4"/>
        <v>11070.81</v>
      </c>
      <c r="AF61" s="68"/>
      <c r="AG61" s="69"/>
    </row>
    <row r="62" spans="1:33" s="65" customFormat="1" ht="5.0999999999999996" customHeight="1" outlineLevel="1">
      <c r="A62" s="64"/>
      <c r="B62" s="64"/>
      <c r="C62" s="64"/>
      <c r="D62" s="64"/>
      <c r="G62" s="95"/>
      <c r="H62" s="93"/>
      <c r="I62" s="95"/>
      <c r="J62" s="93"/>
      <c r="K62" s="95"/>
      <c r="L62" s="93"/>
      <c r="M62" s="95"/>
      <c r="N62" s="93"/>
      <c r="O62" s="95"/>
      <c r="P62" s="93"/>
      <c r="Q62" s="95"/>
      <c r="R62" s="93"/>
      <c r="S62" s="95"/>
      <c r="T62" s="93"/>
      <c r="U62" s="95"/>
      <c r="V62" s="93"/>
      <c r="W62" s="95"/>
      <c r="X62" s="93"/>
      <c r="Y62" s="95"/>
      <c r="Z62" s="93"/>
      <c r="AA62" s="95"/>
      <c r="AB62" s="93"/>
      <c r="AC62" s="95"/>
      <c r="AD62" s="93"/>
      <c r="AE62" s="95"/>
      <c r="AF62" s="89"/>
      <c r="AG62" s="72"/>
    </row>
    <row r="63" spans="1:33" s="65" customFormat="1" ht="15">
      <c r="C63" s="64" t="s">
        <v>139</v>
      </c>
      <c r="D63" s="99"/>
      <c r="E63" s="99"/>
      <c r="F63" s="99"/>
      <c r="G63" s="92">
        <f>SUM(G58:G62)</f>
        <v>7580.5</v>
      </c>
      <c r="H63" s="93"/>
      <c r="I63" s="92">
        <f>SUM(I58:I62)</f>
        <v>7087.2099999999991</v>
      </c>
      <c r="J63" s="93"/>
      <c r="K63" s="92">
        <f>SUM(K58:K62)</f>
        <v>7350.27</v>
      </c>
      <c r="L63" s="93"/>
      <c r="M63" s="92">
        <f>SUM(M58:M62)</f>
        <v>8731.11</v>
      </c>
      <c r="N63" s="93"/>
      <c r="O63" s="92">
        <f>SUM(O58:O62)</f>
        <v>7347.62</v>
      </c>
      <c r="P63" s="93"/>
      <c r="Q63" s="92">
        <f>SUM(Q58:Q62)</f>
        <v>6492.58</v>
      </c>
      <c r="R63" s="93"/>
      <c r="S63" s="92">
        <f>SUM(S58:S62)</f>
        <v>7221.9400000000005</v>
      </c>
      <c r="T63" s="93"/>
      <c r="U63" s="92">
        <f>SUM(U58:U62)</f>
        <v>6590.91</v>
      </c>
      <c r="V63" s="93"/>
      <c r="W63" s="92">
        <f>SUM(W58:W62)</f>
        <v>7315.4400000000005</v>
      </c>
      <c r="X63" s="93"/>
      <c r="Y63" s="92">
        <f>SUM(Y58:Y62)</f>
        <v>6949.4</v>
      </c>
      <c r="Z63" s="93"/>
      <c r="AA63" s="92">
        <f>SUM(AA58:AA62)</f>
        <v>7426.18</v>
      </c>
      <c r="AB63" s="93"/>
      <c r="AC63" s="92">
        <f>SUM(AC58:AC62)</f>
        <v>7297.05</v>
      </c>
      <c r="AD63" s="93"/>
      <c r="AE63" s="92">
        <f>SUM(AE58:AE62)</f>
        <v>87390.209999999992</v>
      </c>
      <c r="AF63" s="68"/>
      <c r="AG63" s="72"/>
    </row>
    <row r="64" spans="1:33" s="65" customFormat="1" ht="15" outlineLevel="1">
      <c r="G64" s="94"/>
      <c r="H64" s="93"/>
      <c r="I64" s="94"/>
      <c r="J64" s="93"/>
      <c r="K64" s="94"/>
      <c r="L64" s="93"/>
      <c r="M64" s="94"/>
      <c r="N64" s="93"/>
      <c r="O64" s="94"/>
      <c r="P64" s="93"/>
      <c r="Q64" s="94"/>
      <c r="R64" s="93"/>
      <c r="S64" s="94"/>
      <c r="T64" s="93"/>
      <c r="U64" s="94"/>
      <c r="V64" s="93"/>
      <c r="W64" s="94"/>
      <c r="X64" s="93"/>
      <c r="Y64" s="94"/>
      <c r="Z64" s="93"/>
      <c r="AA64" s="94"/>
      <c r="AB64" s="93"/>
      <c r="AC64" s="94"/>
      <c r="AD64" s="93"/>
      <c r="AE64" s="94"/>
      <c r="AF64" s="89"/>
      <c r="AG64" s="72"/>
    </row>
    <row r="65" spans="1:33" s="65" customFormat="1" ht="15" outlineLevel="1">
      <c r="G65" s="94"/>
      <c r="H65" s="93"/>
      <c r="I65" s="94"/>
      <c r="J65" s="93"/>
      <c r="K65" s="94"/>
      <c r="L65" s="93"/>
      <c r="M65" s="94"/>
      <c r="N65" s="93"/>
      <c r="O65" s="94"/>
      <c r="P65" s="93"/>
      <c r="Q65" s="94"/>
      <c r="R65" s="93"/>
      <c r="S65" s="94"/>
      <c r="T65" s="93"/>
      <c r="U65" s="94"/>
      <c r="V65" s="93"/>
      <c r="W65" s="94"/>
      <c r="X65" s="93"/>
      <c r="Y65" s="94"/>
      <c r="Z65" s="93"/>
      <c r="AA65" s="94"/>
      <c r="AB65" s="93"/>
      <c r="AC65" s="94"/>
      <c r="AD65" s="93"/>
      <c r="AE65" s="94"/>
      <c r="AF65" s="89"/>
      <c r="AG65" s="72"/>
    </row>
    <row r="66" spans="1:33" outlineLevel="1">
      <c r="A66" s="63">
        <v>44161</v>
      </c>
      <c r="B66" s="63" t="s">
        <v>140</v>
      </c>
      <c r="C66" s="64"/>
      <c r="D66" s="61"/>
      <c r="E66" s="65"/>
      <c r="F66" s="66"/>
      <c r="G66" s="67">
        <v>758.14</v>
      </c>
      <c r="H66" s="66"/>
      <c r="I66" s="67">
        <v>457.5</v>
      </c>
      <c r="J66" s="66"/>
      <c r="K66" s="67">
        <v>570.29999999999995</v>
      </c>
      <c r="L66" s="66"/>
      <c r="M66" s="67">
        <v>487.8</v>
      </c>
      <c r="N66" s="66"/>
      <c r="O66" s="67">
        <v>642</v>
      </c>
      <c r="P66" s="66"/>
      <c r="Q66" s="67">
        <v>541.79999999999995</v>
      </c>
      <c r="R66" s="66"/>
      <c r="S66" s="67">
        <v>577.20000000000005</v>
      </c>
      <c r="T66" s="66"/>
      <c r="U66" s="67">
        <v>759</v>
      </c>
      <c r="V66" s="66"/>
      <c r="W66" s="67">
        <v>825.9</v>
      </c>
      <c r="X66" s="66"/>
      <c r="Y66" s="67">
        <v>724.8</v>
      </c>
      <c r="Z66" s="66"/>
      <c r="AA66" s="67">
        <v>775.2</v>
      </c>
      <c r="AB66" s="66"/>
      <c r="AC66" s="67">
        <v>772.2</v>
      </c>
      <c r="AD66" s="66"/>
      <c r="AE66" s="67">
        <f t="shared" ref="AE66:AE67" si="5">AC66+AA66+Y66+W66+U66+S66+Q66+O66+M66+K66+I66+G66</f>
        <v>7891.8400000000011</v>
      </c>
      <c r="AF66" s="68"/>
      <c r="AG66" s="69"/>
    </row>
    <row r="67" spans="1:33" outlineLevel="1">
      <c r="A67" s="63">
        <v>44168</v>
      </c>
      <c r="B67" s="63" t="s">
        <v>141</v>
      </c>
      <c r="C67" s="64"/>
      <c r="D67" s="61"/>
      <c r="E67" s="65"/>
      <c r="F67" s="66"/>
      <c r="G67" s="67">
        <v>0</v>
      </c>
      <c r="H67" s="66"/>
      <c r="I67" s="67">
        <v>27.13</v>
      </c>
      <c r="J67" s="66"/>
      <c r="K67" s="67">
        <v>0</v>
      </c>
      <c r="L67" s="66"/>
      <c r="M67" s="67">
        <v>272.43</v>
      </c>
      <c r="N67" s="66"/>
      <c r="O67" s="67">
        <v>136.12</v>
      </c>
      <c r="P67" s="66"/>
      <c r="Q67" s="67">
        <v>293.22000000000003</v>
      </c>
      <c r="R67" s="66"/>
      <c r="S67" s="67">
        <v>236.36</v>
      </c>
      <c r="T67" s="66"/>
      <c r="U67" s="67">
        <v>412.61</v>
      </c>
      <c r="V67" s="66"/>
      <c r="W67" s="67">
        <v>639.82000000000005</v>
      </c>
      <c r="X67" s="66"/>
      <c r="Y67" s="67">
        <v>330.69</v>
      </c>
      <c r="Z67" s="66"/>
      <c r="AA67" s="67">
        <v>277.68</v>
      </c>
      <c r="AB67" s="66"/>
      <c r="AC67" s="67">
        <v>0</v>
      </c>
      <c r="AD67" s="66"/>
      <c r="AE67" s="67">
        <f t="shared" si="5"/>
        <v>2626.06</v>
      </c>
      <c r="AF67" s="68"/>
      <c r="AG67" s="69"/>
    </row>
    <row r="68" spans="1:33" s="65" customFormat="1" ht="5.0999999999999996" customHeight="1" outlineLevel="1">
      <c r="A68" s="64"/>
      <c r="B68" s="64"/>
      <c r="C68" s="64"/>
      <c r="D68" s="64"/>
      <c r="G68" s="95"/>
      <c r="H68" s="93"/>
      <c r="I68" s="95"/>
      <c r="J68" s="93"/>
      <c r="K68" s="95"/>
      <c r="L68" s="93"/>
      <c r="M68" s="95"/>
      <c r="N68" s="93"/>
      <c r="O68" s="95"/>
      <c r="P68" s="93"/>
      <c r="Q68" s="95"/>
      <c r="R68" s="93"/>
      <c r="S68" s="95"/>
      <c r="T68" s="93"/>
      <c r="U68" s="95"/>
      <c r="V68" s="93"/>
      <c r="W68" s="95"/>
      <c r="X68" s="93"/>
      <c r="Y68" s="95"/>
      <c r="Z68" s="93"/>
      <c r="AA68" s="95"/>
      <c r="AB68" s="93"/>
      <c r="AC68" s="95"/>
      <c r="AD68" s="93"/>
      <c r="AE68" s="95"/>
      <c r="AF68" s="89"/>
      <c r="AG68" s="72"/>
    </row>
    <row r="69" spans="1:33" s="65" customFormat="1" ht="15">
      <c r="C69" s="64" t="s">
        <v>142</v>
      </c>
      <c r="D69" s="99"/>
      <c r="E69" s="99"/>
      <c r="F69" s="99"/>
      <c r="G69" s="92">
        <f>SUM(G65:G68)</f>
        <v>758.14</v>
      </c>
      <c r="H69" s="93"/>
      <c r="I69" s="92">
        <f>SUM(I65:I68)</f>
        <v>484.63</v>
      </c>
      <c r="J69" s="93"/>
      <c r="K69" s="92">
        <f>SUM(K65:K68)</f>
        <v>570.29999999999995</v>
      </c>
      <c r="L69" s="93"/>
      <c r="M69" s="92">
        <f>SUM(M65:M68)</f>
        <v>760.23</v>
      </c>
      <c r="N69" s="93"/>
      <c r="O69" s="92">
        <f>SUM(O65:O68)</f>
        <v>778.12</v>
      </c>
      <c r="P69" s="93"/>
      <c r="Q69" s="92">
        <f>SUM(Q65:Q68)</f>
        <v>835.02</v>
      </c>
      <c r="R69" s="93"/>
      <c r="S69" s="92">
        <f>SUM(S65:S68)</f>
        <v>813.56000000000006</v>
      </c>
      <c r="T69" s="93"/>
      <c r="U69" s="92">
        <f>SUM(U65:U68)</f>
        <v>1171.6100000000001</v>
      </c>
      <c r="V69" s="93"/>
      <c r="W69" s="92">
        <f>SUM(W65:W68)</f>
        <v>1465.72</v>
      </c>
      <c r="X69" s="93"/>
      <c r="Y69" s="92">
        <f>SUM(Y65:Y68)</f>
        <v>1055.49</v>
      </c>
      <c r="Z69" s="93"/>
      <c r="AA69" s="92">
        <f>SUM(AA65:AA68)</f>
        <v>1052.8800000000001</v>
      </c>
      <c r="AB69" s="93"/>
      <c r="AC69" s="92">
        <f>SUM(AC65:AC68)</f>
        <v>772.2</v>
      </c>
      <c r="AD69" s="93"/>
      <c r="AE69" s="92">
        <f>SUM(AE65:AE68)</f>
        <v>10517.900000000001</v>
      </c>
      <c r="AF69" s="68"/>
      <c r="AG69" s="72"/>
    </row>
    <row r="70" spans="1:33" s="65" customFormat="1" ht="15" outlineLevel="1">
      <c r="G70" s="94"/>
      <c r="H70" s="93"/>
      <c r="I70" s="94"/>
      <c r="J70" s="93"/>
      <c r="K70" s="94"/>
      <c r="L70" s="93"/>
      <c r="M70" s="94"/>
      <c r="N70" s="93"/>
      <c r="O70" s="94"/>
      <c r="P70" s="93"/>
      <c r="Q70" s="94"/>
      <c r="R70" s="93"/>
      <c r="S70" s="94"/>
      <c r="T70" s="93"/>
      <c r="U70" s="94"/>
      <c r="V70" s="93"/>
      <c r="W70" s="94"/>
      <c r="X70" s="93"/>
      <c r="Y70" s="94"/>
      <c r="Z70" s="93"/>
      <c r="AA70" s="94"/>
      <c r="AB70" s="93"/>
      <c r="AC70" s="94"/>
      <c r="AD70" s="93"/>
      <c r="AE70" s="94"/>
      <c r="AF70" s="89"/>
      <c r="AG70" s="72"/>
    </row>
    <row r="71" spans="1:33" customFormat="1" ht="15" outlineLevel="1"/>
    <row r="72" spans="1:33" s="65" customFormat="1" ht="4.5" customHeight="1" outlineLevel="1">
      <c r="A72" s="96"/>
      <c r="G72" s="95"/>
      <c r="H72" s="93"/>
      <c r="I72" s="95"/>
      <c r="J72" s="93"/>
      <c r="K72" s="95"/>
      <c r="L72" s="93"/>
      <c r="M72" s="95"/>
      <c r="N72" s="93"/>
      <c r="O72" s="95"/>
      <c r="P72" s="93"/>
      <c r="Q72" s="95"/>
      <c r="R72" s="93"/>
      <c r="S72" s="95"/>
      <c r="T72" s="93"/>
      <c r="U72" s="95"/>
      <c r="V72" s="93"/>
      <c r="W72" s="95"/>
      <c r="X72" s="93"/>
      <c r="Y72" s="95"/>
      <c r="Z72" s="93"/>
      <c r="AA72" s="95"/>
      <c r="AB72" s="93"/>
      <c r="AC72" s="95"/>
      <c r="AD72" s="93"/>
      <c r="AE72" s="95"/>
      <c r="AF72" s="89"/>
      <c r="AG72" s="72"/>
    </row>
    <row r="73" spans="1:33" s="65" customFormat="1" ht="15">
      <c r="C73" s="65" t="s">
        <v>143</v>
      </c>
      <c r="G73" s="92">
        <f>SUM(G71:G72)</f>
        <v>0</v>
      </c>
      <c r="H73" s="93"/>
      <c r="I73" s="92">
        <f>SUM(I71:I72)</f>
        <v>0</v>
      </c>
      <c r="J73" s="93"/>
      <c r="K73" s="92">
        <f>SUM(K71:K72)</f>
        <v>0</v>
      </c>
      <c r="L73" s="93"/>
      <c r="M73" s="92">
        <f>SUM(M71:M72)</f>
        <v>0</v>
      </c>
      <c r="N73" s="93"/>
      <c r="O73" s="92">
        <f>SUM(O71:O72)</f>
        <v>0</v>
      </c>
      <c r="P73" s="93"/>
      <c r="Q73" s="92">
        <f>SUM(Q71:Q72)</f>
        <v>0</v>
      </c>
      <c r="R73" s="93"/>
      <c r="S73" s="92">
        <f>SUM(S71:S72)</f>
        <v>0</v>
      </c>
      <c r="T73" s="93"/>
      <c r="U73" s="92">
        <f>SUM(U71:U72)</f>
        <v>0</v>
      </c>
      <c r="V73" s="93"/>
      <c r="W73" s="92">
        <f>SUM(W71:W72)</f>
        <v>0</v>
      </c>
      <c r="X73" s="93"/>
      <c r="Y73" s="92">
        <f>SUM(Y71:Y72)</f>
        <v>0</v>
      </c>
      <c r="Z73" s="93"/>
      <c r="AA73" s="92">
        <f>SUM(AA71:AA72)</f>
        <v>0</v>
      </c>
      <c r="AB73" s="93"/>
      <c r="AC73" s="92">
        <f>SUM(AC71:AC72)</f>
        <v>0</v>
      </c>
      <c r="AD73" s="93"/>
      <c r="AE73" s="92">
        <f>SUM(AE71:AE72)</f>
        <v>0</v>
      </c>
      <c r="AF73" s="68"/>
      <c r="AG73" s="72"/>
    </row>
    <row r="74" spans="1:33" s="65" customFormat="1" ht="7.5" customHeight="1">
      <c r="G74" s="94"/>
      <c r="H74" s="93"/>
      <c r="I74" s="94"/>
      <c r="J74" s="93"/>
      <c r="K74" s="94"/>
      <c r="L74" s="93"/>
      <c r="M74" s="94"/>
      <c r="N74" s="93"/>
      <c r="O74" s="94"/>
      <c r="P74" s="93"/>
      <c r="Q74" s="94"/>
      <c r="R74" s="93"/>
      <c r="S74" s="94"/>
      <c r="T74" s="93"/>
      <c r="U74" s="94"/>
      <c r="V74" s="93"/>
      <c r="W74" s="94"/>
      <c r="X74" s="93"/>
      <c r="Y74" s="94"/>
      <c r="Z74" s="93"/>
      <c r="AA74" s="94"/>
      <c r="AB74" s="93"/>
      <c r="AC74" s="94"/>
      <c r="AD74" s="93"/>
      <c r="AE74" s="94"/>
      <c r="AF74" s="89"/>
      <c r="AG74" s="72"/>
    </row>
    <row r="75" spans="1:33" s="65" customFormat="1" ht="15">
      <c r="B75" s="97" t="s">
        <v>144</v>
      </c>
      <c r="G75" s="98">
        <f>+G52+G63+G69+G56+G73</f>
        <v>86771.95</v>
      </c>
      <c r="H75" s="93"/>
      <c r="I75" s="98">
        <f>+I52+I63+I69+I56+I73</f>
        <v>79808.81</v>
      </c>
      <c r="J75" s="93"/>
      <c r="K75" s="98">
        <f>+K52+K63+K69+K56+K73</f>
        <v>88449.930000000008</v>
      </c>
      <c r="L75" s="93"/>
      <c r="M75" s="98">
        <f>+M52+M63+M69+M56+M73</f>
        <v>80927.25</v>
      </c>
      <c r="N75" s="93"/>
      <c r="O75" s="98">
        <f>+O52+O63+O69+O56+O73</f>
        <v>85401.499999999985</v>
      </c>
      <c r="P75" s="93"/>
      <c r="Q75" s="98">
        <f>+Q52+Q63+Q69+Q56+Q73</f>
        <v>88434.97</v>
      </c>
      <c r="R75" s="93"/>
      <c r="S75" s="98">
        <f>+S52+S63+S69+S56+S73</f>
        <v>77744.83</v>
      </c>
      <c r="T75" s="93"/>
      <c r="U75" s="98">
        <f>+U52+U63+U69+U56+U73</f>
        <v>75972.28</v>
      </c>
      <c r="V75" s="93"/>
      <c r="W75" s="98">
        <f>+W52+W63+W69+W56+W73</f>
        <v>90345.91</v>
      </c>
      <c r="X75" s="93"/>
      <c r="Y75" s="98">
        <f>+Y52+Y63+Y69+Y56+Y73</f>
        <v>85030.47</v>
      </c>
      <c r="Z75" s="93"/>
      <c r="AA75" s="98">
        <f>+AA52+AA63+AA69+AA56+AA73</f>
        <v>86626.75</v>
      </c>
      <c r="AB75" s="93"/>
      <c r="AC75" s="98">
        <f>+AC52+AC63+AC69+AC56+AC73</f>
        <v>103445.51999999999</v>
      </c>
      <c r="AD75" s="93"/>
      <c r="AE75" s="98">
        <f>+AE52+AE63+AE69+AE56+AE73</f>
        <v>1028960.17</v>
      </c>
      <c r="AF75" s="68"/>
      <c r="AG75" s="72"/>
    </row>
    <row r="76" spans="1:33" s="65" customFormat="1" ht="7.5" customHeight="1">
      <c r="G76" s="94"/>
      <c r="H76" s="93"/>
      <c r="I76" s="94"/>
      <c r="J76" s="93"/>
      <c r="K76" s="94"/>
      <c r="L76" s="93"/>
      <c r="M76" s="94"/>
      <c r="N76" s="93"/>
      <c r="O76" s="94"/>
      <c r="P76" s="93"/>
      <c r="Q76" s="94"/>
      <c r="R76" s="93"/>
      <c r="S76" s="94"/>
      <c r="T76" s="93"/>
      <c r="U76" s="94"/>
      <c r="V76" s="93"/>
      <c r="W76" s="94"/>
      <c r="X76" s="93"/>
      <c r="Y76" s="94"/>
      <c r="Z76" s="93"/>
      <c r="AA76" s="94"/>
      <c r="AB76" s="93"/>
      <c r="AC76" s="94"/>
      <c r="AD76" s="93"/>
      <c r="AE76" s="94"/>
      <c r="AF76" s="89"/>
      <c r="AG76" s="72"/>
    </row>
    <row r="77" spans="1:33" s="65" customFormat="1" ht="15">
      <c r="B77" s="100" t="s">
        <v>145</v>
      </c>
      <c r="G77" s="98">
        <f>G45-G75</f>
        <v>164784.82</v>
      </c>
      <c r="H77" s="93"/>
      <c r="I77" s="98">
        <f>I45-I75</f>
        <v>177217.27000000002</v>
      </c>
      <c r="J77" s="93"/>
      <c r="K77" s="98">
        <f>K45-K75</f>
        <v>164946.71999999997</v>
      </c>
      <c r="L77" s="93"/>
      <c r="M77" s="98">
        <f>M45-M75</f>
        <v>166310.31999999998</v>
      </c>
      <c r="N77" s="93"/>
      <c r="O77" s="98">
        <f>O45-O75</f>
        <v>162351.99</v>
      </c>
      <c r="P77" s="93"/>
      <c r="Q77" s="98">
        <f>Q45-Q75</f>
        <v>148240.15</v>
      </c>
      <c r="R77" s="93"/>
      <c r="S77" s="98">
        <f>S45-S75</f>
        <v>156871.10999999999</v>
      </c>
      <c r="T77" s="93"/>
      <c r="U77" s="98">
        <f>U45-U75</f>
        <v>158380.41</v>
      </c>
      <c r="V77" s="93"/>
      <c r="W77" s="98">
        <f>W45-W75</f>
        <v>155421.18000000002</v>
      </c>
      <c r="X77" s="93"/>
      <c r="Y77" s="98">
        <f>Y45-Y75</f>
        <v>169247.57999999996</v>
      </c>
      <c r="Z77" s="93"/>
      <c r="AA77" s="98">
        <f>AA45-AA75</f>
        <v>159587.87</v>
      </c>
      <c r="AB77" s="93"/>
      <c r="AC77" s="98">
        <f>AC45-AC75</f>
        <v>159015.96</v>
      </c>
      <c r="AD77" s="93"/>
      <c r="AE77" s="98">
        <f>AE45-AE75</f>
        <v>1942375.3800000004</v>
      </c>
      <c r="AF77" s="68"/>
      <c r="AG77" s="72"/>
    </row>
    <row r="78" spans="1:33" s="65" customFormat="1" ht="7.5" customHeight="1">
      <c r="G78" s="94"/>
      <c r="H78" s="93"/>
      <c r="I78" s="94"/>
      <c r="J78" s="93"/>
      <c r="K78" s="94"/>
      <c r="L78" s="93"/>
      <c r="M78" s="94"/>
      <c r="N78" s="93"/>
      <c r="O78" s="94"/>
      <c r="P78" s="93"/>
      <c r="Q78" s="94"/>
      <c r="R78" s="93"/>
      <c r="S78" s="94"/>
      <c r="T78" s="93"/>
      <c r="U78" s="94"/>
      <c r="V78" s="93"/>
      <c r="W78" s="94"/>
      <c r="X78" s="93"/>
      <c r="Y78" s="94"/>
      <c r="Z78" s="93"/>
      <c r="AA78" s="94"/>
      <c r="AB78" s="93"/>
      <c r="AC78" s="94"/>
      <c r="AD78" s="93"/>
      <c r="AE78" s="94"/>
      <c r="AF78" s="89"/>
      <c r="AG78" s="72"/>
    </row>
    <row r="79" spans="1:33" s="65" customFormat="1" ht="15" outlineLevel="1">
      <c r="G79" s="94"/>
      <c r="H79" s="93"/>
      <c r="I79" s="94"/>
      <c r="J79" s="93"/>
      <c r="K79" s="94"/>
      <c r="L79" s="93"/>
      <c r="M79" s="94"/>
      <c r="N79" s="93"/>
      <c r="O79" s="94"/>
      <c r="P79" s="93"/>
      <c r="Q79" s="94"/>
      <c r="R79" s="93"/>
      <c r="S79" s="94"/>
      <c r="T79" s="93"/>
      <c r="U79" s="94"/>
      <c r="V79" s="93"/>
      <c r="W79" s="94"/>
      <c r="X79" s="93"/>
      <c r="Y79" s="94"/>
      <c r="Z79" s="93"/>
      <c r="AA79" s="94"/>
      <c r="AB79" s="93"/>
      <c r="AC79" s="94"/>
      <c r="AD79" s="93"/>
      <c r="AE79" s="94"/>
      <c r="AF79" s="89"/>
      <c r="AG79" s="72"/>
    </row>
    <row r="80" spans="1:33" outlineLevel="1">
      <c r="A80" s="63">
        <v>50020</v>
      </c>
      <c r="B80" s="63" t="s">
        <v>39</v>
      </c>
      <c r="C80" s="64"/>
      <c r="D80" s="61"/>
      <c r="E80" s="65"/>
      <c r="F80" s="66"/>
      <c r="G80" s="67">
        <v>33996.080000000002</v>
      </c>
      <c r="H80" s="66"/>
      <c r="I80" s="67">
        <v>30597.41</v>
      </c>
      <c r="J80" s="66"/>
      <c r="K80" s="67">
        <v>32248.799999999999</v>
      </c>
      <c r="L80" s="66"/>
      <c r="M80" s="67">
        <v>32098.14</v>
      </c>
      <c r="N80" s="66"/>
      <c r="O80" s="67">
        <v>29373.22</v>
      </c>
      <c r="P80" s="66"/>
      <c r="Q80" s="67">
        <v>34531.300000000003</v>
      </c>
      <c r="R80" s="66"/>
      <c r="S80" s="67">
        <v>31574.86</v>
      </c>
      <c r="T80" s="66"/>
      <c r="U80" s="67">
        <v>32271.62</v>
      </c>
      <c r="V80" s="66"/>
      <c r="W80" s="67">
        <v>36816.04</v>
      </c>
      <c r="X80" s="66"/>
      <c r="Y80" s="67">
        <v>30750.720000000001</v>
      </c>
      <c r="Z80" s="66"/>
      <c r="AA80" s="67">
        <v>32181.84</v>
      </c>
      <c r="AB80" s="66"/>
      <c r="AC80" s="67">
        <v>36440.11</v>
      </c>
      <c r="AD80" s="66"/>
      <c r="AE80" s="67">
        <f t="shared" ref="AE80:AE89" si="6">AC80+AA80+Y80+W80+U80+S80+Q80+O80+M80+K80+I80+G80</f>
        <v>392880.13999999996</v>
      </c>
      <c r="AF80" s="68"/>
      <c r="AG80" s="69"/>
    </row>
    <row r="81" spans="1:33" outlineLevel="1">
      <c r="A81" s="63">
        <v>50025</v>
      </c>
      <c r="B81" s="63" t="s">
        <v>146</v>
      </c>
      <c r="C81" s="64"/>
      <c r="D81" s="61"/>
      <c r="E81" s="65"/>
      <c r="F81" s="66"/>
      <c r="G81" s="67">
        <v>2346.3000000000002</v>
      </c>
      <c r="H81" s="66"/>
      <c r="I81" s="67">
        <v>2902.21</v>
      </c>
      <c r="J81" s="66"/>
      <c r="K81" s="67">
        <v>1799.97</v>
      </c>
      <c r="L81" s="66"/>
      <c r="M81" s="67">
        <v>3040.94</v>
      </c>
      <c r="N81" s="66"/>
      <c r="O81" s="67">
        <v>1845.05</v>
      </c>
      <c r="P81" s="66"/>
      <c r="Q81" s="67">
        <v>2962.97</v>
      </c>
      <c r="R81" s="66"/>
      <c r="S81" s="67">
        <v>2600.2800000000002</v>
      </c>
      <c r="T81" s="66"/>
      <c r="U81" s="67">
        <v>2187.31</v>
      </c>
      <c r="V81" s="66"/>
      <c r="W81" s="67">
        <v>2664.08</v>
      </c>
      <c r="X81" s="66"/>
      <c r="Y81" s="67">
        <v>3104.87</v>
      </c>
      <c r="Z81" s="66"/>
      <c r="AA81" s="67">
        <v>1965.12</v>
      </c>
      <c r="AB81" s="66"/>
      <c r="AC81" s="67">
        <v>2055.09</v>
      </c>
      <c r="AD81" s="66"/>
      <c r="AE81" s="67">
        <f t="shared" si="6"/>
        <v>29474.19</v>
      </c>
      <c r="AF81" s="68"/>
      <c r="AG81" s="69"/>
    </row>
    <row r="82" spans="1:33" outlineLevel="1">
      <c r="A82" s="63">
        <v>50035</v>
      </c>
      <c r="B82" s="63" t="s">
        <v>147</v>
      </c>
      <c r="C82" s="64"/>
      <c r="D82" s="61"/>
      <c r="E82" s="65"/>
      <c r="F82" s="66"/>
      <c r="G82" s="67">
        <v>1318</v>
      </c>
      <c r="H82" s="66"/>
      <c r="I82" s="67">
        <v>1383</v>
      </c>
      <c r="J82" s="66"/>
      <c r="K82" s="67">
        <v>1325</v>
      </c>
      <c r="L82" s="66"/>
      <c r="M82" s="67">
        <v>1052</v>
      </c>
      <c r="N82" s="66"/>
      <c r="O82" s="67">
        <v>1401</v>
      </c>
      <c r="P82" s="66"/>
      <c r="Q82" s="67">
        <v>2054</v>
      </c>
      <c r="R82" s="66"/>
      <c r="S82" s="67">
        <v>1401</v>
      </c>
      <c r="T82" s="66"/>
      <c r="U82" s="67">
        <v>1317</v>
      </c>
      <c r="V82" s="66"/>
      <c r="W82" s="67">
        <v>1331</v>
      </c>
      <c r="X82" s="66"/>
      <c r="Y82" s="67">
        <v>1345</v>
      </c>
      <c r="Z82" s="66"/>
      <c r="AA82" s="67">
        <v>1456</v>
      </c>
      <c r="AB82" s="66"/>
      <c r="AC82" s="67">
        <v>1386</v>
      </c>
      <c r="AD82" s="66"/>
      <c r="AE82" s="67">
        <f t="shared" si="6"/>
        <v>16769</v>
      </c>
      <c r="AF82" s="68"/>
      <c r="AG82" s="69"/>
    </row>
    <row r="83" spans="1:33" outlineLevel="1">
      <c r="A83" s="63">
        <v>50050</v>
      </c>
      <c r="B83" s="63" t="s">
        <v>106</v>
      </c>
      <c r="C83" s="64"/>
      <c r="D83" s="61"/>
      <c r="E83" s="65"/>
      <c r="F83" s="66"/>
      <c r="G83" s="67">
        <v>3059.09</v>
      </c>
      <c r="H83" s="66"/>
      <c r="I83" s="67">
        <v>2890.85</v>
      </c>
      <c r="J83" s="66"/>
      <c r="K83" s="67">
        <v>2872.03</v>
      </c>
      <c r="L83" s="66"/>
      <c r="M83" s="67">
        <v>3024.15</v>
      </c>
      <c r="N83" s="66"/>
      <c r="O83" s="67">
        <v>2690.05</v>
      </c>
      <c r="P83" s="66"/>
      <c r="Q83" s="67">
        <v>3409.76</v>
      </c>
      <c r="R83" s="66"/>
      <c r="S83" s="67">
        <v>3394.56</v>
      </c>
      <c r="T83" s="66"/>
      <c r="U83" s="67">
        <v>3214.83</v>
      </c>
      <c r="V83" s="66"/>
      <c r="W83" s="67">
        <v>3176.09</v>
      </c>
      <c r="X83" s="66"/>
      <c r="Y83" s="67">
        <v>2802.38</v>
      </c>
      <c r="Z83" s="66"/>
      <c r="AA83" s="67">
        <v>2896.22</v>
      </c>
      <c r="AB83" s="66"/>
      <c r="AC83" s="67">
        <v>3174.34</v>
      </c>
      <c r="AD83" s="66"/>
      <c r="AE83" s="67">
        <f t="shared" si="6"/>
        <v>36604.350000000006</v>
      </c>
      <c r="AF83" s="68"/>
      <c r="AG83" s="69"/>
    </row>
    <row r="84" spans="1:33" outlineLevel="1">
      <c r="A84" s="63">
        <v>50060</v>
      </c>
      <c r="B84" s="63" t="s">
        <v>76</v>
      </c>
      <c r="C84" s="64"/>
      <c r="D84" s="61"/>
      <c r="E84" s="65"/>
      <c r="F84" s="66"/>
      <c r="G84" s="67">
        <v>6971.1</v>
      </c>
      <c r="H84" s="66"/>
      <c r="I84" s="67">
        <v>6971.1</v>
      </c>
      <c r="J84" s="66"/>
      <c r="K84" s="67">
        <v>6971.1</v>
      </c>
      <c r="L84" s="66"/>
      <c r="M84" s="67">
        <v>6971.1</v>
      </c>
      <c r="N84" s="66"/>
      <c r="O84" s="67">
        <v>7971.1</v>
      </c>
      <c r="P84" s="66"/>
      <c r="Q84" s="67">
        <v>7032.34</v>
      </c>
      <c r="R84" s="66"/>
      <c r="S84" s="67">
        <v>7819.72</v>
      </c>
      <c r="T84" s="66"/>
      <c r="U84" s="67">
        <v>7744.03</v>
      </c>
      <c r="V84" s="66"/>
      <c r="W84" s="67">
        <v>7819.72</v>
      </c>
      <c r="X84" s="66"/>
      <c r="Y84" s="67">
        <v>7819.72</v>
      </c>
      <c r="Z84" s="66"/>
      <c r="AA84" s="67">
        <v>6729.58</v>
      </c>
      <c r="AB84" s="66"/>
      <c r="AC84" s="67">
        <v>7764.28</v>
      </c>
      <c r="AD84" s="66"/>
      <c r="AE84" s="67">
        <f t="shared" si="6"/>
        <v>88584.890000000014</v>
      </c>
      <c r="AF84" s="68"/>
      <c r="AG84" s="69"/>
    </row>
    <row r="85" spans="1:33" outlineLevel="1">
      <c r="A85" s="63">
        <v>50065</v>
      </c>
      <c r="B85" s="63" t="s">
        <v>26</v>
      </c>
      <c r="C85" s="64"/>
      <c r="D85" s="61"/>
      <c r="E85" s="65"/>
      <c r="F85" s="66"/>
      <c r="G85" s="67">
        <v>1555.44</v>
      </c>
      <c r="H85" s="66"/>
      <c r="I85" s="67">
        <v>1533.87</v>
      </c>
      <c r="J85" s="66"/>
      <c r="K85" s="67">
        <v>1692.05</v>
      </c>
      <c r="L85" s="66"/>
      <c r="M85" s="67">
        <v>1780.97</v>
      </c>
      <c r="N85" s="66"/>
      <c r="O85" s="67">
        <v>1680.65</v>
      </c>
      <c r="P85" s="66"/>
      <c r="Q85" s="67">
        <v>1580.78</v>
      </c>
      <c r="R85" s="66"/>
      <c r="S85" s="67">
        <v>1490.22</v>
      </c>
      <c r="T85" s="66"/>
      <c r="U85" s="67">
        <v>1344.18</v>
      </c>
      <c r="V85" s="66"/>
      <c r="W85" s="67">
        <v>1982.56</v>
      </c>
      <c r="X85" s="66"/>
      <c r="Y85" s="67">
        <v>1789.38</v>
      </c>
      <c r="Z85" s="66"/>
      <c r="AA85" s="67">
        <v>1683.54</v>
      </c>
      <c r="AB85" s="66"/>
      <c r="AC85" s="67">
        <v>1728.52</v>
      </c>
      <c r="AD85" s="66"/>
      <c r="AE85" s="67">
        <f t="shared" si="6"/>
        <v>19842.159999999996</v>
      </c>
      <c r="AF85" s="68"/>
      <c r="AG85" s="69"/>
    </row>
    <row r="86" spans="1:33" outlineLevel="1">
      <c r="A86" s="63">
        <v>50070</v>
      </c>
      <c r="B86" s="63" t="s">
        <v>27</v>
      </c>
      <c r="C86" s="64"/>
      <c r="D86" s="61"/>
      <c r="E86" s="65"/>
      <c r="F86" s="66"/>
      <c r="G86" s="67">
        <v>195</v>
      </c>
      <c r="H86" s="66"/>
      <c r="I86" s="67">
        <v>0</v>
      </c>
      <c r="J86" s="66"/>
      <c r="K86" s="67">
        <v>487.5</v>
      </c>
      <c r="L86" s="66"/>
      <c r="M86" s="67">
        <v>585</v>
      </c>
      <c r="N86" s="66"/>
      <c r="O86" s="67">
        <v>209.8</v>
      </c>
      <c r="P86" s="66"/>
      <c r="Q86" s="67">
        <v>412.9</v>
      </c>
      <c r="R86" s="66"/>
      <c r="S86" s="67">
        <v>596.70000000000005</v>
      </c>
      <c r="T86" s="66"/>
      <c r="U86" s="67">
        <v>218.79</v>
      </c>
      <c r="V86" s="66"/>
      <c r="W86" s="67">
        <v>99.45</v>
      </c>
      <c r="X86" s="66"/>
      <c r="Y86" s="67">
        <v>278.45999999999998</v>
      </c>
      <c r="Z86" s="66"/>
      <c r="AA86" s="67">
        <v>776.1</v>
      </c>
      <c r="AB86" s="66"/>
      <c r="AC86" s="67">
        <v>0</v>
      </c>
      <c r="AD86" s="66"/>
      <c r="AE86" s="67">
        <f t="shared" si="6"/>
        <v>3859.7000000000003</v>
      </c>
      <c r="AF86" s="68"/>
      <c r="AG86" s="69"/>
    </row>
    <row r="87" spans="1:33" outlineLevel="1">
      <c r="A87" s="63">
        <v>50086</v>
      </c>
      <c r="B87" s="63" t="s">
        <v>148</v>
      </c>
      <c r="C87" s="64"/>
      <c r="D87" s="61"/>
      <c r="E87" s="65"/>
      <c r="F87" s="66"/>
      <c r="G87" s="67">
        <v>257.18</v>
      </c>
      <c r="H87" s="66"/>
      <c r="I87" s="67">
        <v>393.11</v>
      </c>
      <c r="J87" s="66"/>
      <c r="K87" s="67">
        <v>285.98</v>
      </c>
      <c r="L87" s="66"/>
      <c r="M87" s="67">
        <v>511.56</v>
      </c>
      <c r="N87" s="66"/>
      <c r="O87" s="67">
        <v>171.9</v>
      </c>
      <c r="P87" s="66"/>
      <c r="Q87" s="67">
        <v>54.05</v>
      </c>
      <c r="R87" s="66"/>
      <c r="S87" s="67">
        <v>1236.26</v>
      </c>
      <c r="T87" s="66"/>
      <c r="U87" s="67">
        <v>44.05</v>
      </c>
      <c r="V87" s="66"/>
      <c r="W87" s="67">
        <v>554.9</v>
      </c>
      <c r="X87" s="66"/>
      <c r="Y87" s="67">
        <v>219.1</v>
      </c>
      <c r="Z87" s="66"/>
      <c r="AA87" s="67">
        <v>140.19999999999999</v>
      </c>
      <c r="AB87" s="66"/>
      <c r="AC87" s="67">
        <v>323.29000000000002</v>
      </c>
      <c r="AD87" s="66"/>
      <c r="AE87" s="67">
        <f t="shared" si="6"/>
        <v>4191.5800000000008</v>
      </c>
      <c r="AF87" s="68"/>
      <c r="AG87" s="69"/>
    </row>
    <row r="88" spans="1:33" outlineLevel="1">
      <c r="A88" s="63">
        <v>50090</v>
      </c>
      <c r="B88" s="63" t="s">
        <v>46</v>
      </c>
      <c r="C88" s="64"/>
      <c r="D88" s="61"/>
      <c r="E88" s="65"/>
      <c r="F88" s="66"/>
      <c r="G88" s="67">
        <v>0</v>
      </c>
      <c r="H88" s="66"/>
      <c r="I88" s="67">
        <v>269.72000000000003</v>
      </c>
      <c r="J88" s="66"/>
      <c r="K88" s="67">
        <v>638.62</v>
      </c>
      <c r="L88" s="66"/>
      <c r="M88" s="67">
        <v>1523.06</v>
      </c>
      <c r="N88" s="66"/>
      <c r="O88" s="67">
        <v>635.6</v>
      </c>
      <c r="P88" s="66"/>
      <c r="Q88" s="67">
        <v>1502.43</v>
      </c>
      <c r="R88" s="66"/>
      <c r="S88" s="67">
        <v>166.56</v>
      </c>
      <c r="T88" s="66"/>
      <c r="U88" s="67">
        <v>313.95</v>
      </c>
      <c r="V88" s="66"/>
      <c r="W88" s="67">
        <v>575.42999999999995</v>
      </c>
      <c r="X88" s="66"/>
      <c r="Y88" s="67">
        <v>567.55999999999995</v>
      </c>
      <c r="Z88" s="66"/>
      <c r="AA88" s="67">
        <v>576.04999999999995</v>
      </c>
      <c r="AB88" s="66"/>
      <c r="AC88" s="67">
        <v>452.57</v>
      </c>
      <c r="AD88" s="66"/>
      <c r="AE88" s="67">
        <f t="shared" si="6"/>
        <v>7221.5499999999993</v>
      </c>
      <c r="AF88" s="68"/>
      <c r="AG88" s="69"/>
    </row>
    <row r="89" spans="1:33" outlineLevel="1">
      <c r="A89" s="63">
        <v>50115</v>
      </c>
      <c r="B89" s="63" t="s">
        <v>149</v>
      </c>
      <c r="C89" s="64"/>
      <c r="D89" s="61"/>
      <c r="E89" s="65"/>
      <c r="F89" s="66"/>
      <c r="G89" s="67">
        <v>484.44</v>
      </c>
      <c r="H89" s="66"/>
      <c r="I89" s="67">
        <v>472.9</v>
      </c>
      <c r="J89" s="66"/>
      <c r="K89" s="67">
        <v>497.5</v>
      </c>
      <c r="L89" s="66"/>
      <c r="M89" s="67">
        <v>483.17</v>
      </c>
      <c r="N89" s="66"/>
      <c r="O89" s="67">
        <v>446.72</v>
      </c>
      <c r="P89" s="66"/>
      <c r="Q89" s="67">
        <v>649.71</v>
      </c>
      <c r="R89" s="66"/>
      <c r="S89" s="67">
        <v>510.78</v>
      </c>
      <c r="T89" s="66"/>
      <c r="U89" s="67">
        <v>514.52</v>
      </c>
      <c r="V89" s="66"/>
      <c r="W89" s="67">
        <v>497.02</v>
      </c>
      <c r="X89" s="66"/>
      <c r="Y89" s="67">
        <v>502.31</v>
      </c>
      <c r="Z89" s="66"/>
      <c r="AA89" s="67">
        <v>751</v>
      </c>
      <c r="AB89" s="66"/>
      <c r="AC89" s="67">
        <v>514.91999999999996</v>
      </c>
      <c r="AD89" s="66"/>
      <c r="AE89" s="67">
        <f t="shared" si="6"/>
        <v>6324.99</v>
      </c>
      <c r="AF89" s="68"/>
      <c r="AG89" s="69"/>
    </row>
    <row r="90" spans="1:33" s="65" customFormat="1" ht="5.0999999999999996" customHeight="1" outlineLevel="1">
      <c r="A90" s="64"/>
      <c r="B90" s="64"/>
      <c r="C90" s="64"/>
      <c r="D90" s="64"/>
      <c r="G90" s="95"/>
      <c r="H90" s="93"/>
      <c r="I90" s="95"/>
      <c r="J90" s="93"/>
      <c r="K90" s="95"/>
      <c r="L90" s="93"/>
      <c r="M90" s="95"/>
      <c r="N90" s="93"/>
      <c r="O90" s="95"/>
      <c r="P90" s="93"/>
      <c r="Q90" s="95"/>
      <c r="R90" s="93"/>
      <c r="S90" s="95"/>
      <c r="T90" s="93"/>
      <c r="U90" s="95"/>
      <c r="V90" s="93"/>
      <c r="W90" s="95"/>
      <c r="X90" s="93"/>
      <c r="Y90" s="95"/>
      <c r="Z90" s="93"/>
      <c r="AA90" s="95"/>
      <c r="AB90" s="93"/>
      <c r="AC90" s="95"/>
      <c r="AD90" s="93"/>
      <c r="AE90" s="95"/>
      <c r="AF90" s="89"/>
      <c r="AG90" s="72"/>
    </row>
    <row r="91" spans="1:33" s="65" customFormat="1" ht="15">
      <c r="C91" s="64" t="s">
        <v>150</v>
      </c>
      <c r="G91" s="92">
        <f>SUM(G79:G90)</f>
        <v>50182.630000000005</v>
      </c>
      <c r="H91" s="93"/>
      <c r="I91" s="92">
        <f>SUM(I79:I90)</f>
        <v>47414.170000000006</v>
      </c>
      <c r="J91" s="93"/>
      <c r="K91" s="92">
        <f>SUM(K79:K90)</f>
        <v>48818.55</v>
      </c>
      <c r="L91" s="93"/>
      <c r="M91" s="92">
        <f>SUM(M79:M90)</f>
        <v>51070.09</v>
      </c>
      <c r="N91" s="93"/>
      <c r="O91" s="92">
        <f>SUM(O79:O90)</f>
        <v>46425.090000000004</v>
      </c>
      <c r="P91" s="93"/>
      <c r="Q91" s="92">
        <f>SUM(Q79:Q90)</f>
        <v>54190.240000000013</v>
      </c>
      <c r="R91" s="93"/>
      <c r="S91" s="92">
        <f>SUM(S79:S90)</f>
        <v>50790.939999999995</v>
      </c>
      <c r="T91" s="93"/>
      <c r="U91" s="92">
        <f>SUM(U79:U90)</f>
        <v>49170.28</v>
      </c>
      <c r="V91" s="93"/>
      <c r="W91" s="92">
        <f>SUM(W79:W90)</f>
        <v>55516.29</v>
      </c>
      <c r="X91" s="93"/>
      <c r="Y91" s="92">
        <f>SUM(Y79:Y90)</f>
        <v>49179.499999999993</v>
      </c>
      <c r="Z91" s="93"/>
      <c r="AA91" s="92">
        <f>SUM(AA79:AA90)</f>
        <v>49155.65</v>
      </c>
      <c r="AB91" s="93"/>
      <c r="AC91" s="92">
        <f>SUM(AC79:AC90)</f>
        <v>53839.119999999988</v>
      </c>
      <c r="AD91" s="93"/>
      <c r="AE91" s="92">
        <f>SUM(AE79:AE90)</f>
        <v>605752.54999999993</v>
      </c>
      <c r="AF91" s="68"/>
      <c r="AG91" s="72"/>
    </row>
    <row r="92" spans="1:33" s="65" customFormat="1" ht="15" outlineLevel="1">
      <c r="G92" s="94"/>
      <c r="H92" s="93"/>
      <c r="I92" s="94"/>
      <c r="J92" s="93"/>
      <c r="K92" s="94"/>
      <c r="L92" s="93"/>
      <c r="M92" s="94"/>
      <c r="N92" s="93"/>
      <c r="O92" s="94"/>
      <c r="P92" s="93"/>
      <c r="Q92" s="94"/>
      <c r="R92" s="93"/>
      <c r="S92" s="94"/>
      <c r="T92" s="93"/>
      <c r="U92" s="94"/>
      <c r="V92" s="93"/>
      <c r="W92" s="94"/>
      <c r="X92" s="93"/>
      <c r="Y92" s="94"/>
      <c r="Z92" s="93"/>
      <c r="AA92" s="94"/>
      <c r="AB92" s="93"/>
      <c r="AC92" s="94"/>
      <c r="AD92" s="93"/>
      <c r="AE92" s="94"/>
      <c r="AF92" s="89"/>
      <c r="AG92" s="72"/>
    </row>
    <row r="93" spans="1:33" outlineLevel="1">
      <c r="A93" s="63">
        <v>51295</v>
      </c>
      <c r="B93" s="63" t="s">
        <v>103</v>
      </c>
      <c r="C93" s="64"/>
      <c r="D93" s="61"/>
      <c r="E93" s="65"/>
      <c r="F93" s="66"/>
      <c r="G93" s="67">
        <v>765.22</v>
      </c>
      <c r="H93" s="66"/>
      <c r="I93" s="67">
        <v>127.14</v>
      </c>
      <c r="J93" s="66"/>
      <c r="K93" s="67">
        <v>1058.6600000000001</v>
      </c>
      <c r="L93" s="66"/>
      <c r="M93" s="67">
        <v>1893.93</v>
      </c>
      <c r="N93" s="66"/>
      <c r="O93" s="67">
        <v>127.14</v>
      </c>
      <c r="P93" s="66"/>
      <c r="Q93" s="67">
        <v>160.19</v>
      </c>
      <c r="R93" s="66"/>
      <c r="S93" s="67">
        <v>608.36</v>
      </c>
      <c r="T93" s="66"/>
      <c r="U93" s="67">
        <v>962.02</v>
      </c>
      <c r="V93" s="66"/>
      <c r="W93" s="67">
        <v>608.36</v>
      </c>
      <c r="X93" s="66"/>
      <c r="Y93" s="67">
        <v>608.36</v>
      </c>
      <c r="Z93" s="66"/>
      <c r="AA93" s="67">
        <v>608.36</v>
      </c>
      <c r="AB93" s="66"/>
      <c r="AC93" s="67">
        <v>608.36</v>
      </c>
      <c r="AD93" s="66"/>
      <c r="AE93" s="67">
        <f>AC93+AA93+Y93+W93+U93+S93+Q93+O93+M93+K93+I93+G93</f>
        <v>8136.1000000000013</v>
      </c>
      <c r="AF93" s="68"/>
      <c r="AG93" s="69"/>
    </row>
    <row r="94" spans="1:33" s="65" customFormat="1" ht="5.0999999999999996" customHeight="1" outlineLevel="1">
      <c r="A94" s="64"/>
      <c r="B94" s="64"/>
      <c r="C94" s="64"/>
      <c r="D94" s="64"/>
      <c r="G94" s="95"/>
      <c r="H94" s="93"/>
      <c r="I94" s="95"/>
      <c r="J94" s="93"/>
      <c r="K94" s="95"/>
      <c r="L94" s="93"/>
      <c r="M94" s="95"/>
      <c r="N94" s="93"/>
      <c r="O94" s="95"/>
      <c r="P94" s="93"/>
      <c r="Q94" s="95"/>
      <c r="R94" s="93"/>
      <c r="S94" s="95"/>
      <c r="T94" s="93"/>
      <c r="U94" s="95"/>
      <c r="V94" s="93"/>
      <c r="W94" s="95"/>
      <c r="X94" s="93"/>
      <c r="Y94" s="95"/>
      <c r="Z94" s="93"/>
      <c r="AA94" s="95"/>
      <c r="AB94" s="93"/>
      <c r="AC94" s="95"/>
      <c r="AD94" s="93"/>
      <c r="AE94" s="95"/>
      <c r="AF94" s="89"/>
      <c r="AG94" s="72"/>
    </row>
    <row r="95" spans="1:33" s="65" customFormat="1" ht="15">
      <c r="C95" s="64" t="s">
        <v>151</v>
      </c>
      <c r="G95" s="92">
        <f>SUM(G93:G94)</f>
        <v>765.22</v>
      </c>
      <c r="H95" s="93"/>
      <c r="I95" s="92">
        <f>SUM(I93:I94)</f>
        <v>127.14</v>
      </c>
      <c r="J95" s="93"/>
      <c r="K95" s="92">
        <f>SUM(K93:K94)</f>
        <v>1058.6600000000001</v>
      </c>
      <c r="L95" s="93"/>
      <c r="M95" s="92">
        <f>SUM(M93:M94)</f>
        <v>1893.93</v>
      </c>
      <c r="N95" s="93"/>
      <c r="O95" s="92">
        <f>SUM(O93:O94)</f>
        <v>127.14</v>
      </c>
      <c r="P95" s="93"/>
      <c r="Q95" s="92">
        <f>SUM(Q93:Q94)</f>
        <v>160.19</v>
      </c>
      <c r="R95" s="93"/>
      <c r="S95" s="92">
        <f>SUM(S93:S94)</f>
        <v>608.36</v>
      </c>
      <c r="T95" s="93"/>
      <c r="U95" s="92">
        <f>SUM(U93:U94)</f>
        <v>962.02</v>
      </c>
      <c r="V95" s="93"/>
      <c r="W95" s="92">
        <f>SUM(W93:W94)</f>
        <v>608.36</v>
      </c>
      <c r="X95" s="93"/>
      <c r="Y95" s="92">
        <f>SUM(Y93:Y94)</f>
        <v>608.36</v>
      </c>
      <c r="Z95" s="93"/>
      <c r="AA95" s="92">
        <f>SUM(AA93:AA94)</f>
        <v>608.36</v>
      </c>
      <c r="AB95" s="93"/>
      <c r="AC95" s="92">
        <f>SUM(AC93:AC94)</f>
        <v>608.36</v>
      </c>
      <c r="AD95" s="93"/>
      <c r="AE95" s="92">
        <f>SUM(AE93:AE94)</f>
        <v>8136.1000000000013</v>
      </c>
      <c r="AF95" s="68"/>
      <c r="AG95" s="72"/>
    </row>
    <row r="96" spans="1:33" s="65" customFormat="1" ht="15" outlineLevel="1">
      <c r="G96" s="94"/>
      <c r="H96" s="93"/>
      <c r="I96" s="94"/>
      <c r="J96" s="93"/>
      <c r="K96" s="94"/>
      <c r="L96" s="93"/>
      <c r="M96" s="94"/>
      <c r="N96" s="93"/>
      <c r="O96" s="94"/>
      <c r="P96" s="93"/>
      <c r="Q96" s="94"/>
      <c r="R96" s="93"/>
      <c r="S96" s="94"/>
      <c r="T96" s="93"/>
      <c r="U96" s="94"/>
      <c r="V96" s="93"/>
      <c r="W96" s="94"/>
      <c r="X96" s="93"/>
      <c r="Y96" s="94"/>
      <c r="Z96" s="93"/>
      <c r="AA96" s="94"/>
      <c r="AB96" s="93"/>
      <c r="AC96" s="94"/>
      <c r="AD96" s="93"/>
      <c r="AE96" s="94"/>
      <c r="AF96" s="89"/>
      <c r="AG96" s="72"/>
    </row>
    <row r="97" spans="1:33" s="65" customFormat="1" ht="15" outlineLevel="1">
      <c r="G97" s="94"/>
      <c r="H97" s="93"/>
      <c r="I97" s="94"/>
      <c r="J97" s="93"/>
      <c r="K97" s="94"/>
      <c r="L97" s="93"/>
      <c r="M97" s="94"/>
      <c r="N97" s="93"/>
      <c r="O97" s="94"/>
      <c r="P97" s="93"/>
      <c r="Q97" s="94"/>
      <c r="R97" s="93"/>
      <c r="S97" s="94"/>
      <c r="T97" s="93"/>
      <c r="U97" s="94"/>
      <c r="V97" s="93"/>
      <c r="W97" s="94"/>
      <c r="X97" s="93"/>
      <c r="Y97" s="94"/>
      <c r="Z97" s="93"/>
      <c r="AA97" s="94"/>
      <c r="AB97" s="93"/>
      <c r="AC97" s="94"/>
      <c r="AD97" s="93"/>
      <c r="AE97" s="94"/>
      <c r="AF97" s="89"/>
      <c r="AG97" s="72"/>
    </row>
    <row r="98" spans="1:33" outlineLevel="1">
      <c r="A98" s="63">
        <v>52010</v>
      </c>
      <c r="B98" s="63" t="s">
        <v>58</v>
      </c>
      <c r="C98" s="64"/>
      <c r="D98" s="61"/>
      <c r="E98" s="65"/>
      <c r="F98" s="66"/>
      <c r="G98" s="67">
        <v>0</v>
      </c>
      <c r="H98" s="66"/>
      <c r="I98" s="67">
        <v>0</v>
      </c>
      <c r="J98" s="66"/>
      <c r="K98" s="67">
        <v>0</v>
      </c>
      <c r="L98" s="66"/>
      <c r="M98" s="67">
        <v>0</v>
      </c>
      <c r="N98" s="66"/>
      <c r="O98" s="67">
        <v>1628.46</v>
      </c>
      <c r="P98" s="66"/>
      <c r="Q98" s="67">
        <v>4023.3</v>
      </c>
      <c r="R98" s="66"/>
      <c r="S98" s="67">
        <v>3634.61</v>
      </c>
      <c r="T98" s="66"/>
      <c r="U98" s="67">
        <v>3634.62</v>
      </c>
      <c r="V98" s="66"/>
      <c r="W98" s="67">
        <v>3980.77</v>
      </c>
      <c r="X98" s="66"/>
      <c r="Y98" s="67">
        <v>3634.62</v>
      </c>
      <c r="Z98" s="66"/>
      <c r="AA98" s="67">
        <v>3807.69</v>
      </c>
      <c r="AB98" s="66"/>
      <c r="AC98" s="67">
        <v>3807.7</v>
      </c>
      <c r="AD98" s="66"/>
      <c r="AE98" s="67">
        <f t="shared" ref="AE98:AE117" si="7">AC98+AA98+Y98+W98+U98+S98+Q98+O98+M98+K98+I98+G98</f>
        <v>28151.769999999997</v>
      </c>
      <c r="AF98" s="68"/>
      <c r="AG98" s="69"/>
    </row>
    <row r="99" spans="1:33" outlineLevel="1">
      <c r="A99" s="63">
        <v>52020</v>
      </c>
      <c r="B99" s="63" t="s">
        <v>39</v>
      </c>
      <c r="C99" s="64"/>
      <c r="D99" s="61"/>
      <c r="E99" s="65"/>
      <c r="F99" s="66"/>
      <c r="G99" s="67">
        <v>6047.58</v>
      </c>
      <c r="H99" s="66"/>
      <c r="I99" s="67">
        <v>5944.06</v>
      </c>
      <c r="J99" s="66"/>
      <c r="K99" s="67">
        <v>6634.38</v>
      </c>
      <c r="L99" s="66"/>
      <c r="M99" s="67">
        <v>6397.91</v>
      </c>
      <c r="N99" s="66"/>
      <c r="O99" s="67">
        <v>4573.29</v>
      </c>
      <c r="P99" s="66"/>
      <c r="Q99" s="67">
        <v>3106.66</v>
      </c>
      <c r="R99" s="66"/>
      <c r="S99" s="67">
        <v>2993.09</v>
      </c>
      <c r="T99" s="66"/>
      <c r="U99" s="67">
        <v>2926.44</v>
      </c>
      <c r="V99" s="66"/>
      <c r="W99" s="67">
        <v>3186.82</v>
      </c>
      <c r="X99" s="66"/>
      <c r="Y99" s="67">
        <v>2712.85</v>
      </c>
      <c r="Z99" s="66"/>
      <c r="AA99" s="67">
        <v>2797.57</v>
      </c>
      <c r="AB99" s="66"/>
      <c r="AC99" s="67">
        <v>2775.09</v>
      </c>
      <c r="AD99" s="66"/>
      <c r="AE99" s="67">
        <f t="shared" si="7"/>
        <v>50095.74</v>
      </c>
      <c r="AF99" s="68"/>
      <c r="AG99" s="69"/>
    </row>
    <row r="100" spans="1:33" outlineLevel="1">
      <c r="A100" s="63">
        <v>52025</v>
      </c>
      <c r="B100" s="63" t="s">
        <v>146</v>
      </c>
      <c r="C100" s="64"/>
      <c r="D100" s="61"/>
      <c r="E100" s="65"/>
      <c r="F100" s="66"/>
      <c r="G100" s="67">
        <v>269.87</v>
      </c>
      <c r="H100" s="66"/>
      <c r="I100" s="67">
        <v>136.88</v>
      </c>
      <c r="J100" s="66"/>
      <c r="K100" s="67">
        <v>141.02000000000001</v>
      </c>
      <c r="L100" s="66"/>
      <c r="M100" s="67">
        <v>462.54</v>
      </c>
      <c r="N100" s="66"/>
      <c r="O100" s="67">
        <v>149.56</v>
      </c>
      <c r="P100" s="66"/>
      <c r="Q100" s="67">
        <v>-41.67</v>
      </c>
      <c r="R100" s="66"/>
      <c r="S100" s="67">
        <v>102.37</v>
      </c>
      <c r="T100" s="66"/>
      <c r="U100" s="67">
        <v>68.989999999999995</v>
      </c>
      <c r="V100" s="66"/>
      <c r="W100" s="67">
        <v>139.32</v>
      </c>
      <c r="X100" s="66"/>
      <c r="Y100" s="67">
        <v>-0.09</v>
      </c>
      <c r="Z100" s="66"/>
      <c r="AA100" s="67">
        <v>0</v>
      </c>
      <c r="AB100" s="66"/>
      <c r="AC100" s="67">
        <v>0</v>
      </c>
      <c r="AD100" s="66"/>
      <c r="AE100" s="67">
        <f t="shared" si="7"/>
        <v>1428.79</v>
      </c>
      <c r="AF100" s="68"/>
      <c r="AG100" s="69"/>
    </row>
    <row r="101" spans="1:33" outlineLevel="1">
      <c r="A101" s="63">
        <v>52050</v>
      </c>
      <c r="B101" s="63" t="s">
        <v>106</v>
      </c>
      <c r="C101" s="64"/>
      <c r="D101" s="61"/>
      <c r="E101" s="65"/>
      <c r="F101" s="66"/>
      <c r="G101" s="67">
        <v>592.73</v>
      </c>
      <c r="H101" s="66"/>
      <c r="I101" s="67">
        <v>552.32000000000005</v>
      </c>
      <c r="J101" s="66"/>
      <c r="K101" s="67">
        <v>582.20000000000005</v>
      </c>
      <c r="L101" s="66"/>
      <c r="M101" s="67">
        <v>563.97</v>
      </c>
      <c r="N101" s="66"/>
      <c r="O101" s="67">
        <v>554.37</v>
      </c>
      <c r="P101" s="66"/>
      <c r="Q101" s="67">
        <v>645.37</v>
      </c>
      <c r="R101" s="66"/>
      <c r="S101" s="67">
        <v>629.41999999999996</v>
      </c>
      <c r="T101" s="66"/>
      <c r="U101" s="67">
        <v>580.98</v>
      </c>
      <c r="V101" s="66"/>
      <c r="W101" s="67">
        <v>586.67999999999995</v>
      </c>
      <c r="X101" s="66"/>
      <c r="Y101" s="67">
        <v>516.55999999999995</v>
      </c>
      <c r="Z101" s="66"/>
      <c r="AA101" s="67">
        <v>512.89</v>
      </c>
      <c r="AB101" s="66"/>
      <c r="AC101" s="67">
        <v>528.48</v>
      </c>
      <c r="AD101" s="66"/>
      <c r="AE101" s="67">
        <f t="shared" si="7"/>
        <v>6845.9699999999993</v>
      </c>
      <c r="AF101" s="68"/>
      <c r="AG101" s="69"/>
    </row>
    <row r="102" spans="1:33" outlineLevel="1">
      <c r="A102" s="63">
        <v>52060</v>
      </c>
      <c r="B102" s="63" t="s">
        <v>76</v>
      </c>
      <c r="C102" s="64"/>
      <c r="D102" s="61"/>
      <c r="E102" s="65"/>
      <c r="F102" s="66"/>
      <c r="G102" s="67">
        <v>1697.24</v>
      </c>
      <c r="H102" s="66"/>
      <c r="I102" s="67">
        <v>1697.24</v>
      </c>
      <c r="J102" s="66"/>
      <c r="K102" s="67">
        <v>1697.24</v>
      </c>
      <c r="L102" s="66"/>
      <c r="M102" s="67">
        <v>1697.24</v>
      </c>
      <c r="N102" s="66"/>
      <c r="O102" s="67">
        <v>1697.24</v>
      </c>
      <c r="P102" s="66"/>
      <c r="Q102" s="67">
        <v>1545.86</v>
      </c>
      <c r="R102" s="66"/>
      <c r="S102" s="67">
        <v>1697.24</v>
      </c>
      <c r="T102" s="66"/>
      <c r="U102" s="67">
        <v>1697.24</v>
      </c>
      <c r="V102" s="66"/>
      <c r="W102" s="67">
        <v>1697.24</v>
      </c>
      <c r="X102" s="66"/>
      <c r="Y102" s="67">
        <v>1697.24</v>
      </c>
      <c r="Z102" s="66"/>
      <c r="AA102" s="67">
        <v>1545.86</v>
      </c>
      <c r="AB102" s="66"/>
      <c r="AC102" s="67">
        <v>1691.68</v>
      </c>
      <c r="AD102" s="66"/>
      <c r="AE102" s="67">
        <f t="shared" si="7"/>
        <v>20058.560000000005</v>
      </c>
      <c r="AF102" s="68"/>
      <c r="AG102" s="69"/>
    </row>
    <row r="103" spans="1:33" outlineLevel="1">
      <c r="A103" s="63">
        <v>52065</v>
      </c>
      <c r="B103" s="63" t="s">
        <v>26</v>
      </c>
      <c r="C103" s="64"/>
      <c r="D103" s="61"/>
      <c r="E103" s="65"/>
      <c r="F103" s="66"/>
      <c r="G103" s="67">
        <v>151.34</v>
      </c>
      <c r="H103" s="66"/>
      <c r="I103" s="67">
        <v>167.61</v>
      </c>
      <c r="J103" s="66"/>
      <c r="K103" s="67">
        <v>194.69</v>
      </c>
      <c r="L103" s="66"/>
      <c r="M103" s="67">
        <v>214.16</v>
      </c>
      <c r="N103" s="66"/>
      <c r="O103" s="67">
        <v>218.36</v>
      </c>
      <c r="P103" s="66"/>
      <c r="Q103" s="67">
        <v>223.52</v>
      </c>
      <c r="R103" s="66"/>
      <c r="S103" s="67">
        <v>223.52</v>
      </c>
      <c r="T103" s="66"/>
      <c r="U103" s="67">
        <v>209.1</v>
      </c>
      <c r="V103" s="66"/>
      <c r="W103" s="67">
        <v>223.52</v>
      </c>
      <c r="X103" s="66"/>
      <c r="Y103" s="67">
        <v>216.31</v>
      </c>
      <c r="Z103" s="66"/>
      <c r="AA103" s="67">
        <v>223.52</v>
      </c>
      <c r="AB103" s="66"/>
      <c r="AC103" s="67">
        <v>216.31</v>
      </c>
      <c r="AD103" s="66"/>
      <c r="AE103" s="67">
        <f t="shared" si="7"/>
        <v>2481.96</v>
      </c>
      <c r="AF103" s="68"/>
      <c r="AG103" s="69"/>
    </row>
    <row r="104" spans="1:33" outlineLevel="1">
      <c r="A104" s="63">
        <v>52070</v>
      </c>
      <c r="B104" s="63" t="s">
        <v>27</v>
      </c>
      <c r="C104" s="64"/>
      <c r="D104" s="61"/>
      <c r="E104" s="65"/>
      <c r="F104" s="66"/>
      <c r="G104" s="67">
        <v>0</v>
      </c>
      <c r="H104" s="66"/>
      <c r="I104" s="67">
        <v>0</v>
      </c>
      <c r="J104" s="66"/>
      <c r="K104" s="67">
        <v>123.18</v>
      </c>
      <c r="L104" s="66"/>
      <c r="M104" s="67">
        <v>0</v>
      </c>
      <c r="N104" s="66"/>
      <c r="O104" s="67">
        <v>305.88</v>
      </c>
      <c r="P104" s="66"/>
      <c r="Q104" s="67">
        <v>-72.95</v>
      </c>
      <c r="R104" s="66"/>
      <c r="S104" s="67">
        <v>0</v>
      </c>
      <c r="T104" s="66"/>
      <c r="U104" s="67">
        <v>0</v>
      </c>
      <c r="V104" s="66"/>
      <c r="W104" s="67">
        <v>0</v>
      </c>
      <c r="X104" s="66"/>
      <c r="Y104" s="67">
        <v>0</v>
      </c>
      <c r="Z104" s="66"/>
      <c r="AA104" s="67">
        <v>0</v>
      </c>
      <c r="AB104" s="66"/>
      <c r="AC104" s="67">
        <v>0</v>
      </c>
      <c r="AD104" s="66"/>
      <c r="AE104" s="67">
        <f t="shared" si="7"/>
        <v>356.11</v>
      </c>
      <c r="AF104" s="68"/>
      <c r="AG104" s="69"/>
    </row>
    <row r="105" spans="1:33" outlineLevel="1">
      <c r="A105" s="63">
        <v>52087</v>
      </c>
      <c r="B105" s="63" t="s">
        <v>152</v>
      </c>
      <c r="C105" s="64"/>
      <c r="D105" s="61"/>
      <c r="E105" s="65"/>
      <c r="F105" s="66"/>
      <c r="G105" s="67">
        <v>260</v>
      </c>
      <c r="H105" s="66"/>
      <c r="I105" s="67">
        <v>0</v>
      </c>
      <c r="J105" s="66"/>
      <c r="K105" s="67">
        <v>0</v>
      </c>
      <c r="L105" s="66"/>
      <c r="M105" s="67">
        <v>0</v>
      </c>
      <c r="N105" s="66"/>
      <c r="O105" s="67">
        <v>300</v>
      </c>
      <c r="P105" s="66"/>
      <c r="Q105" s="67">
        <v>0</v>
      </c>
      <c r="R105" s="66"/>
      <c r="S105" s="67">
        <v>150</v>
      </c>
      <c r="T105" s="66"/>
      <c r="U105" s="67">
        <v>300</v>
      </c>
      <c r="V105" s="66"/>
      <c r="W105" s="67">
        <v>0</v>
      </c>
      <c r="X105" s="66"/>
      <c r="Y105" s="67">
        <v>109.64</v>
      </c>
      <c r="Z105" s="66"/>
      <c r="AA105" s="67">
        <v>0</v>
      </c>
      <c r="AB105" s="66"/>
      <c r="AC105" s="67">
        <v>0</v>
      </c>
      <c r="AD105" s="66"/>
      <c r="AE105" s="67">
        <f t="shared" si="7"/>
        <v>1119.6399999999999</v>
      </c>
      <c r="AF105" s="68"/>
      <c r="AG105" s="69"/>
    </row>
    <row r="106" spans="1:33" outlineLevel="1">
      <c r="A106" s="63">
        <v>52090</v>
      </c>
      <c r="B106" s="63" t="s">
        <v>46</v>
      </c>
      <c r="C106" s="64"/>
      <c r="D106" s="61"/>
      <c r="E106" s="65"/>
      <c r="F106" s="66"/>
      <c r="G106" s="67">
        <v>1043.49</v>
      </c>
      <c r="H106" s="66"/>
      <c r="I106" s="67">
        <v>190.58</v>
      </c>
      <c r="J106" s="66"/>
      <c r="K106" s="67">
        <v>0</v>
      </c>
      <c r="L106" s="66"/>
      <c r="M106" s="67">
        <v>1512.05</v>
      </c>
      <c r="N106" s="66"/>
      <c r="O106" s="67">
        <v>234.52</v>
      </c>
      <c r="P106" s="66"/>
      <c r="Q106" s="67">
        <v>564.5</v>
      </c>
      <c r="R106" s="66"/>
      <c r="S106" s="67">
        <v>271.75</v>
      </c>
      <c r="T106" s="66"/>
      <c r="U106" s="67">
        <v>0</v>
      </c>
      <c r="V106" s="66"/>
      <c r="W106" s="67">
        <v>0</v>
      </c>
      <c r="X106" s="66"/>
      <c r="Y106" s="67">
        <v>0</v>
      </c>
      <c r="Z106" s="66"/>
      <c r="AA106" s="67">
        <v>0</v>
      </c>
      <c r="AB106" s="66"/>
      <c r="AC106" s="67">
        <v>0</v>
      </c>
      <c r="AD106" s="66"/>
      <c r="AE106" s="67">
        <f t="shared" si="7"/>
        <v>3816.8899999999994</v>
      </c>
      <c r="AF106" s="68"/>
      <c r="AG106" s="69"/>
    </row>
    <row r="107" spans="1:33" outlineLevel="1">
      <c r="A107" s="63">
        <v>52115</v>
      </c>
      <c r="B107" s="63" t="s">
        <v>149</v>
      </c>
      <c r="C107" s="64"/>
      <c r="D107" s="61"/>
      <c r="E107" s="65"/>
      <c r="F107" s="66"/>
      <c r="G107" s="67">
        <v>87.27</v>
      </c>
      <c r="H107" s="66"/>
      <c r="I107" s="67">
        <v>88.45</v>
      </c>
      <c r="J107" s="66"/>
      <c r="K107" s="67">
        <v>87.53</v>
      </c>
      <c r="L107" s="66"/>
      <c r="M107" s="67">
        <v>86.55</v>
      </c>
      <c r="N107" s="66"/>
      <c r="O107" s="67">
        <v>90.4</v>
      </c>
      <c r="P107" s="66"/>
      <c r="Q107" s="67">
        <v>129.81</v>
      </c>
      <c r="R107" s="66"/>
      <c r="S107" s="67">
        <v>86.54</v>
      </c>
      <c r="T107" s="66"/>
      <c r="U107" s="67">
        <v>86.54</v>
      </c>
      <c r="V107" s="66"/>
      <c r="W107" s="67">
        <v>86.54</v>
      </c>
      <c r="X107" s="66"/>
      <c r="Y107" s="67">
        <v>86.54</v>
      </c>
      <c r="Z107" s="66"/>
      <c r="AA107" s="67">
        <v>129.81</v>
      </c>
      <c r="AB107" s="66"/>
      <c r="AC107" s="67">
        <v>86.54</v>
      </c>
      <c r="AD107" s="66"/>
      <c r="AE107" s="67">
        <f t="shared" si="7"/>
        <v>1132.52</v>
      </c>
      <c r="AF107" s="68"/>
      <c r="AG107" s="69"/>
    </row>
    <row r="108" spans="1:33" outlineLevel="1">
      <c r="A108" s="63">
        <v>52120</v>
      </c>
      <c r="B108" s="63" t="s">
        <v>153</v>
      </c>
      <c r="C108" s="64"/>
      <c r="D108" s="61"/>
      <c r="E108" s="65"/>
      <c r="F108" s="66"/>
      <c r="G108" s="67">
        <v>5538.83</v>
      </c>
      <c r="H108" s="66"/>
      <c r="I108" s="67">
        <v>4480.0600000000004</v>
      </c>
      <c r="J108" s="66"/>
      <c r="K108" s="67">
        <v>6184.29</v>
      </c>
      <c r="L108" s="66"/>
      <c r="M108" s="67">
        <v>5165.95</v>
      </c>
      <c r="N108" s="66"/>
      <c r="O108" s="67">
        <v>9082.2000000000007</v>
      </c>
      <c r="P108" s="66"/>
      <c r="Q108" s="67">
        <v>9672.18</v>
      </c>
      <c r="R108" s="66"/>
      <c r="S108" s="67">
        <v>7482.72</v>
      </c>
      <c r="T108" s="66"/>
      <c r="U108" s="67">
        <v>6628.7</v>
      </c>
      <c r="V108" s="66"/>
      <c r="W108" s="67">
        <v>7650.92</v>
      </c>
      <c r="X108" s="66"/>
      <c r="Y108" s="67">
        <v>7322.81</v>
      </c>
      <c r="Z108" s="66"/>
      <c r="AA108" s="67">
        <v>7917.17</v>
      </c>
      <c r="AB108" s="66"/>
      <c r="AC108" s="67">
        <v>17371.330000000002</v>
      </c>
      <c r="AD108" s="66"/>
      <c r="AE108" s="67">
        <f t="shared" si="7"/>
        <v>94497.159999999989</v>
      </c>
      <c r="AF108" s="68"/>
      <c r="AG108" s="69"/>
    </row>
    <row r="109" spans="1:33" outlineLevel="1">
      <c r="A109" s="63">
        <v>52125</v>
      </c>
      <c r="B109" s="63" t="s">
        <v>30</v>
      </c>
      <c r="C109" s="64"/>
      <c r="D109" s="61"/>
      <c r="E109" s="65"/>
      <c r="F109" s="66"/>
      <c r="G109" s="67">
        <v>268.10000000000002</v>
      </c>
      <c r="H109" s="66"/>
      <c r="I109" s="67">
        <v>226.38</v>
      </c>
      <c r="J109" s="66"/>
      <c r="K109" s="67">
        <v>356.09</v>
      </c>
      <c r="L109" s="66"/>
      <c r="M109" s="67">
        <v>413.03</v>
      </c>
      <c r="N109" s="66"/>
      <c r="O109" s="67">
        <v>238.84</v>
      </c>
      <c r="P109" s="66"/>
      <c r="Q109" s="67">
        <v>345.94</v>
      </c>
      <c r="R109" s="66"/>
      <c r="S109" s="67">
        <v>809.11</v>
      </c>
      <c r="T109" s="66"/>
      <c r="U109" s="67">
        <v>273.74</v>
      </c>
      <c r="V109" s="66"/>
      <c r="W109" s="67">
        <v>422.83</v>
      </c>
      <c r="X109" s="66"/>
      <c r="Y109" s="67">
        <v>272.2</v>
      </c>
      <c r="Z109" s="66"/>
      <c r="AA109" s="67">
        <v>1049.53</v>
      </c>
      <c r="AB109" s="66"/>
      <c r="AC109" s="67">
        <v>340</v>
      </c>
      <c r="AD109" s="66"/>
      <c r="AE109" s="67">
        <f t="shared" si="7"/>
        <v>5015.7900000000009</v>
      </c>
      <c r="AF109" s="68"/>
      <c r="AG109" s="69"/>
    </row>
    <row r="110" spans="1:33" outlineLevel="1">
      <c r="A110" s="63">
        <v>52140</v>
      </c>
      <c r="B110" s="63" t="s">
        <v>154</v>
      </c>
      <c r="C110" s="64"/>
      <c r="D110" s="61"/>
      <c r="E110" s="65"/>
      <c r="F110" s="66"/>
      <c r="G110" s="67">
        <v>3334.37</v>
      </c>
      <c r="H110" s="66"/>
      <c r="I110" s="67">
        <v>5033.1400000000003</v>
      </c>
      <c r="J110" s="66"/>
      <c r="K110" s="67">
        <v>3736.29</v>
      </c>
      <c r="L110" s="66"/>
      <c r="M110" s="67">
        <v>497.48</v>
      </c>
      <c r="N110" s="66"/>
      <c r="O110" s="67">
        <v>2898.26</v>
      </c>
      <c r="P110" s="66"/>
      <c r="Q110" s="67">
        <v>4208.62</v>
      </c>
      <c r="R110" s="66"/>
      <c r="S110" s="67">
        <v>3695.43</v>
      </c>
      <c r="T110" s="66"/>
      <c r="U110" s="67">
        <v>1214.3900000000001</v>
      </c>
      <c r="V110" s="66"/>
      <c r="W110" s="67">
        <v>1340.58</v>
      </c>
      <c r="X110" s="66"/>
      <c r="Y110" s="67">
        <v>1670.13</v>
      </c>
      <c r="Z110" s="66"/>
      <c r="AA110" s="67">
        <v>1503.51</v>
      </c>
      <c r="AB110" s="66"/>
      <c r="AC110" s="67">
        <v>1503.75</v>
      </c>
      <c r="AD110" s="66"/>
      <c r="AE110" s="67">
        <f t="shared" si="7"/>
        <v>30635.949999999997</v>
      </c>
      <c r="AF110" s="68"/>
      <c r="AG110" s="69"/>
    </row>
    <row r="111" spans="1:33" outlineLevel="1">
      <c r="A111" s="63">
        <v>52142</v>
      </c>
      <c r="B111" s="63" t="s">
        <v>42</v>
      </c>
      <c r="C111" s="64"/>
      <c r="D111" s="61"/>
      <c r="E111" s="65"/>
      <c r="F111" s="66"/>
      <c r="G111" s="67">
        <v>16590.599999999999</v>
      </c>
      <c r="H111" s="66"/>
      <c r="I111" s="67">
        <v>12088.45</v>
      </c>
      <c r="J111" s="66"/>
      <c r="K111" s="67">
        <v>13099.81</v>
      </c>
      <c r="L111" s="66"/>
      <c r="M111" s="67">
        <v>12240.93</v>
      </c>
      <c r="N111" s="66"/>
      <c r="O111" s="67">
        <v>12280.53</v>
      </c>
      <c r="P111" s="66"/>
      <c r="Q111" s="67">
        <v>11045.37</v>
      </c>
      <c r="R111" s="66"/>
      <c r="S111" s="67">
        <v>8446.2199999999993</v>
      </c>
      <c r="T111" s="66"/>
      <c r="U111" s="67">
        <v>10031.620000000001</v>
      </c>
      <c r="V111" s="66"/>
      <c r="W111" s="67">
        <v>12316.6</v>
      </c>
      <c r="X111" s="66"/>
      <c r="Y111" s="67">
        <v>10498.25</v>
      </c>
      <c r="Z111" s="66"/>
      <c r="AA111" s="67">
        <v>11537.25</v>
      </c>
      <c r="AB111" s="66"/>
      <c r="AC111" s="67">
        <v>14169.76</v>
      </c>
      <c r="AD111" s="66"/>
      <c r="AE111" s="67">
        <f t="shared" si="7"/>
        <v>144345.38999999998</v>
      </c>
      <c r="AF111" s="68"/>
      <c r="AG111" s="69"/>
    </row>
    <row r="112" spans="1:33" outlineLevel="1">
      <c r="A112" s="63">
        <v>52146</v>
      </c>
      <c r="B112" s="63" t="s">
        <v>43</v>
      </c>
      <c r="C112" s="64"/>
      <c r="D112" s="61"/>
      <c r="E112" s="65"/>
      <c r="F112" s="66"/>
      <c r="G112" s="67">
        <v>183.09</v>
      </c>
      <c r="H112" s="66"/>
      <c r="I112" s="67">
        <v>115.08</v>
      </c>
      <c r="J112" s="66"/>
      <c r="K112" s="67">
        <v>1520.34</v>
      </c>
      <c r="L112" s="66"/>
      <c r="M112" s="67">
        <v>1316.87</v>
      </c>
      <c r="N112" s="66"/>
      <c r="O112" s="67">
        <v>363.56</v>
      </c>
      <c r="P112" s="66"/>
      <c r="Q112" s="67">
        <v>522.88</v>
      </c>
      <c r="R112" s="66"/>
      <c r="S112" s="67">
        <v>192.98</v>
      </c>
      <c r="T112" s="66"/>
      <c r="U112" s="67">
        <v>2959.25</v>
      </c>
      <c r="V112" s="66"/>
      <c r="W112" s="67">
        <v>1213.1199999999999</v>
      </c>
      <c r="X112" s="66"/>
      <c r="Y112" s="67">
        <v>190.95</v>
      </c>
      <c r="Z112" s="66"/>
      <c r="AA112" s="67">
        <v>317.3</v>
      </c>
      <c r="AB112" s="66"/>
      <c r="AC112" s="67">
        <v>467.6</v>
      </c>
      <c r="AD112" s="66"/>
      <c r="AE112" s="67">
        <f t="shared" si="7"/>
        <v>9363.02</v>
      </c>
      <c r="AF112" s="68"/>
      <c r="AG112" s="69"/>
    </row>
    <row r="113" spans="1:33" outlineLevel="1">
      <c r="A113" s="63">
        <v>52147</v>
      </c>
      <c r="B113" s="63" t="s">
        <v>155</v>
      </c>
      <c r="C113" s="64"/>
      <c r="D113" s="61"/>
      <c r="E113" s="65"/>
      <c r="F113" s="66"/>
      <c r="G113" s="67">
        <v>6376.83</v>
      </c>
      <c r="H113" s="66"/>
      <c r="I113" s="67">
        <v>142.31</v>
      </c>
      <c r="J113" s="66"/>
      <c r="K113" s="67">
        <v>5572.19</v>
      </c>
      <c r="L113" s="66"/>
      <c r="M113" s="67">
        <v>1067.76</v>
      </c>
      <c r="N113" s="66"/>
      <c r="O113" s="67">
        <v>3714.71</v>
      </c>
      <c r="P113" s="66"/>
      <c r="Q113" s="67">
        <v>2361.75</v>
      </c>
      <c r="R113" s="66"/>
      <c r="S113" s="67">
        <v>12809.78</v>
      </c>
      <c r="T113" s="66"/>
      <c r="U113" s="67">
        <v>4348.95</v>
      </c>
      <c r="V113" s="66"/>
      <c r="W113" s="67">
        <v>7214.92</v>
      </c>
      <c r="X113" s="66"/>
      <c r="Y113" s="67">
        <v>1016.83</v>
      </c>
      <c r="Z113" s="66"/>
      <c r="AA113" s="67">
        <v>172.48</v>
      </c>
      <c r="AB113" s="66"/>
      <c r="AC113" s="67">
        <v>556.38</v>
      </c>
      <c r="AD113" s="66"/>
      <c r="AE113" s="67">
        <f t="shared" si="7"/>
        <v>45354.890000000007</v>
      </c>
      <c r="AF113" s="68"/>
      <c r="AG113" s="69"/>
    </row>
    <row r="114" spans="1:33" outlineLevel="1">
      <c r="A114" s="63">
        <v>52150</v>
      </c>
      <c r="B114" s="63" t="s">
        <v>156</v>
      </c>
      <c r="C114" s="64"/>
      <c r="D114" s="61"/>
      <c r="E114" s="65"/>
      <c r="F114" s="66"/>
      <c r="G114" s="67">
        <v>94.46</v>
      </c>
      <c r="H114" s="66"/>
      <c r="I114" s="67">
        <v>113.49</v>
      </c>
      <c r="J114" s="66"/>
      <c r="K114" s="67">
        <v>113.49</v>
      </c>
      <c r="L114" s="66"/>
      <c r="M114" s="67">
        <v>113.49</v>
      </c>
      <c r="N114" s="66"/>
      <c r="O114" s="67">
        <v>112.71</v>
      </c>
      <c r="P114" s="66"/>
      <c r="Q114" s="67">
        <v>113.49</v>
      </c>
      <c r="R114" s="66"/>
      <c r="S114" s="67">
        <v>111.94</v>
      </c>
      <c r="T114" s="66"/>
      <c r="U114" s="67">
        <v>116.26</v>
      </c>
      <c r="V114" s="66"/>
      <c r="W114" s="67">
        <v>118.39</v>
      </c>
      <c r="X114" s="66"/>
      <c r="Y114" s="67">
        <v>119.97</v>
      </c>
      <c r="Z114" s="66"/>
      <c r="AA114" s="67">
        <v>121.58</v>
      </c>
      <c r="AB114" s="66"/>
      <c r="AC114" s="67">
        <v>123.19</v>
      </c>
      <c r="AD114" s="66"/>
      <c r="AE114" s="67">
        <f t="shared" si="7"/>
        <v>1372.46</v>
      </c>
      <c r="AF114" s="68"/>
      <c r="AG114" s="69"/>
    </row>
    <row r="115" spans="1:33" outlineLevel="1">
      <c r="A115" s="63">
        <v>52165</v>
      </c>
      <c r="B115" s="63" t="s">
        <v>157</v>
      </c>
      <c r="C115" s="64"/>
      <c r="D115" s="61"/>
      <c r="E115" s="65"/>
      <c r="F115" s="66"/>
      <c r="G115" s="67">
        <v>0</v>
      </c>
      <c r="H115" s="66"/>
      <c r="I115" s="67">
        <v>0</v>
      </c>
      <c r="J115" s="66"/>
      <c r="K115" s="67">
        <v>324</v>
      </c>
      <c r="L115" s="66"/>
      <c r="M115" s="67">
        <v>-0.6</v>
      </c>
      <c r="N115" s="66"/>
      <c r="O115" s="67">
        <v>0</v>
      </c>
      <c r="P115" s="66"/>
      <c r="Q115" s="67">
        <v>0</v>
      </c>
      <c r="R115" s="66"/>
      <c r="S115" s="67">
        <v>0</v>
      </c>
      <c r="T115" s="66"/>
      <c r="U115" s="67">
        <v>0</v>
      </c>
      <c r="V115" s="66"/>
      <c r="W115" s="67">
        <v>0</v>
      </c>
      <c r="X115" s="66"/>
      <c r="Y115" s="67">
        <v>0</v>
      </c>
      <c r="Z115" s="66"/>
      <c r="AA115" s="67">
        <v>0</v>
      </c>
      <c r="AB115" s="66"/>
      <c r="AC115" s="67">
        <v>0</v>
      </c>
      <c r="AD115" s="66"/>
      <c r="AE115" s="67">
        <f t="shared" si="7"/>
        <v>323.39999999999998</v>
      </c>
      <c r="AF115" s="68"/>
      <c r="AG115" s="69"/>
    </row>
    <row r="116" spans="1:33" outlineLevel="1">
      <c r="A116" s="63">
        <v>52181</v>
      </c>
      <c r="B116" s="63" t="s">
        <v>158</v>
      </c>
      <c r="C116" s="64"/>
      <c r="D116" s="61"/>
      <c r="E116" s="65"/>
      <c r="F116" s="66"/>
      <c r="G116" s="67">
        <v>0</v>
      </c>
      <c r="H116" s="66"/>
      <c r="I116" s="67">
        <v>0</v>
      </c>
      <c r="J116" s="66"/>
      <c r="K116" s="67">
        <v>28.76</v>
      </c>
      <c r="L116" s="66"/>
      <c r="M116" s="67">
        <v>-28.76</v>
      </c>
      <c r="N116" s="66"/>
      <c r="O116" s="67">
        <v>0</v>
      </c>
      <c r="P116" s="66"/>
      <c r="Q116" s="67">
        <v>0</v>
      </c>
      <c r="R116" s="66"/>
      <c r="S116" s="67">
        <v>0</v>
      </c>
      <c r="T116" s="66"/>
      <c r="U116" s="67">
        <v>0</v>
      </c>
      <c r="V116" s="66"/>
      <c r="W116" s="67">
        <v>0</v>
      </c>
      <c r="X116" s="66"/>
      <c r="Y116" s="67">
        <v>0</v>
      </c>
      <c r="Z116" s="66"/>
      <c r="AA116" s="67">
        <v>0</v>
      </c>
      <c r="AB116" s="66"/>
      <c r="AC116" s="67">
        <v>0</v>
      </c>
      <c r="AD116" s="66"/>
      <c r="AE116" s="67">
        <f t="shared" si="7"/>
        <v>0</v>
      </c>
      <c r="AF116" s="68"/>
      <c r="AG116" s="69"/>
    </row>
    <row r="117" spans="1:33" outlineLevel="1">
      <c r="A117" s="63">
        <v>52182</v>
      </c>
      <c r="B117" s="63" t="s">
        <v>159</v>
      </c>
      <c r="C117" s="64"/>
      <c r="D117" s="61"/>
      <c r="E117" s="65"/>
      <c r="F117" s="66"/>
      <c r="G117" s="67">
        <v>404.96</v>
      </c>
      <c r="H117" s="66"/>
      <c r="I117" s="67">
        <v>595.79</v>
      </c>
      <c r="J117" s="66"/>
      <c r="K117" s="67">
        <v>0</v>
      </c>
      <c r="L117" s="66"/>
      <c r="M117" s="67">
        <v>875.88</v>
      </c>
      <c r="N117" s="66"/>
      <c r="O117" s="67">
        <v>323.39999999999998</v>
      </c>
      <c r="P117" s="66"/>
      <c r="Q117" s="67">
        <v>2619.17</v>
      </c>
      <c r="R117" s="66"/>
      <c r="S117" s="67">
        <v>1039.19</v>
      </c>
      <c r="T117" s="66"/>
      <c r="U117" s="67">
        <v>815.95</v>
      </c>
      <c r="V117" s="66"/>
      <c r="W117" s="67">
        <v>1003.48</v>
      </c>
      <c r="X117" s="66"/>
      <c r="Y117" s="67">
        <v>371</v>
      </c>
      <c r="Z117" s="66"/>
      <c r="AA117" s="67">
        <v>987.86</v>
      </c>
      <c r="AB117" s="66"/>
      <c r="AC117" s="67">
        <v>0</v>
      </c>
      <c r="AD117" s="66"/>
      <c r="AE117" s="67">
        <f t="shared" si="7"/>
        <v>9036.6799999999985</v>
      </c>
      <c r="AF117" s="68"/>
      <c r="AG117" s="69"/>
    </row>
    <row r="118" spans="1:33" s="65" customFormat="1" ht="5.0999999999999996" customHeight="1" outlineLevel="1">
      <c r="A118" s="64"/>
      <c r="B118" s="64"/>
      <c r="C118" s="64"/>
      <c r="D118" s="64"/>
      <c r="G118" s="95"/>
      <c r="H118" s="93"/>
      <c r="I118" s="95"/>
      <c r="J118" s="93"/>
      <c r="K118" s="95"/>
      <c r="L118" s="93"/>
      <c r="M118" s="95"/>
      <c r="N118" s="93"/>
      <c r="O118" s="95"/>
      <c r="P118" s="93"/>
      <c r="Q118" s="95"/>
      <c r="R118" s="93"/>
      <c r="S118" s="95"/>
      <c r="T118" s="93"/>
      <c r="U118" s="95"/>
      <c r="V118" s="93"/>
      <c r="W118" s="95"/>
      <c r="X118" s="93"/>
      <c r="Y118" s="95"/>
      <c r="Z118" s="93"/>
      <c r="AA118" s="95"/>
      <c r="AB118" s="93"/>
      <c r="AC118" s="95"/>
      <c r="AD118" s="93"/>
      <c r="AE118" s="95"/>
      <c r="AF118" s="89"/>
      <c r="AG118" s="72"/>
    </row>
    <row r="119" spans="1:33" s="65" customFormat="1" ht="15">
      <c r="C119" s="64" t="s">
        <v>160</v>
      </c>
      <c r="G119" s="92">
        <f>SUM(G97:G118)</f>
        <v>42940.759999999995</v>
      </c>
      <c r="H119" s="93"/>
      <c r="I119" s="92">
        <f>SUM(I97:I118)</f>
        <v>31571.840000000007</v>
      </c>
      <c r="J119" s="93"/>
      <c r="K119" s="92">
        <f>SUM(K97:K118)</f>
        <v>40395.5</v>
      </c>
      <c r="L119" s="93"/>
      <c r="M119" s="92">
        <f>SUM(M97:M118)</f>
        <v>32596.45</v>
      </c>
      <c r="N119" s="93"/>
      <c r="O119" s="92">
        <f>SUM(O97:O118)</f>
        <v>38766.289999999994</v>
      </c>
      <c r="P119" s="93"/>
      <c r="Q119" s="92">
        <f>SUM(Q97:Q118)</f>
        <v>41013.799999999996</v>
      </c>
      <c r="R119" s="93"/>
      <c r="S119" s="92">
        <f>SUM(S97:S118)</f>
        <v>44375.910000000011</v>
      </c>
      <c r="T119" s="93"/>
      <c r="U119" s="92">
        <f>SUM(U97:U118)</f>
        <v>35892.769999999997</v>
      </c>
      <c r="V119" s="93"/>
      <c r="W119" s="92">
        <f>SUM(W97:W118)</f>
        <v>41181.730000000003</v>
      </c>
      <c r="X119" s="93"/>
      <c r="Y119" s="92">
        <f>SUM(Y97:Y118)</f>
        <v>30435.810000000005</v>
      </c>
      <c r="Z119" s="93"/>
      <c r="AA119" s="92">
        <f>SUM(AA97:AA118)</f>
        <v>32624.02</v>
      </c>
      <c r="AB119" s="93"/>
      <c r="AC119" s="92">
        <f>SUM(AC97:AC118)</f>
        <v>43637.810000000005</v>
      </c>
      <c r="AD119" s="93"/>
      <c r="AE119" s="92">
        <f>SUM(AE97:AE118)</f>
        <v>455432.69000000006</v>
      </c>
      <c r="AF119" s="68"/>
      <c r="AG119" s="72"/>
    </row>
    <row r="120" spans="1:33" s="65" customFormat="1" ht="15" outlineLevel="1">
      <c r="G120" s="94"/>
      <c r="H120" s="93"/>
      <c r="I120" s="94"/>
      <c r="J120" s="93"/>
      <c r="K120" s="94"/>
      <c r="L120" s="93"/>
      <c r="M120" s="94"/>
      <c r="N120" s="93"/>
      <c r="O120" s="94"/>
      <c r="P120" s="93"/>
      <c r="Q120" s="94"/>
      <c r="R120" s="93"/>
      <c r="S120" s="94"/>
      <c r="T120" s="93"/>
      <c r="U120" s="94"/>
      <c r="V120" s="93"/>
      <c r="W120" s="94"/>
      <c r="X120" s="93"/>
      <c r="Y120" s="94"/>
      <c r="Z120" s="93"/>
      <c r="AA120" s="94"/>
      <c r="AB120" s="93"/>
      <c r="AC120" s="94"/>
      <c r="AD120" s="93"/>
      <c r="AE120" s="94"/>
      <c r="AF120" s="89"/>
      <c r="AG120" s="72"/>
    </row>
    <row r="121" spans="1:33" s="65" customFormat="1" ht="15" outlineLevel="1">
      <c r="G121" s="94"/>
      <c r="H121" s="93"/>
      <c r="I121" s="94"/>
      <c r="J121" s="93"/>
      <c r="K121" s="94"/>
      <c r="L121" s="93"/>
      <c r="M121" s="94"/>
      <c r="N121" s="93"/>
      <c r="O121" s="94"/>
      <c r="P121" s="93"/>
      <c r="Q121" s="94"/>
      <c r="R121" s="93"/>
      <c r="S121" s="94"/>
      <c r="T121" s="93"/>
      <c r="U121" s="94"/>
      <c r="V121" s="93"/>
      <c r="W121" s="94"/>
      <c r="X121" s="93"/>
      <c r="Y121" s="94"/>
      <c r="Z121" s="93"/>
      <c r="AA121" s="94"/>
      <c r="AB121" s="93"/>
      <c r="AC121" s="94"/>
      <c r="AD121" s="93"/>
      <c r="AE121" s="94"/>
      <c r="AF121" s="89"/>
      <c r="AG121" s="72"/>
    </row>
    <row r="122" spans="1:33" outlineLevel="1">
      <c r="A122" s="63">
        <v>55120</v>
      </c>
      <c r="B122" s="63" t="s">
        <v>153</v>
      </c>
      <c r="C122" s="64"/>
      <c r="D122" s="61"/>
      <c r="E122" s="65"/>
      <c r="F122" s="66"/>
      <c r="G122" s="67">
        <v>980.52</v>
      </c>
      <c r="H122" s="66"/>
      <c r="I122" s="67">
        <v>3182.29</v>
      </c>
      <c r="J122" s="66"/>
      <c r="K122" s="67">
        <v>1143.57</v>
      </c>
      <c r="L122" s="66"/>
      <c r="M122" s="67">
        <v>47.12</v>
      </c>
      <c r="N122" s="66"/>
      <c r="O122" s="67">
        <v>1810.04</v>
      </c>
      <c r="P122" s="66"/>
      <c r="Q122" s="67">
        <v>18265.669999999998</v>
      </c>
      <c r="R122" s="66"/>
      <c r="S122" s="67">
        <v>1237.78</v>
      </c>
      <c r="T122" s="66"/>
      <c r="U122" s="67">
        <v>31.38</v>
      </c>
      <c r="V122" s="66"/>
      <c r="W122" s="67">
        <v>360</v>
      </c>
      <c r="X122" s="66"/>
      <c r="Y122" s="67">
        <v>546.28</v>
      </c>
      <c r="Z122" s="66"/>
      <c r="AA122" s="67">
        <v>11.77</v>
      </c>
      <c r="AB122" s="66"/>
      <c r="AC122" s="67">
        <v>76.400000000000006</v>
      </c>
      <c r="AD122" s="66"/>
      <c r="AE122" s="67">
        <f t="shared" ref="AE122:AE123" si="8">AC122+AA122+Y122+W122+U122+S122+Q122+O122+M122+K122+I122+G122</f>
        <v>27692.82</v>
      </c>
      <c r="AF122" s="68"/>
      <c r="AG122" s="69"/>
    </row>
    <row r="123" spans="1:33" outlineLevel="1">
      <c r="A123" s="63">
        <v>55125</v>
      </c>
      <c r="B123" s="63" t="s">
        <v>30</v>
      </c>
      <c r="C123" s="64"/>
      <c r="D123" s="61"/>
      <c r="E123" s="65"/>
      <c r="F123" s="66"/>
      <c r="G123" s="67">
        <v>275.35000000000002</v>
      </c>
      <c r="H123" s="66"/>
      <c r="I123" s="67">
        <v>71.31</v>
      </c>
      <c r="J123" s="66"/>
      <c r="K123" s="67">
        <v>155.19999999999999</v>
      </c>
      <c r="L123" s="66"/>
      <c r="M123" s="67">
        <v>457.55</v>
      </c>
      <c r="N123" s="66"/>
      <c r="O123" s="67">
        <v>147.41</v>
      </c>
      <c r="P123" s="66"/>
      <c r="Q123" s="67">
        <v>18.829999999999998</v>
      </c>
      <c r="R123" s="66"/>
      <c r="S123" s="67">
        <v>13.96</v>
      </c>
      <c r="T123" s="66"/>
      <c r="U123" s="67">
        <v>57.03</v>
      </c>
      <c r="V123" s="66"/>
      <c r="W123" s="67">
        <v>97.99</v>
      </c>
      <c r="X123" s="66"/>
      <c r="Y123" s="67">
        <v>602.16</v>
      </c>
      <c r="Z123" s="66"/>
      <c r="AA123" s="67">
        <v>235.37</v>
      </c>
      <c r="AB123" s="66"/>
      <c r="AC123" s="67">
        <v>209.78</v>
      </c>
      <c r="AD123" s="66"/>
      <c r="AE123" s="67">
        <f t="shared" si="8"/>
        <v>2341.94</v>
      </c>
      <c r="AF123" s="68"/>
      <c r="AG123" s="69"/>
    </row>
    <row r="124" spans="1:33" s="65" customFormat="1" ht="5.0999999999999996" customHeight="1" outlineLevel="1">
      <c r="A124" s="64"/>
      <c r="B124" s="64"/>
      <c r="C124" s="64"/>
      <c r="D124" s="64"/>
      <c r="G124" s="95"/>
      <c r="H124" s="93"/>
      <c r="I124" s="95"/>
      <c r="J124" s="93"/>
      <c r="K124" s="95"/>
      <c r="L124" s="93"/>
      <c r="M124" s="95"/>
      <c r="N124" s="93"/>
      <c r="O124" s="95"/>
      <c r="P124" s="93"/>
      <c r="Q124" s="95"/>
      <c r="R124" s="93"/>
      <c r="S124" s="95"/>
      <c r="T124" s="93"/>
      <c r="U124" s="95"/>
      <c r="V124" s="93"/>
      <c r="W124" s="95"/>
      <c r="X124" s="93"/>
      <c r="Y124" s="95"/>
      <c r="Z124" s="93"/>
      <c r="AA124" s="95"/>
      <c r="AB124" s="93"/>
      <c r="AC124" s="95"/>
      <c r="AD124" s="93"/>
      <c r="AE124" s="95"/>
      <c r="AF124" s="89"/>
      <c r="AG124" s="72"/>
    </row>
    <row r="125" spans="1:33" s="65" customFormat="1" ht="15">
      <c r="C125" s="64" t="s">
        <v>161</v>
      </c>
      <c r="G125" s="92">
        <f>SUM(G121:G124)</f>
        <v>1255.8699999999999</v>
      </c>
      <c r="H125" s="93"/>
      <c r="I125" s="92">
        <f>SUM(I121:I124)</f>
        <v>3253.6</v>
      </c>
      <c r="J125" s="93"/>
      <c r="K125" s="92">
        <f>SUM(K121:K124)</f>
        <v>1298.77</v>
      </c>
      <c r="L125" s="93"/>
      <c r="M125" s="92">
        <f>SUM(M121:M124)</f>
        <v>504.67</v>
      </c>
      <c r="N125" s="93"/>
      <c r="O125" s="92">
        <f>SUM(O121:O124)</f>
        <v>1957.45</v>
      </c>
      <c r="P125" s="93"/>
      <c r="Q125" s="92">
        <f>SUM(Q121:Q124)</f>
        <v>18284.5</v>
      </c>
      <c r="R125" s="93"/>
      <c r="S125" s="92">
        <f>SUM(S121:S124)</f>
        <v>1251.74</v>
      </c>
      <c r="T125" s="93"/>
      <c r="U125" s="92">
        <f>SUM(U121:U124)</f>
        <v>88.41</v>
      </c>
      <c r="V125" s="93"/>
      <c r="W125" s="92">
        <f>SUM(W121:W124)</f>
        <v>457.99</v>
      </c>
      <c r="X125" s="93"/>
      <c r="Y125" s="92">
        <f>SUM(Y121:Y124)</f>
        <v>1148.44</v>
      </c>
      <c r="Z125" s="93"/>
      <c r="AA125" s="92">
        <f>SUM(AA121:AA124)</f>
        <v>247.14000000000001</v>
      </c>
      <c r="AB125" s="93"/>
      <c r="AC125" s="92">
        <f>SUM(AC121:AC124)</f>
        <v>286.18</v>
      </c>
      <c r="AD125" s="93"/>
      <c r="AE125" s="92">
        <f>SUM(AE121:AE124)</f>
        <v>30034.76</v>
      </c>
      <c r="AF125" s="68"/>
      <c r="AG125" s="72"/>
    </row>
    <row r="126" spans="1:33" s="65" customFormat="1" ht="15" outlineLevel="1">
      <c r="G126" s="94"/>
      <c r="H126" s="93"/>
      <c r="I126" s="94"/>
      <c r="J126" s="93"/>
      <c r="K126" s="94"/>
      <c r="L126" s="93"/>
      <c r="M126" s="94"/>
      <c r="N126" s="93"/>
      <c r="O126" s="94"/>
      <c r="P126" s="93"/>
      <c r="Q126" s="94"/>
      <c r="R126" s="93"/>
      <c r="S126" s="94"/>
      <c r="T126" s="93"/>
      <c r="U126" s="94"/>
      <c r="V126" s="93"/>
      <c r="W126" s="94"/>
      <c r="X126" s="93"/>
      <c r="Y126" s="94"/>
      <c r="Z126" s="93"/>
      <c r="AA126" s="94"/>
      <c r="AB126" s="93"/>
      <c r="AC126" s="94"/>
      <c r="AD126" s="93"/>
      <c r="AE126" s="94"/>
      <c r="AF126" s="89"/>
      <c r="AG126" s="72"/>
    </row>
    <row r="127" spans="1:33" s="65" customFormat="1" ht="15" outlineLevel="1">
      <c r="G127" s="94"/>
      <c r="H127" s="93"/>
      <c r="I127" s="94"/>
      <c r="J127" s="93"/>
      <c r="K127" s="94"/>
      <c r="L127" s="93"/>
      <c r="M127" s="94"/>
      <c r="N127" s="93"/>
      <c r="O127" s="94"/>
      <c r="P127" s="93"/>
      <c r="Q127" s="94"/>
      <c r="R127" s="93"/>
      <c r="S127" s="94"/>
      <c r="T127" s="93"/>
      <c r="U127" s="94"/>
      <c r="V127" s="93"/>
      <c r="W127" s="94"/>
      <c r="X127" s="93"/>
      <c r="Y127" s="94"/>
      <c r="Z127" s="93"/>
      <c r="AA127" s="94"/>
      <c r="AB127" s="93"/>
      <c r="AC127" s="94"/>
      <c r="AD127" s="93"/>
      <c r="AE127" s="94"/>
      <c r="AF127" s="89"/>
      <c r="AG127" s="72"/>
    </row>
    <row r="128" spans="1:33" outlineLevel="1">
      <c r="A128" s="63">
        <v>56010</v>
      </c>
      <c r="B128" s="63" t="s">
        <v>58</v>
      </c>
      <c r="C128" s="64"/>
      <c r="D128" s="61"/>
      <c r="E128" s="65"/>
      <c r="F128" s="66"/>
      <c r="G128" s="67">
        <v>8941.67</v>
      </c>
      <c r="H128" s="66"/>
      <c r="I128" s="67">
        <v>8621.67</v>
      </c>
      <c r="J128" s="66"/>
      <c r="K128" s="67">
        <v>8939.17</v>
      </c>
      <c r="L128" s="66"/>
      <c r="M128" s="67">
        <v>8939.17</v>
      </c>
      <c r="N128" s="66"/>
      <c r="O128" s="67">
        <v>8677.92</v>
      </c>
      <c r="P128" s="66"/>
      <c r="Q128" s="67">
        <v>9267.7099999999991</v>
      </c>
      <c r="R128" s="66"/>
      <c r="S128" s="67">
        <v>9411.9199999999983</v>
      </c>
      <c r="T128" s="66"/>
      <c r="U128" s="67">
        <v>9411.9199999999983</v>
      </c>
      <c r="V128" s="66"/>
      <c r="W128" s="67">
        <v>9934.4199999999983</v>
      </c>
      <c r="X128" s="66"/>
      <c r="Y128" s="67">
        <v>9425.380000000001</v>
      </c>
      <c r="Z128" s="66"/>
      <c r="AA128" s="67">
        <v>9686.630000000001</v>
      </c>
      <c r="AB128" s="66"/>
      <c r="AC128" s="67">
        <v>9681.630000000001</v>
      </c>
      <c r="AD128" s="66"/>
      <c r="AE128" s="67">
        <f t="shared" ref="AE128:AE135" si="9">AC128+AA128+Y128+W128+U128+S128+Q128+O128+M128+K128+I128+G128</f>
        <v>110939.20999999998</v>
      </c>
      <c r="AF128" s="68"/>
      <c r="AG128" s="69"/>
    </row>
    <row r="129" spans="1:33" outlineLevel="1">
      <c r="A129" s="63">
        <v>56050</v>
      </c>
      <c r="B129" s="63" t="s">
        <v>106</v>
      </c>
      <c r="C129" s="64"/>
      <c r="D129" s="61"/>
      <c r="E129" s="65"/>
      <c r="F129" s="66"/>
      <c r="G129" s="67">
        <v>433.36</v>
      </c>
      <c r="H129" s="66"/>
      <c r="I129" s="67">
        <v>391.47</v>
      </c>
      <c r="J129" s="66"/>
      <c r="K129" s="67">
        <v>416.67</v>
      </c>
      <c r="L129" s="66"/>
      <c r="M129" s="67">
        <v>415.62</v>
      </c>
      <c r="N129" s="66"/>
      <c r="O129" s="67">
        <v>388.99</v>
      </c>
      <c r="P129" s="66"/>
      <c r="Q129" s="67">
        <v>425.7</v>
      </c>
      <c r="R129" s="66"/>
      <c r="S129" s="67">
        <v>508.96</v>
      </c>
      <c r="T129" s="66"/>
      <c r="U129" s="67">
        <v>735.83</v>
      </c>
      <c r="V129" s="66"/>
      <c r="W129" s="67">
        <v>718.99</v>
      </c>
      <c r="X129" s="66"/>
      <c r="Y129" s="67">
        <v>721.36</v>
      </c>
      <c r="Z129" s="66"/>
      <c r="AA129" s="67">
        <v>720.16</v>
      </c>
      <c r="AB129" s="66"/>
      <c r="AC129" s="67">
        <v>702.79</v>
      </c>
      <c r="AD129" s="66"/>
      <c r="AE129" s="67">
        <f t="shared" si="9"/>
        <v>6579.9</v>
      </c>
      <c r="AF129" s="68"/>
      <c r="AG129" s="69"/>
    </row>
    <row r="130" spans="1:33" outlineLevel="1">
      <c r="A130" s="63">
        <v>56060</v>
      </c>
      <c r="B130" s="63" t="s">
        <v>76</v>
      </c>
      <c r="C130" s="64"/>
      <c r="D130" s="61"/>
      <c r="E130" s="65"/>
      <c r="F130" s="66"/>
      <c r="G130" s="67">
        <v>705.54</v>
      </c>
      <c r="H130" s="66"/>
      <c r="I130" s="67">
        <v>705.54</v>
      </c>
      <c r="J130" s="66"/>
      <c r="K130" s="67">
        <v>705.54</v>
      </c>
      <c r="L130" s="66"/>
      <c r="M130" s="67">
        <v>705.54</v>
      </c>
      <c r="N130" s="66"/>
      <c r="O130" s="67">
        <v>705.54</v>
      </c>
      <c r="P130" s="66"/>
      <c r="Q130" s="67">
        <v>558.30999999999995</v>
      </c>
      <c r="R130" s="66"/>
      <c r="S130" s="67">
        <v>705.54</v>
      </c>
      <c r="T130" s="66"/>
      <c r="U130" s="67">
        <v>1257.33</v>
      </c>
      <c r="V130" s="66"/>
      <c r="W130" s="67">
        <v>1257.33</v>
      </c>
      <c r="X130" s="66"/>
      <c r="Y130" s="67">
        <v>1105.54</v>
      </c>
      <c r="Z130" s="66"/>
      <c r="AA130" s="67">
        <v>958.31</v>
      </c>
      <c r="AB130" s="66"/>
      <c r="AC130" s="67">
        <v>1096.3</v>
      </c>
      <c r="AD130" s="66"/>
      <c r="AE130" s="67">
        <f t="shared" si="9"/>
        <v>10466.36</v>
      </c>
      <c r="AF130" s="68"/>
      <c r="AG130" s="69"/>
    </row>
    <row r="131" spans="1:33" outlineLevel="1">
      <c r="A131" s="63">
        <v>56065</v>
      </c>
      <c r="B131" s="63" t="s">
        <v>26</v>
      </c>
      <c r="C131" s="64"/>
      <c r="D131" s="61"/>
      <c r="E131" s="65"/>
      <c r="F131" s="66"/>
      <c r="G131" s="67">
        <v>228.57</v>
      </c>
      <c r="H131" s="66"/>
      <c r="I131" s="67">
        <v>354.38</v>
      </c>
      <c r="J131" s="66"/>
      <c r="K131" s="67">
        <v>231.15</v>
      </c>
      <c r="L131" s="66"/>
      <c r="M131" s="67">
        <v>238.86</v>
      </c>
      <c r="N131" s="66"/>
      <c r="O131" s="67">
        <v>231.15</v>
      </c>
      <c r="P131" s="66"/>
      <c r="Q131" s="67">
        <v>-2011.03</v>
      </c>
      <c r="R131" s="66"/>
      <c r="S131" s="67">
        <v>238.86</v>
      </c>
      <c r="T131" s="66"/>
      <c r="U131" s="67">
        <v>223.45</v>
      </c>
      <c r="V131" s="66"/>
      <c r="W131" s="67">
        <v>238.86</v>
      </c>
      <c r="X131" s="66"/>
      <c r="Y131" s="67">
        <v>-893.79</v>
      </c>
      <c r="Z131" s="66"/>
      <c r="AA131" s="67">
        <v>-323.62</v>
      </c>
      <c r="AB131" s="66"/>
      <c r="AC131" s="67">
        <v>231.15</v>
      </c>
      <c r="AD131" s="66"/>
      <c r="AE131" s="67">
        <f t="shared" si="9"/>
        <v>-1012.0099999999995</v>
      </c>
      <c r="AF131" s="68"/>
      <c r="AG131" s="69"/>
    </row>
    <row r="132" spans="1:33" outlineLevel="1">
      <c r="A132" s="63">
        <v>56090</v>
      </c>
      <c r="B132" s="63" t="s">
        <v>46</v>
      </c>
      <c r="C132" s="64"/>
      <c r="D132" s="61"/>
      <c r="E132" s="65"/>
      <c r="F132" s="66"/>
      <c r="G132" s="67">
        <v>0</v>
      </c>
      <c r="H132" s="66"/>
      <c r="I132" s="67">
        <v>349.17</v>
      </c>
      <c r="J132" s="66"/>
      <c r="K132" s="67">
        <v>0</v>
      </c>
      <c r="L132" s="66"/>
      <c r="M132" s="67">
        <v>0</v>
      </c>
      <c r="N132" s="66"/>
      <c r="O132" s="67">
        <v>0</v>
      </c>
      <c r="P132" s="66"/>
      <c r="Q132" s="67">
        <v>0</v>
      </c>
      <c r="R132" s="66"/>
      <c r="S132" s="67">
        <v>0</v>
      </c>
      <c r="T132" s="66"/>
      <c r="U132" s="67">
        <v>0</v>
      </c>
      <c r="V132" s="66"/>
      <c r="W132" s="67">
        <v>0</v>
      </c>
      <c r="X132" s="66"/>
      <c r="Y132" s="67">
        <v>0</v>
      </c>
      <c r="Z132" s="66"/>
      <c r="AA132" s="67">
        <v>0</v>
      </c>
      <c r="AB132" s="66"/>
      <c r="AC132" s="67">
        <v>0</v>
      </c>
      <c r="AD132" s="66"/>
      <c r="AE132" s="67">
        <f t="shared" si="9"/>
        <v>349.17</v>
      </c>
      <c r="AF132" s="68"/>
      <c r="AG132" s="69"/>
    </row>
    <row r="133" spans="1:33" outlineLevel="1">
      <c r="A133" s="63">
        <v>56095</v>
      </c>
      <c r="B133" s="63" t="s">
        <v>162</v>
      </c>
      <c r="C133" s="64"/>
      <c r="D133" s="61"/>
      <c r="E133" s="65"/>
      <c r="F133" s="66"/>
      <c r="G133" s="67">
        <v>0</v>
      </c>
      <c r="H133" s="66"/>
      <c r="I133" s="67">
        <v>0</v>
      </c>
      <c r="J133" s="66"/>
      <c r="K133" s="67">
        <v>0</v>
      </c>
      <c r="L133" s="66"/>
      <c r="M133" s="67">
        <v>0</v>
      </c>
      <c r="N133" s="66"/>
      <c r="O133" s="67">
        <v>0</v>
      </c>
      <c r="P133" s="66"/>
      <c r="Q133" s="67">
        <v>0</v>
      </c>
      <c r="R133" s="66"/>
      <c r="S133" s="67">
        <v>0</v>
      </c>
      <c r="T133" s="66"/>
      <c r="U133" s="67">
        <v>0</v>
      </c>
      <c r="V133" s="66"/>
      <c r="W133" s="67">
        <v>0</v>
      </c>
      <c r="X133" s="66"/>
      <c r="Y133" s="67">
        <v>0</v>
      </c>
      <c r="Z133" s="66"/>
      <c r="AA133" s="67">
        <v>0</v>
      </c>
      <c r="AB133" s="66"/>
      <c r="AC133" s="67">
        <v>86.23</v>
      </c>
      <c r="AD133" s="66"/>
      <c r="AE133" s="67">
        <f t="shared" si="9"/>
        <v>86.23</v>
      </c>
      <c r="AF133" s="68"/>
      <c r="AG133" s="69"/>
    </row>
    <row r="134" spans="1:33" outlineLevel="1">
      <c r="A134" s="63">
        <v>56115</v>
      </c>
      <c r="B134" s="63" t="s">
        <v>149</v>
      </c>
      <c r="C134" s="64"/>
      <c r="D134" s="61"/>
      <c r="E134" s="65"/>
      <c r="F134" s="66"/>
      <c r="G134" s="67">
        <v>150</v>
      </c>
      <c r="H134" s="66"/>
      <c r="I134" s="67">
        <v>153.38</v>
      </c>
      <c r="J134" s="66"/>
      <c r="K134" s="67">
        <v>156.76</v>
      </c>
      <c r="L134" s="66"/>
      <c r="M134" s="67">
        <v>156.76</v>
      </c>
      <c r="N134" s="66"/>
      <c r="O134" s="67">
        <v>156.76</v>
      </c>
      <c r="P134" s="66"/>
      <c r="Q134" s="67">
        <v>235.14</v>
      </c>
      <c r="R134" s="66"/>
      <c r="S134" s="67">
        <v>156.76</v>
      </c>
      <c r="T134" s="66"/>
      <c r="U134" s="67">
        <v>156.76</v>
      </c>
      <c r="V134" s="66"/>
      <c r="W134" s="67">
        <v>156.76</v>
      </c>
      <c r="X134" s="66"/>
      <c r="Y134" s="67">
        <v>156.76</v>
      </c>
      <c r="Z134" s="66"/>
      <c r="AA134" s="67">
        <v>235.14</v>
      </c>
      <c r="AB134" s="66"/>
      <c r="AC134" s="67">
        <v>156.76</v>
      </c>
      <c r="AD134" s="66"/>
      <c r="AE134" s="67">
        <f t="shared" si="9"/>
        <v>2027.7399999999998</v>
      </c>
      <c r="AF134" s="68"/>
      <c r="AG134" s="69"/>
    </row>
    <row r="135" spans="1:33" outlineLevel="1">
      <c r="A135" s="63">
        <v>56142</v>
      </c>
      <c r="B135" s="63" t="s">
        <v>42</v>
      </c>
      <c r="C135" s="64"/>
      <c r="D135" s="61"/>
      <c r="E135" s="65"/>
      <c r="F135" s="66"/>
      <c r="G135" s="67">
        <v>0</v>
      </c>
      <c r="H135" s="66"/>
      <c r="I135" s="67">
        <v>47.01</v>
      </c>
      <c r="J135" s="66"/>
      <c r="K135" s="67">
        <v>0</v>
      </c>
      <c r="L135" s="66"/>
      <c r="M135" s="67">
        <v>0</v>
      </c>
      <c r="N135" s="66"/>
      <c r="O135" s="67">
        <v>0</v>
      </c>
      <c r="P135" s="66"/>
      <c r="Q135" s="67">
        <v>0</v>
      </c>
      <c r="R135" s="66"/>
      <c r="S135" s="67">
        <v>0</v>
      </c>
      <c r="T135" s="66"/>
      <c r="U135" s="67">
        <v>0</v>
      </c>
      <c r="V135" s="66"/>
      <c r="W135" s="67">
        <v>0</v>
      </c>
      <c r="X135" s="66"/>
      <c r="Y135" s="67">
        <v>0</v>
      </c>
      <c r="Z135" s="66"/>
      <c r="AA135" s="67">
        <v>0</v>
      </c>
      <c r="AB135" s="66"/>
      <c r="AC135" s="67">
        <v>0</v>
      </c>
      <c r="AD135" s="66"/>
      <c r="AE135" s="67">
        <f t="shared" si="9"/>
        <v>47.01</v>
      </c>
      <c r="AF135" s="68"/>
      <c r="AG135" s="69"/>
    </row>
    <row r="136" spans="1:33" s="65" customFormat="1" ht="5.0999999999999996" customHeight="1" outlineLevel="1">
      <c r="A136" s="64"/>
      <c r="B136" s="64"/>
      <c r="C136" s="64"/>
      <c r="D136" s="64"/>
      <c r="G136" s="95"/>
      <c r="H136" s="93"/>
      <c r="I136" s="95"/>
      <c r="J136" s="93"/>
      <c r="K136" s="95"/>
      <c r="L136" s="93"/>
      <c r="M136" s="95"/>
      <c r="N136" s="93"/>
      <c r="O136" s="95"/>
      <c r="P136" s="93"/>
      <c r="Q136" s="95"/>
      <c r="R136" s="93"/>
      <c r="S136" s="95"/>
      <c r="T136" s="93"/>
      <c r="U136" s="95"/>
      <c r="V136" s="93"/>
      <c r="W136" s="95"/>
      <c r="X136" s="93"/>
      <c r="Y136" s="95"/>
      <c r="Z136" s="93"/>
      <c r="AA136" s="95"/>
      <c r="AB136" s="93"/>
      <c r="AC136" s="95"/>
      <c r="AD136" s="93"/>
      <c r="AE136" s="95"/>
      <c r="AF136" s="89"/>
      <c r="AG136" s="72"/>
    </row>
    <row r="137" spans="1:33" s="65" customFormat="1" ht="15">
      <c r="C137" s="64" t="s">
        <v>163</v>
      </c>
      <c r="G137" s="92">
        <f>SUM(G127:G136)</f>
        <v>10459.14</v>
      </c>
      <c r="H137" s="93"/>
      <c r="I137" s="92">
        <f>SUM(I127:I136)</f>
        <v>10622.619999999999</v>
      </c>
      <c r="J137" s="93"/>
      <c r="K137" s="92">
        <f>SUM(K127:K136)</f>
        <v>10449.290000000001</v>
      </c>
      <c r="L137" s="93"/>
      <c r="M137" s="92">
        <f>SUM(M127:M136)</f>
        <v>10455.950000000003</v>
      </c>
      <c r="N137" s="93"/>
      <c r="O137" s="92">
        <f>SUM(O127:O136)</f>
        <v>10160.36</v>
      </c>
      <c r="P137" s="93"/>
      <c r="Q137" s="92">
        <f>SUM(Q127:Q136)</f>
        <v>8475.8299999999981</v>
      </c>
      <c r="R137" s="93"/>
      <c r="S137" s="92">
        <f>SUM(S127:S136)</f>
        <v>11022.039999999999</v>
      </c>
      <c r="T137" s="93"/>
      <c r="U137" s="92">
        <f>SUM(U127:U136)</f>
        <v>11785.289999999999</v>
      </c>
      <c r="V137" s="93"/>
      <c r="W137" s="92">
        <f>SUM(W127:W136)</f>
        <v>12306.359999999999</v>
      </c>
      <c r="X137" s="93"/>
      <c r="Y137" s="92">
        <f>SUM(Y127:Y136)</f>
        <v>10515.250000000002</v>
      </c>
      <c r="Z137" s="93"/>
      <c r="AA137" s="92">
        <f>SUM(AA127:AA136)</f>
        <v>11276.619999999999</v>
      </c>
      <c r="AB137" s="93"/>
      <c r="AC137" s="92">
        <f>SUM(AC127:AC136)</f>
        <v>11954.86</v>
      </c>
      <c r="AD137" s="93"/>
      <c r="AE137" s="92">
        <f>SUM(AE127:AE136)</f>
        <v>129483.60999999997</v>
      </c>
      <c r="AF137" s="68"/>
      <c r="AG137" s="72"/>
    </row>
    <row r="138" spans="1:33" s="65" customFormat="1" ht="15" outlineLevel="1">
      <c r="G138" s="94"/>
      <c r="H138" s="93"/>
      <c r="I138" s="94"/>
      <c r="J138" s="93"/>
      <c r="K138" s="94"/>
      <c r="L138" s="93"/>
      <c r="M138" s="94"/>
      <c r="N138" s="93"/>
      <c r="O138" s="94"/>
      <c r="P138" s="93"/>
      <c r="Q138" s="94"/>
      <c r="R138" s="93"/>
      <c r="S138" s="94"/>
      <c r="T138" s="93"/>
      <c r="U138" s="94"/>
      <c r="V138" s="93"/>
      <c r="W138" s="94"/>
      <c r="X138" s="93"/>
      <c r="Y138" s="94"/>
      <c r="Z138" s="93"/>
      <c r="AA138" s="94"/>
      <c r="AB138" s="93"/>
      <c r="AC138" s="94"/>
      <c r="AD138" s="93"/>
      <c r="AE138" s="94"/>
      <c r="AF138" s="89"/>
      <c r="AG138" s="72"/>
    </row>
    <row r="139" spans="1:33" s="65" customFormat="1" ht="15" outlineLevel="1">
      <c r="G139" s="94"/>
      <c r="H139" s="93"/>
      <c r="I139" s="94"/>
      <c r="J139" s="93"/>
      <c r="K139" s="94"/>
      <c r="L139" s="93"/>
      <c r="M139" s="94"/>
      <c r="N139" s="93"/>
      <c r="O139" s="94"/>
      <c r="P139" s="93"/>
      <c r="Q139" s="94"/>
      <c r="R139" s="93"/>
      <c r="S139" s="94"/>
      <c r="T139" s="93"/>
      <c r="U139" s="94"/>
      <c r="V139" s="93"/>
      <c r="W139" s="94"/>
      <c r="X139" s="93"/>
      <c r="Y139" s="94"/>
      <c r="Z139" s="93"/>
      <c r="AA139" s="94"/>
      <c r="AB139" s="93"/>
      <c r="AC139" s="94"/>
      <c r="AD139" s="93"/>
      <c r="AE139" s="94"/>
      <c r="AF139" s="89"/>
      <c r="AG139" s="72"/>
    </row>
    <row r="140" spans="1:33" outlineLevel="1">
      <c r="A140" s="63">
        <v>57135</v>
      </c>
      <c r="B140" s="63" t="s">
        <v>164</v>
      </c>
      <c r="C140" s="64"/>
      <c r="D140" s="61"/>
      <c r="E140" s="65"/>
      <c r="F140" s="66"/>
      <c r="G140" s="67">
        <v>0</v>
      </c>
      <c r="H140" s="66"/>
      <c r="I140" s="67">
        <v>0</v>
      </c>
      <c r="J140" s="66"/>
      <c r="K140" s="67">
        <v>0</v>
      </c>
      <c r="L140" s="66"/>
      <c r="M140" s="67">
        <v>0</v>
      </c>
      <c r="N140" s="66"/>
      <c r="O140" s="67">
        <v>0</v>
      </c>
      <c r="P140" s="66"/>
      <c r="Q140" s="67">
        <v>0</v>
      </c>
      <c r="R140" s="66"/>
      <c r="S140" s="67">
        <v>913.07</v>
      </c>
      <c r="T140" s="66"/>
      <c r="U140" s="67">
        <v>0</v>
      </c>
      <c r="V140" s="66"/>
      <c r="W140" s="67">
        <v>0</v>
      </c>
      <c r="X140" s="66"/>
      <c r="Y140" s="67">
        <v>0</v>
      </c>
      <c r="Z140" s="66"/>
      <c r="AA140" s="67">
        <v>0</v>
      </c>
      <c r="AB140" s="66"/>
      <c r="AC140" s="67">
        <v>0</v>
      </c>
      <c r="AD140" s="66"/>
      <c r="AE140" s="67">
        <f t="shared" ref="AE140:AE148" si="10">AC140+AA140+Y140+W140+U140+S140+Q140+O140+M140+K140+I140+G140</f>
        <v>913.07</v>
      </c>
      <c r="AF140" s="68"/>
      <c r="AG140" s="69"/>
    </row>
    <row r="141" spans="1:33" outlineLevel="1">
      <c r="A141" s="63">
        <v>57147</v>
      </c>
      <c r="B141" s="63" t="s">
        <v>165</v>
      </c>
      <c r="C141" s="64"/>
      <c r="D141" s="61"/>
      <c r="E141" s="65"/>
      <c r="F141" s="66"/>
      <c r="G141" s="67">
        <v>69.73</v>
      </c>
      <c r="H141" s="66"/>
      <c r="I141" s="67">
        <v>107.41</v>
      </c>
      <c r="J141" s="66"/>
      <c r="K141" s="67">
        <v>134.41</v>
      </c>
      <c r="L141" s="66"/>
      <c r="M141" s="67">
        <v>100</v>
      </c>
      <c r="N141" s="66"/>
      <c r="O141" s="67">
        <v>155.55000000000001</v>
      </c>
      <c r="P141" s="66"/>
      <c r="Q141" s="67">
        <v>9507.6299999999992</v>
      </c>
      <c r="R141" s="66"/>
      <c r="S141" s="67">
        <v>0</v>
      </c>
      <c r="T141" s="66"/>
      <c r="U141" s="67">
        <v>1691.71</v>
      </c>
      <c r="V141" s="66"/>
      <c r="W141" s="67">
        <v>653.16</v>
      </c>
      <c r="X141" s="66"/>
      <c r="Y141" s="67">
        <v>3333.72</v>
      </c>
      <c r="Z141" s="66"/>
      <c r="AA141" s="67">
        <v>1173.1099999999999</v>
      </c>
      <c r="AB141" s="66"/>
      <c r="AC141" s="67">
        <v>104.81</v>
      </c>
      <c r="AD141" s="66"/>
      <c r="AE141" s="67">
        <f t="shared" si="10"/>
        <v>17031.239999999998</v>
      </c>
      <c r="AF141" s="68"/>
      <c r="AG141" s="69"/>
    </row>
    <row r="142" spans="1:33" outlineLevel="1">
      <c r="A142" s="63">
        <v>57170</v>
      </c>
      <c r="B142" s="63" t="s">
        <v>166</v>
      </c>
      <c r="C142" s="64"/>
      <c r="D142" s="61"/>
      <c r="E142" s="65"/>
      <c r="F142" s="66"/>
      <c r="G142" s="67">
        <v>475</v>
      </c>
      <c r="H142" s="66"/>
      <c r="I142" s="67">
        <v>475</v>
      </c>
      <c r="J142" s="66"/>
      <c r="K142" s="67">
        <v>950</v>
      </c>
      <c r="L142" s="66"/>
      <c r="M142" s="67">
        <v>475</v>
      </c>
      <c r="N142" s="66"/>
      <c r="O142" s="67">
        <v>475</v>
      </c>
      <c r="P142" s="66"/>
      <c r="Q142" s="67">
        <v>475</v>
      </c>
      <c r="R142" s="66"/>
      <c r="S142" s="67">
        <v>475</v>
      </c>
      <c r="T142" s="66"/>
      <c r="U142" s="67">
        <v>475</v>
      </c>
      <c r="V142" s="66"/>
      <c r="W142" s="67">
        <v>475</v>
      </c>
      <c r="X142" s="66"/>
      <c r="Y142" s="67">
        <v>475</v>
      </c>
      <c r="Z142" s="66"/>
      <c r="AA142" s="67">
        <v>475</v>
      </c>
      <c r="AB142" s="66"/>
      <c r="AC142" s="67">
        <v>475</v>
      </c>
      <c r="AD142" s="66"/>
      <c r="AE142" s="67">
        <f t="shared" si="10"/>
        <v>6175</v>
      </c>
      <c r="AF142" s="68"/>
      <c r="AG142" s="69"/>
    </row>
    <row r="143" spans="1:33" outlineLevel="1">
      <c r="A143" s="63">
        <v>57254</v>
      </c>
      <c r="B143" s="63" t="s">
        <v>35</v>
      </c>
      <c r="C143" s="64"/>
      <c r="D143" s="61"/>
      <c r="E143" s="65"/>
      <c r="F143" s="66"/>
      <c r="G143" s="67">
        <v>1059.99</v>
      </c>
      <c r="H143" s="66"/>
      <c r="I143" s="67">
        <v>947.38</v>
      </c>
      <c r="J143" s="66"/>
      <c r="K143" s="67">
        <v>894.75</v>
      </c>
      <c r="L143" s="66"/>
      <c r="M143" s="67">
        <v>1167.47</v>
      </c>
      <c r="N143" s="66"/>
      <c r="O143" s="67">
        <v>1052.7</v>
      </c>
      <c r="P143" s="66"/>
      <c r="Q143" s="67">
        <v>1160.8499999999999</v>
      </c>
      <c r="R143" s="66"/>
      <c r="S143" s="67">
        <v>1212.95</v>
      </c>
      <c r="T143" s="66"/>
      <c r="U143" s="67">
        <v>1044.6500000000001</v>
      </c>
      <c r="V143" s="66"/>
      <c r="W143" s="67">
        <v>904.57</v>
      </c>
      <c r="X143" s="66"/>
      <c r="Y143" s="67">
        <v>1364.87</v>
      </c>
      <c r="Z143" s="66"/>
      <c r="AA143" s="67">
        <v>1101.9100000000001</v>
      </c>
      <c r="AB143" s="66"/>
      <c r="AC143" s="67">
        <v>1121.77</v>
      </c>
      <c r="AD143" s="66"/>
      <c r="AE143" s="67">
        <f t="shared" si="10"/>
        <v>13033.859999999999</v>
      </c>
      <c r="AF143" s="68"/>
      <c r="AG143" s="69"/>
    </row>
    <row r="144" spans="1:33" outlineLevel="1">
      <c r="A144" s="63">
        <v>57255</v>
      </c>
      <c r="B144" s="63" t="s">
        <v>167</v>
      </c>
      <c r="C144" s="64"/>
      <c r="D144" s="61"/>
      <c r="E144" s="65"/>
      <c r="F144" s="66"/>
      <c r="G144" s="67">
        <v>110.89</v>
      </c>
      <c r="H144" s="66"/>
      <c r="I144" s="67">
        <v>1116.04</v>
      </c>
      <c r="J144" s="66"/>
      <c r="K144" s="67">
        <v>1478.39</v>
      </c>
      <c r="L144" s="66"/>
      <c r="M144" s="67">
        <v>723.39</v>
      </c>
      <c r="N144" s="66"/>
      <c r="O144" s="67">
        <v>874.92</v>
      </c>
      <c r="P144" s="66"/>
      <c r="Q144" s="67">
        <v>3715.59</v>
      </c>
      <c r="R144" s="66"/>
      <c r="S144" s="67">
        <v>110.89</v>
      </c>
      <c r="T144" s="66"/>
      <c r="U144" s="67">
        <v>5365.49</v>
      </c>
      <c r="V144" s="66"/>
      <c r="W144" s="67">
        <v>1436.95</v>
      </c>
      <c r="X144" s="66"/>
      <c r="Y144" s="67">
        <v>2866.2</v>
      </c>
      <c r="Z144" s="66"/>
      <c r="AA144" s="67">
        <v>146.25</v>
      </c>
      <c r="AB144" s="66"/>
      <c r="AC144" s="67">
        <v>1863.75</v>
      </c>
      <c r="AD144" s="66"/>
      <c r="AE144" s="67">
        <f t="shared" si="10"/>
        <v>19808.75</v>
      </c>
      <c r="AF144" s="68"/>
      <c r="AG144" s="69"/>
    </row>
    <row r="145" spans="1:33" outlineLevel="1">
      <c r="A145" s="63">
        <v>57275</v>
      </c>
      <c r="B145" s="63" t="s">
        <v>168</v>
      </c>
      <c r="C145" s="64"/>
      <c r="D145" s="61"/>
      <c r="E145" s="65"/>
      <c r="F145" s="66"/>
      <c r="G145" s="67">
        <v>350.37</v>
      </c>
      <c r="H145" s="66"/>
      <c r="I145" s="67">
        <v>-753.87</v>
      </c>
      <c r="J145" s="66"/>
      <c r="K145" s="67">
        <v>212.34</v>
      </c>
      <c r="L145" s="66"/>
      <c r="M145" s="67">
        <v>212.34</v>
      </c>
      <c r="N145" s="66"/>
      <c r="O145" s="67">
        <v>212.34</v>
      </c>
      <c r="P145" s="66"/>
      <c r="Q145" s="67">
        <v>212.36</v>
      </c>
      <c r="R145" s="66"/>
      <c r="S145" s="67">
        <v>250</v>
      </c>
      <c r="T145" s="66"/>
      <c r="U145" s="67">
        <v>250</v>
      </c>
      <c r="V145" s="66"/>
      <c r="W145" s="67">
        <v>945.63</v>
      </c>
      <c r="X145" s="66"/>
      <c r="Y145" s="67">
        <v>2114.25</v>
      </c>
      <c r="Z145" s="66"/>
      <c r="AA145" s="67">
        <v>380.14</v>
      </c>
      <c r="AB145" s="66"/>
      <c r="AC145" s="67">
        <v>380.13</v>
      </c>
      <c r="AD145" s="66"/>
      <c r="AE145" s="67">
        <f t="shared" si="10"/>
        <v>4766.03</v>
      </c>
      <c r="AF145" s="68"/>
      <c r="AG145" s="69"/>
    </row>
    <row r="146" spans="1:33" outlineLevel="1">
      <c r="A146" s="63">
        <v>57353</v>
      </c>
      <c r="B146" s="63" t="s">
        <v>169</v>
      </c>
      <c r="C146" s="64"/>
      <c r="D146" s="61"/>
      <c r="E146" s="65"/>
      <c r="F146" s="66"/>
      <c r="G146" s="67">
        <v>0</v>
      </c>
      <c r="H146" s="66"/>
      <c r="I146" s="67">
        <v>0</v>
      </c>
      <c r="J146" s="66"/>
      <c r="K146" s="67">
        <v>0</v>
      </c>
      <c r="L146" s="66"/>
      <c r="M146" s="67">
        <v>0</v>
      </c>
      <c r="N146" s="66"/>
      <c r="O146" s="67">
        <v>0</v>
      </c>
      <c r="P146" s="66"/>
      <c r="Q146" s="67">
        <v>0</v>
      </c>
      <c r="R146" s="66"/>
      <c r="S146" s="67">
        <v>1200</v>
      </c>
      <c r="T146" s="66"/>
      <c r="U146" s="67">
        <v>0</v>
      </c>
      <c r="V146" s="66"/>
      <c r="W146" s="67">
        <v>-1200</v>
      </c>
      <c r="X146" s="66"/>
      <c r="Y146" s="67">
        <v>0</v>
      </c>
      <c r="Z146" s="66"/>
      <c r="AA146" s="67">
        <v>0</v>
      </c>
      <c r="AB146" s="66"/>
      <c r="AC146" s="67">
        <v>0</v>
      </c>
      <c r="AD146" s="66"/>
      <c r="AE146" s="67">
        <f t="shared" si="10"/>
        <v>0</v>
      </c>
      <c r="AF146" s="68"/>
      <c r="AG146" s="69"/>
    </row>
    <row r="147" spans="1:33" outlineLevel="1">
      <c r="A147" s="63">
        <v>57357</v>
      </c>
      <c r="B147" s="63" t="s">
        <v>104</v>
      </c>
      <c r="C147" s="64"/>
      <c r="D147" s="61"/>
      <c r="E147" s="65"/>
      <c r="F147" s="66"/>
      <c r="G147" s="67">
        <v>0</v>
      </c>
      <c r="H147" s="66"/>
      <c r="I147" s="67">
        <v>0</v>
      </c>
      <c r="J147" s="66"/>
      <c r="K147" s="67">
        <v>101</v>
      </c>
      <c r="L147" s="66"/>
      <c r="M147" s="67">
        <v>0</v>
      </c>
      <c r="N147" s="66"/>
      <c r="O147" s="67">
        <v>0</v>
      </c>
      <c r="P147" s="66"/>
      <c r="Q147" s="67">
        <v>0</v>
      </c>
      <c r="R147" s="66"/>
      <c r="S147" s="67">
        <v>1347.5</v>
      </c>
      <c r="T147" s="66"/>
      <c r="U147" s="67">
        <v>192.5</v>
      </c>
      <c r="V147" s="66"/>
      <c r="W147" s="67">
        <v>192.5</v>
      </c>
      <c r="X147" s="66"/>
      <c r="Y147" s="67">
        <v>192.5</v>
      </c>
      <c r="Z147" s="66"/>
      <c r="AA147" s="67">
        <v>192.5</v>
      </c>
      <c r="AB147" s="66"/>
      <c r="AC147" s="67">
        <v>241.5</v>
      </c>
      <c r="AD147" s="66"/>
      <c r="AE147" s="67">
        <f t="shared" si="10"/>
        <v>2460</v>
      </c>
      <c r="AF147" s="68"/>
      <c r="AG147" s="69"/>
    </row>
    <row r="148" spans="1:33" outlineLevel="1">
      <c r="A148" s="63">
        <v>57370</v>
      </c>
      <c r="B148" s="63" t="s">
        <v>170</v>
      </c>
      <c r="C148" s="64"/>
      <c r="D148" s="61"/>
      <c r="E148" s="65"/>
      <c r="F148" s="66"/>
      <c r="G148" s="67">
        <v>16.07</v>
      </c>
      <c r="H148" s="66"/>
      <c r="I148" s="67">
        <v>16.07</v>
      </c>
      <c r="J148" s="66"/>
      <c r="K148" s="67">
        <v>16.07</v>
      </c>
      <c r="L148" s="66"/>
      <c r="M148" s="67">
        <v>16.07</v>
      </c>
      <c r="N148" s="66"/>
      <c r="O148" s="67">
        <v>16.07</v>
      </c>
      <c r="P148" s="66"/>
      <c r="Q148" s="67">
        <v>16.07</v>
      </c>
      <c r="R148" s="66"/>
      <c r="S148" s="67">
        <v>16.07</v>
      </c>
      <c r="T148" s="66"/>
      <c r="U148" s="67">
        <v>16.07</v>
      </c>
      <c r="V148" s="66"/>
      <c r="W148" s="67">
        <v>16.07</v>
      </c>
      <c r="X148" s="66"/>
      <c r="Y148" s="67">
        <v>1.34</v>
      </c>
      <c r="Z148" s="66"/>
      <c r="AA148" s="67">
        <v>1.34</v>
      </c>
      <c r="AB148" s="66"/>
      <c r="AC148" s="67">
        <v>1.4</v>
      </c>
      <c r="AD148" s="66"/>
      <c r="AE148" s="67">
        <f t="shared" si="10"/>
        <v>148.70999999999998</v>
      </c>
      <c r="AF148" s="68"/>
      <c r="AG148" s="69"/>
    </row>
    <row r="149" spans="1:33" s="65" customFormat="1" ht="5.0999999999999996" customHeight="1" outlineLevel="1">
      <c r="A149" s="64"/>
      <c r="B149" s="64"/>
      <c r="C149" s="64"/>
      <c r="D149" s="64"/>
      <c r="G149" s="95"/>
      <c r="H149" s="93"/>
      <c r="I149" s="95"/>
      <c r="J149" s="93"/>
      <c r="K149" s="95"/>
      <c r="L149" s="93"/>
      <c r="M149" s="95"/>
      <c r="N149" s="93"/>
      <c r="O149" s="95"/>
      <c r="P149" s="93"/>
      <c r="Q149" s="95"/>
      <c r="R149" s="93"/>
      <c r="S149" s="95"/>
      <c r="T149" s="93"/>
      <c r="U149" s="95"/>
      <c r="V149" s="93"/>
      <c r="W149" s="95"/>
      <c r="X149" s="93"/>
      <c r="Y149" s="95"/>
      <c r="Z149" s="93"/>
      <c r="AA149" s="95"/>
      <c r="AB149" s="93"/>
      <c r="AC149" s="95"/>
      <c r="AD149" s="93"/>
      <c r="AE149" s="95"/>
      <c r="AF149" s="89"/>
      <c r="AG149" s="72"/>
    </row>
    <row r="150" spans="1:33" s="65" customFormat="1" ht="15">
      <c r="C150" s="64" t="s">
        <v>171</v>
      </c>
      <c r="G150" s="92">
        <f>SUM(G139:G149)</f>
        <v>2082.0500000000002</v>
      </c>
      <c r="H150" s="93"/>
      <c r="I150" s="92">
        <f>SUM(I139:I149)</f>
        <v>1908.03</v>
      </c>
      <c r="J150" s="93"/>
      <c r="K150" s="92">
        <f>SUM(K139:K149)</f>
        <v>3786.9600000000005</v>
      </c>
      <c r="L150" s="93"/>
      <c r="M150" s="92">
        <f>SUM(M139:M149)</f>
        <v>2694.2700000000004</v>
      </c>
      <c r="N150" s="93"/>
      <c r="O150" s="92">
        <f>SUM(O139:O149)</f>
        <v>2786.5800000000004</v>
      </c>
      <c r="P150" s="93"/>
      <c r="Q150" s="92">
        <f>SUM(Q139:Q149)</f>
        <v>15087.5</v>
      </c>
      <c r="R150" s="93"/>
      <c r="S150" s="92">
        <f>SUM(S139:S149)</f>
        <v>5525.48</v>
      </c>
      <c r="T150" s="93"/>
      <c r="U150" s="92">
        <f>SUM(U139:U149)</f>
        <v>9035.42</v>
      </c>
      <c r="V150" s="93"/>
      <c r="W150" s="92">
        <f>SUM(W139:W149)</f>
        <v>3423.8800000000006</v>
      </c>
      <c r="X150" s="93"/>
      <c r="Y150" s="92">
        <f>SUM(Y139:Y149)</f>
        <v>10347.880000000001</v>
      </c>
      <c r="Z150" s="93"/>
      <c r="AA150" s="92">
        <f>SUM(AA139:AA149)</f>
        <v>3470.25</v>
      </c>
      <c r="AB150" s="93"/>
      <c r="AC150" s="92">
        <f>SUM(AC139:AC149)</f>
        <v>4188.3599999999997</v>
      </c>
      <c r="AD150" s="93"/>
      <c r="AE150" s="92">
        <f>SUM(AE139:AE149)</f>
        <v>64336.659999999996</v>
      </c>
      <c r="AF150" s="68"/>
      <c r="AG150" s="72"/>
    </row>
    <row r="151" spans="1:33" s="65" customFormat="1" ht="15" outlineLevel="1">
      <c r="G151" s="94"/>
      <c r="H151" s="93"/>
      <c r="I151" s="94"/>
      <c r="J151" s="93"/>
      <c r="K151" s="94"/>
      <c r="L151" s="93"/>
      <c r="M151" s="94"/>
      <c r="N151" s="93"/>
      <c r="O151" s="94"/>
      <c r="P151" s="93"/>
      <c r="Q151" s="94"/>
      <c r="R151" s="93"/>
      <c r="S151" s="94"/>
      <c r="T151" s="93"/>
      <c r="U151" s="94"/>
      <c r="V151" s="93"/>
      <c r="W151" s="94"/>
      <c r="X151" s="93"/>
      <c r="Y151" s="94"/>
      <c r="Z151" s="93"/>
      <c r="AA151" s="94"/>
      <c r="AB151" s="93"/>
      <c r="AC151" s="94"/>
      <c r="AD151" s="93"/>
      <c r="AE151" s="94"/>
      <c r="AF151" s="89"/>
      <c r="AG151" s="72"/>
    </row>
    <row r="152" spans="1:33" s="65" customFormat="1" ht="15" outlineLevel="1">
      <c r="A152" s="101"/>
      <c r="B152" s="101"/>
      <c r="C152" s="101"/>
      <c r="D152" s="101"/>
      <c r="E152" s="101"/>
      <c r="F152" s="101"/>
      <c r="G152" s="102"/>
      <c r="H152" s="103"/>
      <c r="I152" s="102"/>
      <c r="J152" s="103"/>
      <c r="K152" s="102"/>
      <c r="L152" s="103"/>
      <c r="M152" s="102"/>
      <c r="N152" s="103"/>
      <c r="O152" s="102"/>
      <c r="P152" s="103"/>
      <c r="Q152" s="102"/>
      <c r="R152" s="103"/>
      <c r="S152" s="102"/>
      <c r="T152" s="103"/>
      <c r="U152" s="102"/>
      <c r="V152" s="103"/>
      <c r="W152" s="102"/>
      <c r="X152" s="103"/>
      <c r="Y152" s="102"/>
      <c r="Z152" s="103"/>
      <c r="AA152" s="102"/>
      <c r="AB152" s="103"/>
      <c r="AC152" s="102"/>
      <c r="AD152" s="103"/>
      <c r="AE152" s="102"/>
      <c r="AF152" s="101"/>
      <c r="AG152" s="101"/>
    </row>
    <row r="153" spans="1:33" s="65" customFormat="1" ht="4.5" customHeight="1" outlineLevel="1">
      <c r="A153" s="96"/>
      <c r="G153" s="95"/>
      <c r="H153" s="93"/>
      <c r="I153" s="95"/>
      <c r="J153" s="93"/>
      <c r="K153" s="95"/>
      <c r="L153" s="93"/>
      <c r="M153" s="95"/>
      <c r="N153" s="93"/>
      <c r="O153" s="95"/>
      <c r="P153" s="93"/>
      <c r="Q153" s="95"/>
      <c r="R153" s="93"/>
      <c r="S153" s="95"/>
      <c r="T153" s="93"/>
      <c r="U153" s="95"/>
      <c r="V153" s="93"/>
      <c r="W153" s="95"/>
      <c r="X153" s="93"/>
      <c r="Y153" s="95"/>
      <c r="Z153" s="93"/>
      <c r="AA153" s="95"/>
      <c r="AB153" s="93"/>
      <c r="AC153" s="95"/>
      <c r="AD153" s="93"/>
      <c r="AE153" s="95"/>
      <c r="AF153" s="89"/>
      <c r="AG153" s="72"/>
    </row>
    <row r="154" spans="1:33" s="65" customFormat="1" ht="15">
      <c r="C154" s="65" t="s">
        <v>172</v>
      </c>
      <c r="G154" s="92">
        <f>SUM(G152:G153)</f>
        <v>0</v>
      </c>
      <c r="H154" s="93"/>
      <c r="I154" s="92">
        <f>SUM(I152:I153)</f>
        <v>0</v>
      </c>
      <c r="J154" s="93"/>
      <c r="K154" s="92">
        <f>SUM(K152:K153)</f>
        <v>0</v>
      </c>
      <c r="L154" s="93"/>
      <c r="M154" s="92">
        <f>SUM(M152:M153)</f>
        <v>0</v>
      </c>
      <c r="N154" s="93"/>
      <c r="O154" s="92">
        <f>SUM(O152:O153)</f>
        <v>0</v>
      </c>
      <c r="P154" s="93"/>
      <c r="Q154" s="92">
        <f>SUM(Q152:Q153)</f>
        <v>0</v>
      </c>
      <c r="R154" s="93"/>
      <c r="S154" s="92">
        <f>SUM(S152:S153)</f>
        <v>0</v>
      </c>
      <c r="T154" s="93"/>
      <c r="U154" s="92">
        <f>SUM(U152:U153)</f>
        <v>0</v>
      </c>
      <c r="V154" s="93"/>
      <c r="W154" s="92">
        <f>SUM(W152:W153)</f>
        <v>0</v>
      </c>
      <c r="X154" s="93"/>
      <c r="Y154" s="92">
        <f>SUM(Y152:Y153)</f>
        <v>0</v>
      </c>
      <c r="Z154" s="93"/>
      <c r="AA154" s="92">
        <f>SUM(AA152:AA153)</f>
        <v>0</v>
      </c>
      <c r="AB154" s="93"/>
      <c r="AC154" s="92">
        <f>SUM(AC152:AC153)</f>
        <v>0</v>
      </c>
      <c r="AD154" s="93"/>
      <c r="AE154" s="92">
        <f>SUM(AE152:AE153)</f>
        <v>0</v>
      </c>
      <c r="AF154" s="68"/>
      <c r="AG154" s="72"/>
    </row>
    <row r="155" spans="1:33" s="65" customFormat="1" ht="15" outlineLevel="1">
      <c r="G155" s="94"/>
      <c r="H155" s="93"/>
      <c r="I155" s="94"/>
      <c r="J155" s="93"/>
      <c r="K155" s="94"/>
      <c r="L155" s="93"/>
      <c r="M155" s="94"/>
      <c r="N155" s="93"/>
      <c r="O155" s="94"/>
      <c r="P155" s="93"/>
      <c r="Q155" s="94"/>
      <c r="R155" s="93"/>
      <c r="S155" s="94"/>
      <c r="T155" s="93"/>
      <c r="U155" s="94"/>
      <c r="V155" s="93"/>
      <c r="W155" s="94"/>
      <c r="X155" s="93"/>
      <c r="Y155" s="94"/>
      <c r="Z155" s="93"/>
      <c r="AA155" s="94"/>
      <c r="AB155" s="93"/>
      <c r="AC155" s="94"/>
      <c r="AD155" s="93"/>
      <c r="AE155" s="94"/>
      <c r="AF155" s="89"/>
      <c r="AG155" s="72"/>
    </row>
    <row r="156" spans="1:33" s="65" customFormat="1" ht="15" outlineLevel="1">
      <c r="G156" s="94"/>
      <c r="H156" s="93"/>
      <c r="I156" s="94"/>
      <c r="J156" s="93"/>
      <c r="K156" s="94"/>
      <c r="L156" s="93"/>
      <c r="M156" s="94"/>
      <c r="N156" s="93"/>
      <c r="O156" s="94"/>
      <c r="P156" s="93"/>
      <c r="Q156" s="94"/>
      <c r="R156" s="93"/>
      <c r="S156" s="94"/>
      <c r="T156" s="93"/>
      <c r="U156" s="94"/>
      <c r="V156" s="93"/>
      <c r="W156" s="94"/>
      <c r="X156" s="93"/>
      <c r="Y156" s="94"/>
      <c r="Z156" s="93"/>
      <c r="AA156" s="94"/>
      <c r="AB156" s="93"/>
      <c r="AC156" s="94"/>
      <c r="AD156" s="93"/>
      <c r="AE156" s="94"/>
      <c r="AF156" s="89"/>
      <c r="AG156" s="72"/>
    </row>
    <row r="157" spans="1:33" outlineLevel="1">
      <c r="A157" s="63">
        <v>59340</v>
      </c>
      <c r="B157" s="63" t="s">
        <v>54</v>
      </c>
      <c r="C157" s="64"/>
      <c r="D157" s="61"/>
      <c r="E157" s="65"/>
      <c r="F157" s="66"/>
      <c r="G157" s="67">
        <v>1818.27</v>
      </c>
      <c r="H157" s="66"/>
      <c r="I157" s="67">
        <v>1818.27</v>
      </c>
      <c r="J157" s="66"/>
      <c r="K157" s="67">
        <v>1818.27</v>
      </c>
      <c r="L157" s="66"/>
      <c r="M157" s="67">
        <v>1818.27</v>
      </c>
      <c r="N157" s="66"/>
      <c r="O157" s="67">
        <v>1818.27</v>
      </c>
      <c r="P157" s="66"/>
      <c r="Q157" s="67">
        <v>1818.27</v>
      </c>
      <c r="R157" s="66"/>
      <c r="S157" s="67">
        <v>1575.08</v>
      </c>
      <c r="T157" s="66"/>
      <c r="U157" s="67">
        <v>1575.08</v>
      </c>
      <c r="V157" s="66"/>
      <c r="W157" s="67">
        <v>1575.08</v>
      </c>
      <c r="X157" s="66"/>
      <c r="Y157" s="67">
        <v>1575.08</v>
      </c>
      <c r="Z157" s="66"/>
      <c r="AA157" s="67">
        <v>1575.08</v>
      </c>
      <c r="AB157" s="66"/>
      <c r="AC157" s="67">
        <v>1575.08</v>
      </c>
      <c r="AD157" s="66"/>
      <c r="AE157" s="67">
        <f t="shared" ref="AE157:AE160" si="11">AC157+AA157+Y157+W157+U157+S157+Q157+O157+M157+K157+I157+G157</f>
        <v>20360.100000000002</v>
      </c>
      <c r="AF157" s="68"/>
      <c r="AG157" s="69"/>
    </row>
    <row r="158" spans="1:33" outlineLevel="1">
      <c r="A158" s="63">
        <v>59343</v>
      </c>
      <c r="B158" s="63" t="s">
        <v>173</v>
      </c>
      <c r="C158" s="64"/>
      <c r="D158" s="61"/>
      <c r="E158" s="65"/>
      <c r="F158" s="66"/>
      <c r="G158" s="67">
        <v>0</v>
      </c>
      <c r="H158" s="66"/>
      <c r="I158" s="67">
        <v>0</v>
      </c>
      <c r="J158" s="66"/>
      <c r="K158" s="67">
        <v>4580</v>
      </c>
      <c r="L158" s="66"/>
      <c r="M158" s="67">
        <v>0</v>
      </c>
      <c r="N158" s="66"/>
      <c r="O158" s="67">
        <v>0</v>
      </c>
      <c r="P158" s="66"/>
      <c r="Q158" s="67">
        <v>0</v>
      </c>
      <c r="R158" s="66"/>
      <c r="S158" s="67">
        <v>0</v>
      </c>
      <c r="T158" s="66"/>
      <c r="U158" s="67">
        <v>0</v>
      </c>
      <c r="V158" s="66"/>
      <c r="W158" s="67">
        <v>0</v>
      </c>
      <c r="X158" s="66"/>
      <c r="Y158" s="67">
        <v>0</v>
      </c>
      <c r="Z158" s="66"/>
      <c r="AA158" s="67">
        <v>0</v>
      </c>
      <c r="AB158" s="66"/>
      <c r="AC158" s="67">
        <v>0</v>
      </c>
      <c r="AD158" s="66"/>
      <c r="AE158" s="67">
        <f t="shared" si="11"/>
        <v>4580</v>
      </c>
      <c r="AF158" s="68"/>
      <c r="AG158" s="69"/>
    </row>
    <row r="159" spans="1:33" outlineLevel="1">
      <c r="A159" s="63">
        <v>59344</v>
      </c>
      <c r="B159" s="63" t="s">
        <v>174</v>
      </c>
      <c r="C159" s="64"/>
      <c r="D159" s="61"/>
      <c r="E159" s="65"/>
      <c r="F159" s="66"/>
      <c r="G159" s="67">
        <v>-27337.24</v>
      </c>
      <c r="H159" s="66"/>
      <c r="I159" s="67">
        <v>0</v>
      </c>
      <c r="J159" s="66"/>
      <c r="K159" s="67">
        <v>0</v>
      </c>
      <c r="L159" s="66"/>
      <c r="M159" s="67">
        <v>0</v>
      </c>
      <c r="N159" s="66"/>
      <c r="O159" s="67">
        <v>0</v>
      </c>
      <c r="P159" s="66"/>
      <c r="Q159" s="67">
        <v>0</v>
      </c>
      <c r="R159" s="66"/>
      <c r="S159" s="67">
        <v>37.49</v>
      </c>
      <c r="T159" s="66"/>
      <c r="U159" s="67">
        <v>616.37</v>
      </c>
      <c r="V159" s="66"/>
      <c r="W159" s="67">
        <v>0</v>
      </c>
      <c r="X159" s="66"/>
      <c r="Y159" s="67">
        <v>0</v>
      </c>
      <c r="Z159" s="66"/>
      <c r="AA159" s="67">
        <v>0</v>
      </c>
      <c r="AB159" s="66"/>
      <c r="AC159" s="67">
        <v>24700</v>
      </c>
      <c r="AD159" s="66"/>
      <c r="AE159" s="67">
        <f t="shared" si="11"/>
        <v>-1983.380000000001</v>
      </c>
      <c r="AF159" s="68"/>
      <c r="AG159" s="69"/>
    </row>
    <row r="160" spans="1:33" outlineLevel="1">
      <c r="A160" s="63">
        <v>59500</v>
      </c>
      <c r="B160" s="63" t="s">
        <v>175</v>
      </c>
      <c r="C160" s="64"/>
      <c r="D160" s="61"/>
      <c r="E160" s="65"/>
      <c r="F160" s="66"/>
      <c r="G160" s="67">
        <v>115</v>
      </c>
      <c r="H160" s="66"/>
      <c r="I160" s="67">
        <v>150</v>
      </c>
      <c r="J160" s="66"/>
      <c r="K160" s="67">
        <v>220</v>
      </c>
      <c r="L160" s="66"/>
      <c r="M160" s="67">
        <v>100</v>
      </c>
      <c r="N160" s="66"/>
      <c r="O160" s="67">
        <v>-3000</v>
      </c>
      <c r="P160" s="66"/>
      <c r="Q160" s="67">
        <v>0</v>
      </c>
      <c r="R160" s="66"/>
      <c r="S160" s="67">
        <v>100</v>
      </c>
      <c r="T160" s="66"/>
      <c r="U160" s="67">
        <v>200</v>
      </c>
      <c r="V160" s="66"/>
      <c r="W160" s="67">
        <v>150</v>
      </c>
      <c r="X160" s="66"/>
      <c r="Y160" s="67">
        <v>150</v>
      </c>
      <c r="Z160" s="66"/>
      <c r="AA160" s="67">
        <v>22.53</v>
      </c>
      <c r="AB160" s="66"/>
      <c r="AC160" s="67">
        <v>178.56</v>
      </c>
      <c r="AD160" s="66"/>
      <c r="AE160" s="67">
        <f t="shared" si="11"/>
        <v>-1613.9099999999999</v>
      </c>
      <c r="AF160" s="68"/>
      <c r="AG160" s="69"/>
    </row>
    <row r="161" spans="1:33" s="65" customFormat="1" ht="5.0999999999999996" customHeight="1" outlineLevel="1">
      <c r="A161" s="64"/>
      <c r="B161" s="64"/>
      <c r="C161" s="64"/>
      <c r="D161" s="64"/>
      <c r="G161" s="95"/>
      <c r="H161" s="93"/>
      <c r="I161" s="95"/>
      <c r="J161" s="93"/>
      <c r="K161" s="95"/>
      <c r="L161" s="93"/>
      <c r="M161" s="95"/>
      <c r="N161" s="93"/>
      <c r="O161" s="95"/>
      <c r="P161" s="93"/>
      <c r="Q161" s="95"/>
      <c r="R161" s="93"/>
      <c r="S161" s="95"/>
      <c r="T161" s="93"/>
      <c r="U161" s="95"/>
      <c r="V161" s="93"/>
      <c r="W161" s="95"/>
      <c r="X161" s="93"/>
      <c r="Y161" s="95"/>
      <c r="Z161" s="93"/>
      <c r="AA161" s="95"/>
      <c r="AB161" s="93"/>
      <c r="AC161" s="95"/>
      <c r="AD161" s="93"/>
      <c r="AE161" s="95"/>
      <c r="AF161" s="89"/>
      <c r="AG161" s="72"/>
    </row>
    <row r="162" spans="1:33" s="65" customFormat="1" ht="15">
      <c r="C162" s="64" t="s">
        <v>176</v>
      </c>
      <c r="G162" s="92">
        <f>SUM(G156:G161)</f>
        <v>-25403.97</v>
      </c>
      <c r="H162" s="93"/>
      <c r="I162" s="92">
        <f>SUM(I156:I161)</f>
        <v>1968.27</v>
      </c>
      <c r="J162" s="93"/>
      <c r="K162" s="92">
        <f>SUM(K156:K161)</f>
        <v>6618.27</v>
      </c>
      <c r="L162" s="93"/>
      <c r="M162" s="92">
        <f>SUM(M156:M161)</f>
        <v>1918.27</v>
      </c>
      <c r="N162" s="93"/>
      <c r="O162" s="92">
        <f>SUM(O156:O161)</f>
        <v>-1181.73</v>
      </c>
      <c r="P162" s="93"/>
      <c r="Q162" s="92">
        <f>SUM(Q156:Q161)</f>
        <v>1818.27</v>
      </c>
      <c r="R162" s="93"/>
      <c r="S162" s="92">
        <f>SUM(S156:S161)</f>
        <v>1712.57</v>
      </c>
      <c r="T162" s="93"/>
      <c r="U162" s="92">
        <f>SUM(U156:U161)</f>
        <v>2391.4499999999998</v>
      </c>
      <c r="V162" s="93"/>
      <c r="W162" s="92">
        <f>SUM(W156:W161)</f>
        <v>1725.08</v>
      </c>
      <c r="X162" s="93"/>
      <c r="Y162" s="92">
        <f>SUM(Y156:Y161)</f>
        <v>1725.08</v>
      </c>
      <c r="Z162" s="93"/>
      <c r="AA162" s="92">
        <f>SUM(AA156:AA161)</f>
        <v>1597.61</v>
      </c>
      <c r="AB162" s="93"/>
      <c r="AC162" s="92">
        <f>SUM(AC156:AC161)</f>
        <v>26453.640000000003</v>
      </c>
      <c r="AD162" s="93"/>
      <c r="AE162" s="92">
        <f>SUM(AE156:AE161)</f>
        <v>21342.81</v>
      </c>
      <c r="AF162" s="68"/>
      <c r="AG162" s="72"/>
    </row>
    <row r="163" spans="1:33" s="65" customFormat="1" ht="15" outlineLevel="1">
      <c r="G163" s="94"/>
      <c r="H163" s="93"/>
      <c r="I163" s="94"/>
      <c r="J163" s="93"/>
      <c r="K163" s="94"/>
      <c r="L163" s="93"/>
      <c r="M163" s="94"/>
      <c r="N163" s="93"/>
      <c r="O163" s="94"/>
      <c r="P163" s="93"/>
      <c r="Q163" s="94"/>
      <c r="R163" s="93"/>
      <c r="S163" s="94"/>
      <c r="T163" s="93"/>
      <c r="U163" s="94"/>
      <c r="V163" s="93"/>
      <c r="W163" s="94"/>
      <c r="X163" s="93"/>
      <c r="Y163" s="94"/>
      <c r="Z163" s="93"/>
      <c r="AA163" s="94"/>
      <c r="AB163" s="93"/>
      <c r="AC163" s="94"/>
      <c r="AD163" s="93"/>
      <c r="AE163" s="94"/>
      <c r="AF163" s="89"/>
      <c r="AG163" s="72"/>
    </row>
    <row r="164" spans="1:33" outlineLevel="1">
      <c r="A164" s="63">
        <v>91010</v>
      </c>
      <c r="B164" s="63" t="s">
        <v>177</v>
      </c>
      <c r="C164" s="64"/>
      <c r="D164" s="61"/>
      <c r="E164" s="65"/>
      <c r="F164" s="66"/>
      <c r="G164" s="67">
        <v>0</v>
      </c>
      <c r="H164" s="66"/>
      <c r="I164" s="67">
        <v>0</v>
      </c>
      <c r="J164" s="66"/>
      <c r="K164" s="67">
        <v>0</v>
      </c>
      <c r="L164" s="66"/>
      <c r="M164" s="67">
        <v>-2000</v>
      </c>
      <c r="N164" s="66"/>
      <c r="O164" s="67">
        <v>0</v>
      </c>
      <c r="P164" s="66"/>
      <c r="Q164" s="67">
        <v>0</v>
      </c>
      <c r="R164" s="66"/>
      <c r="S164" s="67">
        <v>0</v>
      </c>
      <c r="T164" s="66"/>
      <c r="U164" s="67">
        <v>0</v>
      </c>
      <c r="V164" s="66"/>
      <c r="W164" s="67">
        <v>0</v>
      </c>
      <c r="X164" s="66"/>
      <c r="Y164" s="67">
        <v>-500</v>
      </c>
      <c r="Z164" s="66"/>
      <c r="AA164" s="67">
        <v>0</v>
      </c>
      <c r="AB164" s="66"/>
      <c r="AC164" s="67">
        <v>0</v>
      </c>
      <c r="AD164" s="66"/>
      <c r="AE164" s="67">
        <f>AC164+AA164+Y164+W164+U164+S164+Q164+O164+M164+K164+I164+G164</f>
        <v>-2500</v>
      </c>
      <c r="AF164" s="68"/>
      <c r="AG164" s="69"/>
    </row>
    <row r="165" spans="1:33" s="65" customFormat="1" ht="5.0999999999999996" customHeight="1" outlineLevel="1">
      <c r="A165" s="64"/>
      <c r="B165" s="64"/>
      <c r="C165" s="64"/>
      <c r="D165" s="64"/>
      <c r="G165" s="95"/>
      <c r="H165" s="93"/>
      <c r="I165" s="95"/>
      <c r="J165" s="93"/>
      <c r="K165" s="95"/>
      <c r="L165" s="93"/>
      <c r="M165" s="95"/>
      <c r="N165" s="93"/>
      <c r="O165" s="95"/>
      <c r="P165" s="93"/>
      <c r="Q165" s="95"/>
      <c r="R165" s="93"/>
      <c r="S165" s="95"/>
      <c r="T165" s="93"/>
      <c r="U165" s="95"/>
      <c r="V165" s="93"/>
      <c r="W165" s="95"/>
      <c r="X165" s="93"/>
      <c r="Y165" s="95"/>
      <c r="Z165" s="93"/>
      <c r="AA165" s="95"/>
      <c r="AB165" s="93"/>
      <c r="AC165" s="95"/>
      <c r="AD165" s="93"/>
      <c r="AE165" s="95"/>
      <c r="AF165" s="89"/>
      <c r="AG165" s="72"/>
    </row>
    <row r="166" spans="1:33" s="65" customFormat="1" ht="15">
      <c r="C166" s="63" t="s">
        <v>178</v>
      </c>
      <c r="G166" s="92">
        <f>SUM(G164:G165)</f>
        <v>0</v>
      </c>
      <c r="H166" s="93"/>
      <c r="I166" s="92">
        <f>SUM(I164:I165)</f>
        <v>0</v>
      </c>
      <c r="J166" s="93"/>
      <c r="K166" s="92">
        <f>SUM(K164:K165)</f>
        <v>0</v>
      </c>
      <c r="L166" s="93"/>
      <c r="M166" s="92">
        <f>SUM(M164:M165)</f>
        <v>-2000</v>
      </c>
      <c r="N166" s="93"/>
      <c r="O166" s="92">
        <f>SUM(O164:O165)</f>
        <v>0</v>
      </c>
      <c r="P166" s="93"/>
      <c r="Q166" s="92">
        <f>SUM(Q164:Q165)</f>
        <v>0</v>
      </c>
      <c r="R166" s="93"/>
      <c r="S166" s="92">
        <f>SUM(S164:S165)</f>
        <v>0</v>
      </c>
      <c r="T166" s="93"/>
      <c r="U166" s="92">
        <f>SUM(U164:U165)</f>
        <v>0</v>
      </c>
      <c r="V166" s="93"/>
      <c r="W166" s="92">
        <f>SUM(W164:W165)</f>
        <v>0</v>
      </c>
      <c r="X166" s="93"/>
      <c r="Y166" s="92">
        <f>SUM(Y164:Y165)</f>
        <v>-500</v>
      </c>
      <c r="Z166" s="93"/>
      <c r="AA166" s="92">
        <f>SUM(AA164:AA165)</f>
        <v>0</v>
      </c>
      <c r="AB166" s="93"/>
      <c r="AC166" s="92">
        <f>SUM(AC164:AC165)</f>
        <v>0</v>
      </c>
      <c r="AD166" s="93"/>
      <c r="AE166" s="92">
        <f>SUM(AE164:AE165)</f>
        <v>-2500</v>
      </c>
      <c r="AF166" s="68"/>
      <c r="AG166" s="72"/>
    </row>
    <row r="167" spans="1:33" s="65" customFormat="1" ht="7.5" customHeight="1">
      <c r="G167" s="94"/>
      <c r="H167" s="93"/>
      <c r="I167" s="94"/>
      <c r="J167" s="93"/>
      <c r="K167" s="94"/>
      <c r="L167" s="93"/>
      <c r="M167" s="94"/>
      <c r="N167" s="93"/>
      <c r="O167" s="94"/>
      <c r="P167" s="93"/>
      <c r="Q167" s="94"/>
      <c r="R167" s="93"/>
      <c r="S167" s="94"/>
      <c r="T167" s="93"/>
      <c r="U167" s="94"/>
      <c r="V167" s="93"/>
      <c r="W167" s="94"/>
      <c r="X167" s="93"/>
      <c r="Y167" s="94"/>
      <c r="Z167" s="93"/>
      <c r="AA167" s="94"/>
      <c r="AB167" s="93"/>
      <c r="AC167" s="94"/>
      <c r="AD167" s="93"/>
      <c r="AE167" s="94"/>
      <c r="AF167" s="89"/>
      <c r="AG167" s="72"/>
    </row>
    <row r="168" spans="1:33" s="65" customFormat="1" ht="15">
      <c r="B168" s="100" t="s">
        <v>179</v>
      </c>
      <c r="G168" s="98">
        <f>+G91+G95+G119+G125+G137+G150+G162+G154+G166</f>
        <v>82281.7</v>
      </c>
      <c r="H168" s="93"/>
      <c r="I168" s="98">
        <f>+I91+I95+I119+I125+I137+I150+I162+I154+I166</f>
        <v>96865.670000000013</v>
      </c>
      <c r="J168" s="93"/>
      <c r="K168" s="98">
        <f>+K91+K95+K119+K125+K137+K150+K162+K154+K166</f>
        <v>112426.00000000003</v>
      </c>
      <c r="L168" s="93"/>
      <c r="M168" s="98">
        <f>+M91+M95+M119+M125+M137+M150+M162+M154+M166</f>
        <v>99133.63</v>
      </c>
      <c r="N168" s="93"/>
      <c r="O168" s="98">
        <f>+O91+O95+O119+O125+O137+O150+O162+O154+O166</f>
        <v>99041.18</v>
      </c>
      <c r="P168" s="93"/>
      <c r="Q168" s="98">
        <f>+Q91+Q95+Q119+Q125+Q137+Q150+Q162+Q154+Q166</f>
        <v>139030.32999999999</v>
      </c>
      <c r="R168" s="93"/>
      <c r="S168" s="98">
        <f>+S91+S95+S119+S125+S137+S150+S162+S154+S166</f>
        <v>115287.04000000001</v>
      </c>
      <c r="T168" s="93"/>
      <c r="U168" s="98">
        <f>+U91+U95+U119+U125+U137+U150+U162+U154+U166</f>
        <v>109325.63999999998</v>
      </c>
      <c r="V168" s="93"/>
      <c r="W168" s="98">
        <f>+W91+W95+W119+W125+W137+W150+W162+W154+W166</f>
        <v>115219.69000000002</v>
      </c>
      <c r="X168" s="93"/>
      <c r="Y168" s="98">
        <f>+Y91+Y95+Y119+Y125+Y137+Y150+Y162+Y154+Y166</f>
        <v>103460.32</v>
      </c>
      <c r="Z168" s="93"/>
      <c r="AA168" s="98">
        <f>+AA91+AA95+AA119+AA125+AA137+AA150+AA162+AA154+AA166</f>
        <v>98979.65</v>
      </c>
      <c r="AB168" s="93"/>
      <c r="AC168" s="98">
        <f>+AC91+AC95+AC119+AC125+AC137+AC150+AC162+AC154+AC166</f>
        <v>140968.32999999999</v>
      </c>
      <c r="AD168" s="93"/>
      <c r="AE168" s="98">
        <f>+AE91+AE95+AE119+AE125+AE137+AE150+AE162+AE154+AE166</f>
        <v>1312019.1799999997</v>
      </c>
      <c r="AF168" s="68"/>
      <c r="AG168" s="72"/>
    </row>
    <row r="169" spans="1:33" s="65" customFormat="1" ht="7.5" customHeight="1">
      <c r="G169" s="94"/>
      <c r="H169" s="93"/>
      <c r="I169" s="94"/>
      <c r="J169" s="93"/>
      <c r="K169" s="94"/>
      <c r="L169" s="93"/>
      <c r="M169" s="94"/>
      <c r="N169" s="93"/>
      <c r="O169" s="94"/>
      <c r="P169" s="93"/>
      <c r="Q169" s="94"/>
      <c r="R169" s="93"/>
      <c r="S169" s="94"/>
      <c r="T169" s="93"/>
      <c r="U169" s="94"/>
      <c r="V169" s="93"/>
      <c r="W169" s="94"/>
      <c r="X169" s="93"/>
      <c r="Y169" s="94"/>
      <c r="Z169" s="93"/>
      <c r="AA169" s="94"/>
      <c r="AB169" s="93"/>
      <c r="AC169" s="94"/>
      <c r="AD169" s="93"/>
      <c r="AE169" s="94"/>
      <c r="AF169" s="89"/>
      <c r="AG169" s="72"/>
    </row>
    <row r="170" spans="1:33" s="65" customFormat="1" ht="15">
      <c r="B170" s="100" t="s">
        <v>180</v>
      </c>
      <c r="G170" s="98">
        <f>G77-G168</f>
        <v>82503.12000000001</v>
      </c>
      <c r="H170" s="93"/>
      <c r="I170" s="98">
        <f>I77-I168</f>
        <v>80351.600000000006</v>
      </c>
      <c r="J170" s="93"/>
      <c r="K170" s="98">
        <f>K77-K168</f>
        <v>52520.719999999943</v>
      </c>
      <c r="L170" s="93"/>
      <c r="M170" s="98">
        <f>M77-M168</f>
        <v>67176.689999999973</v>
      </c>
      <c r="N170" s="93"/>
      <c r="O170" s="98">
        <f>O77-O168</f>
        <v>63310.81</v>
      </c>
      <c r="P170" s="93"/>
      <c r="Q170" s="98">
        <f>Q77-Q168</f>
        <v>9209.820000000007</v>
      </c>
      <c r="R170" s="93"/>
      <c r="S170" s="98">
        <f>S77-S168</f>
        <v>41584.069999999978</v>
      </c>
      <c r="T170" s="93"/>
      <c r="U170" s="98">
        <f>U77-U168</f>
        <v>49054.770000000019</v>
      </c>
      <c r="V170" s="93"/>
      <c r="W170" s="98">
        <f>W77-W168</f>
        <v>40201.490000000005</v>
      </c>
      <c r="X170" s="93"/>
      <c r="Y170" s="98">
        <f>Y77-Y168</f>
        <v>65787.259999999951</v>
      </c>
      <c r="Z170" s="93"/>
      <c r="AA170" s="98">
        <f>AA77-AA168</f>
        <v>60608.22</v>
      </c>
      <c r="AB170" s="93"/>
      <c r="AC170" s="98">
        <f>AC77-AC168</f>
        <v>18047.630000000005</v>
      </c>
      <c r="AD170" s="93"/>
      <c r="AE170" s="98">
        <f>AE77-AE168</f>
        <v>630356.20000000065</v>
      </c>
      <c r="AF170" s="68"/>
      <c r="AG170" s="72"/>
    </row>
    <row r="171" spans="1:33" s="65" customFormat="1" ht="7.5" customHeight="1">
      <c r="G171" s="94"/>
      <c r="H171" s="93"/>
      <c r="I171" s="94"/>
      <c r="J171" s="93"/>
      <c r="K171" s="94"/>
      <c r="L171" s="93"/>
      <c r="M171" s="94"/>
      <c r="N171" s="93"/>
      <c r="O171" s="94"/>
      <c r="P171" s="93"/>
      <c r="Q171" s="94"/>
      <c r="R171" s="93"/>
      <c r="S171" s="94"/>
      <c r="T171" s="93"/>
      <c r="U171" s="94"/>
      <c r="V171" s="93"/>
      <c r="W171" s="94"/>
      <c r="X171" s="93"/>
      <c r="Y171" s="94"/>
      <c r="Z171" s="93"/>
      <c r="AA171" s="94"/>
      <c r="AB171" s="93"/>
      <c r="AC171" s="94"/>
      <c r="AD171" s="93"/>
      <c r="AE171" s="94"/>
      <c r="AF171" s="89"/>
      <c r="AG171" s="72"/>
    </row>
    <row r="172" spans="1:33" s="65" customFormat="1" ht="15" outlineLevel="1">
      <c r="G172" s="94"/>
      <c r="H172" s="93"/>
      <c r="I172" s="94"/>
      <c r="J172" s="93"/>
      <c r="K172" s="94"/>
      <c r="L172" s="93"/>
      <c r="M172" s="94"/>
      <c r="N172" s="93"/>
      <c r="O172" s="94"/>
      <c r="P172" s="93"/>
      <c r="Q172" s="94"/>
      <c r="R172" s="93"/>
      <c r="S172" s="94"/>
      <c r="T172" s="93"/>
      <c r="U172" s="94"/>
      <c r="V172" s="93"/>
      <c r="W172" s="94"/>
      <c r="X172" s="93"/>
      <c r="Y172" s="94"/>
      <c r="Z172" s="93"/>
      <c r="AA172" s="94"/>
      <c r="AB172" s="93"/>
      <c r="AC172" s="94"/>
      <c r="AD172" s="93"/>
      <c r="AE172" s="94"/>
      <c r="AF172" s="89"/>
      <c r="AG172" s="72"/>
    </row>
    <row r="173" spans="1:33" outlineLevel="1">
      <c r="A173" s="63">
        <v>60225</v>
      </c>
      <c r="B173" s="63" t="s">
        <v>181</v>
      </c>
      <c r="C173" s="64"/>
      <c r="D173" s="61"/>
      <c r="E173" s="65"/>
      <c r="F173" s="66"/>
      <c r="G173" s="67">
        <v>0</v>
      </c>
      <c r="H173" s="66"/>
      <c r="I173" s="67">
        <v>0</v>
      </c>
      <c r="J173" s="66"/>
      <c r="K173" s="67">
        <v>0</v>
      </c>
      <c r="L173" s="66"/>
      <c r="M173" s="67">
        <v>0</v>
      </c>
      <c r="N173" s="66"/>
      <c r="O173" s="67">
        <v>0</v>
      </c>
      <c r="P173" s="66"/>
      <c r="Q173" s="67">
        <v>0</v>
      </c>
      <c r="R173" s="66"/>
      <c r="S173" s="67">
        <v>212.5</v>
      </c>
      <c r="T173" s="66"/>
      <c r="U173" s="67">
        <v>0</v>
      </c>
      <c r="V173" s="66"/>
      <c r="W173" s="67">
        <v>0</v>
      </c>
      <c r="X173" s="66"/>
      <c r="Y173" s="67">
        <v>100</v>
      </c>
      <c r="Z173" s="66"/>
      <c r="AA173" s="67">
        <v>0</v>
      </c>
      <c r="AB173" s="66"/>
      <c r="AC173" s="67">
        <v>274</v>
      </c>
      <c r="AD173" s="66"/>
      <c r="AE173" s="67">
        <f>AC173+AA173+Y173+W173+U173+S173+Q173+O173+M173+K173+I173+G173</f>
        <v>586.5</v>
      </c>
      <c r="AF173" s="68"/>
      <c r="AG173" s="69"/>
    </row>
    <row r="174" spans="1:33" s="65" customFormat="1" ht="5.0999999999999996" customHeight="1" outlineLevel="1">
      <c r="A174" s="64"/>
      <c r="B174" s="64"/>
      <c r="C174" s="64"/>
      <c r="D174" s="64"/>
      <c r="G174" s="95"/>
      <c r="H174" s="93"/>
      <c r="I174" s="95"/>
      <c r="J174" s="93"/>
      <c r="K174" s="95"/>
      <c r="L174" s="93"/>
      <c r="M174" s="95"/>
      <c r="N174" s="93"/>
      <c r="O174" s="95"/>
      <c r="P174" s="93"/>
      <c r="Q174" s="95"/>
      <c r="R174" s="93"/>
      <c r="S174" s="95"/>
      <c r="T174" s="93"/>
      <c r="U174" s="95"/>
      <c r="V174" s="93"/>
      <c r="W174" s="95"/>
      <c r="X174" s="93"/>
      <c r="Y174" s="95"/>
      <c r="Z174" s="93"/>
      <c r="AA174" s="95"/>
      <c r="AB174" s="93"/>
      <c r="AC174" s="95"/>
      <c r="AD174" s="93"/>
      <c r="AE174" s="95"/>
      <c r="AF174" s="89"/>
      <c r="AG174" s="72"/>
    </row>
    <row r="175" spans="1:33" s="65" customFormat="1" ht="15">
      <c r="C175" s="64" t="s">
        <v>182</v>
      </c>
      <c r="G175" s="92">
        <f>SUM(G172:G174)</f>
        <v>0</v>
      </c>
      <c r="H175" s="93"/>
      <c r="I175" s="92">
        <f>SUM(I172:I174)</f>
        <v>0</v>
      </c>
      <c r="J175" s="93"/>
      <c r="K175" s="92">
        <f>SUM(K172:K174)</f>
        <v>0</v>
      </c>
      <c r="L175" s="93"/>
      <c r="M175" s="92">
        <f>SUM(M172:M174)</f>
        <v>0</v>
      </c>
      <c r="N175" s="93"/>
      <c r="O175" s="92">
        <f>SUM(O172:O174)</f>
        <v>0</v>
      </c>
      <c r="P175" s="93"/>
      <c r="Q175" s="92">
        <f>SUM(Q172:Q174)</f>
        <v>0</v>
      </c>
      <c r="R175" s="93"/>
      <c r="S175" s="92">
        <f>SUM(S172:S174)</f>
        <v>212.5</v>
      </c>
      <c r="T175" s="93"/>
      <c r="U175" s="92">
        <f>SUM(U172:U174)</f>
        <v>0</v>
      </c>
      <c r="V175" s="93"/>
      <c r="W175" s="92">
        <f>SUM(W172:W174)</f>
        <v>0</v>
      </c>
      <c r="X175" s="93"/>
      <c r="Y175" s="92">
        <f>SUM(Y172:Y174)</f>
        <v>100</v>
      </c>
      <c r="Z175" s="93"/>
      <c r="AA175" s="92">
        <f>SUM(AA172:AA174)</f>
        <v>0</v>
      </c>
      <c r="AB175" s="93"/>
      <c r="AC175" s="92">
        <f>SUM(AC172:AC174)</f>
        <v>274</v>
      </c>
      <c r="AD175" s="93"/>
      <c r="AE175" s="92">
        <f>SUM(AE172:AE174)</f>
        <v>586.5</v>
      </c>
      <c r="AF175" s="68"/>
      <c r="AG175" s="72"/>
    </row>
    <row r="176" spans="1:33" s="65" customFormat="1" ht="15" outlineLevel="1">
      <c r="G176" s="94"/>
      <c r="H176" s="93"/>
      <c r="I176" s="94"/>
      <c r="J176" s="93"/>
      <c r="K176" s="94"/>
      <c r="L176" s="93"/>
      <c r="M176" s="94"/>
      <c r="N176" s="93"/>
      <c r="O176" s="94"/>
      <c r="P176" s="93"/>
      <c r="Q176" s="94"/>
      <c r="R176" s="93"/>
      <c r="S176" s="94"/>
      <c r="T176" s="93"/>
      <c r="U176" s="94"/>
      <c r="V176" s="93"/>
      <c r="W176" s="94"/>
      <c r="X176" s="93"/>
      <c r="Y176" s="94"/>
      <c r="Z176" s="93"/>
      <c r="AA176" s="94"/>
      <c r="AB176" s="93"/>
      <c r="AC176" s="94"/>
      <c r="AD176" s="93"/>
      <c r="AE176" s="94"/>
      <c r="AF176" s="89"/>
      <c r="AG176" s="72"/>
    </row>
    <row r="177" spans="1:33" s="65" customFormat="1" ht="15" outlineLevel="1">
      <c r="G177" s="94"/>
      <c r="H177" s="93"/>
      <c r="I177" s="94"/>
      <c r="J177" s="93"/>
      <c r="K177" s="94"/>
      <c r="L177" s="93"/>
      <c r="M177" s="94"/>
      <c r="N177" s="93"/>
      <c r="O177" s="94"/>
      <c r="P177" s="93"/>
      <c r="Q177" s="94"/>
      <c r="R177" s="93"/>
      <c r="S177" s="94"/>
      <c r="T177" s="93"/>
      <c r="U177" s="94"/>
      <c r="V177" s="93"/>
      <c r="W177" s="94"/>
      <c r="X177" s="93"/>
      <c r="Y177" s="94"/>
      <c r="Z177" s="93"/>
      <c r="AA177" s="94"/>
      <c r="AB177" s="93"/>
      <c r="AC177" s="94"/>
      <c r="AD177" s="93"/>
      <c r="AE177" s="94"/>
      <c r="AF177" s="89"/>
      <c r="AG177" s="72"/>
    </row>
    <row r="178" spans="1:33" outlineLevel="1">
      <c r="A178" s="63">
        <v>70010</v>
      </c>
      <c r="B178" s="63" t="s">
        <v>58</v>
      </c>
      <c r="C178" s="64"/>
      <c r="D178" s="61"/>
      <c r="E178" s="65"/>
      <c r="F178" s="66"/>
      <c r="G178" s="67">
        <v>4082.86</v>
      </c>
      <c r="H178" s="66"/>
      <c r="I178" s="67">
        <v>3895.65</v>
      </c>
      <c r="J178" s="66"/>
      <c r="K178" s="67">
        <v>4012.74</v>
      </c>
      <c r="L178" s="66"/>
      <c r="M178" s="67">
        <v>4026.55</v>
      </c>
      <c r="N178" s="66"/>
      <c r="O178" s="67">
        <v>3904.5</v>
      </c>
      <c r="P178" s="66"/>
      <c r="Q178" s="67">
        <v>4049.46</v>
      </c>
      <c r="R178" s="66"/>
      <c r="S178" s="67">
        <v>3972.16</v>
      </c>
      <c r="T178" s="66"/>
      <c r="U178" s="67">
        <v>3975.49</v>
      </c>
      <c r="V178" s="66"/>
      <c r="W178" s="67">
        <v>4205.1000000000004</v>
      </c>
      <c r="X178" s="66"/>
      <c r="Y178" s="67">
        <v>3925.11</v>
      </c>
      <c r="Z178" s="66"/>
      <c r="AA178" s="67">
        <v>4144.29</v>
      </c>
      <c r="AB178" s="66"/>
      <c r="AC178" s="67">
        <v>4041.54</v>
      </c>
      <c r="AD178" s="66"/>
      <c r="AE178" s="67">
        <f t="shared" ref="AE178:AE215" si="12">AC178+AA178+Y178+W178+U178+S178+Q178+O178+M178+K178+I178+G178</f>
        <v>48235.45</v>
      </c>
      <c r="AF178" s="68"/>
      <c r="AG178" s="69"/>
    </row>
    <row r="179" spans="1:33" outlineLevel="1">
      <c r="A179" s="63">
        <v>70020</v>
      </c>
      <c r="B179" s="63" t="s">
        <v>39</v>
      </c>
      <c r="C179" s="64"/>
      <c r="D179" s="61"/>
      <c r="E179" s="65"/>
      <c r="F179" s="66"/>
      <c r="G179" s="67">
        <v>5149.13</v>
      </c>
      <c r="H179" s="66"/>
      <c r="I179" s="67">
        <v>4867.47</v>
      </c>
      <c r="J179" s="66"/>
      <c r="K179" s="67">
        <v>5123.3900000000003</v>
      </c>
      <c r="L179" s="66"/>
      <c r="M179" s="67">
        <v>4128.17</v>
      </c>
      <c r="N179" s="66"/>
      <c r="O179" s="67">
        <v>4980.6400000000003</v>
      </c>
      <c r="P179" s="66"/>
      <c r="Q179" s="67">
        <v>5094.0200000000004</v>
      </c>
      <c r="R179" s="66"/>
      <c r="S179" s="67">
        <v>4876.74</v>
      </c>
      <c r="T179" s="66"/>
      <c r="U179" s="67">
        <v>4928.92</v>
      </c>
      <c r="V179" s="66"/>
      <c r="W179" s="67">
        <v>5225.46</v>
      </c>
      <c r="X179" s="66"/>
      <c r="Y179" s="67">
        <v>4852.6499999999996</v>
      </c>
      <c r="Z179" s="66"/>
      <c r="AA179" s="67">
        <v>5189.1499999999996</v>
      </c>
      <c r="AB179" s="66"/>
      <c r="AC179" s="67">
        <v>4934.4799999999996</v>
      </c>
      <c r="AD179" s="66"/>
      <c r="AE179" s="67">
        <f t="shared" si="12"/>
        <v>59350.219999999994</v>
      </c>
      <c r="AF179" s="68"/>
      <c r="AG179" s="69"/>
    </row>
    <row r="180" spans="1:33" outlineLevel="1">
      <c r="A180" s="63">
        <v>70025</v>
      </c>
      <c r="B180" s="63" t="s">
        <v>146</v>
      </c>
      <c r="C180" s="64"/>
      <c r="D180" s="61"/>
      <c r="E180" s="65"/>
      <c r="F180" s="66"/>
      <c r="G180" s="67">
        <v>158.37</v>
      </c>
      <c r="H180" s="66"/>
      <c r="I180" s="67">
        <v>54.62</v>
      </c>
      <c r="J180" s="66"/>
      <c r="K180" s="67">
        <v>13.82</v>
      </c>
      <c r="L180" s="66"/>
      <c r="M180" s="67">
        <v>173.31</v>
      </c>
      <c r="N180" s="66"/>
      <c r="O180" s="67">
        <v>16.239999999999998</v>
      </c>
      <c r="P180" s="66"/>
      <c r="Q180" s="67">
        <v>11.48</v>
      </c>
      <c r="R180" s="66"/>
      <c r="S180" s="67">
        <v>13.97</v>
      </c>
      <c r="T180" s="66"/>
      <c r="U180" s="67">
        <v>20.96</v>
      </c>
      <c r="V180" s="66"/>
      <c r="W180" s="67">
        <v>29.58</v>
      </c>
      <c r="X180" s="66"/>
      <c r="Y180" s="67">
        <v>32.19</v>
      </c>
      <c r="Z180" s="66"/>
      <c r="AA180" s="67">
        <v>6.25</v>
      </c>
      <c r="AB180" s="66"/>
      <c r="AC180" s="67">
        <v>126.41</v>
      </c>
      <c r="AD180" s="66"/>
      <c r="AE180" s="67">
        <f t="shared" si="12"/>
        <v>657.2</v>
      </c>
      <c r="AF180" s="68"/>
      <c r="AG180" s="69"/>
    </row>
    <row r="181" spans="1:33" outlineLevel="1">
      <c r="A181" s="63">
        <v>70036</v>
      </c>
      <c r="B181" s="63" t="s">
        <v>183</v>
      </c>
      <c r="C181" s="64"/>
      <c r="D181" s="61"/>
      <c r="E181" s="65"/>
      <c r="F181" s="66"/>
      <c r="G181" s="67">
        <v>100</v>
      </c>
      <c r="H181" s="66"/>
      <c r="I181" s="67">
        <v>1313.5</v>
      </c>
      <c r="J181" s="66"/>
      <c r="K181" s="67">
        <v>1313.5</v>
      </c>
      <c r="L181" s="66"/>
      <c r="M181" s="67">
        <v>100</v>
      </c>
      <c r="N181" s="66"/>
      <c r="O181" s="67">
        <v>798</v>
      </c>
      <c r="P181" s="66"/>
      <c r="Q181" s="67">
        <v>183</v>
      </c>
      <c r="R181" s="66"/>
      <c r="S181" s="67">
        <v>0</v>
      </c>
      <c r="T181" s="66"/>
      <c r="U181" s="67">
        <v>1230.25</v>
      </c>
      <c r="V181" s="66"/>
      <c r="W181" s="67">
        <v>100</v>
      </c>
      <c r="X181" s="66"/>
      <c r="Y181" s="67">
        <v>1862</v>
      </c>
      <c r="Z181" s="66"/>
      <c r="AA181" s="67">
        <v>266</v>
      </c>
      <c r="AB181" s="66"/>
      <c r="AC181" s="67">
        <v>0</v>
      </c>
      <c r="AD181" s="66"/>
      <c r="AE181" s="67">
        <f t="shared" si="12"/>
        <v>7266.25</v>
      </c>
      <c r="AF181" s="68"/>
      <c r="AG181" s="69"/>
    </row>
    <row r="182" spans="1:33" outlineLevel="1">
      <c r="A182" s="63">
        <v>70050</v>
      </c>
      <c r="B182" s="63" t="s">
        <v>106</v>
      </c>
      <c r="C182" s="64"/>
      <c r="D182" s="61"/>
      <c r="E182" s="65"/>
      <c r="F182" s="66"/>
      <c r="G182" s="67">
        <v>681.05</v>
      </c>
      <c r="H182" s="66"/>
      <c r="I182" s="67">
        <v>695.25</v>
      </c>
      <c r="J182" s="66"/>
      <c r="K182" s="67">
        <v>731.23</v>
      </c>
      <c r="L182" s="66"/>
      <c r="M182" s="67">
        <v>642.25</v>
      </c>
      <c r="N182" s="66"/>
      <c r="O182" s="67">
        <v>617.91999999999996</v>
      </c>
      <c r="P182" s="66"/>
      <c r="Q182" s="67">
        <v>723.35</v>
      </c>
      <c r="R182" s="66"/>
      <c r="S182" s="67">
        <v>713.97</v>
      </c>
      <c r="T182" s="66"/>
      <c r="U182" s="67">
        <v>887.05</v>
      </c>
      <c r="V182" s="66"/>
      <c r="W182" s="67">
        <v>816.15</v>
      </c>
      <c r="X182" s="66"/>
      <c r="Y182" s="67">
        <v>872.96</v>
      </c>
      <c r="Z182" s="66"/>
      <c r="AA182" s="67">
        <v>749.97</v>
      </c>
      <c r="AB182" s="66"/>
      <c r="AC182" s="67">
        <v>754.8</v>
      </c>
      <c r="AD182" s="66"/>
      <c r="AE182" s="67">
        <f t="shared" si="12"/>
        <v>8885.9500000000007</v>
      </c>
      <c r="AF182" s="68"/>
      <c r="AG182" s="69"/>
    </row>
    <row r="183" spans="1:33" outlineLevel="1">
      <c r="A183" s="63">
        <v>70060</v>
      </c>
      <c r="B183" s="63" t="s">
        <v>76</v>
      </c>
      <c r="C183" s="64"/>
      <c r="D183" s="61"/>
      <c r="E183" s="65"/>
      <c r="F183" s="66"/>
      <c r="G183" s="67">
        <v>2153.73</v>
      </c>
      <c r="H183" s="66"/>
      <c r="I183" s="67">
        <v>2142.2399999999998</v>
      </c>
      <c r="J183" s="66"/>
      <c r="K183" s="67">
        <v>2153.61</v>
      </c>
      <c r="L183" s="66"/>
      <c r="M183" s="67">
        <v>2153.61</v>
      </c>
      <c r="N183" s="66"/>
      <c r="O183" s="67">
        <v>2149.14</v>
      </c>
      <c r="P183" s="66"/>
      <c r="Q183" s="67">
        <v>2052.46</v>
      </c>
      <c r="R183" s="66"/>
      <c r="S183" s="67">
        <v>2145.04</v>
      </c>
      <c r="T183" s="66"/>
      <c r="U183" s="67">
        <v>2428.1999999999998</v>
      </c>
      <c r="V183" s="66"/>
      <c r="W183" s="67">
        <v>2446.17</v>
      </c>
      <c r="X183" s="66"/>
      <c r="Y183" s="67">
        <v>2440.85</v>
      </c>
      <c r="Z183" s="66"/>
      <c r="AA183" s="67">
        <v>2353.3200000000002</v>
      </c>
      <c r="AB183" s="66"/>
      <c r="AC183" s="67">
        <v>2447.64</v>
      </c>
      <c r="AD183" s="66"/>
      <c r="AE183" s="67">
        <f t="shared" si="12"/>
        <v>27066.01</v>
      </c>
      <c r="AF183" s="68"/>
      <c r="AG183" s="69"/>
    </row>
    <row r="184" spans="1:33" outlineLevel="1">
      <c r="A184" s="63">
        <v>70065</v>
      </c>
      <c r="B184" s="63" t="s">
        <v>26</v>
      </c>
      <c r="C184" s="64"/>
      <c r="D184" s="61"/>
      <c r="E184" s="65"/>
      <c r="F184" s="66"/>
      <c r="G184" s="67">
        <v>276.07</v>
      </c>
      <c r="H184" s="66"/>
      <c r="I184" s="67">
        <v>321.13</v>
      </c>
      <c r="J184" s="66"/>
      <c r="K184" s="67">
        <v>232.33</v>
      </c>
      <c r="L184" s="66"/>
      <c r="M184" s="67">
        <v>256.67</v>
      </c>
      <c r="N184" s="66"/>
      <c r="O184" s="67">
        <v>331.32</v>
      </c>
      <c r="P184" s="66"/>
      <c r="Q184" s="67">
        <v>153.94</v>
      </c>
      <c r="R184" s="66"/>
      <c r="S184" s="67">
        <v>341.8</v>
      </c>
      <c r="T184" s="66"/>
      <c r="U184" s="67">
        <v>312.27999999999997</v>
      </c>
      <c r="V184" s="66"/>
      <c r="W184" s="67">
        <v>311.02999999999997</v>
      </c>
      <c r="X184" s="66"/>
      <c r="Y184" s="67">
        <v>245.93</v>
      </c>
      <c r="Z184" s="66"/>
      <c r="AA184" s="67">
        <v>416.46</v>
      </c>
      <c r="AB184" s="66"/>
      <c r="AC184" s="67">
        <v>322.75</v>
      </c>
      <c r="AD184" s="66"/>
      <c r="AE184" s="67">
        <f t="shared" si="12"/>
        <v>3521.7100000000005</v>
      </c>
      <c r="AF184" s="68"/>
      <c r="AG184" s="69"/>
    </row>
    <row r="185" spans="1:33" outlineLevel="1">
      <c r="A185" s="63">
        <v>70070</v>
      </c>
      <c r="B185" s="63" t="s">
        <v>27</v>
      </c>
      <c r="C185" s="64"/>
      <c r="D185" s="61"/>
      <c r="E185" s="65"/>
      <c r="F185" s="66"/>
      <c r="G185" s="67">
        <v>1.17</v>
      </c>
      <c r="H185" s="66"/>
      <c r="I185" s="67">
        <v>1.17</v>
      </c>
      <c r="J185" s="66"/>
      <c r="K185" s="67">
        <v>134.03</v>
      </c>
      <c r="L185" s="66"/>
      <c r="M185" s="67">
        <v>1.73</v>
      </c>
      <c r="N185" s="66"/>
      <c r="O185" s="67">
        <v>1.68</v>
      </c>
      <c r="P185" s="66"/>
      <c r="Q185" s="67">
        <v>1.3</v>
      </c>
      <c r="R185" s="66"/>
      <c r="S185" s="67">
        <v>159.05000000000001</v>
      </c>
      <c r="T185" s="66"/>
      <c r="U185" s="67">
        <v>1.77</v>
      </c>
      <c r="V185" s="66"/>
      <c r="W185" s="67">
        <v>156.65</v>
      </c>
      <c r="X185" s="66"/>
      <c r="Y185" s="67">
        <v>1.25</v>
      </c>
      <c r="Z185" s="66"/>
      <c r="AA185" s="67">
        <v>0.89</v>
      </c>
      <c r="AB185" s="66"/>
      <c r="AC185" s="67">
        <v>0.85</v>
      </c>
      <c r="AD185" s="66"/>
      <c r="AE185" s="67">
        <f t="shared" si="12"/>
        <v>461.54000000000008</v>
      </c>
      <c r="AF185" s="68"/>
      <c r="AG185" s="69"/>
    </row>
    <row r="186" spans="1:33" outlineLevel="1">
      <c r="A186" s="63">
        <v>70086</v>
      </c>
      <c r="B186" s="63" t="s">
        <v>148</v>
      </c>
      <c r="C186" s="64"/>
      <c r="D186" s="61"/>
      <c r="E186" s="65"/>
      <c r="F186" s="66"/>
      <c r="G186" s="67">
        <v>0</v>
      </c>
      <c r="H186" s="66"/>
      <c r="I186" s="67">
        <v>53.9</v>
      </c>
      <c r="J186" s="66"/>
      <c r="K186" s="67">
        <v>15</v>
      </c>
      <c r="L186" s="66"/>
      <c r="M186" s="67">
        <v>0</v>
      </c>
      <c r="N186" s="66"/>
      <c r="O186" s="67">
        <v>0</v>
      </c>
      <c r="P186" s="66"/>
      <c r="Q186" s="67">
        <v>118</v>
      </c>
      <c r="R186" s="66"/>
      <c r="S186" s="67">
        <v>0</v>
      </c>
      <c r="T186" s="66"/>
      <c r="U186" s="67">
        <v>0</v>
      </c>
      <c r="V186" s="66"/>
      <c r="W186" s="67">
        <v>0</v>
      </c>
      <c r="X186" s="66"/>
      <c r="Y186" s="67">
        <v>0</v>
      </c>
      <c r="Z186" s="66"/>
      <c r="AA186" s="67">
        <v>0</v>
      </c>
      <c r="AB186" s="66"/>
      <c r="AC186" s="67">
        <v>0</v>
      </c>
      <c r="AD186" s="66"/>
      <c r="AE186" s="67">
        <f t="shared" si="12"/>
        <v>186.9</v>
      </c>
      <c r="AF186" s="68"/>
      <c r="AG186" s="69"/>
    </row>
    <row r="187" spans="1:33" outlineLevel="1">
      <c r="A187" s="63">
        <v>70095</v>
      </c>
      <c r="B187" s="63" t="s">
        <v>162</v>
      </c>
      <c r="C187" s="64"/>
      <c r="D187" s="61"/>
      <c r="E187" s="65"/>
      <c r="F187" s="66"/>
      <c r="G187" s="67">
        <v>911.97</v>
      </c>
      <c r="H187" s="66"/>
      <c r="I187" s="67">
        <v>-530.09</v>
      </c>
      <c r="J187" s="66"/>
      <c r="K187" s="67">
        <v>6</v>
      </c>
      <c r="L187" s="66"/>
      <c r="M187" s="67">
        <v>12</v>
      </c>
      <c r="N187" s="66"/>
      <c r="O187" s="67">
        <v>473.5</v>
      </c>
      <c r="P187" s="66"/>
      <c r="Q187" s="67">
        <v>746.87</v>
      </c>
      <c r="R187" s="66"/>
      <c r="S187" s="67">
        <v>735.38</v>
      </c>
      <c r="T187" s="66"/>
      <c r="U187" s="67">
        <v>92.68</v>
      </c>
      <c r="V187" s="66"/>
      <c r="W187" s="67">
        <v>251.63</v>
      </c>
      <c r="X187" s="66"/>
      <c r="Y187" s="67">
        <v>75.73</v>
      </c>
      <c r="Z187" s="66"/>
      <c r="AA187" s="67">
        <v>0</v>
      </c>
      <c r="AB187" s="66"/>
      <c r="AC187" s="67">
        <v>146.26</v>
      </c>
      <c r="AD187" s="66"/>
      <c r="AE187" s="67">
        <f t="shared" si="12"/>
        <v>2921.9299999999994</v>
      </c>
      <c r="AF187" s="68"/>
      <c r="AG187" s="69"/>
    </row>
    <row r="188" spans="1:33" outlineLevel="1">
      <c r="A188" s="63">
        <v>70105</v>
      </c>
      <c r="B188" s="63" t="s">
        <v>184</v>
      </c>
      <c r="C188" s="64"/>
      <c r="D188" s="61"/>
      <c r="E188" s="65"/>
      <c r="F188" s="66"/>
      <c r="G188" s="67">
        <v>206.22</v>
      </c>
      <c r="H188" s="66"/>
      <c r="I188" s="67">
        <v>206.22</v>
      </c>
      <c r="J188" s="66"/>
      <c r="K188" s="67">
        <v>206.22</v>
      </c>
      <c r="L188" s="66"/>
      <c r="M188" s="67">
        <v>206.22</v>
      </c>
      <c r="N188" s="66"/>
      <c r="O188" s="67">
        <v>206.22</v>
      </c>
      <c r="P188" s="66"/>
      <c r="Q188" s="67">
        <v>206.22</v>
      </c>
      <c r="R188" s="66"/>
      <c r="S188" s="67">
        <v>206.22</v>
      </c>
      <c r="T188" s="66"/>
      <c r="U188" s="67">
        <v>206.22</v>
      </c>
      <c r="V188" s="66"/>
      <c r="W188" s="67">
        <v>206.22</v>
      </c>
      <c r="X188" s="66"/>
      <c r="Y188" s="67">
        <v>206.22</v>
      </c>
      <c r="Z188" s="66"/>
      <c r="AA188" s="67">
        <v>206.22</v>
      </c>
      <c r="AB188" s="66"/>
      <c r="AC188" s="67">
        <v>206.22</v>
      </c>
      <c r="AD188" s="66"/>
      <c r="AE188" s="67">
        <f t="shared" si="12"/>
        <v>2474.6399999999994</v>
      </c>
      <c r="AF188" s="68"/>
      <c r="AG188" s="69"/>
    </row>
    <row r="189" spans="1:33" outlineLevel="1">
      <c r="A189" s="63">
        <v>70110</v>
      </c>
      <c r="B189" s="63" t="s">
        <v>82</v>
      </c>
      <c r="C189" s="64"/>
      <c r="D189" s="61"/>
      <c r="E189" s="65"/>
      <c r="F189" s="66"/>
      <c r="G189" s="67">
        <v>250</v>
      </c>
      <c r="H189" s="66"/>
      <c r="I189" s="67">
        <v>0</v>
      </c>
      <c r="J189" s="66"/>
      <c r="K189" s="67">
        <v>60</v>
      </c>
      <c r="L189" s="66"/>
      <c r="M189" s="67">
        <v>500</v>
      </c>
      <c r="N189" s="66"/>
      <c r="O189" s="67">
        <v>250</v>
      </c>
      <c r="P189" s="66"/>
      <c r="Q189" s="67">
        <v>0</v>
      </c>
      <c r="R189" s="66"/>
      <c r="S189" s="67">
        <v>50</v>
      </c>
      <c r="T189" s="66"/>
      <c r="U189" s="67">
        <v>600</v>
      </c>
      <c r="V189" s="66"/>
      <c r="W189" s="67">
        <v>0</v>
      </c>
      <c r="X189" s="66"/>
      <c r="Y189" s="67">
        <v>50</v>
      </c>
      <c r="Z189" s="66"/>
      <c r="AA189" s="67">
        <v>125</v>
      </c>
      <c r="AB189" s="66"/>
      <c r="AC189" s="67">
        <v>0</v>
      </c>
      <c r="AD189" s="66"/>
      <c r="AE189" s="67">
        <f t="shared" si="12"/>
        <v>1885</v>
      </c>
      <c r="AF189" s="68"/>
      <c r="AG189" s="69"/>
    </row>
    <row r="190" spans="1:33" outlineLevel="1">
      <c r="A190" s="63">
        <v>70116</v>
      </c>
      <c r="B190" s="63" t="s">
        <v>149</v>
      </c>
      <c r="C190" s="64"/>
      <c r="D190" s="61"/>
      <c r="E190" s="65"/>
      <c r="F190" s="66"/>
      <c r="G190" s="67">
        <v>161.05000000000001</v>
      </c>
      <c r="H190" s="66"/>
      <c r="I190" s="67">
        <v>185.75</v>
      </c>
      <c r="J190" s="66"/>
      <c r="K190" s="67">
        <v>189.58</v>
      </c>
      <c r="L190" s="66"/>
      <c r="M190" s="67">
        <v>160.13</v>
      </c>
      <c r="N190" s="66"/>
      <c r="O190" s="67">
        <v>173.6</v>
      </c>
      <c r="P190" s="66"/>
      <c r="Q190" s="67">
        <v>230.43</v>
      </c>
      <c r="R190" s="66"/>
      <c r="S190" s="67">
        <v>177.32</v>
      </c>
      <c r="T190" s="66"/>
      <c r="U190" s="67">
        <v>203.92</v>
      </c>
      <c r="V190" s="66"/>
      <c r="W190" s="67">
        <v>174.74</v>
      </c>
      <c r="X190" s="66"/>
      <c r="Y190" s="67">
        <v>214.47</v>
      </c>
      <c r="Z190" s="66"/>
      <c r="AA190" s="67">
        <v>246.37</v>
      </c>
      <c r="AB190" s="66"/>
      <c r="AC190" s="67">
        <v>170.01</v>
      </c>
      <c r="AD190" s="66"/>
      <c r="AE190" s="67">
        <f t="shared" si="12"/>
        <v>2287.37</v>
      </c>
      <c r="AF190" s="68"/>
      <c r="AG190" s="69"/>
    </row>
    <row r="191" spans="1:33" outlineLevel="1">
      <c r="A191" s="63">
        <v>70147</v>
      </c>
      <c r="B191" s="63" t="s">
        <v>66</v>
      </c>
      <c r="C191" s="64"/>
      <c r="D191" s="61"/>
      <c r="E191" s="65"/>
      <c r="F191" s="66"/>
      <c r="G191" s="67">
        <v>251.44</v>
      </c>
      <c r="H191" s="66"/>
      <c r="I191" s="67">
        <v>193</v>
      </c>
      <c r="J191" s="66"/>
      <c r="K191" s="67">
        <v>88.48</v>
      </c>
      <c r="L191" s="66"/>
      <c r="M191" s="67">
        <v>101.85</v>
      </c>
      <c r="N191" s="66"/>
      <c r="O191" s="67">
        <v>627.75</v>
      </c>
      <c r="P191" s="66"/>
      <c r="Q191" s="67">
        <v>309.3</v>
      </c>
      <c r="R191" s="66"/>
      <c r="S191" s="67">
        <v>0</v>
      </c>
      <c r="T191" s="66"/>
      <c r="U191" s="67">
        <v>13.96</v>
      </c>
      <c r="V191" s="66"/>
      <c r="W191" s="67">
        <v>0</v>
      </c>
      <c r="X191" s="66"/>
      <c r="Y191" s="67">
        <v>30.94</v>
      </c>
      <c r="Z191" s="66"/>
      <c r="AA191" s="67">
        <v>515.54</v>
      </c>
      <c r="AB191" s="66"/>
      <c r="AC191" s="67">
        <v>0</v>
      </c>
      <c r="AD191" s="66"/>
      <c r="AE191" s="67">
        <f t="shared" si="12"/>
        <v>2132.2599999999998</v>
      </c>
      <c r="AF191" s="68"/>
      <c r="AG191" s="69"/>
    </row>
    <row r="192" spans="1:33" outlineLevel="1">
      <c r="A192" s="63">
        <v>70148</v>
      </c>
      <c r="B192" s="63" t="s">
        <v>185</v>
      </c>
      <c r="C192" s="64"/>
      <c r="D192" s="61"/>
      <c r="E192" s="65"/>
      <c r="F192" s="66"/>
      <c r="G192" s="67">
        <v>3195.5</v>
      </c>
      <c r="H192" s="66"/>
      <c r="I192" s="67">
        <v>1409.11</v>
      </c>
      <c r="J192" s="66"/>
      <c r="K192" s="67">
        <v>619.4</v>
      </c>
      <c r="L192" s="66"/>
      <c r="M192" s="67">
        <v>672.49</v>
      </c>
      <c r="N192" s="66"/>
      <c r="O192" s="67">
        <v>625.72</v>
      </c>
      <c r="P192" s="66"/>
      <c r="Q192" s="67">
        <v>907.11</v>
      </c>
      <c r="R192" s="66"/>
      <c r="S192" s="67">
        <v>795.92</v>
      </c>
      <c r="T192" s="66"/>
      <c r="U192" s="67">
        <v>1389.35</v>
      </c>
      <c r="V192" s="66"/>
      <c r="W192" s="67">
        <v>1009.49</v>
      </c>
      <c r="X192" s="66"/>
      <c r="Y192" s="67">
        <v>683.24</v>
      </c>
      <c r="Z192" s="66"/>
      <c r="AA192" s="67">
        <v>1436.52</v>
      </c>
      <c r="AB192" s="66"/>
      <c r="AC192" s="67">
        <v>1604.11</v>
      </c>
      <c r="AD192" s="66"/>
      <c r="AE192" s="67">
        <f t="shared" si="12"/>
        <v>14347.96</v>
      </c>
      <c r="AF192" s="68"/>
      <c r="AG192" s="69"/>
    </row>
    <row r="193" spans="1:33" outlineLevel="1">
      <c r="A193" s="63">
        <v>70150</v>
      </c>
      <c r="B193" s="63" t="s">
        <v>156</v>
      </c>
      <c r="C193" s="64"/>
      <c r="D193" s="61"/>
      <c r="E193" s="65"/>
      <c r="F193" s="66"/>
      <c r="G193" s="67">
        <v>416.44</v>
      </c>
      <c r="H193" s="66"/>
      <c r="I193" s="67">
        <v>452</v>
      </c>
      <c r="J193" s="66"/>
      <c r="K193" s="67">
        <v>1483.91</v>
      </c>
      <c r="L193" s="66"/>
      <c r="M193" s="67">
        <v>428.48</v>
      </c>
      <c r="N193" s="66"/>
      <c r="O193" s="67">
        <v>1686.94</v>
      </c>
      <c r="P193" s="66"/>
      <c r="Q193" s="67">
        <v>1961.16</v>
      </c>
      <c r="R193" s="66"/>
      <c r="S193" s="67">
        <v>1867.11</v>
      </c>
      <c r="T193" s="66"/>
      <c r="U193" s="67">
        <v>2567.09</v>
      </c>
      <c r="V193" s="66"/>
      <c r="W193" s="67">
        <v>983.18</v>
      </c>
      <c r="X193" s="66"/>
      <c r="Y193" s="67">
        <v>1076.95</v>
      </c>
      <c r="Z193" s="66"/>
      <c r="AA193" s="67">
        <v>281.81</v>
      </c>
      <c r="AB193" s="66"/>
      <c r="AC193" s="67">
        <v>51.34</v>
      </c>
      <c r="AD193" s="66"/>
      <c r="AE193" s="67">
        <f t="shared" si="12"/>
        <v>13256.41</v>
      </c>
      <c r="AF193" s="68"/>
      <c r="AG193" s="69"/>
    </row>
    <row r="194" spans="1:33" outlineLevel="1">
      <c r="A194" s="63">
        <v>70165</v>
      </c>
      <c r="B194" s="63" t="s">
        <v>157</v>
      </c>
      <c r="C194" s="64"/>
      <c r="D194" s="61"/>
      <c r="E194" s="65"/>
      <c r="F194" s="66"/>
      <c r="G194" s="67">
        <v>1025.51</v>
      </c>
      <c r="H194" s="66"/>
      <c r="I194" s="67">
        <v>1027.8</v>
      </c>
      <c r="J194" s="66"/>
      <c r="K194" s="67">
        <v>995.93</v>
      </c>
      <c r="L194" s="66"/>
      <c r="M194" s="67">
        <v>880.87</v>
      </c>
      <c r="N194" s="66"/>
      <c r="O194" s="67">
        <v>889.22</v>
      </c>
      <c r="P194" s="66"/>
      <c r="Q194" s="67">
        <v>986.29</v>
      </c>
      <c r="R194" s="66"/>
      <c r="S194" s="67">
        <v>1000.84</v>
      </c>
      <c r="T194" s="66"/>
      <c r="U194" s="67">
        <v>987.29</v>
      </c>
      <c r="V194" s="66"/>
      <c r="W194" s="67">
        <v>1021.1</v>
      </c>
      <c r="X194" s="66"/>
      <c r="Y194" s="67">
        <v>753.33</v>
      </c>
      <c r="Z194" s="66"/>
      <c r="AA194" s="67">
        <v>1490.79</v>
      </c>
      <c r="AB194" s="66"/>
      <c r="AC194" s="67">
        <v>1023.54</v>
      </c>
      <c r="AD194" s="66"/>
      <c r="AE194" s="67">
        <f t="shared" si="12"/>
        <v>12082.51</v>
      </c>
      <c r="AF194" s="68"/>
      <c r="AG194" s="69"/>
    </row>
    <row r="195" spans="1:33" outlineLevel="1">
      <c r="A195" s="63">
        <v>70167</v>
      </c>
      <c r="B195" s="63" t="s">
        <v>186</v>
      </c>
      <c r="C195" s="64"/>
      <c r="D195" s="61"/>
      <c r="E195" s="65"/>
      <c r="F195" s="66"/>
      <c r="G195" s="67">
        <v>90.07</v>
      </c>
      <c r="H195" s="66"/>
      <c r="I195" s="67">
        <v>25.72</v>
      </c>
      <c r="J195" s="66"/>
      <c r="K195" s="67">
        <v>57.39</v>
      </c>
      <c r="L195" s="66"/>
      <c r="M195" s="67">
        <v>57.39</v>
      </c>
      <c r="N195" s="66"/>
      <c r="O195" s="67">
        <v>57.36</v>
      </c>
      <c r="P195" s="66"/>
      <c r="Q195" s="67">
        <v>57.36</v>
      </c>
      <c r="R195" s="66"/>
      <c r="S195" s="67">
        <v>190.28</v>
      </c>
      <c r="T195" s="66"/>
      <c r="U195" s="67">
        <v>57.75</v>
      </c>
      <c r="V195" s="66"/>
      <c r="W195" s="67">
        <v>93.96</v>
      </c>
      <c r="X195" s="66"/>
      <c r="Y195" s="67">
        <v>116.5</v>
      </c>
      <c r="Z195" s="66"/>
      <c r="AA195" s="67">
        <v>-33.5</v>
      </c>
      <c r="AB195" s="66"/>
      <c r="AC195" s="67">
        <v>136.22</v>
      </c>
      <c r="AD195" s="66"/>
      <c r="AE195" s="67">
        <f t="shared" si="12"/>
        <v>906.5</v>
      </c>
      <c r="AF195" s="68"/>
      <c r="AG195" s="69"/>
    </row>
    <row r="196" spans="1:33" outlineLevel="1">
      <c r="A196" s="63">
        <v>70175</v>
      </c>
      <c r="B196" s="63" t="s">
        <v>67</v>
      </c>
      <c r="C196" s="64"/>
      <c r="D196" s="61"/>
      <c r="E196" s="65"/>
      <c r="F196" s="66"/>
      <c r="G196" s="67">
        <v>61.07</v>
      </c>
      <c r="H196" s="66"/>
      <c r="I196" s="67">
        <v>706.9</v>
      </c>
      <c r="J196" s="66"/>
      <c r="K196" s="67">
        <v>88.67</v>
      </c>
      <c r="L196" s="66"/>
      <c r="M196" s="67">
        <v>20.47</v>
      </c>
      <c r="N196" s="66"/>
      <c r="O196" s="67">
        <v>233.35</v>
      </c>
      <c r="P196" s="66"/>
      <c r="Q196" s="67">
        <v>684.49</v>
      </c>
      <c r="R196" s="66"/>
      <c r="S196" s="67">
        <v>188.12</v>
      </c>
      <c r="T196" s="66"/>
      <c r="U196" s="67">
        <v>227.85</v>
      </c>
      <c r="V196" s="66"/>
      <c r="W196" s="67">
        <v>36.07</v>
      </c>
      <c r="X196" s="66"/>
      <c r="Y196" s="67">
        <v>1063.1099999999999</v>
      </c>
      <c r="Z196" s="66"/>
      <c r="AA196" s="67">
        <v>545.21</v>
      </c>
      <c r="AB196" s="66"/>
      <c r="AC196" s="67">
        <v>35.340000000000003</v>
      </c>
      <c r="AD196" s="66"/>
      <c r="AE196" s="67">
        <f t="shared" si="12"/>
        <v>3890.6499999999996</v>
      </c>
      <c r="AF196" s="68"/>
      <c r="AG196" s="69"/>
    </row>
    <row r="197" spans="1:33" outlineLevel="1">
      <c r="A197" s="63">
        <v>70185</v>
      </c>
      <c r="B197" s="63" t="s">
        <v>68</v>
      </c>
      <c r="C197" s="64"/>
      <c r="D197" s="61"/>
      <c r="E197" s="65"/>
      <c r="F197" s="66"/>
      <c r="G197" s="67">
        <v>53.89</v>
      </c>
      <c r="H197" s="66"/>
      <c r="I197" s="67">
        <v>90.28</v>
      </c>
      <c r="J197" s="66"/>
      <c r="K197" s="67">
        <v>150</v>
      </c>
      <c r="L197" s="66"/>
      <c r="M197" s="67">
        <v>7.32</v>
      </c>
      <c r="N197" s="66"/>
      <c r="O197" s="67">
        <v>9.52</v>
      </c>
      <c r="P197" s="66"/>
      <c r="Q197" s="67">
        <v>18.87</v>
      </c>
      <c r="R197" s="66"/>
      <c r="S197" s="67">
        <v>8.74</v>
      </c>
      <c r="T197" s="66"/>
      <c r="U197" s="67">
        <v>1.42</v>
      </c>
      <c r="V197" s="66"/>
      <c r="W197" s="67">
        <v>7.32</v>
      </c>
      <c r="X197" s="66"/>
      <c r="Y197" s="67">
        <v>101.54</v>
      </c>
      <c r="Z197" s="66"/>
      <c r="AA197" s="67">
        <v>7.22</v>
      </c>
      <c r="AB197" s="66"/>
      <c r="AC197" s="67">
        <v>7.22</v>
      </c>
      <c r="AD197" s="66"/>
      <c r="AE197" s="67">
        <f t="shared" si="12"/>
        <v>463.34000000000003</v>
      </c>
      <c r="AF197" s="68"/>
      <c r="AG197" s="69"/>
    </row>
    <row r="198" spans="1:33" outlineLevel="1">
      <c r="A198" s="63">
        <v>70195</v>
      </c>
      <c r="B198" s="63" t="s">
        <v>187</v>
      </c>
      <c r="C198" s="64"/>
      <c r="D198" s="61"/>
      <c r="E198" s="65"/>
      <c r="F198" s="66"/>
      <c r="G198" s="67">
        <v>180.47</v>
      </c>
      <c r="H198" s="66"/>
      <c r="I198" s="67">
        <v>105.94</v>
      </c>
      <c r="J198" s="66"/>
      <c r="K198" s="67">
        <v>225</v>
      </c>
      <c r="L198" s="66"/>
      <c r="M198" s="67">
        <v>95.47</v>
      </c>
      <c r="N198" s="66"/>
      <c r="O198" s="67">
        <v>95.47</v>
      </c>
      <c r="P198" s="66"/>
      <c r="Q198" s="67">
        <v>1649.7</v>
      </c>
      <c r="R198" s="66"/>
      <c r="S198" s="67">
        <v>125.47</v>
      </c>
      <c r="T198" s="66"/>
      <c r="U198" s="67">
        <v>114.17</v>
      </c>
      <c r="V198" s="66"/>
      <c r="W198" s="67">
        <v>932.16</v>
      </c>
      <c r="X198" s="66"/>
      <c r="Y198" s="67">
        <v>95.47</v>
      </c>
      <c r="Z198" s="66"/>
      <c r="AA198" s="67">
        <v>95.47</v>
      </c>
      <c r="AB198" s="66"/>
      <c r="AC198" s="67">
        <v>273.25</v>
      </c>
      <c r="AD198" s="66"/>
      <c r="AE198" s="67">
        <f t="shared" si="12"/>
        <v>3988.0399999999995</v>
      </c>
      <c r="AF198" s="68"/>
      <c r="AG198" s="69"/>
    </row>
    <row r="199" spans="1:33" outlineLevel="1">
      <c r="A199" s="63">
        <v>70200</v>
      </c>
      <c r="B199" s="63" t="s">
        <v>188</v>
      </c>
      <c r="C199" s="64"/>
      <c r="D199" s="61"/>
      <c r="E199" s="65"/>
      <c r="F199" s="66"/>
      <c r="G199" s="67">
        <v>0</v>
      </c>
      <c r="H199" s="66"/>
      <c r="I199" s="67">
        <v>170.2</v>
      </c>
      <c r="J199" s="66"/>
      <c r="K199" s="67">
        <v>25</v>
      </c>
      <c r="L199" s="66"/>
      <c r="M199" s="67">
        <v>395.2</v>
      </c>
      <c r="N199" s="66"/>
      <c r="O199" s="67">
        <v>170.2</v>
      </c>
      <c r="P199" s="66"/>
      <c r="Q199" s="67">
        <v>15</v>
      </c>
      <c r="R199" s="66"/>
      <c r="S199" s="67">
        <v>-15</v>
      </c>
      <c r="T199" s="66"/>
      <c r="U199" s="67">
        <v>0</v>
      </c>
      <c r="V199" s="66"/>
      <c r="W199" s="67">
        <v>0</v>
      </c>
      <c r="X199" s="66"/>
      <c r="Y199" s="67">
        <v>0</v>
      </c>
      <c r="Z199" s="66"/>
      <c r="AA199" s="67">
        <v>75</v>
      </c>
      <c r="AB199" s="66"/>
      <c r="AC199" s="67">
        <v>50</v>
      </c>
      <c r="AD199" s="66"/>
      <c r="AE199" s="67">
        <f t="shared" si="12"/>
        <v>885.59999999999991</v>
      </c>
      <c r="AF199" s="68"/>
      <c r="AG199" s="69"/>
    </row>
    <row r="200" spans="1:33" outlineLevel="1">
      <c r="A200" s="63">
        <v>70201</v>
      </c>
      <c r="B200" s="63" t="s">
        <v>86</v>
      </c>
      <c r="C200" s="64"/>
      <c r="D200" s="61"/>
      <c r="E200" s="65"/>
      <c r="F200" s="66"/>
      <c r="G200" s="67">
        <v>29</v>
      </c>
      <c r="H200" s="66"/>
      <c r="I200" s="67">
        <v>10.34</v>
      </c>
      <c r="J200" s="66"/>
      <c r="K200" s="67">
        <v>100.3</v>
      </c>
      <c r="L200" s="66"/>
      <c r="M200" s="67">
        <v>103.95</v>
      </c>
      <c r="N200" s="66"/>
      <c r="O200" s="67">
        <v>0</v>
      </c>
      <c r="P200" s="66"/>
      <c r="Q200" s="67">
        <v>23.54</v>
      </c>
      <c r="R200" s="66"/>
      <c r="S200" s="67">
        <v>66.39</v>
      </c>
      <c r="T200" s="66"/>
      <c r="U200" s="67">
        <v>128.58000000000001</v>
      </c>
      <c r="V200" s="66"/>
      <c r="W200" s="67">
        <v>0</v>
      </c>
      <c r="X200" s="66"/>
      <c r="Y200" s="67">
        <v>0</v>
      </c>
      <c r="Z200" s="66"/>
      <c r="AA200" s="67">
        <v>0</v>
      </c>
      <c r="AB200" s="66"/>
      <c r="AC200" s="67">
        <v>0</v>
      </c>
      <c r="AD200" s="66"/>
      <c r="AE200" s="67">
        <f t="shared" si="12"/>
        <v>462.1</v>
      </c>
      <c r="AF200" s="68"/>
      <c r="AG200" s="69"/>
    </row>
    <row r="201" spans="1:33" outlineLevel="1">
      <c r="A201" s="63">
        <v>70202</v>
      </c>
      <c r="B201" s="63" t="s">
        <v>189</v>
      </c>
      <c r="C201" s="64"/>
      <c r="D201" s="61"/>
      <c r="E201" s="65"/>
      <c r="F201" s="66"/>
      <c r="G201" s="67">
        <v>0</v>
      </c>
      <c r="H201" s="66"/>
      <c r="I201" s="67">
        <v>469.2</v>
      </c>
      <c r="J201" s="66"/>
      <c r="K201" s="67">
        <v>0</v>
      </c>
      <c r="L201" s="66"/>
      <c r="M201" s="67">
        <v>190.2</v>
      </c>
      <c r="N201" s="66"/>
      <c r="O201" s="67">
        <v>0</v>
      </c>
      <c r="P201" s="66"/>
      <c r="Q201" s="67">
        <v>0</v>
      </c>
      <c r="R201" s="66"/>
      <c r="S201" s="67">
        <v>632.20000000000005</v>
      </c>
      <c r="T201" s="66"/>
      <c r="U201" s="67">
        <v>216.2</v>
      </c>
      <c r="V201" s="66"/>
      <c r="W201" s="67">
        <v>843.2</v>
      </c>
      <c r="X201" s="66"/>
      <c r="Y201" s="67">
        <v>903.54</v>
      </c>
      <c r="Z201" s="66"/>
      <c r="AA201" s="67">
        <v>174.2</v>
      </c>
      <c r="AB201" s="66"/>
      <c r="AC201" s="67">
        <v>0</v>
      </c>
      <c r="AD201" s="66"/>
      <c r="AE201" s="67">
        <f t="shared" si="12"/>
        <v>3428.74</v>
      </c>
      <c r="AF201" s="68"/>
      <c r="AG201" s="69"/>
    </row>
    <row r="202" spans="1:33" outlineLevel="1">
      <c r="A202" s="63">
        <v>70203</v>
      </c>
      <c r="B202" s="63" t="s">
        <v>88</v>
      </c>
      <c r="C202" s="64"/>
      <c r="D202" s="61"/>
      <c r="E202" s="65"/>
      <c r="F202" s="66"/>
      <c r="G202" s="67">
        <v>0</v>
      </c>
      <c r="H202" s="66"/>
      <c r="I202" s="67">
        <v>592.13</v>
      </c>
      <c r="J202" s="66"/>
      <c r="K202" s="67">
        <v>403.16</v>
      </c>
      <c r="L202" s="66"/>
      <c r="M202" s="67">
        <v>333.28</v>
      </c>
      <c r="N202" s="66"/>
      <c r="O202" s="67">
        <v>123.44</v>
      </c>
      <c r="P202" s="66"/>
      <c r="Q202" s="67">
        <v>266.29000000000002</v>
      </c>
      <c r="R202" s="66"/>
      <c r="S202" s="67">
        <v>0</v>
      </c>
      <c r="T202" s="66"/>
      <c r="U202" s="67">
        <v>0</v>
      </c>
      <c r="V202" s="66"/>
      <c r="W202" s="67">
        <v>428.62</v>
      </c>
      <c r="X202" s="66"/>
      <c r="Y202" s="67">
        <v>-285.74</v>
      </c>
      <c r="Z202" s="66"/>
      <c r="AA202" s="67">
        <v>473.92</v>
      </c>
      <c r="AB202" s="66"/>
      <c r="AC202" s="67">
        <v>0</v>
      </c>
      <c r="AD202" s="66"/>
      <c r="AE202" s="67">
        <f t="shared" si="12"/>
        <v>2335.1</v>
      </c>
      <c r="AF202" s="68"/>
      <c r="AG202" s="69"/>
    </row>
    <row r="203" spans="1:33" outlineLevel="1">
      <c r="A203" s="63">
        <v>70205</v>
      </c>
      <c r="B203" s="63" t="s">
        <v>190</v>
      </c>
      <c r="C203" s="64"/>
      <c r="D203" s="61"/>
      <c r="E203" s="65"/>
      <c r="F203" s="66"/>
      <c r="G203" s="67">
        <v>200.1</v>
      </c>
      <c r="H203" s="66"/>
      <c r="I203" s="67">
        <v>499.56</v>
      </c>
      <c r="J203" s="66"/>
      <c r="K203" s="67">
        <v>613.19000000000005</v>
      </c>
      <c r="L203" s="66"/>
      <c r="M203" s="67">
        <v>609.44000000000005</v>
      </c>
      <c r="N203" s="66"/>
      <c r="O203" s="67">
        <v>368</v>
      </c>
      <c r="P203" s="66"/>
      <c r="Q203" s="67">
        <v>489.77</v>
      </c>
      <c r="R203" s="66"/>
      <c r="S203" s="67">
        <v>474</v>
      </c>
      <c r="T203" s="66"/>
      <c r="U203" s="67">
        <v>424.44</v>
      </c>
      <c r="V203" s="66"/>
      <c r="W203" s="67">
        <v>618.15</v>
      </c>
      <c r="X203" s="66"/>
      <c r="Y203" s="67">
        <v>840.24</v>
      </c>
      <c r="Z203" s="66"/>
      <c r="AA203" s="67">
        <v>852.76</v>
      </c>
      <c r="AB203" s="66"/>
      <c r="AC203" s="67">
        <v>479.67</v>
      </c>
      <c r="AD203" s="66"/>
      <c r="AE203" s="67">
        <f t="shared" si="12"/>
        <v>6469.3200000000024</v>
      </c>
      <c r="AF203" s="68"/>
      <c r="AG203" s="69"/>
    </row>
    <row r="204" spans="1:33" outlineLevel="1">
      <c r="A204" s="63">
        <v>70206</v>
      </c>
      <c r="B204" s="63" t="s">
        <v>191</v>
      </c>
      <c r="C204" s="64"/>
      <c r="D204" s="61"/>
      <c r="E204" s="65"/>
      <c r="F204" s="66"/>
      <c r="G204" s="67">
        <v>-78.97</v>
      </c>
      <c r="H204" s="66"/>
      <c r="I204" s="67">
        <v>560</v>
      </c>
      <c r="J204" s="66"/>
      <c r="K204" s="67">
        <v>187.48</v>
      </c>
      <c r="L204" s="66"/>
      <c r="M204" s="67">
        <v>136.9</v>
      </c>
      <c r="N204" s="66"/>
      <c r="O204" s="67">
        <v>62.65</v>
      </c>
      <c r="P204" s="66"/>
      <c r="Q204" s="67">
        <v>179.14</v>
      </c>
      <c r="R204" s="66"/>
      <c r="S204" s="67">
        <v>206.75</v>
      </c>
      <c r="T204" s="66"/>
      <c r="U204" s="67">
        <v>0</v>
      </c>
      <c r="V204" s="66"/>
      <c r="W204" s="67">
        <v>180.06</v>
      </c>
      <c r="X204" s="66"/>
      <c r="Y204" s="67">
        <v>499.96</v>
      </c>
      <c r="Z204" s="66"/>
      <c r="AA204" s="67">
        <v>110.46</v>
      </c>
      <c r="AB204" s="66"/>
      <c r="AC204" s="67">
        <v>62.09</v>
      </c>
      <c r="AD204" s="66"/>
      <c r="AE204" s="67">
        <f t="shared" si="12"/>
        <v>2106.5200000000004</v>
      </c>
      <c r="AF204" s="68"/>
      <c r="AG204" s="69"/>
    </row>
    <row r="205" spans="1:33" outlineLevel="1">
      <c r="A205" s="63">
        <v>70210</v>
      </c>
      <c r="B205" s="63" t="s">
        <v>192</v>
      </c>
      <c r="C205" s="64"/>
      <c r="D205" s="61"/>
      <c r="E205" s="65"/>
      <c r="F205" s="66"/>
      <c r="G205" s="67">
        <v>360.43</v>
      </c>
      <c r="H205" s="66"/>
      <c r="I205" s="67">
        <v>-1006.02</v>
      </c>
      <c r="J205" s="66"/>
      <c r="K205" s="67">
        <v>698.72</v>
      </c>
      <c r="L205" s="66"/>
      <c r="M205" s="67">
        <v>652.19000000000005</v>
      </c>
      <c r="N205" s="66"/>
      <c r="O205" s="67">
        <v>1271.53</v>
      </c>
      <c r="P205" s="66"/>
      <c r="Q205" s="67">
        <v>494.53</v>
      </c>
      <c r="R205" s="66"/>
      <c r="S205" s="67">
        <v>1744.39</v>
      </c>
      <c r="T205" s="66"/>
      <c r="U205" s="67">
        <v>671.19</v>
      </c>
      <c r="V205" s="66"/>
      <c r="W205" s="67">
        <v>648.83000000000004</v>
      </c>
      <c r="X205" s="66"/>
      <c r="Y205" s="67">
        <v>1048.19</v>
      </c>
      <c r="Z205" s="66"/>
      <c r="AA205" s="67">
        <v>454.58</v>
      </c>
      <c r="AB205" s="66"/>
      <c r="AC205" s="67">
        <v>357.34</v>
      </c>
      <c r="AD205" s="66"/>
      <c r="AE205" s="67">
        <f t="shared" si="12"/>
        <v>7395.9000000000015</v>
      </c>
      <c r="AF205" s="68"/>
      <c r="AG205" s="69"/>
    </row>
    <row r="206" spans="1:33" outlineLevel="1">
      <c r="A206" s="63">
        <v>70214</v>
      </c>
      <c r="B206" s="63" t="s">
        <v>90</v>
      </c>
      <c r="C206" s="64"/>
      <c r="D206" s="61"/>
      <c r="E206" s="65"/>
      <c r="F206" s="66"/>
      <c r="G206" s="67">
        <v>297.89999999999998</v>
      </c>
      <c r="H206" s="66"/>
      <c r="I206" s="67">
        <v>458.78</v>
      </c>
      <c r="J206" s="66"/>
      <c r="K206" s="67">
        <v>388.4</v>
      </c>
      <c r="L206" s="66"/>
      <c r="M206" s="67">
        <v>452.08</v>
      </c>
      <c r="N206" s="66"/>
      <c r="O206" s="67">
        <v>397.26</v>
      </c>
      <c r="P206" s="66"/>
      <c r="Q206" s="67">
        <v>415.47</v>
      </c>
      <c r="R206" s="66"/>
      <c r="S206" s="67">
        <v>399.76</v>
      </c>
      <c r="T206" s="66"/>
      <c r="U206" s="67">
        <v>488.94</v>
      </c>
      <c r="V206" s="66"/>
      <c r="W206" s="67">
        <v>348.25</v>
      </c>
      <c r="X206" s="66"/>
      <c r="Y206" s="67">
        <v>459.08</v>
      </c>
      <c r="Z206" s="66"/>
      <c r="AA206" s="67">
        <v>410</v>
      </c>
      <c r="AB206" s="66"/>
      <c r="AC206" s="67">
        <v>505.22</v>
      </c>
      <c r="AD206" s="66"/>
      <c r="AE206" s="67">
        <f t="shared" si="12"/>
        <v>5021.1399999999994</v>
      </c>
      <c r="AF206" s="68"/>
      <c r="AG206" s="69"/>
    </row>
    <row r="207" spans="1:33" outlineLevel="1">
      <c r="A207" s="63">
        <v>70215</v>
      </c>
      <c r="B207" s="63" t="s">
        <v>193</v>
      </c>
      <c r="C207" s="64"/>
      <c r="D207" s="61"/>
      <c r="E207" s="65"/>
      <c r="F207" s="66"/>
      <c r="G207" s="67">
        <v>0</v>
      </c>
      <c r="H207" s="66"/>
      <c r="I207" s="67">
        <v>0</v>
      </c>
      <c r="J207" s="66"/>
      <c r="K207" s="67">
        <v>0</v>
      </c>
      <c r="L207" s="66"/>
      <c r="M207" s="67">
        <v>0</v>
      </c>
      <c r="N207" s="66"/>
      <c r="O207" s="67">
        <v>0</v>
      </c>
      <c r="P207" s="66"/>
      <c r="Q207" s="67">
        <v>57.5</v>
      </c>
      <c r="R207" s="66"/>
      <c r="S207" s="67">
        <v>0</v>
      </c>
      <c r="T207" s="66"/>
      <c r="U207" s="67">
        <v>0</v>
      </c>
      <c r="V207" s="66"/>
      <c r="W207" s="67">
        <v>0</v>
      </c>
      <c r="X207" s="66"/>
      <c r="Y207" s="67">
        <v>0</v>
      </c>
      <c r="Z207" s="66"/>
      <c r="AA207" s="67">
        <v>0</v>
      </c>
      <c r="AB207" s="66"/>
      <c r="AC207" s="67">
        <v>0</v>
      </c>
      <c r="AD207" s="66"/>
      <c r="AE207" s="67">
        <f t="shared" si="12"/>
        <v>57.5</v>
      </c>
      <c r="AF207" s="68"/>
      <c r="AG207" s="69"/>
    </row>
    <row r="208" spans="1:33" outlineLevel="1">
      <c r="A208" s="63">
        <v>70225</v>
      </c>
      <c r="B208" s="63" t="s">
        <v>181</v>
      </c>
      <c r="C208" s="64"/>
      <c r="D208" s="61"/>
      <c r="E208" s="65"/>
      <c r="F208" s="66"/>
      <c r="G208" s="67">
        <v>0</v>
      </c>
      <c r="H208" s="66"/>
      <c r="I208" s="67">
        <v>300</v>
      </c>
      <c r="J208" s="66"/>
      <c r="K208" s="67">
        <v>0</v>
      </c>
      <c r="L208" s="66"/>
      <c r="M208" s="67">
        <v>0</v>
      </c>
      <c r="N208" s="66"/>
      <c r="O208" s="67">
        <v>0</v>
      </c>
      <c r="P208" s="66"/>
      <c r="Q208" s="67">
        <v>0</v>
      </c>
      <c r="R208" s="66"/>
      <c r="S208" s="67">
        <v>0</v>
      </c>
      <c r="T208" s="66"/>
      <c r="U208" s="67">
        <v>0</v>
      </c>
      <c r="V208" s="66"/>
      <c r="W208" s="67">
        <v>0</v>
      </c>
      <c r="X208" s="66"/>
      <c r="Y208" s="67">
        <v>0</v>
      </c>
      <c r="Z208" s="66"/>
      <c r="AA208" s="67">
        <v>0</v>
      </c>
      <c r="AB208" s="66"/>
      <c r="AC208" s="67">
        <v>0</v>
      </c>
      <c r="AD208" s="66"/>
      <c r="AE208" s="67">
        <f t="shared" si="12"/>
        <v>300</v>
      </c>
      <c r="AF208" s="68"/>
      <c r="AG208" s="69"/>
    </row>
    <row r="209" spans="1:33" outlineLevel="1">
      <c r="A209" s="63">
        <v>70245</v>
      </c>
      <c r="B209" s="63" t="s">
        <v>194</v>
      </c>
      <c r="C209" s="64"/>
      <c r="D209" s="61"/>
      <c r="E209" s="65"/>
      <c r="F209" s="66"/>
      <c r="G209" s="67">
        <v>47.62</v>
      </c>
      <c r="H209" s="66"/>
      <c r="I209" s="67">
        <v>47.77</v>
      </c>
      <c r="J209" s="66"/>
      <c r="K209" s="67">
        <v>47.53</v>
      </c>
      <c r="L209" s="66"/>
      <c r="M209" s="67">
        <v>51.4</v>
      </c>
      <c r="N209" s="66"/>
      <c r="O209" s="67">
        <v>51.4</v>
      </c>
      <c r="P209" s="66"/>
      <c r="Q209" s="67">
        <v>51.27</v>
      </c>
      <c r="R209" s="66"/>
      <c r="S209" s="67">
        <v>51.3</v>
      </c>
      <c r="T209" s="66"/>
      <c r="U209" s="67">
        <v>51.17</v>
      </c>
      <c r="V209" s="66"/>
      <c r="W209" s="67">
        <v>51.96</v>
      </c>
      <c r="X209" s="66"/>
      <c r="Y209" s="67">
        <v>51.16</v>
      </c>
      <c r="Z209" s="66"/>
      <c r="AA209" s="67">
        <v>52.08</v>
      </c>
      <c r="AB209" s="66"/>
      <c r="AC209" s="67">
        <v>50.98</v>
      </c>
      <c r="AD209" s="66"/>
      <c r="AE209" s="67">
        <f t="shared" si="12"/>
        <v>605.64</v>
      </c>
      <c r="AF209" s="68"/>
      <c r="AG209" s="69"/>
    </row>
    <row r="210" spans="1:33" outlineLevel="1">
      <c r="A210" s="63">
        <v>70255</v>
      </c>
      <c r="B210" s="63" t="s">
        <v>167</v>
      </c>
      <c r="C210" s="64"/>
      <c r="D210" s="61"/>
      <c r="E210" s="65"/>
      <c r="F210" s="66"/>
      <c r="G210" s="67">
        <v>756.46</v>
      </c>
      <c r="H210" s="66"/>
      <c r="I210" s="67">
        <v>138.81</v>
      </c>
      <c r="J210" s="66"/>
      <c r="K210" s="67">
        <v>30.68</v>
      </c>
      <c r="L210" s="66"/>
      <c r="M210" s="67">
        <v>0</v>
      </c>
      <c r="N210" s="66"/>
      <c r="O210" s="67">
        <v>13.04</v>
      </c>
      <c r="P210" s="66"/>
      <c r="Q210" s="67">
        <v>5.6</v>
      </c>
      <c r="R210" s="66"/>
      <c r="S210" s="67">
        <v>24.84</v>
      </c>
      <c r="T210" s="66"/>
      <c r="U210" s="67">
        <v>30.87</v>
      </c>
      <c r="V210" s="66"/>
      <c r="W210" s="67">
        <v>73.930000000000007</v>
      </c>
      <c r="X210" s="66"/>
      <c r="Y210" s="67">
        <v>53.2</v>
      </c>
      <c r="Z210" s="66"/>
      <c r="AA210" s="67">
        <v>57.53</v>
      </c>
      <c r="AB210" s="66"/>
      <c r="AC210" s="67">
        <v>5.82</v>
      </c>
      <c r="AD210" s="66"/>
      <c r="AE210" s="67">
        <f t="shared" si="12"/>
        <v>1190.7800000000002</v>
      </c>
      <c r="AF210" s="68"/>
      <c r="AG210" s="69"/>
    </row>
    <row r="211" spans="1:33" outlineLevel="1">
      <c r="A211" s="63">
        <v>70300</v>
      </c>
      <c r="B211" s="63" t="s">
        <v>71</v>
      </c>
      <c r="C211" s="64"/>
      <c r="D211" s="61"/>
      <c r="E211" s="65"/>
      <c r="F211" s="66"/>
      <c r="G211" s="67">
        <v>1438.72</v>
      </c>
      <c r="H211" s="66"/>
      <c r="I211" s="67">
        <v>1438.72</v>
      </c>
      <c r="J211" s="66"/>
      <c r="K211" s="67">
        <v>1438.72</v>
      </c>
      <c r="L211" s="66"/>
      <c r="M211" s="67">
        <v>1438.72</v>
      </c>
      <c r="N211" s="66"/>
      <c r="O211" s="67">
        <v>1438.72</v>
      </c>
      <c r="P211" s="66"/>
      <c r="Q211" s="67">
        <v>1438.72</v>
      </c>
      <c r="R211" s="66"/>
      <c r="S211" s="67">
        <v>1418.56</v>
      </c>
      <c r="T211" s="66"/>
      <c r="U211" s="67">
        <v>1418.56</v>
      </c>
      <c r="V211" s="66"/>
      <c r="W211" s="67">
        <v>1418.56</v>
      </c>
      <c r="X211" s="66"/>
      <c r="Y211" s="67">
        <v>1418.56</v>
      </c>
      <c r="Z211" s="66"/>
      <c r="AA211" s="67">
        <v>1418.56</v>
      </c>
      <c r="AB211" s="66"/>
      <c r="AC211" s="67">
        <v>1418.56</v>
      </c>
      <c r="AD211" s="66"/>
      <c r="AE211" s="67">
        <f t="shared" si="12"/>
        <v>17143.679999999997</v>
      </c>
      <c r="AF211" s="68"/>
      <c r="AG211" s="69"/>
    </row>
    <row r="212" spans="1:33" outlineLevel="1">
      <c r="A212" s="63">
        <v>70301</v>
      </c>
      <c r="B212" s="63" t="s">
        <v>195</v>
      </c>
      <c r="C212" s="64"/>
      <c r="D212" s="61"/>
      <c r="E212" s="65"/>
      <c r="F212" s="66"/>
      <c r="G212" s="67">
        <v>907.68</v>
      </c>
      <c r="H212" s="66"/>
      <c r="I212" s="67">
        <v>0</v>
      </c>
      <c r="J212" s="66"/>
      <c r="K212" s="67">
        <v>0</v>
      </c>
      <c r="L212" s="66"/>
      <c r="M212" s="67">
        <v>0</v>
      </c>
      <c r="N212" s="66"/>
      <c r="O212" s="67">
        <v>0</v>
      </c>
      <c r="P212" s="66"/>
      <c r="Q212" s="67">
        <v>0</v>
      </c>
      <c r="R212" s="66"/>
      <c r="S212" s="67">
        <v>0</v>
      </c>
      <c r="T212" s="66"/>
      <c r="U212" s="67">
        <v>0</v>
      </c>
      <c r="V212" s="66"/>
      <c r="W212" s="67">
        <v>0</v>
      </c>
      <c r="X212" s="66"/>
      <c r="Y212" s="67">
        <v>0</v>
      </c>
      <c r="Z212" s="66"/>
      <c r="AA212" s="67">
        <v>0</v>
      </c>
      <c r="AB212" s="66"/>
      <c r="AC212" s="67">
        <v>0</v>
      </c>
      <c r="AD212" s="66"/>
      <c r="AE212" s="67">
        <f t="shared" si="12"/>
        <v>907.68</v>
      </c>
      <c r="AF212" s="68"/>
      <c r="AG212" s="69"/>
    </row>
    <row r="213" spans="1:33" outlineLevel="1">
      <c r="A213" s="63">
        <v>70310</v>
      </c>
      <c r="B213" s="63" t="s">
        <v>79</v>
      </c>
      <c r="C213" s="64"/>
      <c r="D213" s="61"/>
      <c r="E213" s="65"/>
      <c r="F213" s="66"/>
      <c r="G213" s="67">
        <v>968.91</v>
      </c>
      <c r="H213" s="66"/>
      <c r="I213" s="67">
        <v>3090.94</v>
      </c>
      <c r="J213" s="66"/>
      <c r="K213" s="67">
        <v>1927.47</v>
      </c>
      <c r="L213" s="66"/>
      <c r="M213" s="67">
        <v>791.33</v>
      </c>
      <c r="N213" s="66"/>
      <c r="O213" s="67">
        <v>-369.4</v>
      </c>
      <c r="P213" s="66"/>
      <c r="Q213" s="67">
        <v>1971.46</v>
      </c>
      <c r="R213" s="66"/>
      <c r="S213" s="67">
        <v>827.06</v>
      </c>
      <c r="T213" s="66"/>
      <c r="U213" s="67">
        <v>341.47</v>
      </c>
      <c r="V213" s="66"/>
      <c r="W213" s="67">
        <v>-202.31</v>
      </c>
      <c r="X213" s="66"/>
      <c r="Y213" s="67">
        <v>289.12</v>
      </c>
      <c r="Z213" s="66"/>
      <c r="AA213" s="67">
        <v>1188.72</v>
      </c>
      <c r="AB213" s="66"/>
      <c r="AC213" s="67">
        <v>1567.75</v>
      </c>
      <c r="AD213" s="66"/>
      <c r="AE213" s="67">
        <f t="shared" si="12"/>
        <v>12392.52</v>
      </c>
      <c r="AF213" s="68"/>
      <c r="AG213" s="69"/>
    </row>
    <row r="214" spans="1:33" outlineLevel="1">
      <c r="A214" s="63">
        <v>70320</v>
      </c>
      <c r="B214" s="63" t="s">
        <v>73</v>
      </c>
      <c r="C214" s="64"/>
      <c r="D214" s="61"/>
      <c r="E214" s="65"/>
      <c r="F214" s="66"/>
      <c r="G214" s="67">
        <v>49.16</v>
      </c>
      <c r="H214" s="66"/>
      <c r="I214" s="67">
        <v>363.23</v>
      </c>
      <c r="J214" s="66"/>
      <c r="K214" s="67">
        <v>301.79000000000002</v>
      </c>
      <c r="L214" s="66"/>
      <c r="M214" s="67">
        <v>138.75</v>
      </c>
      <c r="N214" s="66"/>
      <c r="O214" s="67">
        <v>211.25</v>
      </c>
      <c r="P214" s="66"/>
      <c r="Q214" s="67">
        <v>146.57</v>
      </c>
      <c r="R214" s="66"/>
      <c r="S214" s="67">
        <v>35.22</v>
      </c>
      <c r="T214" s="66"/>
      <c r="U214" s="67">
        <v>294.35000000000002</v>
      </c>
      <c r="V214" s="66"/>
      <c r="W214" s="67">
        <v>57.98</v>
      </c>
      <c r="X214" s="66"/>
      <c r="Y214" s="67">
        <v>106.6</v>
      </c>
      <c r="Z214" s="66"/>
      <c r="AA214" s="67">
        <v>208.83</v>
      </c>
      <c r="AB214" s="66"/>
      <c r="AC214" s="67">
        <v>131.57</v>
      </c>
      <c r="AD214" s="66"/>
      <c r="AE214" s="67">
        <f t="shared" si="12"/>
        <v>2045.3000000000002</v>
      </c>
      <c r="AF214" s="68"/>
      <c r="AG214" s="69"/>
    </row>
    <row r="215" spans="1:33" outlineLevel="1">
      <c r="A215" s="63">
        <v>70336</v>
      </c>
      <c r="B215" s="63" t="s">
        <v>92</v>
      </c>
      <c r="C215" s="64"/>
      <c r="D215" s="61"/>
      <c r="E215" s="65"/>
      <c r="F215" s="66"/>
      <c r="G215" s="67">
        <v>21.5</v>
      </c>
      <c r="H215" s="66"/>
      <c r="I215" s="67">
        <v>53.85</v>
      </c>
      <c r="J215" s="66"/>
      <c r="K215" s="67">
        <v>0</v>
      </c>
      <c r="L215" s="66"/>
      <c r="M215" s="67">
        <v>124.48</v>
      </c>
      <c r="N215" s="66"/>
      <c r="O215" s="67">
        <v>49.85</v>
      </c>
      <c r="P215" s="66"/>
      <c r="Q215" s="67">
        <v>49.77</v>
      </c>
      <c r="R215" s="66"/>
      <c r="S215" s="67">
        <v>3.86</v>
      </c>
      <c r="T215" s="66"/>
      <c r="U215" s="67">
        <v>107.51</v>
      </c>
      <c r="V215" s="66"/>
      <c r="W215" s="67">
        <v>79.7</v>
      </c>
      <c r="X215" s="66"/>
      <c r="Y215" s="67">
        <v>56.65</v>
      </c>
      <c r="Z215" s="66"/>
      <c r="AA215" s="67">
        <v>54.51</v>
      </c>
      <c r="AB215" s="66"/>
      <c r="AC215" s="67">
        <v>70.069999999999993</v>
      </c>
      <c r="AD215" s="66"/>
      <c r="AE215" s="67">
        <f t="shared" si="12"/>
        <v>671.75</v>
      </c>
      <c r="AF215" s="68"/>
      <c r="AG215" s="69"/>
    </row>
    <row r="216" spans="1:33" s="65" customFormat="1" ht="5.0999999999999996" customHeight="1" outlineLevel="1">
      <c r="A216" s="64"/>
      <c r="B216" s="64"/>
      <c r="C216" s="64"/>
      <c r="D216" s="64"/>
      <c r="G216" s="95"/>
      <c r="H216" s="93"/>
      <c r="I216" s="95"/>
      <c r="J216" s="93"/>
      <c r="K216" s="95"/>
      <c r="L216" s="93"/>
      <c r="M216" s="95"/>
      <c r="N216" s="93"/>
      <c r="O216" s="95"/>
      <c r="P216" s="93"/>
      <c r="Q216" s="95"/>
      <c r="R216" s="93"/>
      <c r="S216" s="95"/>
      <c r="T216" s="93"/>
      <c r="U216" s="95"/>
      <c r="V216" s="93"/>
      <c r="W216" s="95"/>
      <c r="X216" s="93"/>
      <c r="Y216" s="95"/>
      <c r="Z216" s="93"/>
      <c r="AA216" s="95"/>
      <c r="AB216" s="93"/>
      <c r="AC216" s="95"/>
      <c r="AD216" s="93"/>
      <c r="AE216" s="95"/>
      <c r="AF216" s="89"/>
      <c r="AG216" s="72"/>
    </row>
    <row r="217" spans="1:33" s="65" customFormat="1" ht="15">
      <c r="C217" s="64" t="s">
        <v>196</v>
      </c>
      <c r="G217" s="92">
        <f>SUM(G177:G216)</f>
        <v>24404.519999999993</v>
      </c>
      <c r="H217" s="93"/>
      <c r="I217" s="92">
        <f>SUM(I177:I216)</f>
        <v>24405.07</v>
      </c>
      <c r="J217" s="93"/>
      <c r="K217" s="92">
        <f>SUM(K177:K216)</f>
        <v>24062.67</v>
      </c>
      <c r="L217" s="93"/>
      <c r="M217" s="92">
        <f>SUM(M177:M216)</f>
        <v>20042.900000000005</v>
      </c>
      <c r="N217" s="93"/>
      <c r="O217" s="92">
        <f>SUM(O177:O216)</f>
        <v>21916.03</v>
      </c>
      <c r="P217" s="93"/>
      <c r="Q217" s="92">
        <f>SUM(Q177:Q216)</f>
        <v>25749.440000000006</v>
      </c>
      <c r="R217" s="93"/>
      <c r="S217" s="92">
        <f>SUM(S177:S216)</f>
        <v>23437.459999999995</v>
      </c>
      <c r="T217" s="93"/>
      <c r="U217" s="92">
        <f>SUM(U177:U216)</f>
        <v>24419.899999999991</v>
      </c>
      <c r="V217" s="93"/>
      <c r="W217" s="92">
        <f>SUM(W177:W216)</f>
        <v>22552.940000000002</v>
      </c>
      <c r="X217" s="93"/>
      <c r="Y217" s="92">
        <f>SUM(Y177:Y216)</f>
        <v>24141.000000000004</v>
      </c>
      <c r="Z217" s="93"/>
      <c r="AA217" s="92">
        <f>SUM(AA177:AA216)</f>
        <v>23574.129999999997</v>
      </c>
      <c r="AB217" s="93"/>
      <c r="AC217" s="92">
        <f>SUM(AC177:AC216)</f>
        <v>20981.05</v>
      </c>
      <c r="AD217" s="93"/>
      <c r="AE217" s="92">
        <f>SUM(AE177:AE216)</f>
        <v>279687.11000000004</v>
      </c>
      <c r="AF217" s="68"/>
      <c r="AG217" s="72"/>
    </row>
    <row r="218" spans="1:33" s="65" customFormat="1" ht="15" outlineLevel="1">
      <c r="G218" s="94"/>
      <c r="H218" s="93"/>
      <c r="I218" s="94"/>
      <c r="J218" s="93"/>
      <c r="K218" s="94"/>
      <c r="L218" s="93"/>
      <c r="M218" s="94"/>
      <c r="N218" s="93"/>
      <c r="O218" s="94"/>
      <c r="P218" s="93"/>
      <c r="Q218" s="94"/>
      <c r="R218" s="93"/>
      <c r="S218" s="94"/>
      <c r="T218" s="93"/>
      <c r="U218" s="94"/>
      <c r="V218" s="93"/>
      <c r="W218" s="94"/>
      <c r="X218" s="93"/>
      <c r="Y218" s="94"/>
      <c r="Z218" s="93"/>
      <c r="AA218" s="94"/>
      <c r="AB218" s="93"/>
      <c r="AC218" s="94"/>
      <c r="AD218" s="93"/>
      <c r="AE218" s="94"/>
      <c r="AF218" s="89"/>
      <c r="AG218" s="72"/>
    </row>
    <row r="219" spans="1:33" outlineLevel="1">
      <c r="A219" s="63">
        <v>70149</v>
      </c>
      <c r="B219" s="63" t="s">
        <v>197</v>
      </c>
      <c r="C219" s="64"/>
      <c r="D219" s="61"/>
      <c r="E219" s="65"/>
      <c r="F219" s="66"/>
      <c r="G219" s="67">
        <v>8917.17</v>
      </c>
      <c r="H219" s="66"/>
      <c r="I219" s="67">
        <v>8830.26</v>
      </c>
      <c r="J219" s="66"/>
      <c r="K219" s="67">
        <v>8588.2800000000007</v>
      </c>
      <c r="L219" s="66"/>
      <c r="M219" s="67">
        <v>8515.7900000000009</v>
      </c>
      <c r="N219" s="66"/>
      <c r="O219" s="67">
        <v>8477.18</v>
      </c>
      <c r="P219" s="66"/>
      <c r="Q219" s="67">
        <v>8430.81</v>
      </c>
      <c r="R219" s="66"/>
      <c r="S219" s="67">
        <v>7214.3</v>
      </c>
      <c r="T219" s="66"/>
      <c r="U219" s="67">
        <v>7195.9999999999991</v>
      </c>
      <c r="V219" s="66"/>
      <c r="W219" s="67">
        <v>7775.05</v>
      </c>
      <c r="X219" s="66"/>
      <c r="Y219" s="67">
        <v>7726.11</v>
      </c>
      <c r="Z219" s="66"/>
      <c r="AA219" s="67">
        <v>7543.36</v>
      </c>
      <c r="AB219" s="66"/>
      <c r="AC219" s="67">
        <v>6401.29</v>
      </c>
      <c r="AD219" s="66"/>
      <c r="AE219" s="67">
        <f>AC219+AA219+Y219+W219+U219+S219+Q219+O219+M219+K219+I219+G219</f>
        <v>95615.599999999991</v>
      </c>
      <c r="AF219" s="68"/>
      <c r="AG219" s="69"/>
    </row>
    <row r="220" spans="1:33" s="65" customFormat="1" ht="5.0999999999999996" customHeight="1" outlineLevel="1">
      <c r="A220" s="64"/>
      <c r="B220" s="64"/>
      <c r="C220" s="64"/>
      <c r="D220" s="64"/>
      <c r="G220" s="95"/>
      <c r="H220" s="93"/>
      <c r="I220" s="95"/>
      <c r="J220" s="93"/>
      <c r="K220" s="95"/>
      <c r="L220" s="93"/>
      <c r="M220" s="95"/>
      <c r="N220" s="93"/>
      <c r="O220" s="95"/>
      <c r="P220" s="93"/>
      <c r="Q220" s="95"/>
      <c r="R220" s="93"/>
      <c r="S220" s="95"/>
      <c r="T220" s="93"/>
      <c r="U220" s="95"/>
      <c r="V220" s="93"/>
      <c r="W220" s="95"/>
      <c r="X220" s="93"/>
      <c r="Y220" s="95"/>
      <c r="Z220" s="93"/>
      <c r="AA220" s="95"/>
      <c r="AB220" s="93"/>
      <c r="AC220" s="95"/>
      <c r="AD220" s="93"/>
      <c r="AE220" s="95"/>
      <c r="AF220" s="89"/>
      <c r="AG220" s="72"/>
    </row>
    <row r="221" spans="1:33" s="65" customFormat="1" ht="15">
      <c r="C221" s="63" t="s">
        <v>198</v>
      </c>
      <c r="G221" s="92">
        <f>SUM(G218:G220)</f>
        <v>8917.17</v>
      </c>
      <c r="H221" s="93"/>
      <c r="I221" s="92">
        <f>SUM(I218:I220)</f>
        <v>8830.26</v>
      </c>
      <c r="J221" s="93"/>
      <c r="K221" s="92">
        <f>SUM(K218:K220)</f>
        <v>8588.2800000000007</v>
      </c>
      <c r="L221" s="93"/>
      <c r="M221" s="92">
        <f>SUM(M218:M220)</f>
        <v>8515.7900000000009</v>
      </c>
      <c r="N221" s="93"/>
      <c r="O221" s="92">
        <f>SUM(O218:O220)</f>
        <v>8477.18</v>
      </c>
      <c r="P221" s="93"/>
      <c r="Q221" s="92">
        <f>SUM(Q218:Q220)</f>
        <v>8430.81</v>
      </c>
      <c r="R221" s="93"/>
      <c r="S221" s="92">
        <f>SUM(S218:S220)</f>
        <v>7214.3</v>
      </c>
      <c r="T221" s="93"/>
      <c r="U221" s="92">
        <f>SUM(U218:U220)</f>
        <v>7195.9999999999991</v>
      </c>
      <c r="V221" s="93"/>
      <c r="W221" s="92">
        <f>SUM(W218:W220)</f>
        <v>7775.05</v>
      </c>
      <c r="X221" s="93"/>
      <c r="Y221" s="92">
        <f>SUM(Y218:Y220)</f>
        <v>7726.11</v>
      </c>
      <c r="Z221" s="93"/>
      <c r="AA221" s="92">
        <f>SUM(AA218:AA220)</f>
        <v>7543.36</v>
      </c>
      <c r="AB221" s="93"/>
      <c r="AC221" s="92">
        <f>SUM(AC218:AC220)</f>
        <v>6401.29</v>
      </c>
      <c r="AD221" s="93"/>
      <c r="AE221" s="92">
        <f>SUM(AE218:AE220)</f>
        <v>95615.599999999991</v>
      </c>
      <c r="AF221" s="68"/>
      <c r="AG221" s="72"/>
    </row>
    <row r="222" spans="1:33" s="65" customFormat="1" ht="7.5" customHeight="1">
      <c r="G222" s="94"/>
      <c r="H222" s="93"/>
      <c r="I222" s="94"/>
      <c r="J222" s="93"/>
      <c r="K222" s="94"/>
      <c r="L222" s="93"/>
      <c r="M222" s="94"/>
      <c r="N222" s="93"/>
      <c r="O222" s="94"/>
      <c r="P222" s="93"/>
      <c r="Q222" s="94"/>
      <c r="R222" s="93"/>
      <c r="S222" s="94"/>
      <c r="T222" s="93"/>
      <c r="U222" s="94"/>
      <c r="V222" s="93"/>
      <c r="W222" s="94"/>
      <c r="X222" s="93"/>
      <c r="Y222" s="94"/>
      <c r="Z222" s="93"/>
      <c r="AA222" s="94"/>
      <c r="AB222" s="93"/>
      <c r="AC222" s="94"/>
      <c r="AD222" s="93"/>
      <c r="AE222" s="94"/>
      <c r="AF222" s="89"/>
      <c r="AG222" s="72"/>
    </row>
    <row r="223" spans="1:33" s="65" customFormat="1" ht="15">
      <c r="B223" s="97" t="s">
        <v>199</v>
      </c>
      <c r="G223" s="98">
        <f>+G175+G217+G221</f>
        <v>33321.689999999995</v>
      </c>
      <c r="H223" s="93"/>
      <c r="I223" s="98">
        <f>+I175+I217+I221</f>
        <v>33235.33</v>
      </c>
      <c r="J223" s="93"/>
      <c r="K223" s="98">
        <f>+K175+K217+K221</f>
        <v>32650.949999999997</v>
      </c>
      <c r="L223" s="93"/>
      <c r="M223" s="98">
        <f>+M175+M217+M221</f>
        <v>28558.690000000006</v>
      </c>
      <c r="N223" s="93"/>
      <c r="O223" s="98">
        <f>+O175+O217+O221</f>
        <v>30393.21</v>
      </c>
      <c r="P223" s="93"/>
      <c r="Q223" s="98">
        <f>+Q175+Q217+Q221</f>
        <v>34180.250000000007</v>
      </c>
      <c r="R223" s="93"/>
      <c r="S223" s="98">
        <f>+S175+S217+S221</f>
        <v>30864.259999999995</v>
      </c>
      <c r="T223" s="93"/>
      <c r="U223" s="98">
        <f>+U175+U217+U221</f>
        <v>31615.899999999991</v>
      </c>
      <c r="V223" s="93"/>
      <c r="W223" s="98">
        <f>+W175+W217+W221</f>
        <v>30327.99</v>
      </c>
      <c r="X223" s="93"/>
      <c r="Y223" s="98">
        <f>+Y175+Y217+Y221</f>
        <v>31967.110000000004</v>
      </c>
      <c r="Z223" s="93"/>
      <c r="AA223" s="98">
        <f>+AA175+AA217+AA221</f>
        <v>31117.489999999998</v>
      </c>
      <c r="AB223" s="93"/>
      <c r="AC223" s="98">
        <f>+AC175+AC217+AC221</f>
        <v>27656.34</v>
      </c>
      <c r="AD223" s="93"/>
      <c r="AE223" s="98">
        <f>+AE175+AE217+AE221</f>
        <v>375889.21</v>
      </c>
      <c r="AF223" s="68"/>
      <c r="AG223" s="72"/>
    </row>
    <row r="224" spans="1:33" s="65" customFormat="1" ht="7.5" customHeight="1">
      <c r="G224" s="94"/>
      <c r="H224" s="93"/>
      <c r="I224" s="94"/>
      <c r="J224" s="93"/>
      <c r="K224" s="94"/>
      <c r="L224" s="93"/>
      <c r="M224" s="94"/>
      <c r="N224" s="93"/>
      <c r="O224" s="94"/>
      <c r="P224" s="93"/>
      <c r="Q224" s="94"/>
      <c r="R224" s="93"/>
      <c r="S224" s="94"/>
      <c r="T224" s="93"/>
      <c r="U224" s="94"/>
      <c r="V224" s="93"/>
      <c r="W224" s="94"/>
      <c r="X224" s="93"/>
      <c r="Y224" s="94"/>
      <c r="Z224" s="93"/>
      <c r="AA224" s="94"/>
      <c r="AB224" s="93"/>
      <c r="AC224" s="94"/>
      <c r="AD224" s="93"/>
      <c r="AE224" s="94"/>
      <c r="AF224" s="89"/>
      <c r="AG224" s="72"/>
    </row>
    <row r="225" spans="1:33" s="65" customFormat="1" ht="7.5" customHeight="1">
      <c r="A225" s="104"/>
      <c r="B225" s="104"/>
      <c r="C225" s="104"/>
      <c r="D225" s="104"/>
      <c r="E225" s="104"/>
      <c r="F225" s="104"/>
      <c r="G225" s="102"/>
      <c r="H225" s="93"/>
      <c r="I225" s="102"/>
      <c r="J225" s="93"/>
      <c r="K225" s="102"/>
      <c r="L225" s="93"/>
      <c r="M225" s="102"/>
      <c r="N225" s="93"/>
      <c r="O225" s="102"/>
      <c r="P225" s="93"/>
      <c r="Q225" s="102"/>
      <c r="R225" s="93"/>
      <c r="S225" s="102"/>
      <c r="T225" s="93"/>
      <c r="U225" s="102"/>
      <c r="V225" s="93"/>
      <c r="W225" s="102"/>
      <c r="X225" s="93"/>
      <c r="Y225" s="102"/>
      <c r="Z225" s="93"/>
      <c r="AA225" s="102"/>
      <c r="AB225" s="93"/>
      <c r="AC225" s="102"/>
      <c r="AD225" s="93"/>
      <c r="AE225" s="102"/>
      <c r="AF225" s="89"/>
      <c r="AG225" s="72"/>
    </row>
    <row r="226" spans="1:33" s="65" customFormat="1" ht="15">
      <c r="B226" s="105" t="s">
        <v>200</v>
      </c>
      <c r="C226" s="106"/>
      <c r="D226" s="106"/>
      <c r="E226" s="106"/>
      <c r="F226" s="106"/>
      <c r="G226" s="107">
        <f>+G170-G223</f>
        <v>49181.430000000015</v>
      </c>
      <c r="H226" s="108"/>
      <c r="I226" s="107">
        <f>+I170-I223</f>
        <v>47116.270000000004</v>
      </c>
      <c r="J226" s="109"/>
      <c r="K226" s="107">
        <f>+K170-K223</f>
        <v>19869.769999999946</v>
      </c>
      <c r="L226" s="109"/>
      <c r="M226" s="107">
        <f>+M170-M223</f>
        <v>38617.999999999971</v>
      </c>
      <c r="N226" s="108"/>
      <c r="O226" s="107">
        <f>+O170-O223</f>
        <v>32917.599999999999</v>
      </c>
      <c r="P226" s="109"/>
      <c r="Q226" s="107">
        <f>+Q170-Q223</f>
        <v>-24970.43</v>
      </c>
      <c r="R226" s="109"/>
      <c r="S226" s="107">
        <f>+S170-S223</f>
        <v>10719.809999999983</v>
      </c>
      <c r="T226" s="108"/>
      <c r="U226" s="107">
        <f>+U170-U223</f>
        <v>17438.870000000028</v>
      </c>
      <c r="V226" s="109"/>
      <c r="W226" s="107">
        <f>+W170-W223</f>
        <v>9873.5000000000036</v>
      </c>
      <c r="X226" s="109"/>
      <c r="Y226" s="107">
        <f>+Y170-Y223</f>
        <v>33820.149999999951</v>
      </c>
      <c r="Z226" s="108"/>
      <c r="AA226" s="107">
        <f>+AA170-AA223</f>
        <v>29490.730000000003</v>
      </c>
      <c r="AB226" s="109"/>
      <c r="AC226" s="107">
        <f>+AC170-AC223</f>
        <v>-9608.7099999999955</v>
      </c>
      <c r="AD226" s="109"/>
      <c r="AE226" s="107">
        <f>+AE170-AE223</f>
        <v>254466.99000000063</v>
      </c>
      <c r="AF226" s="68"/>
      <c r="AG226" s="110"/>
    </row>
    <row r="227" spans="1:33" s="65" customFormat="1" ht="6.75" customHeight="1">
      <c r="A227" s="111"/>
      <c r="B227" s="111"/>
      <c r="C227" s="111"/>
      <c r="D227" s="111"/>
      <c r="E227" s="111"/>
      <c r="F227" s="111"/>
      <c r="G227" s="112"/>
      <c r="H227" s="111"/>
      <c r="I227" s="112"/>
      <c r="J227" s="111"/>
      <c r="K227" s="112"/>
      <c r="L227" s="111"/>
      <c r="M227" s="112"/>
      <c r="N227" s="111"/>
      <c r="O227" s="112"/>
      <c r="P227" s="111"/>
      <c r="Q227" s="112"/>
      <c r="R227" s="111"/>
      <c r="S227" s="112"/>
      <c r="T227" s="111"/>
      <c r="U227" s="112"/>
      <c r="V227" s="111"/>
      <c r="W227" s="112"/>
      <c r="X227" s="111"/>
      <c r="Y227" s="112"/>
      <c r="Z227" s="111"/>
      <c r="AA227" s="112"/>
      <c r="AB227" s="111"/>
      <c r="AC227" s="112"/>
      <c r="AD227" s="111"/>
      <c r="AE227" s="112"/>
      <c r="AF227" s="113"/>
      <c r="AG227" s="72"/>
    </row>
    <row r="228" spans="1:33" s="65" customFormat="1" ht="15">
      <c r="B228" s="114" t="s">
        <v>201</v>
      </c>
      <c r="C228" s="115"/>
      <c r="D228" s="115"/>
      <c r="E228" s="115"/>
      <c r="F228" s="115"/>
      <c r="G228" s="116">
        <f>G226 +G162+SUMIF($A:$A,52141,G:G)+SUMIF($A:$A,52142,G:G)+SUMIF($A:$A,52143,G:G)+SUMIF($A:$A,55142,G:G)+SUMIF($A:$A,56142,G:G)+SUMIF($A:$A,70142,G:G)</f>
        <v>40368.060000000012</v>
      </c>
      <c r="H228" s="115"/>
      <c r="I228" s="116">
        <f>I226 +I162+SUMIF($A:$A,52141,I:I)+SUMIF($A:$A,52142,I:I)+SUMIF($A:$A,52143,I:I)+SUMIF($A:$A,55142,I:I)+SUMIF($A:$A,56142,I:I)+SUMIF($A:$A,70142,I:I)</f>
        <v>61220.000000000007</v>
      </c>
      <c r="J228" s="115"/>
      <c r="K228" s="116">
        <f>K226 +K162+SUMIF($A:$A,52141,K:K)+SUMIF($A:$A,52142,K:K)+SUMIF($A:$A,52143,K:K)+SUMIF($A:$A,55142,K:K)+SUMIF($A:$A,56142,K:K)+SUMIF($A:$A,70142,K:K)</f>
        <v>39587.849999999948</v>
      </c>
      <c r="L228" s="115"/>
      <c r="M228" s="116">
        <f>M226 +M162+SUMIF($A:$A,52141,M:M)+SUMIF($A:$A,52142,M:M)+SUMIF($A:$A,52143,M:M)+SUMIF($A:$A,55142,M:M)+SUMIF($A:$A,56142,M:M)+SUMIF($A:$A,70142,M:M)</f>
        <v>52777.199999999968</v>
      </c>
      <c r="N228" s="115"/>
      <c r="O228" s="116">
        <f>O226 +O162+SUMIF($A:$A,52141,O:O)+SUMIF($A:$A,52142,O:O)+SUMIF($A:$A,52143,O:O)+SUMIF($A:$A,55142,O:O)+SUMIF($A:$A,56142,O:O)+SUMIF($A:$A,70142,O:O)</f>
        <v>44016.4</v>
      </c>
      <c r="P228" s="115"/>
      <c r="Q228" s="116">
        <f>Q226 +Q162+SUMIF($A:$A,52141,Q:Q)+SUMIF($A:$A,52142,Q:Q)+SUMIF($A:$A,52143,Q:Q)+SUMIF($A:$A,55142,Q:Q)+SUMIF($A:$A,56142,Q:Q)+SUMIF($A:$A,70142,Q:Q)</f>
        <v>-12106.789999999999</v>
      </c>
      <c r="R228" s="115"/>
      <c r="S228" s="116">
        <f>S226 +S162+SUMIF($A:$A,52141,S:S)+SUMIF($A:$A,52142,S:S)+SUMIF($A:$A,52143,S:S)+SUMIF($A:$A,55142,S:S)+SUMIF($A:$A,56142,S:S)+SUMIF($A:$A,70142,S:S)</f>
        <v>20878.599999999984</v>
      </c>
      <c r="T228" s="115"/>
      <c r="U228" s="116">
        <f>U226 +U162+SUMIF($A:$A,52141,U:U)+SUMIF($A:$A,52142,U:U)+SUMIF($A:$A,52143,U:U)+SUMIF($A:$A,55142,U:U)+SUMIF($A:$A,56142,U:U)+SUMIF($A:$A,70142,U:U)</f>
        <v>29861.940000000031</v>
      </c>
      <c r="V228" s="115"/>
      <c r="W228" s="116">
        <f>W226 +W162+SUMIF($A:$A,52141,W:W)+SUMIF($A:$A,52142,W:W)+SUMIF($A:$A,52143,W:W)+SUMIF($A:$A,55142,W:W)+SUMIF($A:$A,56142,W:W)+SUMIF($A:$A,70142,W:W)</f>
        <v>23915.180000000004</v>
      </c>
      <c r="X228" s="115"/>
      <c r="Y228" s="116">
        <f>Y226 +Y162+SUMIF($A:$A,52141,Y:Y)+SUMIF($A:$A,52142,Y:Y)+SUMIF($A:$A,52143,Y:Y)+SUMIF($A:$A,55142,Y:Y)+SUMIF($A:$A,56142,Y:Y)+SUMIF($A:$A,70142,Y:Y)</f>
        <v>46043.479999999952</v>
      </c>
      <c r="Z228" s="115"/>
      <c r="AA228" s="116">
        <f>AA226 +AA162+SUMIF($A:$A,52141,AA:AA)+SUMIF($A:$A,52142,AA:AA)+SUMIF($A:$A,52143,AA:AA)+SUMIF($A:$A,55142,AA:AA)+SUMIF($A:$A,56142,AA:AA)+SUMIF($A:$A,70142,AA:AA)</f>
        <v>42625.590000000004</v>
      </c>
      <c r="AB228" s="115"/>
      <c r="AC228" s="116">
        <f>AC226 +AC162+SUMIF($A:$A,52141,AC:AC)+SUMIF($A:$A,52142,AC:AC)+SUMIF($A:$A,52143,AC:AC)+SUMIF($A:$A,55142,AC:AC)+SUMIF($A:$A,56142,AC:AC)+SUMIF($A:$A,70142,AC:AC)</f>
        <v>31014.69000000001</v>
      </c>
      <c r="AD228" s="115"/>
      <c r="AE228" s="116">
        <f>AE226 +AE162+SUMIF($A:$A,52141,AE:AE)+SUMIF($A:$A,52142,AE:AE)+SUMIF($A:$A,52143,AE:AE)+SUMIF($A:$A,55142,AE:AE)+SUMIF($A:$A,56142,AE:AE)+SUMIF($A:$A,70142,AE:AE)</f>
        <v>420202.20000000065</v>
      </c>
      <c r="AF228" s="68"/>
      <c r="AG228" s="110"/>
    </row>
    <row r="229" spans="1:33" s="65" customFormat="1" ht="6.75" customHeight="1">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113"/>
      <c r="AG229" s="72"/>
    </row>
    <row r="230" spans="1:33" outlineLevel="1">
      <c r="A230" s="63">
        <v>51260</v>
      </c>
      <c r="B230" s="63" t="s">
        <v>202</v>
      </c>
      <c r="C230" s="64"/>
      <c r="D230" s="61"/>
      <c r="E230" s="65"/>
      <c r="F230" s="66"/>
      <c r="G230" s="67">
        <v>6749.99</v>
      </c>
      <c r="H230" s="66"/>
      <c r="I230" s="67">
        <v>6750</v>
      </c>
      <c r="J230" s="66"/>
      <c r="K230" s="67">
        <v>10829.76</v>
      </c>
      <c r="L230" s="66"/>
      <c r="M230" s="67">
        <v>10829.76</v>
      </c>
      <c r="N230" s="66"/>
      <c r="O230" s="67">
        <v>10829.74</v>
      </c>
      <c r="P230" s="66"/>
      <c r="Q230" s="67">
        <v>10829.76</v>
      </c>
      <c r="R230" s="66"/>
      <c r="S230" s="67">
        <v>10829.78</v>
      </c>
      <c r="T230" s="66"/>
      <c r="U230" s="67">
        <v>12959.4</v>
      </c>
      <c r="V230" s="66"/>
      <c r="W230" s="67">
        <v>13259.32</v>
      </c>
      <c r="X230" s="66"/>
      <c r="Y230" s="67">
        <v>13109.27</v>
      </c>
      <c r="Z230" s="66"/>
      <c r="AA230" s="67">
        <v>13109.35</v>
      </c>
      <c r="AB230" s="66"/>
      <c r="AC230" s="67">
        <v>13109.35</v>
      </c>
      <c r="AD230" s="66"/>
      <c r="AE230" s="67">
        <f t="shared" ref="AE230:AE233" si="13">AC230+AA230+Y230+W230+U230+S230+Q230+O230+M230+K230+I230+G230</f>
        <v>133195.47999999998</v>
      </c>
      <c r="AF230" s="68"/>
      <c r="AG230" s="69"/>
    </row>
    <row r="231" spans="1:33" outlineLevel="1">
      <c r="A231" s="63">
        <v>54260</v>
      </c>
      <c r="B231" s="63" t="s">
        <v>202</v>
      </c>
      <c r="C231" s="64"/>
      <c r="D231" s="61"/>
      <c r="E231" s="65"/>
      <c r="F231" s="66"/>
      <c r="G231" s="67">
        <v>2519.16</v>
      </c>
      <c r="H231" s="66"/>
      <c r="I231" s="67">
        <v>2519.34</v>
      </c>
      <c r="J231" s="66"/>
      <c r="K231" s="67">
        <v>2519.41</v>
      </c>
      <c r="L231" s="66"/>
      <c r="M231" s="67">
        <v>2628.72</v>
      </c>
      <c r="N231" s="66"/>
      <c r="O231" s="67">
        <v>2858.92</v>
      </c>
      <c r="P231" s="66"/>
      <c r="Q231" s="67">
        <v>2858.86</v>
      </c>
      <c r="R231" s="66"/>
      <c r="S231" s="67">
        <v>2858.99</v>
      </c>
      <c r="T231" s="66"/>
      <c r="U231" s="67">
        <v>2858.98</v>
      </c>
      <c r="V231" s="66"/>
      <c r="W231" s="67">
        <v>2859.02</v>
      </c>
      <c r="X231" s="66"/>
      <c r="Y231" s="67">
        <v>2858.81</v>
      </c>
      <c r="Z231" s="66"/>
      <c r="AA231" s="67">
        <v>2841.04</v>
      </c>
      <c r="AB231" s="66"/>
      <c r="AC231" s="67">
        <v>2841.03</v>
      </c>
      <c r="AD231" s="66"/>
      <c r="AE231" s="67">
        <f t="shared" si="13"/>
        <v>33022.28</v>
      </c>
      <c r="AF231" s="68"/>
      <c r="AG231" s="69"/>
    </row>
    <row r="232" spans="1:33" outlineLevel="1">
      <c r="A232" s="63">
        <v>57260</v>
      </c>
      <c r="B232" s="63" t="s">
        <v>202</v>
      </c>
      <c r="C232" s="64"/>
      <c r="D232" s="61"/>
      <c r="E232" s="65"/>
      <c r="F232" s="66"/>
      <c r="G232" s="67">
        <v>1879.77</v>
      </c>
      <c r="H232" s="66"/>
      <c r="I232" s="67">
        <v>2096.89</v>
      </c>
      <c r="J232" s="66"/>
      <c r="K232" s="67">
        <v>2096.89</v>
      </c>
      <c r="L232" s="66"/>
      <c r="M232" s="67">
        <v>2096.87</v>
      </c>
      <c r="N232" s="66"/>
      <c r="O232" s="67">
        <v>2096.88</v>
      </c>
      <c r="P232" s="66"/>
      <c r="Q232" s="67">
        <v>2096.87</v>
      </c>
      <c r="R232" s="66"/>
      <c r="S232" s="67">
        <v>2096.86</v>
      </c>
      <c r="T232" s="66"/>
      <c r="U232" s="67">
        <v>2096.89</v>
      </c>
      <c r="V232" s="66"/>
      <c r="W232" s="67">
        <v>2096.89</v>
      </c>
      <c r="X232" s="66"/>
      <c r="Y232" s="67">
        <v>2096.88</v>
      </c>
      <c r="Z232" s="66"/>
      <c r="AA232" s="67">
        <v>2096.87</v>
      </c>
      <c r="AB232" s="66"/>
      <c r="AC232" s="67">
        <v>2096.88</v>
      </c>
      <c r="AD232" s="66"/>
      <c r="AE232" s="67">
        <f t="shared" si="13"/>
        <v>24945.439999999999</v>
      </c>
      <c r="AF232" s="68"/>
      <c r="AG232" s="69"/>
    </row>
    <row r="233" spans="1:33" outlineLevel="1">
      <c r="A233" s="63">
        <v>70260</v>
      </c>
      <c r="B233" s="63" t="s">
        <v>202</v>
      </c>
      <c r="C233" s="64"/>
      <c r="D233" s="61"/>
      <c r="E233" s="65"/>
      <c r="F233" s="66"/>
      <c r="G233" s="67">
        <v>366.41</v>
      </c>
      <c r="H233" s="66"/>
      <c r="I233" s="67">
        <v>366.42</v>
      </c>
      <c r="J233" s="66"/>
      <c r="K233" s="67">
        <v>366.41</v>
      </c>
      <c r="L233" s="66"/>
      <c r="M233" s="67">
        <v>366.4</v>
      </c>
      <c r="N233" s="66"/>
      <c r="O233" s="67">
        <v>187.27</v>
      </c>
      <c r="P233" s="66"/>
      <c r="Q233" s="67">
        <v>140.94</v>
      </c>
      <c r="R233" s="66"/>
      <c r="S233" s="67">
        <v>140.94999999999999</v>
      </c>
      <c r="T233" s="66"/>
      <c r="U233" s="67">
        <v>140.93</v>
      </c>
      <c r="V233" s="66"/>
      <c r="W233" s="67">
        <v>140.94</v>
      </c>
      <c r="X233" s="66"/>
      <c r="Y233" s="67">
        <v>140.93</v>
      </c>
      <c r="Z233" s="66"/>
      <c r="AA233" s="67">
        <v>140.93</v>
      </c>
      <c r="AB233" s="66"/>
      <c r="AC233" s="67">
        <v>185.26</v>
      </c>
      <c r="AD233" s="66"/>
      <c r="AE233" s="67">
        <f t="shared" si="13"/>
        <v>2683.79</v>
      </c>
      <c r="AF233" s="68"/>
      <c r="AG233" s="69"/>
    </row>
    <row r="234" spans="1:33" s="65" customFormat="1" ht="5.0999999999999996" customHeight="1" outlineLevel="1">
      <c r="A234" s="64"/>
      <c r="B234" s="64"/>
      <c r="C234" s="64"/>
      <c r="D234" s="64"/>
      <c r="G234" s="95"/>
      <c r="H234" s="94"/>
      <c r="I234" s="95"/>
      <c r="J234" s="94"/>
      <c r="K234" s="95"/>
      <c r="L234" s="94"/>
      <c r="M234" s="95"/>
      <c r="N234" s="94"/>
      <c r="O234" s="95"/>
      <c r="P234" s="94"/>
      <c r="Q234" s="95"/>
      <c r="R234" s="94"/>
      <c r="S234" s="95"/>
      <c r="T234" s="94"/>
      <c r="U234" s="95"/>
      <c r="V234" s="94"/>
      <c r="W234" s="95"/>
      <c r="X234" s="94"/>
      <c r="Y234" s="95"/>
      <c r="Z234" s="94"/>
      <c r="AA234" s="95"/>
      <c r="AB234" s="94"/>
      <c r="AC234" s="95"/>
      <c r="AD234" s="94"/>
      <c r="AE234" s="95"/>
      <c r="AF234" s="113"/>
      <c r="AG234" s="72"/>
    </row>
    <row r="235" spans="1:33" s="65" customFormat="1" ht="15">
      <c r="C235" s="64" t="s">
        <v>202</v>
      </c>
      <c r="G235" s="92">
        <f>SUM(G230:G234)</f>
        <v>11515.33</v>
      </c>
      <c r="H235" s="94"/>
      <c r="I235" s="92">
        <f>SUM(I230:I234)</f>
        <v>11732.65</v>
      </c>
      <c r="J235" s="94"/>
      <c r="K235" s="92">
        <f>SUM(K230:K234)</f>
        <v>15812.47</v>
      </c>
      <c r="L235" s="117">
        <f>IF(K$39=0,0,K235/K$39)</f>
        <v>0</v>
      </c>
      <c r="M235" s="92">
        <f>SUM(M230:M234)</f>
        <v>15921.749999999998</v>
      </c>
      <c r="N235" s="94"/>
      <c r="O235" s="92">
        <f>SUM(O230:O234)</f>
        <v>15972.810000000001</v>
      </c>
      <c r="P235" s="94"/>
      <c r="Q235" s="92">
        <f>SUM(Q230:Q234)</f>
        <v>15926.430000000002</v>
      </c>
      <c r="R235" s="117">
        <f>IF(Q$39=0,0,Q235/Q$39)</f>
        <v>0</v>
      </c>
      <c r="S235" s="92">
        <f>SUM(S230:S234)</f>
        <v>15926.580000000002</v>
      </c>
      <c r="T235" s="94"/>
      <c r="U235" s="92">
        <f>SUM(U230:U234)</f>
        <v>18056.2</v>
      </c>
      <c r="V235" s="94"/>
      <c r="W235" s="92">
        <f>SUM(W230:W234)</f>
        <v>18356.169999999998</v>
      </c>
      <c r="X235" s="117">
        <f>IF(W$39=0,0,W235/W$39)</f>
        <v>0</v>
      </c>
      <c r="Y235" s="92">
        <f>SUM(Y230:Y234)</f>
        <v>18205.89</v>
      </c>
      <c r="Z235" s="94"/>
      <c r="AA235" s="92">
        <f>SUM(AA230:AA234)</f>
        <v>18188.189999999999</v>
      </c>
      <c r="AB235" s="94"/>
      <c r="AC235" s="92">
        <f>SUM(AC230:AC234)</f>
        <v>18232.52</v>
      </c>
      <c r="AD235" s="117">
        <f>IF(AC$39=0,0,AC235/AC$39)</f>
        <v>0</v>
      </c>
      <c r="AE235" s="92">
        <f>SUM(G235,I235,K235,M235,O235,Q235,S235,U235,W235,Y235,AA235,AC235)</f>
        <v>193846.99000000002</v>
      </c>
      <c r="AF235" s="68"/>
      <c r="AG235" s="72"/>
    </row>
    <row r="236" spans="1:33" s="65" customFormat="1" ht="15" outlineLevel="1">
      <c r="C236" s="64"/>
      <c r="G236" s="94"/>
      <c r="H236" s="94"/>
      <c r="I236" s="94"/>
      <c r="J236" s="94"/>
      <c r="K236" s="94"/>
      <c r="L236" s="113"/>
      <c r="M236" s="94"/>
      <c r="N236" s="94"/>
      <c r="O236" s="94"/>
      <c r="P236" s="94"/>
      <c r="Q236" s="94"/>
      <c r="R236" s="113"/>
      <c r="S236" s="94"/>
      <c r="T236" s="94"/>
      <c r="U236" s="94"/>
      <c r="V236" s="94"/>
      <c r="W236" s="94"/>
      <c r="X236" s="113"/>
      <c r="Y236" s="94"/>
      <c r="Z236" s="94"/>
      <c r="AA236" s="94"/>
      <c r="AB236" s="94"/>
      <c r="AC236" s="94"/>
      <c r="AD236" s="113"/>
      <c r="AE236" s="94"/>
      <c r="AF236" s="113"/>
      <c r="AG236" s="72"/>
    </row>
    <row r="237" spans="1:33" customFormat="1" ht="15" outlineLevel="1"/>
    <row r="238" spans="1:33" s="65" customFormat="1" ht="5.0999999999999996" customHeight="1" outlineLevel="1">
      <c r="A238" s="64"/>
      <c r="B238" s="64"/>
      <c r="C238" s="64"/>
      <c r="D238" s="64"/>
      <c r="G238" s="95"/>
      <c r="H238" s="94"/>
      <c r="I238" s="95"/>
      <c r="J238" s="94"/>
      <c r="K238" s="95"/>
      <c r="L238" s="113"/>
      <c r="M238" s="95"/>
      <c r="N238" s="94"/>
      <c r="O238" s="95"/>
      <c r="P238" s="94"/>
      <c r="Q238" s="95"/>
      <c r="R238" s="113"/>
      <c r="S238" s="95"/>
      <c r="T238" s="94"/>
      <c r="U238" s="95"/>
      <c r="V238" s="94"/>
      <c r="W238" s="95"/>
      <c r="X238" s="113"/>
      <c r="Y238" s="95"/>
      <c r="Z238" s="94"/>
      <c r="AA238" s="95"/>
      <c r="AB238" s="94"/>
      <c r="AC238" s="95"/>
      <c r="AD238" s="113"/>
      <c r="AE238" s="95"/>
      <c r="AF238" s="113"/>
      <c r="AG238" s="72"/>
    </row>
    <row r="239" spans="1:33" s="65" customFormat="1" ht="15">
      <c r="C239" s="63" t="s">
        <v>203</v>
      </c>
      <c r="G239" s="92">
        <f>SUM(G237:G238)</f>
        <v>0</v>
      </c>
      <c r="H239" s="94"/>
      <c r="I239" s="92">
        <f>SUM(I237:I238)</f>
        <v>0</v>
      </c>
      <c r="J239" s="94"/>
      <c r="K239" s="92">
        <f>SUM(K237:K238)</f>
        <v>0</v>
      </c>
      <c r="L239" s="117">
        <f>IF(K$39=0,0,K239/K$39)</f>
        <v>0</v>
      </c>
      <c r="M239" s="92">
        <f>SUM(M237:M238)</f>
        <v>0</v>
      </c>
      <c r="N239" s="94"/>
      <c r="O239" s="92">
        <f>SUM(O237:O238)</f>
        <v>0</v>
      </c>
      <c r="P239" s="94"/>
      <c r="Q239" s="92">
        <f>SUM(Q237:Q238)</f>
        <v>0</v>
      </c>
      <c r="R239" s="117">
        <f>IF(Q$39=0,0,Q239/Q$39)</f>
        <v>0</v>
      </c>
      <c r="S239" s="92">
        <f>SUM(S237:S238)</f>
        <v>0</v>
      </c>
      <c r="T239" s="94"/>
      <c r="U239" s="92">
        <f>SUM(U237:U238)</f>
        <v>0</v>
      </c>
      <c r="V239" s="94"/>
      <c r="W239" s="92">
        <f>SUM(W237:W238)</f>
        <v>0</v>
      </c>
      <c r="X239" s="117">
        <f>IF(W$39=0,0,W239/W$39)</f>
        <v>0</v>
      </c>
      <c r="Y239" s="92">
        <f>SUM(Y237:Y238)</f>
        <v>0</v>
      </c>
      <c r="Z239" s="94"/>
      <c r="AA239" s="92">
        <f>SUM(AA237:AA238)</f>
        <v>0</v>
      </c>
      <c r="AB239" s="94"/>
      <c r="AC239" s="92">
        <f>SUM(AC237:AC238)</f>
        <v>0</v>
      </c>
      <c r="AD239" s="117">
        <f>IF(AC$39=0,0,AC239/AC$39)</f>
        <v>0</v>
      </c>
      <c r="AE239" s="92">
        <f>SUM(G239,I239,K239)</f>
        <v>0</v>
      </c>
      <c r="AF239" s="68"/>
      <c r="AG239" s="72"/>
    </row>
    <row r="240" spans="1:33" s="65" customFormat="1" ht="15" outlineLevel="1">
      <c r="G240" s="94"/>
      <c r="H240" s="94"/>
      <c r="I240" s="94"/>
      <c r="J240" s="94"/>
      <c r="K240" s="94"/>
      <c r="L240" s="113"/>
      <c r="M240" s="94"/>
      <c r="N240" s="94"/>
      <c r="O240" s="94"/>
      <c r="P240" s="94"/>
      <c r="Q240" s="94"/>
      <c r="R240" s="113"/>
      <c r="S240" s="94"/>
      <c r="T240" s="94"/>
      <c r="U240" s="94"/>
      <c r="V240" s="94"/>
      <c r="W240" s="94"/>
      <c r="X240" s="113"/>
      <c r="Y240" s="94"/>
      <c r="Z240" s="94"/>
      <c r="AA240" s="94"/>
      <c r="AB240" s="94"/>
      <c r="AC240" s="94"/>
      <c r="AD240" s="113"/>
      <c r="AE240" s="94"/>
      <c r="AF240" s="113"/>
      <c r="AG240" s="72"/>
    </row>
    <row r="241" spans="1:33" outlineLevel="1">
      <c r="A241" s="63">
        <v>70269</v>
      </c>
      <c r="B241" s="63" t="s">
        <v>204</v>
      </c>
      <c r="C241" s="64"/>
      <c r="D241" s="61"/>
      <c r="E241" s="65"/>
      <c r="F241" s="66"/>
      <c r="G241" s="67">
        <v>651.71</v>
      </c>
      <c r="H241" s="66"/>
      <c r="I241" s="67">
        <v>651.70000000000005</v>
      </c>
      <c r="J241" s="66"/>
      <c r="K241" s="67">
        <v>651.71</v>
      </c>
      <c r="L241" s="66"/>
      <c r="M241" s="67">
        <v>651.72</v>
      </c>
      <c r="N241" s="66"/>
      <c r="O241" s="67">
        <v>651.70000000000005</v>
      </c>
      <c r="P241" s="66"/>
      <c r="Q241" s="67">
        <v>651.71</v>
      </c>
      <c r="R241" s="66"/>
      <c r="S241" s="67">
        <v>651.71</v>
      </c>
      <c r="T241" s="66"/>
      <c r="U241" s="67">
        <v>651.71</v>
      </c>
      <c r="V241" s="66"/>
      <c r="W241" s="67">
        <v>651.71</v>
      </c>
      <c r="X241" s="66"/>
      <c r="Y241" s="67">
        <v>651.71</v>
      </c>
      <c r="Z241" s="66"/>
      <c r="AA241" s="67">
        <v>651.70000000000005</v>
      </c>
      <c r="AB241" s="66"/>
      <c r="AC241" s="67">
        <v>651.72</v>
      </c>
      <c r="AD241" s="66"/>
      <c r="AE241" s="67">
        <f>AC241+AA241+Y241+W241+U241+S241+Q241+O241+M241+K241+I241+G241</f>
        <v>7820.51</v>
      </c>
      <c r="AF241" s="68"/>
      <c r="AG241" s="69"/>
    </row>
    <row r="242" spans="1:33" s="65" customFormat="1" ht="5.0999999999999996" customHeight="1" outlineLevel="1">
      <c r="A242" s="64"/>
      <c r="B242" s="64"/>
      <c r="C242" s="64"/>
      <c r="D242" s="64"/>
      <c r="G242" s="95"/>
      <c r="H242" s="94"/>
      <c r="I242" s="95"/>
      <c r="J242" s="94"/>
      <c r="K242" s="95"/>
      <c r="L242" s="113"/>
      <c r="M242" s="95"/>
      <c r="N242" s="94"/>
      <c r="O242" s="95"/>
      <c r="P242" s="94"/>
      <c r="Q242" s="95"/>
      <c r="R242" s="113"/>
      <c r="S242" s="95"/>
      <c r="T242" s="94"/>
      <c r="U242" s="95"/>
      <c r="V242" s="94"/>
      <c r="W242" s="95"/>
      <c r="X242" s="113"/>
      <c r="Y242" s="95"/>
      <c r="Z242" s="94"/>
      <c r="AA242" s="95"/>
      <c r="AB242" s="94"/>
      <c r="AC242" s="95"/>
      <c r="AD242" s="113"/>
      <c r="AE242" s="95"/>
      <c r="AF242" s="113"/>
      <c r="AG242" s="72"/>
    </row>
    <row r="243" spans="1:33" s="65" customFormat="1" ht="15">
      <c r="C243" s="64" t="s">
        <v>205</v>
      </c>
      <c r="G243" s="92">
        <f>SUM(G241:G242)</f>
        <v>651.71</v>
      </c>
      <c r="H243" s="94"/>
      <c r="I243" s="92">
        <f>SUM(I241:I242)</f>
        <v>651.70000000000005</v>
      </c>
      <c r="J243" s="94"/>
      <c r="K243" s="92">
        <f>SUM(K241:K242)</f>
        <v>651.71</v>
      </c>
      <c r="L243" s="117">
        <f>IF(K$39=0,0,K243/K$39)</f>
        <v>0</v>
      </c>
      <c r="M243" s="92">
        <f>SUM(M241:M242)</f>
        <v>651.72</v>
      </c>
      <c r="N243" s="94"/>
      <c r="O243" s="92">
        <f>SUM(O241:O242)</f>
        <v>651.70000000000005</v>
      </c>
      <c r="P243" s="94"/>
      <c r="Q243" s="92">
        <f>SUM(Q241:Q242)</f>
        <v>651.71</v>
      </c>
      <c r="R243" s="117">
        <f>IF(Q$39=0,0,Q243/Q$39)</f>
        <v>0</v>
      </c>
      <c r="S243" s="92">
        <f>SUM(S241:S242)</f>
        <v>651.71</v>
      </c>
      <c r="T243" s="94"/>
      <c r="U243" s="92">
        <f>SUM(U241:U242)</f>
        <v>651.71</v>
      </c>
      <c r="V243" s="94"/>
      <c r="W243" s="92">
        <f>SUM(W241:W242)</f>
        <v>651.71</v>
      </c>
      <c r="X243" s="117">
        <f>IF(W$39=0,0,W243/W$39)</f>
        <v>0</v>
      </c>
      <c r="Y243" s="92">
        <f>SUM(Y241:Y242)</f>
        <v>651.71</v>
      </c>
      <c r="Z243" s="94"/>
      <c r="AA243" s="92">
        <f>SUM(AA241:AA242)</f>
        <v>651.70000000000005</v>
      </c>
      <c r="AB243" s="94"/>
      <c r="AC243" s="92">
        <f>SUM(AC241:AC242)</f>
        <v>651.72</v>
      </c>
      <c r="AD243" s="117">
        <f>IF(AC$39=0,0,AC243/AC$39)</f>
        <v>0</v>
      </c>
      <c r="AE243" s="92">
        <f>SUM(G243,I243,K243,M243,O243,Q243,S243,U243,W243,Y243,AA243,AC243)</f>
        <v>7820.51</v>
      </c>
      <c r="AF243" s="68"/>
      <c r="AG243" s="72"/>
    </row>
    <row r="244" spans="1:33" s="65" customFormat="1" ht="6.75" customHeight="1">
      <c r="G244" s="94"/>
      <c r="H244" s="94"/>
      <c r="I244" s="94"/>
      <c r="J244" s="94"/>
      <c r="K244" s="94"/>
      <c r="L244" s="113"/>
      <c r="M244" s="94"/>
      <c r="N244" s="94"/>
      <c r="O244" s="94"/>
      <c r="P244" s="94"/>
      <c r="Q244" s="94"/>
      <c r="R244" s="113"/>
      <c r="S244" s="94"/>
      <c r="T244" s="94"/>
      <c r="U244" s="94"/>
      <c r="V244" s="94"/>
      <c r="W244" s="94"/>
      <c r="X244" s="113"/>
      <c r="Y244" s="94"/>
      <c r="Z244" s="94"/>
      <c r="AA244" s="94"/>
      <c r="AB244" s="94"/>
      <c r="AC244" s="94"/>
      <c r="AD244" s="113"/>
      <c r="AE244" s="94"/>
      <c r="AF244" s="113"/>
      <c r="AG244" s="72"/>
    </row>
    <row r="245" spans="1:33" s="65" customFormat="1" ht="15">
      <c r="B245" s="97" t="s">
        <v>206</v>
      </c>
      <c r="G245" s="98">
        <f>+G235+G239+G243</f>
        <v>12167.04</v>
      </c>
      <c r="H245" s="94"/>
      <c r="I245" s="98">
        <f>+I235+I239+I243</f>
        <v>12384.35</v>
      </c>
      <c r="J245" s="94"/>
      <c r="K245" s="98">
        <f>+K235+K239+K243</f>
        <v>16464.18</v>
      </c>
      <c r="L245" s="117">
        <f>IF(K$39=0,0,K245/K$39)</f>
        <v>0</v>
      </c>
      <c r="M245" s="98">
        <f>+M235+M239+M243</f>
        <v>16573.469999999998</v>
      </c>
      <c r="N245" s="94"/>
      <c r="O245" s="98">
        <f>+O235+O239+O243</f>
        <v>16624.510000000002</v>
      </c>
      <c r="P245" s="94"/>
      <c r="Q245" s="98">
        <f>+Q235+Q239+Q243</f>
        <v>16578.140000000003</v>
      </c>
      <c r="R245" s="117">
        <f>IF(Q$39=0,0,Q245/Q$39)</f>
        <v>0</v>
      </c>
      <c r="S245" s="98">
        <f>+S235+S239+S243</f>
        <v>16578.29</v>
      </c>
      <c r="T245" s="94"/>
      <c r="U245" s="98">
        <f>+U235+U239+U243</f>
        <v>18707.91</v>
      </c>
      <c r="V245" s="94"/>
      <c r="W245" s="98">
        <f>+W235+W239+W243</f>
        <v>19007.879999999997</v>
      </c>
      <c r="X245" s="117">
        <f>IF(W$39=0,0,W245/W$39)</f>
        <v>0</v>
      </c>
      <c r="Y245" s="98">
        <f>+Y235+Y239+Y243</f>
        <v>18857.599999999999</v>
      </c>
      <c r="Z245" s="94"/>
      <c r="AA245" s="98">
        <f>+AA235+AA239+AA243</f>
        <v>18839.89</v>
      </c>
      <c r="AB245" s="94"/>
      <c r="AC245" s="98">
        <f>+AC235+AC239+AC243</f>
        <v>18884.240000000002</v>
      </c>
      <c r="AD245" s="117">
        <f>IF(AC$39=0,0,AC245/AC$39)</f>
        <v>0</v>
      </c>
      <c r="AE245" s="98">
        <f>+AE235+AE239+AE243</f>
        <v>201667.50000000003</v>
      </c>
      <c r="AF245" s="68"/>
      <c r="AG245" s="72"/>
    </row>
    <row r="246" spans="1:33" s="65" customFormat="1" ht="6.75" customHeight="1">
      <c r="G246" s="94"/>
      <c r="H246" s="94"/>
      <c r="I246" s="94"/>
      <c r="J246" s="94"/>
      <c r="K246" s="94"/>
      <c r="L246" s="113"/>
      <c r="M246" s="94"/>
      <c r="N246" s="94"/>
      <c r="O246" s="94"/>
      <c r="P246" s="94"/>
      <c r="Q246" s="94"/>
      <c r="R246" s="113"/>
      <c r="S246" s="94"/>
      <c r="T246" s="94"/>
      <c r="U246" s="94"/>
      <c r="V246" s="94"/>
      <c r="W246" s="94"/>
      <c r="X246" s="113"/>
      <c r="Y246" s="94"/>
      <c r="Z246" s="94"/>
      <c r="AA246" s="94"/>
      <c r="AB246" s="94"/>
      <c r="AC246" s="94"/>
      <c r="AD246" s="113"/>
      <c r="AE246" s="94"/>
      <c r="AF246" s="113"/>
      <c r="AG246" s="72"/>
    </row>
    <row r="247" spans="1:33" s="65" customFormat="1" ht="15">
      <c r="B247" s="100" t="s">
        <v>207</v>
      </c>
      <c r="G247" s="98">
        <f>+G226-G245</f>
        <v>37014.390000000014</v>
      </c>
      <c r="H247" s="94"/>
      <c r="I247" s="98">
        <f>+I226-I245</f>
        <v>34731.920000000006</v>
      </c>
      <c r="J247" s="94"/>
      <c r="K247" s="98">
        <f>+K226-K245</f>
        <v>3405.5899999999456</v>
      </c>
      <c r="L247" s="117">
        <f>IF(K$39=0,0,K247/K$39)</f>
        <v>0</v>
      </c>
      <c r="M247" s="98">
        <f>+M226-M245</f>
        <v>22044.529999999973</v>
      </c>
      <c r="N247" s="94"/>
      <c r="O247" s="98">
        <f>+O226-O245</f>
        <v>16293.089999999997</v>
      </c>
      <c r="P247" s="94"/>
      <c r="Q247" s="98">
        <f>+Q226-Q245</f>
        <v>-41548.570000000007</v>
      </c>
      <c r="R247" s="117">
        <f>IF(Q$39=0,0,Q247/Q$39)</f>
        <v>0</v>
      </c>
      <c r="S247" s="98">
        <f>+S226-S245</f>
        <v>-5858.4800000000178</v>
      </c>
      <c r="T247" s="94"/>
      <c r="U247" s="98">
        <f>+U226-U245</f>
        <v>-1269.0399999999718</v>
      </c>
      <c r="V247" s="94"/>
      <c r="W247" s="98">
        <f>+W226-W245</f>
        <v>-9134.3799999999937</v>
      </c>
      <c r="X247" s="117">
        <f>IF(W$39=0,0,W247/W$39)</f>
        <v>0</v>
      </c>
      <c r="Y247" s="98">
        <f>+Y226-Y245</f>
        <v>14962.549999999952</v>
      </c>
      <c r="Z247" s="94"/>
      <c r="AA247" s="98">
        <f>+AA226-AA245</f>
        <v>10650.840000000004</v>
      </c>
      <c r="AB247" s="94"/>
      <c r="AC247" s="98">
        <f>+AC226-AC245</f>
        <v>-28492.949999999997</v>
      </c>
      <c r="AD247" s="117">
        <f>IF(AC$39=0,0,AC247/AC$39)</f>
        <v>0</v>
      </c>
      <c r="AE247" s="98">
        <f>+AE226-AE245</f>
        <v>52799.490000000602</v>
      </c>
      <c r="AF247" s="68"/>
      <c r="AG247" s="72"/>
    </row>
    <row r="248" spans="1:33" s="65" customFormat="1" ht="6.75" customHeight="1">
      <c r="G248" s="94"/>
      <c r="H248" s="94"/>
      <c r="I248" s="94"/>
      <c r="J248" s="94"/>
      <c r="K248" s="94"/>
      <c r="L248" s="113"/>
      <c r="M248" s="94"/>
      <c r="N248" s="94"/>
      <c r="O248" s="94"/>
      <c r="P248" s="94"/>
      <c r="Q248" s="94"/>
      <c r="R248" s="113"/>
      <c r="S248" s="94"/>
      <c r="T248" s="94"/>
      <c r="U248" s="94"/>
      <c r="V248" s="94"/>
      <c r="W248" s="94"/>
      <c r="X248" s="113"/>
      <c r="Y248" s="94"/>
      <c r="Z248" s="94"/>
      <c r="AA248" s="94"/>
      <c r="AB248" s="94"/>
      <c r="AC248" s="94"/>
      <c r="AD248" s="113"/>
      <c r="AE248" s="94"/>
      <c r="AF248" s="113"/>
      <c r="AG248" s="72"/>
    </row>
    <row r="249" spans="1:33" outlineLevel="1">
      <c r="A249" s="63"/>
      <c r="B249" s="63"/>
      <c r="C249" s="64"/>
      <c r="D249" s="61"/>
      <c r="E249" s="65"/>
      <c r="F249" s="66"/>
      <c r="G249" s="67"/>
      <c r="H249" s="66"/>
      <c r="I249" s="67"/>
      <c r="J249" s="66"/>
      <c r="K249" s="67"/>
      <c r="L249" s="66"/>
      <c r="M249" s="67"/>
      <c r="N249" s="66"/>
      <c r="O249" s="67"/>
      <c r="P249" s="66"/>
      <c r="Q249" s="67"/>
      <c r="R249" s="66"/>
      <c r="S249" s="67"/>
      <c r="T249" s="66"/>
      <c r="U249" s="67"/>
      <c r="V249" s="66"/>
      <c r="W249" s="67"/>
      <c r="X249" s="66"/>
      <c r="Y249" s="67"/>
      <c r="Z249" s="66"/>
      <c r="AA249" s="67"/>
      <c r="AB249" s="66"/>
      <c r="AC249" s="67"/>
      <c r="AD249" s="66"/>
      <c r="AE249" s="67"/>
      <c r="AF249" s="68"/>
      <c r="AG249" s="69"/>
    </row>
    <row r="250" spans="1:33" s="65" customFormat="1" ht="5.0999999999999996" customHeight="1" outlineLevel="1">
      <c r="A250" s="64"/>
      <c r="B250" s="64"/>
      <c r="C250" s="64"/>
      <c r="D250" s="64"/>
      <c r="G250" s="95"/>
      <c r="H250" s="94"/>
      <c r="I250" s="95"/>
      <c r="J250" s="94"/>
      <c r="K250" s="95"/>
      <c r="L250" s="113"/>
      <c r="M250" s="95"/>
      <c r="N250" s="94"/>
      <c r="O250" s="95"/>
      <c r="P250" s="94"/>
      <c r="Q250" s="95"/>
      <c r="R250" s="113"/>
      <c r="S250" s="95"/>
      <c r="T250" s="94"/>
      <c r="U250" s="95"/>
      <c r="V250" s="94"/>
      <c r="W250" s="95"/>
      <c r="X250" s="113"/>
      <c r="Y250" s="95"/>
      <c r="Z250" s="94"/>
      <c r="AA250" s="95"/>
      <c r="AB250" s="94"/>
      <c r="AC250" s="95"/>
      <c r="AD250" s="113"/>
      <c r="AE250" s="95"/>
      <c r="AF250" s="113"/>
      <c r="AG250" s="72"/>
    </row>
    <row r="251" spans="1:33" s="65" customFormat="1" ht="15">
      <c r="C251" s="64" t="s">
        <v>208</v>
      </c>
      <c r="G251" s="92">
        <f>SUM(G249:G250)</f>
        <v>0</v>
      </c>
      <c r="H251" s="94"/>
      <c r="I251" s="92">
        <f>SUM(I249:I250)</f>
        <v>0</v>
      </c>
      <c r="J251" s="94"/>
      <c r="K251" s="92">
        <f>SUM(K249:K250)</f>
        <v>0</v>
      </c>
      <c r="L251" s="117">
        <f>IF(K$39=0,0,K251/K$39)</f>
        <v>0</v>
      </c>
      <c r="M251" s="92">
        <f>SUM(M249:M250)</f>
        <v>0</v>
      </c>
      <c r="N251" s="94"/>
      <c r="O251" s="92">
        <f>SUM(O249:O250)</f>
        <v>0</v>
      </c>
      <c r="P251" s="94"/>
      <c r="Q251" s="92">
        <f>SUM(Q249:Q250)</f>
        <v>0</v>
      </c>
      <c r="R251" s="117">
        <f>IF(Q$39=0,0,Q251/Q$39)</f>
        <v>0</v>
      </c>
      <c r="S251" s="92">
        <f>SUM(S249:S250)</f>
        <v>0</v>
      </c>
      <c r="T251" s="94"/>
      <c r="U251" s="92">
        <f>SUM(U249:U250)</f>
        <v>0</v>
      </c>
      <c r="V251" s="94"/>
      <c r="W251" s="92">
        <f>SUM(W249:W250)</f>
        <v>0</v>
      </c>
      <c r="X251" s="117">
        <f>IF(W$39=0,0,W251/W$39)</f>
        <v>0</v>
      </c>
      <c r="Y251" s="92">
        <f>SUM(Y249:Y250)</f>
        <v>0</v>
      </c>
      <c r="Z251" s="94"/>
      <c r="AA251" s="92">
        <f>SUM(AA249:AA250)</f>
        <v>0</v>
      </c>
      <c r="AB251" s="94"/>
      <c r="AC251" s="92">
        <f>SUM(AC249:AC250)</f>
        <v>0</v>
      </c>
      <c r="AD251" s="117">
        <f>IF(AC$39=0,0,AC251/AC$39)</f>
        <v>0</v>
      </c>
      <c r="AE251" s="92">
        <f>SUM(AE249:AE250)</f>
        <v>0</v>
      </c>
      <c r="AF251" s="68"/>
      <c r="AG251" s="72"/>
    </row>
    <row r="252" spans="1:33" s="65" customFormat="1" ht="15" outlineLevel="1">
      <c r="G252" s="94"/>
      <c r="H252" s="94"/>
      <c r="I252" s="94"/>
      <c r="J252" s="94"/>
      <c r="K252" s="94"/>
      <c r="L252" s="113"/>
      <c r="M252" s="94"/>
      <c r="N252" s="94"/>
      <c r="O252" s="94"/>
      <c r="P252" s="94"/>
      <c r="Q252" s="94"/>
      <c r="R252" s="113"/>
      <c r="S252" s="94"/>
      <c r="T252" s="94"/>
      <c r="U252" s="94"/>
      <c r="V252" s="94"/>
      <c r="W252" s="94"/>
      <c r="X252" s="113"/>
      <c r="Y252" s="94"/>
      <c r="Z252" s="94"/>
      <c r="AA252" s="94"/>
      <c r="AB252" s="94"/>
      <c r="AC252" s="94"/>
      <c r="AD252" s="113"/>
      <c r="AE252" s="94"/>
      <c r="AF252" s="113"/>
      <c r="AG252" s="72"/>
    </row>
    <row r="253" spans="1:33" customFormat="1" ht="15" outlineLevel="1"/>
    <row r="254" spans="1:33" s="65" customFormat="1" ht="5.0999999999999996" customHeight="1" outlineLevel="1">
      <c r="A254" s="64"/>
      <c r="B254" s="64"/>
      <c r="C254" s="64"/>
      <c r="D254" s="64"/>
      <c r="G254" s="95"/>
      <c r="H254" s="94"/>
      <c r="I254" s="95"/>
      <c r="J254" s="94"/>
      <c r="K254" s="95"/>
      <c r="L254" s="113"/>
      <c r="M254" s="95"/>
      <c r="N254" s="94"/>
      <c r="O254" s="95"/>
      <c r="P254" s="94"/>
      <c r="Q254" s="95"/>
      <c r="R254" s="113"/>
      <c r="S254" s="95"/>
      <c r="T254" s="94"/>
      <c r="U254" s="95"/>
      <c r="V254" s="94"/>
      <c r="W254" s="95"/>
      <c r="X254" s="113"/>
      <c r="Y254" s="95"/>
      <c r="Z254" s="94"/>
      <c r="AA254" s="95"/>
      <c r="AB254" s="94"/>
      <c r="AC254" s="95"/>
      <c r="AD254" s="113"/>
      <c r="AE254" s="95"/>
      <c r="AF254" s="113"/>
      <c r="AG254" s="72"/>
    </row>
    <row r="255" spans="1:33" s="65" customFormat="1" ht="15">
      <c r="C255" s="63" t="s">
        <v>209</v>
      </c>
      <c r="G255" s="92">
        <f>SUM(G253:G254)</f>
        <v>0</v>
      </c>
      <c r="H255" s="94"/>
      <c r="I255" s="92">
        <f>SUM(I253:I254)</f>
        <v>0</v>
      </c>
      <c r="J255" s="94"/>
      <c r="K255" s="92">
        <f>SUM(K253:K254)</f>
        <v>0</v>
      </c>
      <c r="L255" s="117">
        <f>IF(K$39=0,0,K255/K$39)</f>
        <v>0</v>
      </c>
      <c r="M255" s="92">
        <f>SUM(M253:M254)</f>
        <v>0</v>
      </c>
      <c r="N255" s="94"/>
      <c r="O255" s="92">
        <f>SUM(O253:O254)</f>
        <v>0</v>
      </c>
      <c r="P255" s="94"/>
      <c r="Q255" s="92">
        <f>SUM(Q253:Q254)</f>
        <v>0</v>
      </c>
      <c r="R255" s="117">
        <f>IF(Q$39=0,0,Q255/Q$39)</f>
        <v>0</v>
      </c>
      <c r="S255" s="92">
        <f>SUM(S253:S254)</f>
        <v>0</v>
      </c>
      <c r="T255" s="94"/>
      <c r="U255" s="92">
        <f>SUM(U253:U254)</f>
        <v>0</v>
      </c>
      <c r="V255" s="94"/>
      <c r="W255" s="92">
        <f>SUM(W253:W254)</f>
        <v>0</v>
      </c>
      <c r="X255" s="117">
        <f>IF(W$39=0,0,W255/W$39)</f>
        <v>0</v>
      </c>
      <c r="Y255" s="92">
        <f>SUM(Y253:Y254)</f>
        <v>0</v>
      </c>
      <c r="Z255" s="94"/>
      <c r="AA255" s="92">
        <f>SUM(AA253:AA254)</f>
        <v>0</v>
      </c>
      <c r="AB255" s="94"/>
      <c r="AC255" s="92">
        <f>SUM(AC253:AC254)</f>
        <v>0</v>
      </c>
      <c r="AD255" s="117">
        <f>IF(AC$39=0,0,AC255/AC$39)</f>
        <v>0</v>
      </c>
      <c r="AE255" s="92">
        <f>SUM(AE253:AE254)</f>
        <v>0</v>
      </c>
      <c r="AF255" s="68"/>
      <c r="AG255" s="72"/>
    </row>
    <row r="256" spans="1:33" s="65" customFormat="1" ht="15" outlineLevel="1">
      <c r="G256" s="94"/>
      <c r="H256" s="94"/>
      <c r="I256" s="94"/>
      <c r="J256" s="94"/>
      <c r="K256" s="94"/>
      <c r="L256" s="113"/>
      <c r="M256" s="94"/>
      <c r="N256" s="94"/>
      <c r="O256" s="94"/>
      <c r="P256" s="94"/>
      <c r="Q256" s="94"/>
      <c r="R256" s="113"/>
      <c r="S256" s="94"/>
      <c r="T256" s="94"/>
      <c r="U256" s="94"/>
      <c r="V256" s="94"/>
      <c r="W256" s="94"/>
      <c r="X256" s="113"/>
      <c r="Y256" s="94"/>
      <c r="Z256" s="94"/>
      <c r="AA256" s="94"/>
      <c r="AB256" s="94"/>
      <c r="AC256" s="94"/>
      <c r="AD256" s="113"/>
      <c r="AE256" s="94"/>
      <c r="AF256" s="113"/>
      <c r="AG256" s="72"/>
    </row>
    <row r="257" spans="1:33" outlineLevel="1">
      <c r="A257" s="63"/>
      <c r="B257" s="63"/>
      <c r="C257" s="64"/>
      <c r="D257" s="61"/>
      <c r="E257" s="65"/>
      <c r="F257" s="66"/>
      <c r="G257" s="67"/>
      <c r="H257" s="66"/>
      <c r="I257" s="67"/>
      <c r="J257" s="66"/>
      <c r="K257" s="67"/>
      <c r="L257" s="66"/>
      <c r="M257" s="67"/>
      <c r="N257" s="66"/>
      <c r="O257" s="67"/>
      <c r="P257" s="66"/>
      <c r="Q257" s="67"/>
      <c r="R257" s="66"/>
      <c r="S257" s="67"/>
      <c r="T257" s="66"/>
      <c r="U257" s="67"/>
      <c r="V257" s="66"/>
      <c r="W257" s="67"/>
      <c r="X257" s="66"/>
      <c r="Y257" s="67"/>
      <c r="Z257" s="66"/>
      <c r="AA257" s="67"/>
      <c r="AB257" s="66"/>
      <c r="AC257" s="67"/>
      <c r="AD257" s="66"/>
      <c r="AE257" s="67"/>
      <c r="AF257" s="68"/>
      <c r="AG257" s="69"/>
    </row>
    <row r="258" spans="1:33" s="65" customFormat="1" ht="5.0999999999999996" customHeight="1" outlineLevel="1">
      <c r="A258" s="64"/>
      <c r="B258" s="64"/>
      <c r="C258" s="64"/>
      <c r="D258" s="64"/>
      <c r="G258" s="95"/>
      <c r="H258" s="94"/>
      <c r="I258" s="95"/>
      <c r="J258" s="94"/>
      <c r="K258" s="95"/>
      <c r="L258" s="113"/>
      <c r="M258" s="95"/>
      <c r="N258" s="94"/>
      <c r="O258" s="95"/>
      <c r="P258" s="94"/>
      <c r="Q258" s="95"/>
      <c r="R258" s="113"/>
      <c r="S258" s="95"/>
      <c r="T258" s="94"/>
      <c r="U258" s="95"/>
      <c r="V258" s="94"/>
      <c r="W258" s="95"/>
      <c r="X258" s="113"/>
      <c r="Y258" s="95"/>
      <c r="Z258" s="94"/>
      <c r="AA258" s="95"/>
      <c r="AB258" s="94"/>
      <c r="AC258" s="95"/>
      <c r="AD258" s="113"/>
      <c r="AE258" s="95"/>
      <c r="AF258" s="113"/>
      <c r="AG258" s="72"/>
    </row>
    <row r="259" spans="1:33" s="65" customFormat="1" ht="15">
      <c r="C259" s="64" t="s">
        <v>210</v>
      </c>
      <c r="G259" s="92">
        <f>SUM(G257:G258)</f>
        <v>0</v>
      </c>
      <c r="H259" s="94"/>
      <c r="I259" s="92">
        <f>SUM(I257:I258)</f>
        <v>0</v>
      </c>
      <c r="J259" s="94"/>
      <c r="K259" s="92">
        <f>SUM(K257:K258)</f>
        <v>0</v>
      </c>
      <c r="L259" s="117">
        <f>IF(K$39=0,0,K259/K$39)</f>
        <v>0</v>
      </c>
      <c r="M259" s="92">
        <f>SUM(M257:M258)</f>
        <v>0</v>
      </c>
      <c r="N259" s="94"/>
      <c r="O259" s="92">
        <f>SUM(O257:O258)</f>
        <v>0</v>
      </c>
      <c r="P259" s="94"/>
      <c r="Q259" s="92">
        <f>SUM(Q257:Q258)</f>
        <v>0</v>
      </c>
      <c r="R259" s="117">
        <f>IF(Q$39=0,0,Q259/Q$39)</f>
        <v>0</v>
      </c>
      <c r="S259" s="92">
        <f>SUM(S257:S258)</f>
        <v>0</v>
      </c>
      <c r="T259" s="94"/>
      <c r="U259" s="92">
        <f>SUM(U257:U258)</f>
        <v>0</v>
      </c>
      <c r="V259" s="94"/>
      <c r="W259" s="92">
        <f>SUM(W257:W258)</f>
        <v>0</v>
      </c>
      <c r="X259" s="117">
        <f>IF(W$39=0,0,W259/W$39)</f>
        <v>0</v>
      </c>
      <c r="Y259" s="92">
        <f>SUM(Y257:Y258)</f>
        <v>0</v>
      </c>
      <c r="Z259" s="94"/>
      <c r="AA259" s="92">
        <f>SUM(AA257:AA258)</f>
        <v>0</v>
      </c>
      <c r="AB259" s="94"/>
      <c r="AC259" s="92">
        <f>SUM(AC257:AC258)</f>
        <v>0</v>
      </c>
      <c r="AD259" s="117">
        <f>IF(AC$39=0,0,AC259/AC$39)</f>
        <v>0</v>
      </c>
      <c r="AE259" s="92">
        <f>SUM(AE257:AE258)</f>
        <v>0</v>
      </c>
      <c r="AF259" s="68"/>
      <c r="AG259" s="72"/>
    </row>
    <row r="260" spans="1:33" s="65" customFormat="1" ht="6.75" customHeight="1">
      <c r="G260" s="94"/>
      <c r="H260" s="94"/>
      <c r="I260" s="94"/>
      <c r="J260" s="94"/>
      <c r="K260" s="94"/>
      <c r="L260" s="113"/>
      <c r="M260" s="94"/>
      <c r="N260" s="94"/>
      <c r="O260" s="94"/>
      <c r="P260" s="94"/>
      <c r="Q260" s="94"/>
      <c r="R260" s="113"/>
      <c r="S260" s="94"/>
      <c r="T260" s="94"/>
      <c r="U260" s="94"/>
      <c r="V260" s="94"/>
      <c r="W260" s="94"/>
      <c r="X260" s="113"/>
      <c r="Y260" s="94"/>
      <c r="Z260" s="94"/>
      <c r="AA260" s="94"/>
      <c r="AB260" s="94"/>
      <c r="AC260" s="94"/>
      <c r="AD260" s="113"/>
      <c r="AE260" s="94"/>
      <c r="AF260" s="113"/>
      <c r="AG260" s="72"/>
    </row>
    <row r="261" spans="1:33" s="65" customFormat="1" ht="15">
      <c r="B261" s="97" t="s">
        <v>211</v>
      </c>
      <c r="G261" s="98">
        <f>+G247-G251-G255-G259</f>
        <v>37014.390000000014</v>
      </c>
      <c r="H261" s="94"/>
      <c r="I261" s="98">
        <f>+I247-I251-I255-I259</f>
        <v>34731.920000000006</v>
      </c>
      <c r="J261" s="94"/>
      <c r="K261" s="98">
        <f>+K247-K251-K255-K259</f>
        <v>3405.5899999999456</v>
      </c>
      <c r="L261" s="117">
        <f>IF(K$39=0,0,K261/K$39)</f>
        <v>0</v>
      </c>
      <c r="M261" s="98">
        <f>+M247-M251-M255-M259</f>
        <v>22044.529999999973</v>
      </c>
      <c r="N261" s="94"/>
      <c r="O261" s="98">
        <f>+O247-O251-O255-O259</f>
        <v>16293.089999999997</v>
      </c>
      <c r="P261" s="94"/>
      <c r="Q261" s="98">
        <f>+Q247-Q251-Q255-Q259</f>
        <v>-41548.570000000007</v>
      </c>
      <c r="R261" s="117">
        <f>IF(Q$39=0,0,Q261/Q$39)</f>
        <v>0</v>
      </c>
      <c r="S261" s="98">
        <f>+S247-S251-S255-S259</f>
        <v>-5858.4800000000178</v>
      </c>
      <c r="T261" s="94"/>
      <c r="U261" s="98">
        <f>+U247-U251-U255-U259</f>
        <v>-1269.0399999999718</v>
      </c>
      <c r="V261" s="94"/>
      <c r="W261" s="98">
        <f>+W247-W251-W255-W259</f>
        <v>-9134.3799999999937</v>
      </c>
      <c r="X261" s="117">
        <f>IF(W$39=0,0,W261/W$39)</f>
        <v>0</v>
      </c>
      <c r="Y261" s="98">
        <f>+Y247-Y251-Y255-Y259</f>
        <v>14962.549999999952</v>
      </c>
      <c r="Z261" s="94"/>
      <c r="AA261" s="98">
        <f>+AA247-AA251-AA255-AA259</f>
        <v>10650.840000000004</v>
      </c>
      <c r="AB261" s="94"/>
      <c r="AC261" s="98">
        <f>+AC247-AC251-AC255-AC259</f>
        <v>-28492.949999999997</v>
      </c>
      <c r="AD261" s="117">
        <f>IF(AC$39=0,0,AC261/AC$39)</f>
        <v>0</v>
      </c>
      <c r="AE261" s="98">
        <f>+AE247-AE251-AE255-AE259</f>
        <v>52799.490000000602</v>
      </c>
      <c r="AF261" s="68"/>
      <c r="AG261" s="72"/>
    </row>
    <row r="262" spans="1:33" s="65" customFormat="1" ht="6.75" customHeight="1">
      <c r="G262" s="94"/>
      <c r="H262" s="94"/>
      <c r="I262" s="94"/>
      <c r="J262" s="94"/>
      <c r="K262" s="94"/>
      <c r="L262" s="113"/>
      <c r="M262" s="94"/>
      <c r="N262" s="94"/>
      <c r="O262" s="94"/>
      <c r="P262" s="94"/>
      <c r="Q262" s="94"/>
      <c r="R262" s="113"/>
      <c r="S262" s="94"/>
      <c r="T262" s="94"/>
      <c r="U262" s="94"/>
      <c r="V262" s="94"/>
      <c r="W262" s="94"/>
      <c r="X262" s="113"/>
      <c r="Y262" s="94"/>
      <c r="Z262" s="94"/>
      <c r="AA262" s="94"/>
      <c r="AB262" s="94"/>
      <c r="AC262" s="94"/>
      <c r="AD262" s="113"/>
      <c r="AE262" s="94"/>
      <c r="AF262" s="113"/>
      <c r="AG262" s="72"/>
    </row>
    <row r="263" spans="1:33" customFormat="1" ht="15" outlineLevel="1"/>
    <row r="264" spans="1:33" s="65" customFormat="1" ht="5.0999999999999996" customHeight="1" outlineLevel="1">
      <c r="A264" s="64"/>
      <c r="B264" s="64"/>
      <c r="C264" s="64"/>
      <c r="D264" s="64"/>
      <c r="G264" s="95"/>
      <c r="H264" s="94"/>
      <c r="I264" s="95"/>
      <c r="J264" s="94"/>
      <c r="K264" s="95"/>
      <c r="L264" s="113"/>
      <c r="M264" s="95"/>
      <c r="N264" s="94"/>
      <c r="O264" s="95"/>
      <c r="P264" s="94"/>
      <c r="Q264" s="95"/>
      <c r="R264" s="113"/>
      <c r="S264" s="95"/>
      <c r="T264" s="94"/>
      <c r="U264" s="95"/>
      <c r="V264" s="94"/>
      <c r="W264" s="95"/>
      <c r="X264" s="113"/>
      <c r="Y264" s="95"/>
      <c r="Z264" s="94"/>
      <c r="AA264" s="95"/>
      <c r="AB264" s="94"/>
      <c r="AC264" s="95"/>
      <c r="AD264" s="113"/>
      <c r="AE264" s="95"/>
      <c r="AF264" s="113"/>
      <c r="AG264" s="72"/>
    </row>
    <row r="265" spans="1:33" s="65" customFormat="1" ht="15">
      <c r="C265" s="63" t="s">
        <v>212</v>
      </c>
      <c r="G265" s="92">
        <f>SUM(G263:G264)</f>
        <v>0</v>
      </c>
      <c r="H265" s="94"/>
      <c r="I265" s="92">
        <f>SUM(I263:I264)</f>
        <v>0</v>
      </c>
      <c r="J265" s="94"/>
      <c r="K265" s="92">
        <f>SUM(K263:K264)</f>
        <v>0</v>
      </c>
      <c r="L265" s="117">
        <f>IF(K$39=0,0,K265/K$39)</f>
        <v>0</v>
      </c>
      <c r="M265" s="92">
        <f>SUM(M263:M264)</f>
        <v>0</v>
      </c>
      <c r="N265" s="94"/>
      <c r="O265" s="92">
        <f>SUM(O263:O264)</f>
        <v>0</v>
      </c>
      <c r="P265" s="94"/>
      <c r="Q265" s="92">
        <f>SUM(Q263:Q264)</f>
        <v>0</v>
      </c>
      <c r="R265" s="117">
        <f>IF(Q$39=0,0,Q265/Q$39)</f>
        <v>0</v>
      </c>
      <c r="S265" s="92">
        <f>SUM(S263:S264)</f>
        <v>0</v>
      </c>
      <c r="T265" s="94"/>
      <c r="U265" s="92">
        <f>SUM(U263:U264)</f>
        <v>0</v>
      </c>
      <c r="V265" s="94"/>
      <c r="W265" s="92">
        <f>SUM(W263:W264)</f>
        <v>0</v>
      </c>
      <c r="X265" s="117">
        <f>IF(W$39=0,0,W265/W$39)</f>
        <v>0</v>
      </c>
      <c r="Y265" s="92">
        <f>SUM(Y263:Y264)</f>
        <v>0</v>
      </c>
      <c r="Z265" s="94"/>
      <c r="AA265" s="92">
        <f>SUM(AA263:AA264)</f>
        <v>0</v>
      </c>
      <c r="AB265" s="94"/>
      <c r="AC265" s="92">
        <f>SUM(AC263:AC264)</f>
        <v>0</v>
      </c>
      <c r="AD265" s="117">
        <f>IF(AC$39=0,0,AC265/AC$39)</f>
        <v>0</v>
      </c>
      <c r="AE265" s="92">
        <f>SUM(AE263:AE264)</f>
        <v>0</v>
      </c>
      <c r="AF265" s="68"/>
      <c r="AG265" s="72"/>
    </row>
    <row r="266" spans="1:33" s="65" customFormat="1" ht="6.75" customHeight="1">
      <c r="G266" s="94"/>
      <c r="H266" s="94"/>
      <c r="I266" s="94"/>
      <c r="J266" s="94"/>
      <c r="K266" s="94"/>
      <c r="L266" s="113"/>
      <c r="M266" s="94"/>
      <c r="N266" s="94"/>
      <c r="O266" s="94"/>
      <c r="P266" s="94"/>
      <c r="Q266" s="94"/>
      <c r="R266" s="113"/>
      <c r="S266" s="94"/>
      <c r="T266" s="94"/>
      <c r="U266" s="94"/>
      <c r="V266" s="94"/>
      <c r="W266" s="94"/>
      <c r="X266" s="113"/>
      <c r="Y266" s="94"/>
      <c r="Z266" s="94"/>
      <c r="AA266" s="94"/>
      <c r="AB266" s="94"/>
      <c r="AC266" s="94"/>
      <c r="AD266" s="113"/>
      <c r="AE266" s="94"/>
      <c r="AF266" s="113"/>
      <c r="AG266" s="72"/>
    </row>
    <row r="267" spans="1:33" s="65" customFormat="1" ht="15">
      <c r="B267" s="97" t="s">
        <v>213</v>
      </c>
      <c r="G267" s="98">
        <f>+G261-G265</f>
        <v>37014.390000000014</v>
      </c>
      <c r="H267" s="94"/>
      <c r="I267" s="98">
        <f>+I261-I265</f>
        <v>34731.920000000006</v>
      </c>
      <c r="J267" s="94"/>
      <c r="K267" s="98">
        <f>+K261-K265</f>
        <v>3405.5899999999456</v>
      </c>
      <c r="L267" s="117">
        <f>IF(K$39=0,0,K267/K$39)</f>
        <v>0</v>
      </c>
      <c r="M267" s="98">
        <f>+M261-M265</f>
        <v>22044.529999999973</v>
      </c>
      <c r="N267" s="94"/>
      <c r="O267" s="98">
        <f>+O261-O265</f>
        <v>16293.089999999997</v>
      </c>
      <c r="P267" s="94"/>
      <c r="Q267" s="98">
        <f>+Q261-Q265</f>
        <v>-41548.570000000007</v>
      </c>
      <c r="R267" s="117">
        <f>IF(Q$39=0,0,Q267/Q$39)</f>
        <v>0</v>
      </c>
      <c r="S267" s="98">
        <f>+S261-S265</f>
        <v>-5858.4800000000178</v>
      </c>
      <c r="T267" s="94"/>
      <c r="U267" s="98">
        <f>+U261-U265</f>
        <v>-1269.0399999999718</v>
      </c>
      <c r="V267" s="94"/>
      <c r="W267" s="98">
        <f>+W261-W265</f>
        <v>-9134.3799999999937</v>
      </c>
      <c r="X267" s="117">
        <f>IF(W$39=0,0,W267/W$39)</f>
        <v>0</v>
      </c>
      <c r="Y267" s="98">
        <f>+Y261-Y265</f>
        <v>14962.549999999952</v>
      </c>
      <c r="Z267" s="94"/>
      <c r="AA267" s="98">
        <f>+AA261-AA265</f>
        <v>10650.840000000004</v>
      </c>
      <c r="AB267" s="94"/>
      <c r="AC267" s="98">
        <f>+AC261-AC265</f>
        <v>-28492.949999999997</v>
      </c>
      <c r="AD267" s="117">
        <f>IF(AC$39=0,0,AC267/AC$39)</f>
        <v>0</v>
      </c>
      <c r="AE267" s="98">
        <f>+AE261-AE265</f>
        <v>52799.490000000602</v>
      </c>
      <c r="AF267" s="68"/>
      <c r="AG267" s="72"/>
    </row>
    <row r="268" spans="1:33" ht="6.75" customHeight="1">
      <c r="G268" s="62"/>
      <c r="H268" s="62"/>
      <c r="I268" s="62"/>
      <c r="J268" s="62"/>
      <c r="K268" s="62"/>
      <c r="L268" s="113"/>
      <c r="M268" s="62"/>
      <c r="N268" s="62"/>
      <c r="O268" s="62"/>
      <c r="P268" s="62"/>
      <c r="Q268" s="62"/>
      <c r="R268" s="113"/>
      <c r="S268" s="62"/>
      <c r="T268" s="62"/>
      <c r="U268" s="62"/>
      <c r="V268" s="62"/>
      <c r="W268" s="62"/>
      <c r="X268" s="113"/>
      <c r="Y268" s="62"/>
      <c r="Z268" s="62"/>
      <c r="AA268" s="62"/>
      <c r="AB268" s="62"/>
      <c r="AC268" s="62"/>
      <c r="AD268" s="113"/>
      <c r="AE268" s="62"/>
      <c r="AF268" s="113"/>
      <c r="AG268" s="72"/>
    </row>
    <row r="269" spans="1:33" customFormat="1" ht="15" outlineLevel="1"/>
    <row r="270" spans="1:33" s="65" customFormat="1" ht="5.0999999999999996" customHeight="1" outlineLevel="1">
      <c r="A270" s="64"/>
      <c r="B270" s="64"/>
      <c r="C270" s="64"/>
      <c r="D270" s="64"/>
      <c r="G270" s="95"/>
      <c r="H270" s="94"/>
      <c r="I270" s="95"/>
      <c r="J270" s="94"/>
      <c r="K270" s="95"/>
      <c r="L270" s="113"/>
      <c r="M270" s="95"/>
      <c r="N270" s="94"/>
      <c r="O270" s="95"/>
      <c r="P270" s="94"/>
      <c r="Q270" s="95"/>
      <c r="R270" s="113"/>
      <c r="S270" s="95"/>
      <c r="T270" s="94"/>
      <c r="U270" s="95"/>
      <c r="V270" s="94"/>
      <c r="W270" s="95"/>
      <c r="X270" s="113"/>
      <c r="Y270" s="95"/>
      <c r="Z270" s="94"/>
      <c r="AA270" s="95"/>
      <c r="AB270" s="94"/>
      <c r="AC270" s="95"/>
      <c r="AD270" s="113"/>
      <c r="AE270" s="95"/>
      <c r="AF270" s="113"/>
      <c r="AG270" s="72"/>
    </row>
    <row r="271" spans="1:33" s="65" customFormat="1" ht="15">
      <c r="C271" s="63" t="s">
        <v>214</v>
      </c>
      <c r="G271" s="92">
        <f>SUM(G269:G270)</f>
        <v>0</v>
      </c>
      <c r="H271" s="94"/>
      <c r="I271" s="92">
        <f>SUM(I269:I270)</f>
        <v>0</v>
      </c>
      <c r="J271" s="94"/>
      <c r="K271" s="92">
        <f>SUM(K269:K270)</f>
        <v>0</v>
      </c>
      <c r="L271" s="117">
        <f>IF(K$39=0,0,K271/K$39)</f>
        <v>0</v>
      </c>
      <c r="M271" s="92">
        <f>SUM(M269:M270)</f>
        <v>0</v>
      </c>
      <c r="N271" s="94"/>
      <c r="O271" s="92">
        <f>SUM(O269:O270)</f>
        <v>0</v>
      </c>
      <c r="P271" s="94"/>
      <c r="Q271" s="92">
        <f>SUM(Q269:Q270)</f>
        <v>0</v>
      </c>
      <c r="R271" s="117">
        <f>IF(Q$39=0,0,Q271/Q$39)</f>
        <v>0</v>
      </c>
      <c r="S271" s="92">
        <f>SUM(S269:S270)</f>
        <v>0</v>
      </c>
      <c r="T271" s="94"/>
      <c r="U271" s="92">
        <f>SUM(U269:U270)</f>
        <v>0</v>
      </c>
      <c r="V271" s="94"/>
      <c r="W271" s="92">
        <f>SUM(W269:W270)</f>
        <v>0</v>
      </c>
      <c r="X271" s="117">
        <f>IF(W$39=0,0,W271/W$39)</f>
        <v>0</v>
      </c>
      <c r="Y271" s="92">
        <f>SUM(Y269:Y270)</f>
        <v>0</v>
      </c>
      <c r="Z271" s="94"/>
      <c r="AA271" s="92">
        <f>SUM(AA269:AA270)</f>
        <v>0</v>
      </c>
      <c r="AB271" s="94"/>
      <c r="AC271" s="92">
        <f>SUM(AC269:AC270)</f>
        <v>0</v>
      </c>
      <c r="AD271" s="117">
        <f>IF(AC$39=0,0,AC271/AC$39)</f>
        <v>0</v>
      </c>
      <c r="AE271" s="92">
        <f>SUM(AE269:AE270)</f>
        <v>0</v>
      </c>
      <c r="AF271" s="68"/>
      <c r="AG271" s="72"/>
    </row>
    <row r="272" spans="1:33" s="65" customFormat="1" ht="6.75" customHeight="1">
      <c r="G272" s="94"/>
      <c r="H272" s="94"/>
      <c r="I272" s="94"/>
      <c r="J272" s="94"/>
      <c r="K272" s="94"/>
      <c r="L272" s="113"/>
      <c r="M272" s="94"/>
      <c r="N272" s="94"/>
      <c r="O272" s="94"/>
      <c r="P272" s="94"/>
      <c r="Q272" s="94"/>
      <c r="R272" s="113"/>
      <c r="S272" s="94"/>
      <c r="T272" s="94"/>
      <c r="U272" s="94"/>
      <c r="V272" s="94"/>
      <c r="W272" s="94"/>
      <c r="X272" s="113"/>
      <c r="Y272" s="94"/>
      <c r="Z272" s="94"/>
      <c r="AA272" s="94"/>
      <c r="AB272" s="94"/>
      <c r="AC272" s="94"/>
      <c r="AD272" s="113"/>
      <c r="AE272" s="94"/>
      <c r="AF272" s="113"/>
      <c r="AG272" s="72"/>
    </row>
    <row r="273" spans="1:33" s="65" customFormat="1" ht="15">
      <c r="B273" s="97" t="s">
        <v>215</v>
      </c>
      <c r="G273" s="98">
        <f>+G267-G271</f>
        <v>37014.390000000014</v>
      </c>
      <c r="H273" s="94"/>
      <c r="I273" s="98">
        <f>+I267-I271</f>
        <v>34731.920000000006</v>
      </c>
      <c r="J273" s="94"/>
      <c r="K273" s="98">
        <f>+K267-K271</f>
        <v>3405.5899999999456</v>
      </c>
      <c r="L273" s="117">
        <f>IF(K$39=0,0,K273/K$39)</f>
        <v>0</v>
      </c>
      <c r="M273" s="98">
        <f>+M267-M271</f>
        <v>22044.529999999973</v>
      </c>
      <c r="N273" s="94"/>
      <c r="O273" s="98">
        <f>+O267-O271</f>
        <v>16293.089999999997</v>
      </c>
      <c r="P273" s="94"/>
      <c r="Q273" s="98">
        <f>+Q267-Q271</f>
        <v>-41548.570000000007</v>
      </c>
      <c r="R273" s="117">
        <f>IF(Q$39=0,0,Q273/Q$39)</f>
        <v>0</v>
      </c>
      <c r="S273" s="98">
        <f>+S267-S271</f>
        <v>-5858.4800000000178</v>
      </c>
      <c r="T273" s="94"/>
      <c r="U273" s="98">
        <f>+U267-U271</f>
        <v>-1269.0399999999718</v>
      </c>
      <c r="V273" s="94"/>
      <c r="W273" s="98">
        <f>+W267-W271</f>
        <v>-9134.3799999999937</v>
      </c>
      <c r="X273" s="117">
        <f>IF(W$39=0,0,W273/W$39)</f>
        <v>0</v>
      </c>
      <c r="Y273" s="98">
        <f>+Y267-Y271</f>
        <v>14962.549999999952</v>
      </c>
      <c r="Z273" s="94"/>
      <c r="AA273" s="98">
        <f>+AA267-AA271</f>
        <v>10650.840000000004</v>
      </c>
      <c r="AB273" s="94"/>
      <c r="AC273" s="98">
        <f>+AC267-AC271</f>
        <v>-28492.949999999997</v>
      </c>
      <c r="AD273" s="117">
        <f>IF(AC$39=0,0,AC273/AC$39)</f>
        <v>0</v>
      </c>
      <c r="AE273" s="98">
        <f>+AE267-AE271</f>
        <v>52799.490000000602</v>
      </c>
      <c r="AF273" s="68"/>
      <c r="AG273" s="72"/>
    </row>
    <row r="274" spans="1:33" s="65" customFormat="1" ht="6.75" customHeight="1">
      <c r="G274" s="94"/>
      <c r="H274" s="94"/>
      <c r="I274" s="94"/>
      <c r="J274" s="94"/>
      <c r="K274" s="94"/>
      <c r="L274" s="113"/>
      <c r="M274" s="94"/>
      <c r="N274" s="94"/>
      <c r="O274" s="94"/>
      <c r="P274" s="94"/>
      <c r="Q274" s="94"/>
      <c r="R274" s="113"/>
      <c r="S274" s="94"/>
      <c r="T274" s="94"/>
      <c r="U274" s="94"/>
      <c r="V274" s="94"/>
      <c r="W274" s="94"/>
      <c r="X274" s="113"/>
      <c r="Y274" s="94"/>
      <c r="Z274" s="94"/>
      <c r="AA274" s="94"/>
      <c r="AB274" s="94"/>
      <c r="AC274" s="94"/>
      <c r="AD274" s="113"/>
      <c r="AE274" s="94"/>
      <c r="AF274" s="113"/>
      <c r="AG274" s="72"/>
    </row>
    <row r="275" spans="1:33" customFormat="1" ht="15" outlineLevel="1"/>
    <row r="276" spans="1:33" s="65" customFormat="1" ht="5.0999999999999996" customHeight="1" outlineLevel="1">
      <c r="A276" s="64"/>
      <c r="B276" s="64"/>
      <c r="C276" s="64"/>
      <c r="D276" s="64"/>
      <c r="G276" s="95"/>
      <c r="H276" s="94"/>
      <c r="I276" s="95"/>
      <c r="J276" s="94"/>
      <c r="K276" s="95"/>
      <c r="L276" s="113"/>
      <c r="M276" s="95"/>
      <c r="N276" s="94"/>
      <c r="O276" s="95"/>
      <c r="P276" s="94"/>
      <c r="Q276" s="95"/>
      <c r="R276" s="113"/>
      <c r="S276" s="95"/>
      <c r="T276" s="94"/>
      <c r="U276" s="95"/>
      <c r="V276" s="94"/>
      <c r="W276" s="95"/>
      <c r="X276" s="113"/>
      <c r="Y276" s="95"/>
      <c r="Z276" s="94"/>
      <c r="AA276" s="95"/>
      <c r="AB276" s="94"/>
      <c r="AC276" s="95"/>
      <c r="AD276" s="113"/>
      <c r="AE276" s="95"/>
      <c r="AF276" s="113"/>
      <c r="AG276" s="72"/>
    </row>
    <row r="277" spans="1:33" s="65" customFormat="1" ht="15">
      <c r="C277" s="63" t="s">
        <v>216</v>
      </c>
      <c r="G277" s="92">
        <f>SUM(G275:G276)</f>
        <v>0</v>
      </c>
      <c r="H277" s="94"/>
      <c r="I277" s="92">
        <f>SUM(I275:I276)</f>
        <v>0</v>
      </c>
      <c r="J277" s="94"/>
      <c r="K277" s="92">
        <f>SUM(K275:K276)</f>
        <v>0</v>
      </c>
      <c r="L277" s="117">
        <f>IF(K$39=0,0,K277/K$39)</f>
        <v>0</v>
      </c>
      <c r="M277" s="92">
        <f>SUM(M275:M276)</f>
        <v>0</v>
      </c>
      <c r="N277" s="94"/>
      <c r="O277" s="92">
        <f>SUM(O275:O276)</f>
        <v>0</v>
      </c>
      <c r="P277" s="94"/>
      <c r="Q277" s="92">
        <f>SUM(Q275:Q276)</f>
        <v>0</v>
      </c>
      <c r="R277" s="117">
        <f>IF(Q$39=0,0,Q277/Q$39)</f>
        <v>0</v>
      </c>
      <c r="S277" s="92">
        <f>SUM(S275:S276)</f>
        <v>0</v>
      </c>
      <c r="T277" s="94"/>
      <c r="U277" s="92">
        <f>SUM(U275:U276)</f>
        <v>0</v>
      </c>
      <c r="V277" s="94"/>
      <c r="W277" s="92">
        <f>SUM(W275:W276)</f>
        <v>0</v>
      </c>
      <c r="X277" s="117">
        <f>IF(W$39=0,0,W277/W$39)</f>
        <v>0</v>
      </c>
      <c r="Y277" s="92">
        <f>SUM(Y275:Y276)</f>
        <v>0</v>
      </c>
      <c r="Z277" s="94"/>
      <c r="AA277" s="92">
        <f>SUM(AA275:AA276)</f>
        <v>0</v>
      </c>
      <c r="AB277" s="94"/>
      <c r="AC277" s="92">
        <f>SUM(AC275:AC276)</f>
        <v>0</v>
      </c>
      <c r="AD277" s="117">
        <f>IF(AC$39=0,0,AC277/AC$39)</f>
        <v>0</v>
      </c>
      <c r="AE277" s="92">
        <f>SUM(AE275:AE276)</f>
        <v>0</v>
      </c>
      <c r="AF277" s="68"/>
      <c r="AG277" s="72"/>
    </row>
    <row r="278" spans="1:33" s="65" customFormat="1" ht="6.75" customHeight="1">
      <c r="G278" s="94"/>
      <c r="H278" s="94"/>
      <c r="I278" s="94"/>
      <c r="J278" s="94"/>
      <c r="K278" s="94"/>
      <c r="L278" s="113"/>
      <c r="M278" s="94"/>
      <c r="N278" s="94"/>
      <c r="O278" s="94"/>
      <c r="P278" s="94"/>
      <c r="Q278" s="94"/>
      <c r="R278" s="113"/>
      <c r="S278" s="94"/>
      <c r="T278" s="94"/>
      <c r="U278" s="94"/>
      <c r="V278" s="94"/>
      <c r="W278" s="94"/>
      <c r="X278" s="113"/>
      <c r="Y278" s="94"/>
      <c r="Z278" s="94"/>
      <c r="AA278" s="94"/>
      <c r="AB278" s="94"/>
      <c r="AC278" s="94"/>
      <c r="AD278" s="113"/>
      <c r="AE278" s="94"/>
      <c r="AF278" s="113"/>
      <c r="AG278" s="72"/>
    </row>
    <row r="279" spans="1:33" s="65" customFormat="1" ht="15.75" thickBot="1">
      <c r="B279" s="97" t="s">
        <v>217</v>
      </c>
      <c r="G279" s="118">
        <f>+G273-G277</f>
        <v>37014.390000000014</v>
      </c>
      <c r="H279" s="94"/>
      <c r="I279" s="118">
        <f>+I273-I277</f>
        <v>34731.920000000006</v>
      </c>
      <c r="J279" s="94"/>
      <c r="K279" s="118">
        <f>+K273-K277</f>
        <v>3405.5899999999456</v>
      </c>
      <c r="L279" s="117">
        <f>IF(K$39=0,0,K279/K$39)</f>
        <v>0</v>
      </c>
      <c r="M279" s="118">
        <f>+M273-M277</f>
        <v>22044.529999999973</v>
      </c>
      <c r="N279" s="94"/>
      <c r="O279" s="118">
        <f>+O273-O277</f>
        <v>16293.089999999997</v>
      </c>
      <c r="P279" s="94"/>
      <c r="Q279" s="118">
        <f>+Q273-Q277</f>
        <v>-41548.570000000007</v>
      </c>
      <c r="R279" s="117">
        <f>IF(Q$39=0,0,Q279/Q$39)</f>
        <v>0</v>
      </c>
      <c r="S279" s="118">
        <f>+S273-S277</f>
        <v>-5858.4800000000178</v>
      </c>
      <c r="T279" s="94"/>
      <c r="U279" s="118">
        <f>+U273-U277</f>
        <v>-1269.0399999999718</v>
      </c>
      <c r="V279" s="94"/>
      <c r="W279" s="118">
        <f>+W273-W277</f>
        <v>-9134.3799999999937</v>
      </c>
      <c r="X279" s="117">
        <f>IF(W$39=0,0,W279/W$39)</f>
        <v>0</v>
      </c>
      <c r="Y279" s="118">
        <f>+Y273-Y277</f>
        <v>14962.549999999952</v>
      </c>
      <c r="Z279" s="94"/>
      <c r="AA279" s="118">
        <f>+AA273-AA277</f>
        <v>10650.840000000004</v>
      </c>
      <c r="AB279" s="94"/>
      <c r="AC279" s="118">
        <f>+AC273-AC277</f>
        <v>-28492.949999999997</v>
      </c>
      <c r="AD279" s="117">
        <f>IF(AC$39=0,0,AC279/AC$39)</f>
        <v>0</v>
      </c>
      <c r="AE279" s="118">
        <f>+AE273-AE277</f>
        <v>52799.490000000602</v>
      </c>
      <c r="AF279" s="68"/>
      <c r="AG279" s="72"/>
    </row>
    <row r="280" spans="1:33" s="119" customFormat="1" ht="15.75" thickTop="1">
      <c r="A280" s="65"/>
      <c r="B280" s="65"/>
      <c r="C280" s="63"/>
      <c r="D280" s="65"/>
      <c r="E280" s="60"/>
      <c r="F280" s="60"/>
      <c r="H280" s="60"/>
      <c r="J280" s="72"/>
      <c r="L280" s="72"/>
      <c r="N280" s="60"/>
      <c r="P280" s="72"/>
      <c r="R280" s="72"/>
      <c r="T280" s="60"/>
      <c r="V280" s="72"/>
      <c r="X280" s="72"/>
      <c r="Z280" s="60"/>
      <c r="AB280" s="72"/>
      <c r="AD280" s="72"/>
      <c r="AG280" s="60"/>
    </row>
    <row r="281" spans="1:33" customFormat="1" ht="15" outlineLevel="1"/>
    <row r="282" spans="1:33" ht="6" customHeight="1" outlineLevel="1">
      <c r="G282" s="95"/>
      <c r="H282" s="94"/>
      <c r="I282" s="95"/>
      <c r="J282" s="94"/>
      <c r="K282" s="95"/>
      <c r="L282" s="113"/>
      <c r="M282" s="95"/>
      <c r="N282" s="94"/>
      <c r="O282" s="95"/>
      <c r="P282" s="94"/>
      <c r="Q282" s="95"/>
      <c r="R282" s="113"/>
      <c r="S282" s="95"/>
      <c r="T282" s="94"/>
      <c r="U282" s="95"/>
      <c r="V282" s="94"/>
      <c r="W282" s="95"/>
      <c r="X282" s="113"/>
      <c r="Y282" s="95"/>
      <c r="Z282" s="94"/>
      <c r="AA282" s="95"/>
      <c r="AB282" s="94"/>
      <c r="AC282" s="95"/>
      <c r="AD282" s="113"/>
      <c r="AE282" s="95"/>
    </row>
    <row r="283" spans="1:33" s="62" customFormat="1">
      <c r="B283" s="62" t="s">
        <v>218</v>
      </c>
      <c r="G283" s="120">
        <f>SUM(G281:G282)</f>
        <v>0</v>
      </c>
      <c r="H283" s="121"/>
      <c r="I283" s="120">
        <f>SUM(I281:I282)</f>
        <v>0</v>
      </c>
      <c r="J283" s="121"/>
      <c r="K283" s="120">
        <f>SUM(K281:K282)</f>
        <v>0</v>
      </c>
      <c r="L283" s="122"/>
      <c r="M283" s="120">
        <f>SUM(M281:M282)</f>
        <v>0</v>
      </c>
      <c r="N283" s="121"/>
      <c r="O283" s="120">
        <f>SUM(O281:O282)</f>
        <v>0</v>
      </c>
      <c r="P283" s="121"/>
      <c r="Q283" s="120">
        <f>SUM(Q281:Q282)</f>
        <v>0</v>
      </c>
      <c r="R283" s="122"/>
      <c r="S283" s="120">
        <f>SUM(S281:S282)</f>
        <v>0</v>
      </c>
      <c r="T283" s="121"/>
      <c r="U283" s="120">
        <f>SUM(U281:U282)</f>
        <v>0</v>
      </c>
      <c r="V283" s="121"/>
      <c r="W283" s="120">
        <f>SUM(W281:W282)</f>
        <v>0</v>
      </c>
      <c r="X283" s="122"/>
      <c r="Y283" s="120">
        <f>SUM(Y281:Y282)</f>
        <v>0</v>
      </c>
      <c r="Z283" s="121"/>
      <c r="AA283" s="120">
        <f>SUM(AA281:AA282)</f>
        <v>0</v>
      </c>
      <c r="AB283" s="121"/>
      <c r="AC283" s="120">
        <f>SUM(AC281:AC282)</f>
        <v>0</v>
      </c>
      <c r="AD283" s="122"/>
      <c r="AE283" s="120">
        <f>SUM(AE281:AE282)</f>
        <v>0</v>
      </c>
    </row>
    <row r="284" spans="1:33">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row>
    <row r="285" spans="1:33" ht="15">
      <c r="A285" s="64"/>
      <c r="B285" s="64"/>
      <c r="C285" s="64"/>
      <c r="D285" s="64"/>
      <c r="J285" s="72"/>
      <c r="L285" s="72"/>
      <c r="P285" s="72"/>
      <c r="R285" s="72"/>
      <c r="V285" s="72"/>
      <c r="X285" s="72"/>
      <c r="AB285" s="72"/>
      <c r="AD285" s="72"/>
    </row>
    <row r="286" spans="1:33" ht="15.75">
      <c r="A286" s="65"/>
      <c r="B286" s="65"/>
      <c r="C286" s="64"/>
      <c r="D286" s="65"/>
      <c r="J286" s="72"/>
      <c r="L286" s="72"/>
      <c r="P286" s="72"/>
      <c r="R286" s="72"/>
      <c r="V286" s="72"/>
      <c r="X286" s="72"/>
      <c r="AB286" s="72"/>
      <c r="AC286" s="123"/>
      <c r="AD286" s="124"/>
      <c r="AE286" s="125"/>
    </row>
    <row r="287" spans="1:33" s="119" customFormat="1" ht="15">
      <c r="A287" s="65"/>
      <c r="B287" s="65"/>
      <c r="C287" s="65"/>
      <c r="D287" s="65"/>
      <c r="E287" s="60"/>
      <c r="F287" s="60"/>
      <c r="H287" s="60"/>
      <c r="J287" s="72"/>
      <c r="L287" s="72"/>
      <c r="N287" s="60"/>
      <c r="P287" s="72"/>
      <c r="R287" s="72"/>
      <c r="T287" s="60"/>
      <c r="V287" s="72"/>
      <c r="X287" s="72"/>
      <c r="Z287" s="60"/>
      <c r="AB287" s="72"/>
      <c r="AD287" s="72"/>
      <c r="AF287" s="60"/>
      <c r="AG287" s="60"/>
    </row>
    <row r="288" spans="1:33" s="119" customFormat="1" ht="15">
      <c r="A288" s="101"/>
      <c r="B288" s="101"/>
      <c r="C288" s="101"/>
      <c r="D288" s="101"/>
      <c r="E288" s="60"/>
      <c r="F288" s="60"/>
      <c r="H288" s="60"/>
      <c r="J288" s="72"/>
      <c r="L288" s="72"/>
      <c r="N288" s="60"/>
      <c r="P288" s="72"/>
      <c r="R288" s="72"/>
      <c r="V288" s="72"/>
      <c r="X288" s="72"/>
      <c r="Z288" s="60"/>
      <c r="AB288" s="72"/>
      <c r="AD288" s="72"/>
      <c r="AG288" s="60"/>
    </row>
    <row r="289" spans="1:33" s="119" customFormat="1" ht="15">
      <c r="A289" s="64"/>
      <c r="B289" s="64"/>
      <c r="C289" s="64"/>
      <c r="D289" s="64"/>
      <c r="E289" s="60"/>
      <c r="F289" s="60"/>
      <c r="H289" s="60"/>
      <c r="J289" s="72"/>
      <c r="L289" s="72"/>
      <c r="N289" s="60"/>
      <c r="P289" s="72"/>
      <c r="R289" s="72"/>
      <c r="S289" s="126"/>
      <c r="T289" s="126"/>
      <c r="U289" s="126"/>
      <c r="V289" s="72"/>
      <c r="W289" s="126"/>
      <c r="X289" s="72"/>
      <c r="Y289" s="126"/>
      <c r="Z289" s="60"/>
      <c r="AA289" s="126"/>
      <c r="AB289" s="72"/>
      <c r="AC289" s="126"/>
      <c r="AD289" s="72"/>
      <c r="AE289" s="126"/>
      <c r="AG289" s="60"/>
    </row>
    <row r="290" spans="1:33" s="119" customFormat="1" ht="15">
      <c r="A290" s="65"/>
      <c r="B290" s="65"/>
      <c r="C290" s="63"/>
      <c r="D290" s="65"/>
      <c r="E290" s="60"/>
      <c r="F290" s="60"/>
      <c r="H290" s="60"/>
      <c r="J290" s="72"/>
      <c r="L290" s="72"/>
      <c r="N290" s="60"/>
      <c r="P290" s="72"/>
      <c r="R290" s="72"/>
      <c r="T290" s="60"/>
      <c r="V290" s="72"/>
      <c r="X290" s="72"/>
      <c r="Z290" s="60"/>
      <c r="AB290" s="72"/>
      <c r="AD290" s="72"/>
      <c r="AG290" s="60"/>
    </row>
    <row r="291" spans="1:33" s="119" customFormat="1" ht="15">
      <c r="A291" s="65"/>
      <c r="B291" s="65"/>
      <c r="C291" s="65"/>
      <c r="D291" s="65"/>
      <c r="E291" s="60"/>
      <c r="F291" s="60"/>
      <c r="H291" s="60"/>
      <c r="J291" s="72"/>
      <c r="L291" s="72"/>
      <c r="N291" s="60"/>
      <c r="P291" s="72"/>
      <c r="R291" s="72"/>
      <c r="T291" s="60"/>
      <c r="V291" s="72"/>
      <c r="X291" s="72"/>
      <c r="Z291" s="60"/>
      <c r="AB291" s="72"/>
      <c r="AD291" s="72"/>
      <c r="AG291" s="60"/>
    </row>
    <row r="292" spans="1:33" s="119" customFormat="1" ht="15">
      <c r="A292" s="101"/>
      <c r="B292" s="101"/>
      <c r="C292" s="101"/>
      <c r="D292" s="101"/>
      <c r="E292" s="60"/>
      <c r="F292" s="60"/>
      <c r="H292" s="60"/>
      <c r="J292" s="72"/>
      <c r="L292" s="72"/>
      <c r="N292" s="60"/>
      <c r="P292" s="72"/>
      <c r="R292" s="72"/>
      <c r="T292" s="60"/>
      <c r="V292" s="72"/>
      <c r="X292" s="72"/>
      <c r="Z292" s="60"/>
      <c r="AB292" s="72"/>
      <c r="AD292" s="72"/>
      <c r="AG292" s="60"/>
    </row>
    <row r="293" spans="1:33" s="119" customFormat="1" ht="15">
      <c r="A293" s="64"/>
      <c r="B293" s="64"/>
      <c r="C293" s="64"/>
      <c r="D293" s="64"/>
      <c r="E293" s="60"/>
      <c r="F293" s="60"/>
      <c r="H293" s="60"/>
      <c r="J293" s="72"/>
      <c r="L293" s="72"/>
      <c r="N293" s="60"/>
      <c r="P293" s="72"/>
      <c r="R293" s="72"/>
      <c r="T293" s="60"/>
      <c r="V293" s="72"/>
      <c r="X293" s="72"/>
      <c r="Z293" s="60"/>
      <c r="AB293" s="72"/>
      <c r="AD293" s="72"/>
      <c r="AG293" s="60"/>
    </row>
    <row r="294" spans="1:33" s="119" customFormat="1" ht="15">
      <c r="A294" s="65"/>
      <c r="B294" s="65"/>
      <c r="C294" s="64"/>
      <c r="D294" s="65"/>
      <c r="E294" s="60"/>
      <c r="F294" s="60"/>
      <c r="H294" s="60"/>
      <c r="J294" s="72"/>
      <c r="L294" s="72"/>
      <c r="N294" s="60"/>
      <c r="P294" s="72"/>
      <c r="R294" s="72"/>
      <c r="T294" s="60"/>
      <c r="V294" s="72"/>
      <c r="X294" s="72"/>
      <c r="Z294" s="60"/>
      <c r="AB294" s="72"/>
      <c r="AD294" s="72"/>
      <c r="AG294" s="60"/>
    </row>
    <row r="295" spans="1:33" s="119" customFormat="1" ht="15">
      <c r="A295" s="65"/>
      <c r="B295" s="65"/>
      <c r="C295" s="65"/>
      <c r="D295" s="65"/>
      <c r="E295" s="60"/>
      <c r="F295" s="60"/>
      <c r="H295" s="60"/>
      <c r="J295" s="72"/>
      <c r="L295" s="72"/>
      <c r="N295" s="60"/>
      <c r="P295" s="72"/>
      <c r="R295" s="72"/>
      <c r="T295" s="60"/>
      <c r="V295" s="72"/>
      <c r="X295" s="72"/>
      <c r="Z295" s="60"/>
      <c r="AB295" s="72"/>
      <c r="AD295" s="72"/>
      <c r="AG295" s="60"/>
    </row>
    <row r="296" spans="1:33" s="119" customFormat="1" ht="15">
      <c r="A296" s="65"/>
      <c r="B296" s="97"/>
      <c r="C296" s="65"/>
      <c r="D296" s="65"/>
      <c r="E296" s="60"/>
      <c r="F296" s="60"/>
      <c r="H296" s="60"/>
      <c r="J296" s="72"/>
      <c r="L296" s="72"/>
      <c r="N296" s="60"/>
      <c r="P296" s="72"/>
      <c r="R296" s="72"/>
      <c r="T296" s="60"/>
      <c r="V296" s="72"/>
      <c r="X296" s="72"/>
      <c r="Z296" s="60"/>
      <c r="AB296" s="72"/>
      <c r="AD296" s="72"/>
      <c r="AG296" s="60"/>
    </row>
    <row r="297" spans="1:33" s="119" customFormat="1" ht="15">
      <c r="A297" s="65"/>
      <c r="B297" s="65"/>
      <c r="C297" s="65"/>
      <c r="D297" s="65"/>
      <c r="E297" s="60"/>
      <c r="F297" s="60"/>
      <c r="H297" s="60"/>
      <c r="J297" s="72"/>
      <c r="L297" s="72"/>
      <c r="N297" s="60"/>
      <c r="P297" s="72"/>
      <c r="R297" s="72"/>
      <c r="T297" s="60"/>
      <c r="V297" s="72"/>
      <c r="X297" s="72"/>
      <c r="Z297" s="60"/>
      <c r="AB297" s="72"/>
      <c r="AD297" s="72"/>
      <c r="AG297" s="60"/>
    </row>
    <row r="298" spans="1:33" s="119" customFormat="1" ht="15">
      <c r="A298" s="101"/>
      <c r="B298" s="101"/>
      <c r="C298" s="101"/>
      <c r="D298" s="101"/>
      <c r="E298" s="60"/>
      <c r="F298" s="60"/>
      <c r="H298" s="60"/>
      <c r="J298" s="72"/>
      <c r="L298" s="72"/>
      <c r="N298" s="60"/>
      <c r="P298" s="72"/>
      <c r="R298" s="72"/>
      <c r="T298" s="60"/>
      <c r="V298" s="72"/>
      <c r="X298" s="72"/>
      <c r="Z298" s="60"/>
      <c r="AB298" s="72"/>
      <c r="AD298" s="72"/>
      <c r="AG298" s="60"/>
    </row>
    <row r="299" spans="1:33" s="119" customFormat="1" ht="15">
      <c r="A299" s="64"/>
      <c r="B299" s="64"/>
      <c r="C299" s="64"/>
      <c r="D299" s="64"/>
      <c r="E299" s="60"/>
      <c r="F299" s="60"/>
      <c r="H299" s="60"/>
      <c r="J299" s="72"/>
      <c r="L299" s="72"/>
      <c r="N299" s="60"/>
      <c r="P299" s="72"/>
      <c r="R299" s="72"/>
      <c r="T299" s="60"/>
      <c r="V299" s="72"/>
      <c r="X299" s="72"/>
      <c r="Z299" s="60"/>
      <c r="AB299" s="72"/>
      <c r="AD299" s="72"/>
      <c r="AG299" s="60"/>
    </row>
    <row r="300" spans="1:33" s="119" customFormat="1" ht="15">
      <c r="A300" s="65"/>
      <c r="B300" s="65"/>
      <c r="C300" s="63"/>
      <c r="D300" s="65"/>
      <c r="E300" s="60"/>
      <c r="F300" s="60"/>
      <c r="H300" s="60"/>
      <c r="J300" s="72"/>
      <c r="L300" s="72"/>
      <c r="N300" s="60"/>
      <c r="P300" s="72"/>
      <c r="R300" s="72"/>
      <c r="T300" s="60"/>
      <c r="V300" s="72"/>
      <c r="X300" s="72"/>
      <c r="Z300" s="60"/>
      <c r="AB300" s="72"/>
      <c r="AD300" s="72"/>
      <c r="AG300" s="60"/>
    </row>
    <row r="301" spans="1:33" s="119" customFormat="1" ht="15">
      <c r="A301" s="65"/>
      <c r="B301" s="65"/>
      <c r="C301" s="65"/>
      <c r="D301" s="65"/>
      <c r="E301" s="60"/>
      <c r="F301" s="60"/>
      <c r="H301" s="60"/>
      <c r="J301" s="72"/>
      <c r="L301" s="72"/>
      <c r="N301" s="60"/>
      <c r="P301" s="72"/>
      <c r="R301" s="72"/>
      <c r="T301" s="60"/>
      <c r="V301" s="72"/>
      <c r="X301" s="72"/>
      <c r="Z301" s="60"/>
      <c r="AB301" s="72"/>
      <c r="AD301" s="72"/>
      <c r="AG301" s="60"/>
    </row>
    <row r="302" spans="1:33" s="119" customFormat="1" ht="15">
      <c r="A302" s="65"/>
      <c r="B302" s="97"/>
      <c r="C302" s="65"/>
      <c r="D302" s="65"/>
      <c r="E302" s="60"/>
      <c r="F302" s="60"/>
      <c r="H302" s="60"/>
      <c r="J302" s="72"/>
      <c r="L302" s="72"/>
      <c r="N302" s="60"/>
      <c r="P302" s="72"/>
      <c r="R302" s="72"/>
      <c r="T302" s="60"/>
      <c r="V302" s="72"/>
      <c r="X302" s="72"/>
      <c r="Z302" s="60"/>
      <c r="AB302" s="72"/>
      <c r="AD302" s="72"/>
      <c r="AG302" s="60"/>
    </row>
    <row r="303" spans="1:33" s="119" customFormat="1" ht="15">
      <c r="A303" s="60"/>
      <c r="B303" s="60"/>
      <c r="C303" s="60"/>
      <c r="D303" s="60"/>
      <c r="E303" s="60"/>
      <c r="F303" s="60"/>
      <c r="H303" s="60"/>
      <c r="J303" s="72"/>
      <c r="L303" s="72"/>
      <c r="N303" s="60"/>
      <c r="P303" s="72"/>
      <c r="R303" s="72"/>
      <c r="T303" s="60"/>
      <c r="V303" s="72"/>
      <c r="X303" s="72"/>
      <c r="Z303" s="60"/>
      <c r="AB303" s="72"/>
      <c r="AD303" s="72"/>
      <c r="AG303" s="60"/>
    </row>
    <row r="304" spans="1:33" s="119" customFormat="1" ht="15">
      <c r="A304" s="101"/>
      <c r="B304" s="101"/>
      <c r="C304" s="101"/>
      <c r="D304" s="101"/>
      <c r="E304" s="60"/>
      <c r="F304" s="60"/>
      <c r="H304" s="60"/>
      <c r="J304" s="72"/>
      <c r="L304" s="72"/>
      <c r="N304" s="60"/>
      <c r="P304" s="72"/>
      <c r="R304" s="72"/>
      <c r="T304" s="60"/>
      <c r="V304" s="72"/>
      <c r="X304" s="72"/>
      <c r="Z304" s="60"/>
      <c r="AB304" s="72"/>
      <c r="AD304" s="72"/>
      <c r="AG304" s="60"/>
    </row>
    <row r="305" spans="1:33" s="119" customFormat="1" ht="15">
      <c r="A305" s="64"/>
      <c r="B305" s="64"/>
      <c r="C305" s="64"/>
      <c r="D305" s="64"/>
      <c r="E305" s="60"/>
      <c r="F305" s="60"/>
      <c r="H305" s="60"/>
      <c r="J305" s="72"/>
      <c r="L305" s="72"/>
      <c r="N305" s="60"/>
      <c r="P305" s="72"/>
      <c r="R305" s="72"/>
      <c r="T305" s="60"/>
      <c r="V305" s="72"/>
      <c r="X305" s="72"/>
      <c r="Z305" s="60"/>
      <c r="AB305" s="72"/>
      <c r="AD305" s="72"/>
      <c r="AG305" s="60"/>
    </row>
    <row r="306" spans="1:33" s="119" customFormat="1" ht="15">
      <c r="A306" s="65"/>
      <c r="B306" s="65"/>
      <c r="C306" s="63"/>
      <c r="D306" s="65"/>
      <c r="E306" s="60"/>
      <c r="F306" s="60"/>
      <c r="H306" s="60"/>
      <c r="J306" s="72"/>
      <c r="L306" s="72"/>
      <c r="N306" s="60"/>
      <c r="P306" s="72"/>
      <c r="R306" s="72"/>
      <c r="T306" s="60"/>
      <c r="V306" s="72"/>
      <c r="X306" s="72"/>
      <c r="Z306" s="60"/>
      <c r="AB306" s="72"/>
      <c r="AD306" s="72"/>
      <c r="AG306" s="60"/>
    </row>
    <row r="307" spans="1:33" s="119" customFormat="1" ht="15">
      <c r="A307" s="65"/>
      <c r="B307" s="65"/>
      <c r="C307" s="65"/>
      <c r="D307" s="65"/>
      <c r="E307" s="60"/>
      <c r="F307" s="60"/>
      <c r="H307" s="60"/>
      <c r="J307" s="72"/>
      <c r="L307" s="72"/>
      <c r="N307" s="60"/>
      <c r="P307" s="72"/>
      <c r="R307" s="72"/>
      <c r="T307" s="60"/>
      <c r="V307" s="72"/>
      <c r="X307" s="72"/>
      <c r="Z307" s="60"/>
      <c r="AB307" s="72"/>
      <c r="AD307" s="72"/>
      <c r="AG307" s="60"/>
    </row>
    <row r="308" spans="1:33" s="119" customFormat="1" ht="15">
      <c r="A308" s="65"/>
      <c r="B308" s="97"/>
      <c r="C308" s="65"/>
      <c r="D308" s="65"/>
      <c r="E308" s="60"/>
      <c r="F308" s="60"/>
      <c r="H308" s="60"/>
      <c r="J308" s="72"/>
      <c r="L308" s="72"/>
      <c r="N308" s="60"/>
      <c r="P308" s="72"/>
      <c r="R308" s="72"/>
      <c r="T308" s="60"/>
      <c r="V308" s="72"/>
      <c r="X308" s="72"/>
      <c r="Z308" s="60"/>
      <c r="AB308" s="72"/>
      <c r="AD308" s="72"/>
      <c r="AG308" s="60"/>
    </row>
    <row r="309" spans="1:33" s="119" customFormat="1" ht="15">
      <c r="A309" s="65"/>
      <c r="B309" s="65"/>
      <c r="C309" s="65"/>
      <c r="D309" s="65"/>
      <c r="E309" s="60"/>
      <c r="F309" s="60"/>
      <c r="H309" s="60"/>
      <c r="J309" s="72"/>
      <c r="L309" s="72"/>
      <c r="N309" s="60"/>
      <c r="P309" s="72"/>
      <c r="R309" s="72"/>
      <c r="T309" s="60"/>
      <c r="V309" s="72"/>
      <c r="X309" s="72"/>
      <c r="Z309" s="60"/>
      <c r="AB309" s="72"/>
      <c r="AD309" s="72"/>
      <c r="AG309" s="60"/>
    </row>
    <row r="310" spans="1:33" s="119" customFormat="1" ht="15">
      <c r="A310" s="70"/>
      <c r="B310" s="70"/>
      <c r="C310" s="70"/>
      <c r="D310" s="70"/>
      <c r="E310" s="60"/>
      <c r="F310" s="60"/>
      <c r="H310" s="60"/>
      <c r="J310" s="72"/>
      <c r="L310" s="72"/>
      <c r="N310" s="60"/>
      <c r="P310" s="72"/>
      <c r="R310" s="72"/>
      <c r="T310" s="60"/>
      <c r="V310" s="72"/>
      <c r="X310" s="72"/>
      <c r="Z310" s="60"/>
      <c r="AB310" s="72"/>
      <c r="AD310" s="72"/>
      <c r="AG310" s="60"/>
    </row>
    <row r="311" spans="1:33" s="119" customFormat="1" ht="15">
      <c r="A311" s="64"/>
      <c r="B311" s="64"/>
      <c r="C311" s="64"/>
      <c r="D311" s="64"/>
      <c r="E311" s="60"/>
      <c r="F311" s="60"/>
      <c r="H311" s="60"/>
      <c r="J311" s="72"/>
      <c r="L311" s="72"/>
      <c r="N311" s="60"/>
      <c r="P311" s="72"/>
      <c r="R311" s="72"/>
      <c r="T311" s="60"/>
      <c r="V311" s="72"/>
      <c r="X311" s="72"/>
      <c r="Z311" s="60"/>
      <c r="AB311" s="72"/>
      <c r="AD311" s="72"/>
      <c r="AG311" s="60"/>
    </row>
    <row r="312" spans="1:33" s="119" customFormat="1" ht="15">
      <c r="A312" s="65"/>
      <c r="B312" s="65"/>
      <c r="C312" s="63"/>
      <c r="D312" s="65"/>
      <c r="E312" s="60"/>
      <c r="F312" s="60"/>
      <c r="H312" s="60"/>
      <c r="J312" s="72"/>
      <c r="L312" s="72"/>
      <c r="N312" s="60"/>
      <c r="P312" s="72"/>
      <c r="R312" s="72"/>
      <c r="T312" s="60"/>
      <c r="V312" s="72"/>
      <c r="X312" s="72"/>
      <c r="Z312" s="60"/>
      <c r="AB312" s="72"/>
      <c r="AD312" s="72"/>
      <c r="AG312" s="60"/>
    </row>
    <row r="313" spans="1:33" s="119" customFormat="1" ht="15">
      <c r="A313" s="65"/>
      <c r="B313" s="65"/>
      <c r="C313" s="65"/>
      <c r="D313" s="65"/>
      <c r="E313" s="60"/>
      <c r="F313" s="60"/>
      <c r="H313" s="60"/>
      <c r="J313" s="72"/>
      <c r="L313" s="72"/>
      <c r="N313" s="60"/>
      <c r="P313" s="72"/>
      <c r="R313" s="72"/>
      <c r="T313" s="60"/>
      <c r="V313" s="72"/>
      <c r="X313" s="72"/>
      <c r="Z313" s="60"/>
      <c r="AB313" s="72"/>
      <c r="AD313" s="72"/>
      <c r="AG313" s="60"/>
    </row>
    <row r="314" spans="1:33" s="119" customFormat="1" ht="15">
      <c r="A314" s="65"/>
      <c r="B314" s="97"/>
      <c r="C314" s="65"/>
      <c r="D314" s="65"/>
      <c r="E314" s="60"/>
      <c r="F314" s="60"/>
      <c r="H314" s="60"/>
      <c r="J314" s="72"/>
      <c r="L314" s="72"/>
      <c r="N314" s="60"/>
      <c r="P314" s="72"/>
      <c r="R314" s="72"/>
      <c r="T314" s="60"/>
      <c r="V314" s="72"/>
      <c r="X314" s="72"/>
      <c r="Z314" s="60"/>
      <c r="AB314" s="72"/>
      <c r="AD314" s="72"/>
      <c r="AG314" s="60"/>
    </row>
    <row r="315" spans="1:33" s="119" customFormat="1" ht="15">
      <c r="A315" s="60"/>
      <c r="B315" s="60"/>
      <c r="C315" s="60"/>
      <c r="D315" s="60"/>
      <c r="E315" s="60"/>
      <c r="F315" s="60"/>
      <c r="H315" s="60"/>
      <c r="J315" s="72"/>
      <c r="L315" s="72"/>
      <c r="N315" s="60"/>
      <c r="P315" s="72"/>
      <c r="R315" s="72"/>
      <c r="T315" s="60"/>
      <c r="V315" s="72"/>
      <c r="X315" s="72"/>
      <c r="Z315" s="60"/>
      <c r="AB315" s="72"/>
      <c r="AD315" s="72"/>
      <c r="AG315" s="60"/>
    </row>
    <row r="316" spans="1:33" s="119" customFormat="1" ht="15">
      <c r="A316" s="60"/>
      <c r="B316" s="60"/>
      <c r="C316" s="60"/>
      <c r="D316" s="60"/>
      <c r="E316" s="60"/>
      <c r="F316" s="60"/>
      <c r="H316" s="60"/>
      <c r="J316" s="72"/>
      <c r="L316" s="72"/>
      <c r="N316" s="60"/>
      <c r="P316" s="72"/>
      <c r="R316" s="72"/>
      <c r="T316" s="60"/>
      <c r="V316" s="72"/>
      <c r="X316" s="72"/>
      <c r="Z316" s="60"/>
      <c r="AB316" s="72"/>
      <c r="AD316" s="72"/>
      <c r="AG316" s="60"/>
    </row>
    <row r="317" spans="1:33" s="119" customFormat="1" ht="15">
      <c r="A317" s="60"/>
      <c r="B317" s="60"/>
      <c r="C317" s="60"/>
      <c r="D317" s="60"/>
      <c r="E317" s="60"/>
      <c r="F317" s="60"/>
      <c r="H317" s="60"/>
      <c r="J317" s="72"/>
      <c r="L317" s="72"/>
      <c r="N317" s="60"/>
      <c r="P317" s="72"/>
      <c r="R317" s="72"/>
      <c r="T317" s="60"/>
      <c r="V317" s="72"/>
      <c r="X317" s="72"/>
      <c r="Z317" s="60"/>
      <c r="AB317" s="72"/>
      <c r="AD317" s="72"/>
      <c r="AG317" s="60"/>
    </row>
    <row r="318" spans="1:33" s="119" customFormat="1" ht="15">
      <c r="A318" s="60"/>
      <c r="B318" s="60"/>
      <c r="C318" s="60"/>
      <c r="D318" s="60"/>
      <c r="E318" s="60"/>
      <c r="F318" s="60"/>
      <c r="H318" s="60"/>
      <c r="J318" s="72"/>
      <c r="L318" s="72"/>
      <c r="N318" s="60"/>
      <c r="P318" s="72"/>
      <c r="R318" s="72"/>
      <c r="T318" s="60"/>
      <c r="V318" s="72"/>
      <c r="X318" s="72"/>
      <c r="Z318" s="60"/>
      <c r="AB318" s="72"/>
      <c r="AD318" s="72"/>
      <c r="AG318" s="60"/>
    </row>
    <row r="319" spans="1:33" s="119" customFormat="1" ht="15">
      <c r="A319" s="60"/>
      <c r="B319" s="60"/>
      <c r="C319" s="60"/>
      <c r="D319" s="60"/>
      <c r="E319" s="60"/>
      <c r="F319" s="60"/>
      <c r="H319" s="60"/>
      <c r="J319" s="72"/>
      <c r="L319" s="72"/>
      <c r="N319" s="60"/>
      <c r="P319" s="72"/>
      <c r="R319" s="72"/>
      <c r="T319" s="60"/>
      <c r="V319" s="72"/>
      <c r="X319" s="72"/>
      <c r="Z319" s="60"/>
      <c r="AB319" s="72"/>
      <c r="AD319" s="72"/>
      <c r="AG319" s="60"/>
    </row>
    <row r="320" spans="1:33" s="119" customFormat="1" ht="15">
      <c r="A320" s="60"/>
      <c r="B320" s="60"/>
      <c r="C320" s="60"/>
      <c r="D320" s="60"/>
      <c r="E320" s="60"/>
      <c r="F320" s="60"/>
      <c r="H320" s="60"/>
      <c r="J320" s="72"/>
      <c r="L320" s="72"/>
      <c r="N320" s="60"/>
      <c r="P320" s="72"/>
      <c r="R320" s="72"/>
      <c r="T320" s="60"/>
      <c r="V320" s="72"/>
      <c r="X320" s="72"/>
      <c r="Z320" s="60"/>
      <c r="AB320" s="72"/>
      <c r="AD320" s="72"/>
      <c r="AG320" s="60"/>
    </row>
    <row r="321" spans="1:33" s="119" customFormat="1" ht="15">
      <c r="A321" s="60"/>
      <c r="B321" s="60"/>
      <c r="C321" s="60"/>
      <c r="D321" s="60"/>
      <c r="E321" s="60"/>
      <c r="F321" s="60"/>
      <c r="H321" s="60"/>
      <c r="J321" s="72"/>
      <c r="L321" s="72"/>
      <c r="N321" s="60"/>
      <c r="P321" s="72"/>
      <c r="R321" s="72"/>
      <c r="T321" s="60"/>
      <c r="V321" s="72"/>
      <c r="X321" s="72"/>
      <c r="Z321" s="60"/>
      <c r="AB321" s="72"/>
      <c r="AD321" s="72"/>
      <c r="AG321" s="60"/>
    </row>
    <row r="322" spans="1:33" s="119" customFormat="1" ht="15">
      <c r="A322" s="60"/>
      <c r="B322" s="60"/>
      <c r="C322" s="60"/>
      <c r="D322" s="60"/>
      <c r="E322" s="60"/>
      <c r="F322" s="60"/>
      <c r="H322" s="60"/>
      <c r="J322" s="72"/>
      <c r="L322" s="72"/>
      <c r="N322" s="60"/>
      <c r="P322" s="72"/>
      <c r="R322" s="72"/>
      <c r="T322" s="60"/>
      <c r="V322" s="72"/>
      <c r="X322" s="72"/>
      <c r="Z322" s="60"/>
      <c r="AB322" s="72"/>
      <c r="AD322" s="72"/>
      <c r="AG322" s="60"/>
    </row>
    <row r="323" spans="1:33" s="119" customFormat="1" ht="15">
      <c r="A323" s="60"/>
      <c r="B323" s="60"/>
      <c r="C323" s="60"/>
      <c r="D323" s="60"/>
      <c r="E323" s="60"/>
      <c r="F323" s="60"/>
      <c r="H323" s="60"/>
      <c r="J323" s="72"/>
      <c r="L323" s="72"/>
      <c r="N323" s="60"/>
      <c r="P323" s="72"/>
      <c r="R323" s="72"/>
      <c r="T323" s="60"/>
      <c r="V323" s="72"/>
      <c r="X323" s="72"/>
      <c r="Z323" s="60"/>
      <c r="AB323" s="72"/>
      <c r="AD323" s="72"/>
      <c r="AG323" s="60"/>
    </row>
    <row r="324" spans="1:33" s="119" customFormat="1" ht="15">
      <c r="A324" s="60"/>
      <c r="B324" s="60"/>
      <c r="C324" s="60"/>
      <c r="D324" s="60"/>
      <c r="E324" s="60"/>
      <c r="F324" s="60"/>
      <c r="H324" s="60"/>
      <c r="J324" s="72"/>
      <c r="L324" s="72"/>
      <c r="N324" s="60"/>
      <c r="P324" s="72"/>
      <c r="R324" s="72"/>
      <c r="T324" s="60"/>
      <c r="V324" s="72"/>
      <c r="X324" s="72"/>
      <c r="Z324" s="60"/>
      <c r="AB324" s="72"/>
      <c r="AD324" s="72"/>
      <c r="AG324" s="60"/>
    </row>
    <row r="325" spans="1:33" s="119" customFormat="1" ht="15">
      <c r="A325" s="60"/>
      <c r="B325" s="60"/>
      <c r="C325" s="60"/>
      <c r="D325" s="60"/>
      <c r="E325" s="60"/>
      <c r="F325" s="60"/>
      <c r="H325" s="60"/>
      <c r="J325" s="72"/>
      <c r="L325" s="72"/>
      <c r="N325" s="60"/>
      <c r="P325" s="72"/>
      <c r="R325" s="72"/>
      <c r="T325" s="60"/>
      <c r="V325" s="72"/>
      <c r="X325" s="72"/>
      <c r="Z325" s="60"/>
      <c r="AB325" s="72"/>
      <c r="AD325" s="72"/>
      <c r="AG325" s="60"/>
    </row>
    <row r="326" spans="1:33" s="119" customFormat="1" ht="15">
      <c r="A326" s="60"/>
      <c r="B326" s="60"/>
      <c r="C326" s="60"/>
      <c r="D326" s="60"/>
      <c r="E326" s="60"/>
      <c r="F326" s="60"/>
      <c r="H326" s="60"/>
      <c r="J326" s="72"/>
      <c r="L326" s="72"/>
      <c r="N326" s="60"/>
      <c r="P326" s="72"/>
      <c r="R326" s="72"/>
      <c r="T326" s="60"/>
      <c r="V326" s="72"/>
      <c r="X326" s="72"/>
      <c r="Z326" s="60"/>
      <c r="AB326" s="72"/>
      <c r="AD326" s="72"/>
      <c r="AG326" s="60"/>
    </row>
    <row r="327" spans="1:33" s="119" customFormat="1" ht="15">
      <c r="A327" s="60"/>
      <c r="B327" s="60"/>
      <c r="C327" s="60"/>
      <c r="D327" s="60"/>
      <c r="E327" s="60"/>
      <c r="F327" s="60"/>
      <c r="H327" s="60"/>
      <c r="J327" s="72"/>
      <c r="L327" s="72"/>
      <c r="N327" s="60"/>
      <c r="P327" s="72"/>
      <c r="R327" s="72"/>
      <c r="T327" s="60"/>
      <c r="V327" s="72"/>
      <c r="X327" s="72"/>
      <c r="Z327" s="60"/>
      <c r="AB327" s="72"/>
      <c r="AD327" s="72"/>
      <c r="AG327" s="60"/>
    </row>
    <row r="328" spans="1:33" s="119" customFormat="1" ht="15">
      <c r="A328" s="60"/>
      <c r="B328" s="60"/>
      <c r="C328" s="60"/>
      <c r="D328" s="60"/>
      <c r="E328" s="60"/>
      <c r="F328" s="60"/>
      <c r="H328" s="60"/>
      <c r="J328" s="72"/>
      <c r="L328" s="72"/>
      <c r="N328" s="60"/>
      <c r="P328" s="72"/>
      <c r="R328" s="72"/>
      <c r="T328" s="60"/>
      <c r="V328" s="72"/>
      <c r="X328" s="72"/>
      <c r="Z328" s="60"/>
      <c r="AB328" s="72"/>
      <c r="AD328" s="72"/>
      <c r="AG328" s="60"/>
    </row>
    <row r="329" spans="1:33" s="119" customFormat="1" ht="15">
      <c r="A329" s="60"/>
      <c r="B329" s="60"/>
      <c r="C329" s="60"/>
      <c r="D329" s="60"/>
      <c r="E329" s="60"/>
      <c r="F329" s="60"/>
      <c r="H329" s="60"/>
      <c r="J329" s="72"/>
      <c r="L329" s="72"/>
      <c r="N329" s="60"/>
      <c r="P329" s="72"/>
      <c r="R329" s="72"/>
      <c r="T329" s="60"/>
      <c r="V329" s="72"/>
      <c r="X329" s="72"/>
      <c r="Z329" s="60"/>
      <c r="AB329" s="72"/>
      <c r="AD329" s="72"/>
      <c r="AG329" s="60"/>
    </row>
    <row r="330" spans="1:33" s="119" customFormat="1" ht="15">
      <c r="A330" s="60"/>
      <c r="B330" s="60"/>
      <c r="C330" s="60"/>
      <c r="D330" s="60"/>
      <c r="E330" s="60"/>
      <c r="F330" s="60"/>
      <c r="H330" s="60"/>
      <c r="J330" s="72"/>
      <c r="L330" s="72"/>
      <c r="N330" s="60"/>
      <c r="P330" s="72"/>
      <c r="R330" s="72"/>
      <c r="T330" s="60"/>
      <c r="V330" s="72"/>
      <c r="X330" s="72"/>
      <c r="Z330" s="60"/>
      <c r="AB330" s="72"/>
      <c r="AD330" s="72"/>
      <c r="AG330" s="60"/>
    </row>
    <row r="331" spans="1:33" s="119" customFormat="1" ht="15">
      <c r="A331" s="60"/>
      <c r="B331" s="60"/>
      <c r="C331" s="60"/>
      <c r="D331" s="60"/>
      <c r="E331" s="60"/>
      <c r="F331" s="60"/>
      <c r="H331" s="60"/>
      <c r="J331" s="72"/>
      <c r="L331" s="72"/>
      <c r="N331" s="60"/>
      <c r="P331" s="72"/>
      <c r="R331" s="72"/>
      <c r="T331" s="60"/>
      <c r="V331" s="72"/>
      <c r="X331" s="72"/>
      <c r="Z331" s="60"/>
      <c r="AB331" s="72"/>
      <c r="AD331" s="72"/>
      <c r="AG331" s="60"/>
    </row>
    <row r="332" spans="1:33" s="119" customFormat="1" ht="15">
      <c r="A332" s="60"/>
      <c r="B332" s="60"/>
      <c r="C332" s="60"/>
      <c r="D332" s="60"/>
      <c r="E332" s="60"/>
      <c r="F332" s="60"/>
      <c r="H332" s="60"/>
      <c r="J332" s="72"/>
      <c r="L332" s="72"/>
      <c r="N332" s="60"/>
      <c r="P332" s="72"/>
      <c r="R332" s="72"/>
      <c r="T332" s="60"/>
      <c r="V332" s="72"/>
      <c r="X332" s="72"/>
      <c r="Z332" s="60"/>
      <c r="AB332" s="72"/>
      <c r="AD332" s="72"/>
      <c r="AG332" s="60"/>
    </row>
    <row r="333" spans="1:33" s="119" customFormat="1" ht="15">
      <c r="A333" s="60"/>
      <c r="B333" s="60"/>
      <c r="C333" s="60"/>
      <c r="D333" s="60"/>
      <c r="E333" s="60"/>
      <c r="F333" s="60"/>
      <c r="H333" s="60"/>
      <c r="J333" s="72"/>
      <c r="L333" s="72"/>
      <c r="N333" s="60"/>
      <c r="P333" s="72"/>
      <c r="R333" s="72"/>
      <c r="T333" s="60"/>
      <c r="V333" s="72"/>
      <c r="X333" s="72"/>
      <c r="Z333" s="60"/>
      <c r="AB333" s="72"/>
      <c r="AD333" s="72"/>
      <c r="AG333" s="60"/>
    </row>
    <row r="334" spans="1:33" s="119" customFormat="1" ht="15">
      <c r="A334" s="60"/>
      <c r="B334" s="60"/>
      <c r="C334" s="60"/>
      <c r="D334" s="60"/>
      <c r="E334" s="60"/>
      <c r="F334" s="60"/>
      <c r="H334" s="60"/>
      <c r="J334" s="72"/>
      <c r="L334" s="72"/>
      <c r="N334" s="60"/>
      <c r="P334" s="72"/>
      <c r="R334" s="72"/>
      <c r="T334" s="60"/>
      <c r="V334" s="72"/>
      <c r="X334" s="72"/>
      <c r="Z334" s="60"/>
      <c r="AB334" s="72"/>
      <c r="AD334" s="72"/>
      <c r="AG334" s="60"/>
    </row>
    <row r="335" spans="1:33" s="119" customFormat="1" ht="15">
      <c r="A335" s="60"/>
      <c r="B335" s="60"/>
      <c r="C335" s="60"/>
      <c r="D335" s="60"/>
      <c r="E335" s="60"/>
      <c r="F335" s="60"/>
      <c r="H335" s="60"/>
      <c r="J335" s="72"/>
      <c r="L335" s="72"/>
      <c r="N335" s="60"/>
      <c r="P335" s="72"/>
      <c r="R335" s="72"/>
      <c r="T335" s="60"/>
      <c r="V335" s="72"/>
      <c r="X335" s="72"/>
      <c r="Z335" s="60"/>
      <c r="AB335" s="72"/>
      <c r="AD335" s="72"/>
      <c r="AG335" s="60"/>
    </row>
    <row r="336" spans="1:33" s="119" customFormat="1" ht="15">
      <c r="A336" s="60"/>
      <c r="B336" s="60"/>
      <c r="C336" s="60"/>
      <c r="D336" s="60"/>
      <c r="E336" s="60"/>
      <c r="F336" s="60"/>
      <c r="H336" s="60"/>
      <c r="J336" s="72"/>
      <c r="L336" s="72"/>
      <c r="N336" s="60"/>
      <c r="P336" s="72"/>
      <c r="R336" s="72"/>
      <c r="T336" s="60"/>
      <c r="V336" s="72"/>
      <c r="X336" s="72"/>
      <c r="Z336" s="60"/>
      <c r="AB336" s="72"/>
      <c r="AD336" s="72"/>
      <c r="AG336" s="60"/>
    </row>
    <row r="337" spans="1:33" s="119" customFormat="1" ht="15">
      <c r="A337" s="60"/>
      <c r="B337" s="60"/>
      <c r="C337" s="60"/>
      <c r="D337" s="60"/>
      <c r="E337" s="60"/>
      <c r="F337" s="60"/>
      <c r="H337" s="60"/>
      <c r="J337" s="72"/>
      <c r="L337" s="72"/>
      <c r="N337" s="60"/>
      <c r="P337" s="72"/>
      <c r="R337" s="72"/>
      <c r="T337" s="60"/>
      <c r="V337" s="72"/>
      <c r="X337" s="72"/>
      <c r="Z337" s="60"/>
      <c r="AB337" s="72"/>
      <c r="AD337" s="72"/>
      <c r="AG337" s="60"/>
    </row>
    <row r="338" spans="1:33" s="119" customFormat="1" ht="15">
      <c r="A338" s="60"/>
      <c r="B338" s="60"/>
      <c r="C338" s="60"/>
      <c r="D338" s="60"/>
      <c r="E338" s="60"/>
      <c r="F338" s="60"/>
      <c r="H338" s="60"/>
      <c r="J338" s="72"/>
      <c r="L338" s="72"/>
      <c r="N338" s="60"/>
      <c r="P338" s="72"/>
      <c r="R338" s="72"/>
      <c r="T338" s="60"/>
      <c r="V338" s="72"/>
      <c r="X338" s="72"/>
      <c r="Z338" s="60"/>
      <c r="AB338" s="72"/>
      <c r="AD338" s="72"/>
      <c r="AG338" s="60"/>
    </row>
    <row r="339" spans="1:33" s="119" customFormat="1" ht="15">
      <c r="A339" s="60"/>
      <c r="B339" s="60"/>
      <c r="C339" s="60"/>
      <c r="D339" s="60"/>
      <c r="E339" s="60"/>
      <c r="F339" s="60"/>
      <c r="H339" s="60"/>
      <c r="J339" s="72"/>
      <c r="L339" s="72"/>
      <c r="N339" s="60"/>
      <c r="P339" s="72"/>
      <c r="R339" s="72"/>
      <c r="T339" s="60"/>
      <c r="V339" s="72"/>
      <c r="X339" s="72"/>
      <c r="Z339" s="60"/>
      <c r="AB339" s="72"/>
      <c r="AD339" s="72"/>
      <c r="AG339" s="60"/>
    </row>
    <row r="340" spans="1:33" s="119" customFormat="1" ht="15">
      <c r="A340" s="60"/>
      <c r="B340" s="60"/>
      <c r="C340" s="60"/>
      <c r="D340" s="60"/>
      <c r="E340" s="60"/>
      <c r="F340" s="60"/>
      <c r="H340" s="60"/>
      <c r="J340" s="72"/>
      <c r="L340" s="72"/>
      <c r="N340" s="60"/>
      <c r="P340" s="72"/>
      <c r="R340" s="72"/>
      <c r="T340" s="60"/>
      <c r="V340" s="72"/>
      <c r="X340" s="72"/>
      <c r="Z340" s="60"/>
      <c r="AB340" s="72"/>
      <c r="AD340" s="72"/>
      <c r="AG340" s="60"/>
    </row>
    <row r="341" spans="1:33" s="119" customFormat="1" ht="15">
      <c r="A341" s="60"/>
      <c r="B341" s="60"/>
      <c r="C341" s="60"/>
      <c r="D341" s="60"/>
      <c r="E341" s="60"/>
      <c r="F341" s="60"/>
      <c r="H341" s="60"/>
      <c r="J341" s="72"/>
      <c r="L341" s="72"/>
      <c r="N341" s="60"/>
      <c r="P341" s="72"/>
      <c r="R341" s="72"/>
      <c r="T341" s="60"/>
      <c r="V341" s="72"/>
      <c r="X341" s="72"/>
      <c r="Z341" s="60"/>
      <c r="AB341" s="72"/>
      <c r="AD341" s="72"/>
      <c r="AG341" s="60"/>
    </row>
    <row r="342" spans="1:33" s="119" customFormat="1" ht="15">
      <c r="A342" s="60"/>
      <c r="B342" s="60"/>
      <c r="C342" s="60"/>
      <c r="D342" s="60"/>
      <c r="E342" s="60"/>
      <c r="F342" s="60"/>
      <c r="H342" s="60"/>
      <c r="J342" s="72"/>
      <c r="L342" s="72"/>
      <c r="N342" s="60"/>
      <c r="P342" s="72"/>
      <c r="R342" s="72"/>
      <c r="T342" s="60"/>
      <c r="V342" s="72"/>
      <c r="X342" s="72"/>
      <c r="Z342" s="60"/>
      <c r="AB342" s="72"/>
      <c r="AD342" s="72"/>
      <c r="AG342" s="60"/>
    </row>
    <row r="343" spans="1:33" s="119" customFormat="1" ht="15">
      <c r="A343" s="60"/>
      <c r="B343" s="60"/>
      <c r="C343" s="60"/>
      <c r="D343" s="60"/>
      <c r="E343" s="60"/>
      <c r="F343" s="60"/>
      <c r="H343" s="60"/>
      <c r="J343" s="72"/>
      <c r="L343" s="72"/>
      <c r="N343" s="60"/>
      <c r="P343" s="72"/>
      <c r="R343" s="72"/>
      <c r="T343" s="60"/>
      <c r="V343" s="72"/>
      <c r="X343" s="72"/>
      <c r="Z343" s="60"/>
      <c r="AB343" s="72"/>
      <c r="AD343" s="72"/>
      <c r="AG343" s="60"/>
    </row>
    <row r="344" spans="1:33" s="119" customFormat="1" ht="15">
      <c r="A344" s="60"/>
      <c r="B344" s="60"/>
      <c r="C344" s="60"/>
      <c r="D344" s="60"/>
      <c r="E344" s="60"/>
      <c r="F344" s="60"/>
      <c r="H344" s="60"/>
      <c r="J344" s="72"/>
      <c r="L344" s="72"/>
      <c r="N344" s="60"/>
      <c r="P344" s="72"/>
      <c r="R344" s="72"/>
      <c r="T344" s="60"/>
      <c r="V344" s="72"/>
      <c r="X344" s="72"/>
      <c r="Z344" s="60"/>
      <c r="AB344" s="72"/>
      <c r="AD344" s="72"/>
      <c r="AG344" s="60"/>
    </row>
    <row r="345" spans="1:33" s="119" customFormat="1" ht="15">
      <c r="A345" s="60"/>
      <c r="B345" s="60"/>
      <c r="C345" s="60"/>
      <c r="D345" s="60"/>
      <c r="E345" s="60"/>
      <c r="F345" s="60"/>
      <c r="H345" s="60"/>
      <c r="J345" s="72"/>
      <c r="L345" s="72"/>
      <c r="N345" s="60"/>
      <c r="P345" s="72"/>
      <c r="R345" s="72"/>
      <c r="T345" s="60"/>
      <c r="V345" s="72"/>
      <c r="X345" s="72"/>
      <c r="Z345" s="60"/>
      <c r="AB345" s="72"/>
      <c r="AD345" s="72"/>
      <c r="AG345" s="60"/>
    </row>
    <row r="346" spans="1:33" s="119" customFormat="1" ht="15">
      <c r="A346" s="60"/>
      <c r="B346" s="60"/>
      <c r="C346" s="60"/>
      <c r="D346" s="60"/>
      <c r="E346" s="60"/>
      <c r="F346" s="60"/>
      <c r="H346" s="60"/>
      <c r="J346" s="72"/>
      <c r="L346" s="72"/>
      <c r="N346" s="60"/>
      <c r="P346" s="72"/>
      <c r="R346" s="72"/>
      <c r="T346" s="60"/>
      <c r="V346" s="72"/>
      <c r="X346" s="72"/>
      <c r="Z346" s="60"/>
      <c r="AB346" s="72"/>
      <c r="AD346" s="72"/>
      <c r="AG346" s="60"/>
    </row>
    <row r="347" spans="1:33" s="119" customFormat="1" ht="15">
      <c r="A347" s="60"/>
      <c r="B347" s="60"/>
      <c r="C347" s="60"/>
      <c r="D347" s="60"/>
      <c r="E347" s="60"/>
      <c r="F347" s="60"/>
      <c r="H347" s="60"/>
      <c r="J347" s="72"/>
      <c r="L347" s="72"/>
      <c r="N347" s="60"/>
      <c r="P347" s="72"/>
      <c r="R347" s="72"/>
      <c r="T347" s="60"/>
      <c r="V347" s="72"/>
      <c r="X347" s="72"/>
      <c r="Z347" s="60"/>
      <c r="AB347" s="72"/>
      <c r="AD347" s="72"/>
      <c r="AG347" s="60"/>
    </row>
    <row r="348" spans="1:33" s="119" customFormat="1" ht="15">
      <c r="A348" s="60"/>
      <c r="B348" s="60"/>
      <c r="C348" s="60"/>
      <c r="D348" s="60"/>
      <c r="E348" s="60"/>
      <c r="F348" s="60"/>
      <c r="H348" s="60"/>
      <c r="J348" s="72"/>
      <c r="L348" s="72"/>
      <c r="N348" s="60"/>
      <c r="P348" s="72"/>
      <c r="R348" s="72"/>
      <c r="T348" s="60"/>
      <c r="V348" s="72"/>
      <c r="X348" s="72"/>
      <c r="Z348" s="60"/>
      <c r="AB348" s="72"/>
      <c r="AD348" s="72"/>
      <c r="AG348" s="60"/>
    </row>
    <row r="349" spans="1:33" s="119" customFormat="1" ht="15">
      <c r="A349" s="60"/>
      <c r="B349" s="60"/>
      <c r="C349" s="60"/>
      <c r="D349" s="60"/>
      <c r="E349" s="60"/>
      <c r="F349" s="60"/>
      <c r="H349" s="60"/>
      <c r="J349" s="72"/>
      <c r="L349" s="72"/>
      <c r="N349" s="60"/>
      <c r="P349" s="72"/>
      <c r="R349" s="72"/>
      <c r="T349" s="60"/>
      <c r="V349" s="72"/>
      <c r="X349" s="72"/>
      <c r="Z349" s="60"/>
      <c r="AB349" s="72"/>
      <c r="AD349" s="72"/>
      <c r="AG349" s="60"/>
    </row>
    <row r="350" spans="1:33" s="119" customFormat="1" ht="15">
      <c r="A350" s="60"/>
      <c r="B350" s="60"/>
      <c r="C350" s="60"/>
      <c r="D350" s="60"/>
      <c r="E350" s="60"/>
      <c r="F350" s="60"/>
      <c r="H350" s="60"/>
      <c r="J350" s="72"/>
      <c r="L350" s="72"/>
      <c r="N350" s="60"/>
      <c r="P350" s="72"/>
      <c r="R350" s="72"/>
      <c r="T350" s="60"/>
      <c r="V350" s="72"/>
      <c r="X350" s="72"/>
      <c r="Z350" s="60"/>
      <c r="AB350" s="72"/>
      <c r="AD350" s="72"/>
      <c r="AG350" s="60"/>
    </row>
    <row r="351" spans="1:33" s="119" customFormat="1" ht="15">
      <c r="A351" s="60"/>
      <c r="B351" s="60"/>
      <c r="C351" s="60"/>
      <c r="D351" s="60"/>
      <c r="E351" s="60"/>
      <c r="F351" s="60"/>
      <c r="H351" s="60"/>
      <c r="J351" s="72"/>
      <c r="L351" s="72"/>
      <c r="N351" s="60"/>
      <c r="P351" s="72"/>
      <c r="R351" s="72"/>
      <c r="T351" s="60"/>
      <c r="V351" s="72"/>
      <c r="X351" s="72"/>
      <c r="Z351" s="60"/>
      <c r="AB351" s="72"/>
      <c r="AD351" s="72"/>
      <c r="AG351" s="60"/>
    </row>
    <row r="352" spans="1:33" s="119" customFormat="1" ht="15">
      <c r="A352" s="60"/>
      <c r="B352" s="60"/>
      <c r="C352" s="60"/>
      <c r="D352" s="60"/>
      <c r="E352" s="60"/>
      <c r="F352" s="60"/>
      <c r="H352" s="60"/>
      <c r="J352" s="72"/>
      <c r="L352" s="72"/>
      <c r="N352" s="60"/>
      <c r="P352" s="72"/>
      <c r="R352" s="72"/>
      <c r="T352" s="60"/>
      <c r="V352" s="72"/>
      <c r="X352" s="72"/>
      <c r="Z352" s="60"/>
      <c r="AB352" s="72"/>
      <c r="AD352" s="72"/>
      <c r="AG352" s="60"/>
    </row>
    <row r="353" spans="1:33" s="119" customFormat="1" ht="15">
      <c r="A353" s="60"/>
      <c r="B353" s="60"/>
      <c r="C353" s="60"/>
      <c r="D353" s="60"/>
      <c r="E353" s="60"/>
      <c r="F353" s="60"/>
      <c r="H353" s="60"/>
      <c r="J353" s="72"/>
      <c r="L353" s="72"/>
      <c r="N353" s="60"/>
      <c r="P353" s="72"/>
      <c r="R353" s="72"/>
      <c r="T353" s="60"/>
      <c r="V353" s="72"/>
      <c r="X353" s="72"/>
      <c r="Z353" s="60"/>
      <c r="AB353" s="72"/>
      <c r="AD353" s="72"/>
      <c r="AG353" s="60"/>
    </row>
    <row r="354" spans="1:33" s="119" customFormat="1" ht="15">
      <c r="A354" s="60"/>
      <c r="B354" s="60"/>
      <c r="C354" s="60"/>
      <c r="D354" s="60"/>
      <c r="E354" s="60"/>
      <c r="F354" s="60"/>
      <c r="H354" s="60"/>
      <c r="J354" s="72"/>
      <c r="L354" s="72"/>
      <c r="N354" s="60"/>
      <c r="P354" s="72"/>
      <c r="R354" s="72"/>
      <c r="T354" s="60"/>
      <c r="V354" s="72"/>
      <c r="X354" s="72"/>
      <c r="Z354" s="60"/>
      <c r="AB354" s="72"/>
      <c r="AD354" s="72"/>
      <c r="AG354" s="60"/>
    </row>
    <row r="355" spans="1:33" s="119" customFormat="1" ht="15">
      <c r="A355" s="60"/>
      <c r="B355" s="60"/>
      <c r="C355" s="60"/>
      <c r="D355" s="60"/>
      <c r="E355" s="60"/>
      <c r="F355" s="60"/>
      <c r="H355" s="60"/>
      <c r="J355" s="72"/>
      <c r="L355" s="72"/>
      <c r="N355" s="60"/>
      <c r="P355" s="72"/>
      <c r="R355" s="72"/>
      <c r="T355" s="60"/>
      <c r="V355" s="72"/>
      <c r="X355" s="72"/>
      <c r="Z355" s="60"/>
      <c r="AB355" s="72"/>
      <c r="AD355" s="72"/>
      <c r="AG355" s="60"/>
    </row>
    <row r="356" spans="1:33" s="119" customFormat="1" ht="15">
      <c r="A356" s="60"/>
      <c r="B356" s="60"/>
      <c r="C356" s="60"/>
      <c r="D356" s="60"/>
      <c r="E356" s="60"/>
      <c r="F356" s="60"/>
      <c r="H356" s="60"/>
      <c r="J356" s="72"/>
      <c r="L356" s="72"/>
      <c r="N356" s="60"/>
      <c r="P356" s="72"/>
      <c r="R356" s="72"/>
      <c r="T356" s="60"/>
      <c r="V356" s="72"/>
      <c r="X356" s="72"/>
      <c r="Z356" s="60"/>
      <c r="AB356" s="72"/>
      <c r="AD356" s="72"/>
      <c r="AG356" s="60"/>
    </row>
    <row r="357" spans="1:33" s="119" customFormat="1" ht="15">
      <c r="A357" s="60"/>
      <c r="B357" s="60"/>
      <c r="C357" s="60"/>
      <c r="D357" s="60"/>
      <c r="E357" s="60"/>
      <c r="F357" s="60"/>
      <c r="H357" s="60"/>
      <c r="J357" s="72"/>
      <c r="L357" s="72"/>
      <c r="N357" s="60"/>
      <c r="P357" s="72"/>
      <c r="R357" s="72"/>
      <c r="T357" s="60"/>
      <c r="V357" s="72"/>
      <c r="X357" s="72"/>
      <c r="Z357" s="60"/>
      <c r="AB357" s="72"/>
      <c r="AD357" s="72"/>
      <c r="AG357" s="60"/>
    </row>
    <row r="358" spans="1:33" s="119" customFormat="1" ht="15">
      <c r="A358" s="60"/>
      <c r="B358" s="60"/>
      <c r="C358" s="60"/>
      <c r="D358" s="60"/>
      <c r="E358" s="60"/>
      <c r="F358" s="60"/>
      <c r="H358" s="60"/>
      <c r="J358" s="72"/>
      <c r="L358" s="72"/>
      <c r="N358" s="60"/>
      <c r="P358" s="72"/>
      <c r="R358" s="72"/>
      <c r="T358" s="60"/>
      <c r="V358" s="72"/>
      <c r="X358" s="72"/>
      <c r="Z358" s="60"/>
      <c r="AB358" s="72"/>
      <c r="AD358" s="72"/>
      <c r="AG358" s="60"/>
    </row>
    <row r="359" spans="1:33" s="119" customFormat="1" ht="15">
      <c r="A359" s="60"/>
      <c r="B359" s="60"/>
      <c r="C359" s="60"/>
      <c r="D359" s="60"/>
      <c r="E359" s="60"/>
      <c r="F359" s="60"/>
      <c r="H359" s="60"/>
      <c r="J359" s="72"/>
      <c r="L359" s="72"/>
      <c r="N359" s="60"/>
      <c r="P359" s="72"/>
      <c r="R359" s="72"/>
      <c r="T359" s="60"/>
      <c r="V359" s="72"/>
      <c r="X359" s="72"/>
      <c r="Z359" s="60"/>
      <c r="AB359" s="72"/>
      <c r="AD359" s="72"/>
      <c r="AG359" s="60"/>
    </row>
    <row r="360" spans="1:33" s="119" customFormat="1" ht="15">
      <c r="A360" s="60"/>
      <c r="B360" s="60"/>
      <c r="C360" s="60"/>
      <c r="D360" s="60"/>
      <c r="E360" s="60"/>
      <c r="F360" s="60"/>
      <c r="H360" s="60"/>
      <c r="J360" s="72"/>
      <c r="L360" s="72"/>
      <c r="N360" s="60"/>
      <c r="P360" s="72"/>
      <c r="R360" s="72"/>
      <c r="T360" s="60"/>
      <c r="V360" s="72"/>
      <c r="X360" s="72"/>
      <c r="Z360" s="60"/>
      <c r="AB360" s="72"/>
      <c r="AD360" s="72"/>
      <c r="AG360" s="60"/>
    </row>
    <row r="361" spans="1:33" s="119" customFormat="1" ht="15">
      <c r="A361" s="60"/>
      <c r="B361" s="60"/>
      <c r="C361" s="60"/>
      <c r="D361" s="60"/>
      <c r="E361" s="60"/>
      <c r="F361" s="60"/>
      <c r="H361" s="60"/>
      <c r="J361" s="72"/>
      <c r="L361" s="72"/>
      <c r="N361" s="60"/>
      <c r="P361" s="72"/>
      <c r="R361" s="72"/>
      <c r="T361" s="60"/>
      <c r="V361" s="72"/>
      <c r="X361" s="72"/>
      <c r="Z361" s="60"/>
      <c r="AB361" s="72"/>
      <c r="AD361" s="72"/>
      <c r="AG361" s="60"/>
    </row>
    <row r="362" spans="1:33" s="119" customFormat="1" ht="15">
      <c r="A362" s="60"/>
      <c r="B362" s="60"/>
      <c r="C362" s="60"/>
      <c r="D362" s="60"/>
      <c r="E362" s="60"/>
      <c r="F362" s="60"/>
      <c r="H362" s="60"/>
      <c r="J362" s="72"/>
      <c r="L362" s="72"/>
      <c r="N362" s="60"/>
      <c r="P362" s="72"/>
      <c r="R362" s="72"/>
      <c r="T362" s="60"/>
      <c r="V362" s="72"/>
      <c r="X362" s="72"/>
      <c r="Z362" s="60"/>
      <c r="AB362" s="72"/>
      <c r="AD362" s="72"/>
      <c r="AG362" s="60"/>
    </row>
    <row r="363" spans="1:33" s="119" customFormat="1" ht="15">
      <c r="A363" s="60"/>
      <c r="B363" s="60"/>
      <c r="C363" s="60"/>
      <c r="D363" s="60"/>
      <c r="E363" s="60"/>
      <c r="F363" s="60"/>
      <c r="H363" s="60"/>
      <c r="J363" s="72"/>
      <c r="L363" s="72"/>
      <c r="N363" s="60"/>
      <c r="P363" s="72"/>
      <c r="R363" s="72"/>
      <c r="T363" s="60"/>
      <c r="V363" s="72"/>
      <c r="X363" s="72"/>
      <c r="Z363" s="60"/>
      <c r="AB363" s="72"/>
      <c r="AD363" s="72"/>
      <c r="AG363" s="60"/>
    </row>
    <row r="364" spans="1:33" s="119" customFormat="1" ht="15">
      <c r="A364" s="60"/>
      <c r="B364" s="60"/>
      <c r="C364" s="60"/>
      <c r="D364" s="60"/>
      <c r="E364" s="60"/>
      <c r="F364" s="60"/>
      <c r="H364" s="60"/>
      <c r="J364" s="72"/>
      <c r="L364" s="72"/>
      <c r="N364" s="60"/>
      <c r="P364" s="72"/>
      <c r="R364" s="72"/>
      <c r="T364" s="60"/>
      <c r="V364" s="72"/>
      <c r="X364" s="72"/>
      <c r="Z364" s="60"/>
      <c r="AB364" s="72"/>
      <c r="AD364" s="72"/>
      <c r="AG364" s="60"/>
    </row>
    <row r="365" spans="1:33" s="119" customFormat="1" ht="15">
      <c r="A365" s="60"/>
      <c r="B365" s="60"/>
      <c r="C365" s="60"/>
      <c r="D365" s="60"/>
      <c r="E365" s="60"/>
      <c r="F365" s="60"/>
      <c r="H365" s="60"/>
      <c r="J365" s="72"/>
      <c r="L365" s="72"/>
      <c r="N365" s="60"/>
      <c r="P365" s="72"/>
      <c r="R365" s="72"/>
      <c r="T365" s="60"/>
      <c r="V365" s="72"/>
      <c r="X365" s="72"/>
      <c r="Z365" s="60"/>
      <c r="AB365" s="72"/>
      <c r="AD365" s="72"/>
      <c r="AG365" s="60"/>
    </row>
    <row r="366" spans="1:33" s="119" customFormat="1" ht="15">
      <c r="A366" s="60"/>
      <c r="B366" s="60"/>
      <c r="C366" s="60"/>
      <c r="D366" s="60"/>
      <c r="E366" s="60"/>
      <c r="F366" s="60"/>
      <c r="H366" s="60"/>
      <c r="J366" s="72"/>
      <c r="L366" s="72"/>
      <c r="N366" s="60"/>
      <c r="P366" s="72"/>
      <c r="R366" s="72"/>
      <c r="T366" s="60"/>
      <c r="V366" s="72"/>
      <c r="X366" s="72"/>
      <c r="Z366" s="60"/>
      <c r="AB366" s="72"/>
      <c r="AD366" s="72"/>
      <c r="AG366" s="60"/>
    </row>
    <row r="367" spans="1:33" s="119" customFormat="1" ht="15">
      <c r="A367" s="60"/>
      <c r="B367" s="60"/>
      <c r="C367" s="60"/>
      <c r="D367" s="60"/>
      <c r="E367" s="60"/>
      <c r="F367" s="60"/>
      <c r="H367" s="60"/>
      <c r="J367" s="72"/>
      <c r="L367" s="72"/>
      <c r="N367" s="60"/>
      <c r="P367" s="72"/>
      <c r="R367" s="72"/>
      <c r="T367" s="60"/>
      <c r="V367" s="72"/>
      <c r="X367" s="72"/>
      <c r="Z367" s="60"/>
      <c r="AB367" s="72"/>
      <c r="AD367" s="72"/>
      <c r="AG367" s="60"/>
    </row>
    <row r="368" spans="1:33" s="119" customFormat="1" ht="15">
      <c r="A368" s="60"/>
      <c r="B368" s="60"/>
      <c r="C368" s="60"/>
      <c r="D368" s="60"/>
      <c r="E368" s="60"/>
      <c r="F368" s="60"/>
      <c r="H368" s="60"/>
      <c r="J368" s="72"/>
      <c r="L368" s="72"/>
      <c r="N368" s="60"/>
      <c r="P368" s="72"/>
      <c r="R368" s="72"/>
      <c r="T368" s="60"/>
      <c r="V368" s="72"/>
      <c r="X368" s="72"/>
      <c r="Z368" s="60"/>
      <c r="AB368" s="72"/>
      <c r="AD368" s="72"/>
      <c r="AG368" s="60"/>
    </row>
    <row r="369" spans="1:33" s="119" customFormat="1" ht="15">
      <c r="A369" s="60"/>
      <c r="B369" s="60"/>
      <c r="C369" s="60"/>
      <c r="D369" s="60"/>
      <c r="E369" s="60"/>
      <c r="F369" s="60"/>
      <c r="H369" s="60"/>
      <c r="J369" s="72"/>
      <c r="L369" s="72"/>
      <c r="N369" s="60"/>
      <c r="P369" s="72"/>
      <c r="R369" s="72"/>
      <c r="T369" s="60"/>
      <c r="V369" s="72"/>
      <c r="X369" s="72"/>
      <c r="Z369" s="60"/>
      <c r="AB369" s="72"/>
      <c r="AD369" s="72"/>
      <c r="AG369" s="60"/>
    </row>
    <row r="370" spans="1:33" s="119" customFormat="1" ht="15">
      <c r="A370" s="60"/>
      <c r="B370" s="60"/>
      <c r="C370" s="60"/>
      <c r="D370" s="60"/>
      <c r="E370" s="60"/>
      <c r="F370" s="60"/>
      <c r="H370" s="60"/>
      <c r="J370" s="72"/>
      <c r="L370" s="72"/>
      <c r="N370" s="60"/>
      <c r="P370" s="72"/>
      <c r="R370" s="72"/>
      <c r="T370" s="60"/>
      <c r="V370" s="72"/>
      <c r="X370" s="72"/>
      <c r="Z370" s="60"/>
      <c r="AB370" s="72"/>
      <c r="AD370" s="72"/>
      <c r="AG370" s="60"/>
    </row>
    <row r="371" spans="1:33" s="119" customFormat="1" ht="15">
      <c r="A371" s="60"/>
      <c r="B371" s="60"/>
      <c r="C371" s="60"/>
      <c r="D371" s="60"/>
      <c r="E371" s="60"/>
      <c r="F371" s="60"/>
      <c r="H371" s="60"/>
      <c r="J371" s="72"/>
      <c r="L371" s="72"/>
      <c r="N371" s="60"/>
      <c r="P371" s="72"/>
      <c r="R371" s="72"/>
      <c r="T371" s="60"/>
      <c r="V371" s="72"/>
      <c r="X371" s="72"/>
      <c r="Z371" s="60"/>
      <c r="AB371" s="72"/>
      <c r="AD371" s="72"/>
      <c r="AG371" s="60"/>
    </row>
    <row r="372" spans="1:33" s="119" customFormat="1" ht="15">
      <c r="A372" s="60"/>
      <c r="B372" s="60"/>
      <c r="C372" s="60"/>
      <c r="D372" s="60"/>
      <c r="E372" s="60"/>
      <c r="F372" s="60"/>
      <c r="H372" s="60"/>
      <c r="J372" s="72"/>
      <c r="L372" s="72"/>
      <c r="N372" s="60"/>
      <c r="P372" s="72"/>
      <c r="R372" s="72"/>
      <c r="T372" s="60"/>
      <c r="V372" s="72"/>
      <c r="X372" s="72"/>
      <c r="Z372" s="60"/>
      <c r="AB372" s="72"/>
      <c r="AD372" s="72"/>
      <c r="AG372" s="60"/>
    </row>
    <row r="373" spans="1:33" s="119" customFormat="1" ht="15">
      <c r="A373" s="60"/>
      <c r="B373" s="60"/>
      <c r="C373" s="60"/>
      <c r="D373" s="60"/>
      <c r="E373" s="60"/>
      <c r="F373" s="60"/>
      <c r="H373" s="60"/>
      <c r="J373" s="72"/>
      <c r="L373" s="72"/>
      <c r="N373" s="60"/>
      <c r="P373" s="72"/>
      <c r="R373" s="72"/>
      <c r="T373" s="60"/>
      <c r="V373" s="72"/>
      <c r="X373" s="72"/>
      <c r="Z373" s="60"/>
      <c r="AB373" s="72"/>
      <c r="AD373" s="72"/>
      <c r="AG373" s="60"/>
    </row>
    <row r="374" spans="1:33" s="119" customFormat="1" ht="15">
      <c r="A374" s="60"/>
      <c r="B374" s="60"/>
      <c r="C374" s="60"/>
      <c r="D374" s="60"/>
      <c r="E374" s="60"/>
      <c r="F374" s="60"/>
      <c r="H374" s="60"/>
      <c r="J374" s="72"/>
      <c r="L374" s="72"/>
      <c r="N374" s="60"/>
      <c r="P374" s="72"/>
      <c r="R374" s="72"/>
      <c r="T374" s="60"/>
      <c r="V374" s="72"/>
      <c r="X374" s="72"/>
      <c r="Z374" s="60"/>
      <c r="AB374" s="72"/>
      <c r="AD374" s="72"/>
      <c r="AG374" s="60"/>
    </row>
    <row r="375" spans="1:33" s="119" customFormat="1" ht="15">
      <c r="A375" s="60"/>
      <c r="B375" s="60"/>
      <c r="C375" s="60"/>
      <c r="D375" s="60"/>
      <c r="E375" s="60"/>
      <c r="F375" s="60"/>
      <c r="H375" s="60"/>
      <c r="J375" s="72"/>
      <c r="L375" s="72"/>
      <c r="N375" s="60"/>
      <c r="P375" s="72"/>
      <c r="R375" s="72"/>
      <c r="T375" s="60"/>
      <c r="V375" s="72"/>
      <c r="X375" s="72"/>
      <c r="Z375" s="60"/>
      <c r="AB375" s="72"/>
      <c r="AD375" s="72"/>
      <c r="AG375" s="60"/>
    </row>
    <row r="376" spans="1:33" s="119" customFormat="1" ht="15">
      <c r="A376" s="60"/>
      <c r="B376" s="60"/>
      <c r="C376" s="60"/>
      <c r="D376" s="60"/>
      <c r="E376" s="60"/>
      <c r="F376" s="60"/>
      <c r="H376" s="60"/>
      <c r="J376" s="72"/>
      <c r="L376" s="72"/>
      <c r="N376" s="60"/>
      <c r="P376" s="72"/>
      <c r="R376" s="72"/>
      <c r="T376" s="60"/>
      <c r="V376" s="72"/>
      <c r="X376" s="72"/>
      <c r="Z376" s="60"/>
      <c r="AB376" s="72"/>
      <c r="AD376" s="72"/>
      <c r="AG376" s="60"/>
    </row>
    <row r="377" spans="1:33" s="119" customFormat="1" ht="15">
      <c r="A377" s="60"/>
      <c r="B377" s="60"/>
      <c r="C377" s="60"/>
      <c r="D377" s="60"/>
      <c r="E377" s="60"/>
      <c r="F377" s="60"/>
      <c r="H377" s="60"/>
      <c r="J377" s="72"/>
      <c r="L377" s="72"/>
      <c r="N377" s="60"/>
      <c r="P377" s="72"/>
      <c r="R377" s="72"/>
      <c r="T377" s="60"/>
      <c r="V377" s="72"/>
      <c r="X377" s="72"/>
      <c r="Z377" s="60"/>
      <c r="AB377" s="72"/>
      <c r="AD377" s="72"/>
      <c r="AG377" s="60"/>
    </row>
    <row r="378" spans="1:33" s="119" customFormat="1" ht="15">
      <c r="A378" s="60"/>
      <c r="B378" s="60"/>
      <c r="C378" s="60"/>
      <c r="D378" s="60"/>
      <c r="E378" s="60"/>
      <c r="F378" s="60"/>
      <c r="H378" s="60"/>
      <c r="J378" s="72"/>
      <c r="L378" s="72"/>
      <c r="N378" s="60"/>
      <c r="P378" s="72"/>
      <c r="R378" s="72"/>
      <c r="T378" s="60"/>
      <c r="V378" s="72"/>
      <c r="X378" s="72"/>
      <c r="Z378" s="60"/>
      <c r="AB378" s="72"/>
      <c r="AD378" s="72"/>
      <c r="AG378" s="60"/>
    </row>
    <row r="379" spans="1:33" s="119" customFormat="1" ht="15">
      <c r="A379" s="60"/>
      <c r="B379" s="60"/>
      <c r="C379" s="60"/>
      <c r="D379" s="60"/>
      <c r="E379" s="60"/>
      <c r="F379" s="60"/>
      <c r="H379" s="60"/>
      <c r="J379" s="72"/>
      <c r="L379" s="72"/>
      <c r="N379" s="60"/>
      <c r="P379" s="72"/>
      <c r="R379" s="72"/>
      <c r="T379" s="60"/>
      <c r="V379" s="72"/>
      <c r="X379" s="72"/>
      <c r="Z379" s="60"/>
      <c r="AB379" s="72"/>
      <c r="AD379" s="72"/>
      <c r="AG379" s="60"/>
    </row>
    <row r="380" spans="1:33" s="119" customFormat="1" ht="15">
      <c r="A380" s="60"/>
      <c r="B380" s="60"/>
      <c r="C380" s="60"/>
      <c r="D380" s="60"/>
      <c r="E380" s="60"/>
      <c r="F380" s="60"/>
      <c r="H380" s="60"/>
      <c r="J380" s="72"/>
      <c r="L380" s="72"/>
      <c r="N380" s="60"/>
      <c r="P380" s="72"/>
      <c r="R380" s="72"/>
      <c r="T380" s="60"/>
      <c r="V380" s="72"/>
      <c r="X380" s="72"/>
      <c r="Z380" s="60"/>
      <c r="AB380" s="72"/>
      <c r="AD380" s="72"/>
      <c r="AG380" s="60"/>
    </row>
    <row r="381" spans="1:33" s="119" customFormat="1" ht="15">
      <c r="A381" s="60"/>
      <c r="B381" s="60"/>
      <c r="C381" s="60"/>
      <c r="D381" s="60"/>
      <c r="E381" s="60"/>
      <c r="F381" s="60"/>
      <c r="H381" s="60"/>
      <c r="J381" s="72"/>
      <c r="L381" s="72"/>
      <c r="N381" s="60"/>
      <c r="P381" s="72"/>
      <c r="R381" s="72"/>
      <c r="T381" s="60"/>
      <c r="V381" s="72"/>
      <c r="X381" s="72"/>
      <c r="Z381" s="60"/>
      <c r="AB381" s="72"/>
      <c r="AD381" s="72"/>
      <c r="AG381" s="60"/>
    </row>
    <row r="382" spans="1:33" s="119" customFormat="1" ht="15">
      <c r="A382" s="60"/>
      <c r="B382" s="60"/>
      <c r="C382" s="60"/>
      <c r="D382" s="60"/>
      <c r="E382" s="60"/>
      <c r="F382" s="60"/>
      <c r="H382" s="60"/>
      <c r="J382" s="72"/>
      <c r="L382" s="72"/>
      <c r="N382" s="60"/>
      <c r="P382" s="72"/>
      <c r="R382" s="72"/>
      <c r="T382" s="60"/>
      <c r="V382" s="72"/>
      <c r="X382" s="72"/>
      <c r="Z382" s="60"/>
      <c r="AB382" s="72"/>
      <c r="AD382" s="72"/>
      <c r="AG382" s="60"/>
    </row>
    <row r="383" spans="1:33" s="119" customFormat="1" ht="15">
      <c r="A383" s="60"/>
      <c r="B383" s="60"/>
      <c r="C383" s="60"/>
      <c r="D383" s="60"/>
      <c r="E383" s="60"/>
      <c r="F383" s="60"/>
      <c r="H383" s="60"/>
      <c r="J383" s="72"/>
      <c r="L383" s="72"/>
      <c r="N383" s="60"/>
      <c r="P383" s="72"/>
      <c r="R383" s="72"/>
      <c r="T383" s="60"/>
      <c r="V383" s="72"/>
      <c r="X383" s="72"/>
      <c r="Z383" s="60"/>
      <c r="AB383" s="72"/>
      <c r="AD383" s="72"/>
      <c r="AG383" s="60"/>
    </row>
    <row r="384" spans="1:33" s="119" customFormat="1" ht="15">
      <c r="A384" s="60"/>
      <c r="B384" s="60"/>
      <c r="C384" s="60"/>
      <c r="D384" s="60"/>
      <c r="E384" s="60"/>
      <c r="F384" s="60"/>
      <c r="H384" s="60"/>
      <c r="J384" s="72"/>
      <c r="L384" s="72"/>
      <c r="N384" s="60"/>
      <c r="P384" s="72"/>
      <c r="R384" s="72"/>
      <c r="T384" s="60"/>
      <c r="V384" s="72"/>
      <c r="X384" s="72"/>
      <c r="Z384" s="60"/>
      <c r="AB384" s="72"/>
      <c r="AD384" s="72"/>
      <c r="AG384" s="60"/>
    </row>
    <row r="385" spans="1:33" s="119" customFormat="1" ht="15">
      <c r="A385" s="60"/>
      <c r="B385" s="60"/>
      <c r="C385" s="60"/>
      <c r="D385" s="60"/>
      <c r="E385" s="60"/>
      <c r="F385" s="60"/>
      <c r="H385" s="60"/>
      <c r="J385" s="72"/>
      <c r="L385" s="72"/>
      <c r="N385" s="60"/>
      <c r="P385" s="72"/>
      <c r="R385" s="72"/>
      <c r="T385" s="60"/>
      <c r="V385" s="72"/>
      <c r="X385" s="72"/>
      <c r="Z385" s="60"/>
      <c r="AB385" s="72"/>
      <c r="AD385" s="72"/>
      <c r="AG385" s="60"/>
    </row>
    <row r="386" spans="1:33" s="119" customFormat="1" ht="15">
      <c r="A386" s="60"/>
      <c r="B386" s="60"/>
      <c r="C386" s="60"/>
      <c r="D386" s="60"/>
      <c r="E386" s="60"/>
      <c r="F386" s="60"/>
      <c r="H386" s="60"/>
      <c r="J386" s="72"/>
      <c r="L386" s="72"/>
      <c r="N386" s="60"/>
      <c r="P386" s="72"/>
      <c r="R386" s="72"/>
      <c r="T386" s="60"/>
      <c r="V386" s="72"/>
      <c r="X386" s="72"/>
      <c r="Z386" s="60"/>
      <c r="AB386" s="72"/>
      <c r="AD386" s="72"/>
      <c r="AG386" s="60"/>
    </row>
    <row r="387" spans="1:33" s="119" customFormat="1" ht="15">
      <c r="A387" s="60"/>
      <c r="B387" s="60"/>
      <c r="C387" s="60"/>
      <c r="D387" s="60"/>
      <c r="E387" s="60"/>
      <c r="F387" s="60"/>
      <c r="H387" s="60"/>
      <c r="J387" s="72"/>
      <c r="L387" s="72"/>
      <c r="N387" s="60"/>
      <c r="P387" s="72"/>
      <c r="R387" s="72"/>
      <c r="T387" s="60"/>
      <c r="V387" s="72"/>
      <c r="X387" s="72"/>
      <c r="Z387" s="60"/>
      <c r="AB387" s="72"/>
      <c r="AD387" s="72"/>
      <c r="AG387" s="60"/>
    </row>
    <row r="388" spans="1:33" s="119" customFormat="1" ht="15">
      <c r="A388" s="60"/>
      <c r="B388" s="60"/>
      <c r="C388" s="60"/>
      <c r="D388" s="60"/>
      <c r="E388" s="60"/>
      <c r="F388" s="60"/>
      <c r="H388" s="60"/>
      <c r="J388" s="72"/>
      <c r="L388" s="72"/>
      <c r="N388" s="60"/>
      <c r="P388" s="72"/>
      <c r="R388" s="72"/>
      <c r="T388" s="60"/>
      <c r="V388" s="72"/>
      <c r="X388" s="72"/>
      <c r="Z388" s="60"/>
      <c r="AB388" s="72"/>
      <c r="AD388" s="72"/>
      <c r="AG388" s="60"/>
    </row>
    <row r="389" spans="1:33" s="119" customFormat="1" ht="15">
      <c r="A389" s="60"/>
      <c r="B389" s="60"/>
      <c r="C389" s="60"/>
      <c r="D389" s="60"/>
      <c r="E389" s="60"/>
      <c r="F389" s="60"/>
      <c r="H389" s="60"/>
      <c r="J389" s="72"/>
      <c r="L389" s="72"/>
      <c r="N389" s="60"/>
      <c r="P389" s="72"/>
      <c r="R389" s="72"/>
      <c r="T389" s="60"/>
      <c r="V389" s="72"/>
      <c r="X389" s="72"/>
      <c r="Z389" s="60"/>
      <c r="AB389" s="72"/>
      <c r="AD389" s="72"/>
      <c r="AG389" s="60"/>
    </row>
    <row r="390" spans="1:33" s="119" customFormat="1" ht="15">
      <c r="A390" s="60"/>
      <c r="B390" s="60"/>
      <c r="C390" s="60"/>
      <c r="D390" s="60"/>
      <c r="E390" s="60"/>
      <c r="F390" s="60"/>
      <c r="H390" s="60"/>
      <c r="J390" s="72"/>
      <c r="L390" s="72"/>
      <c r="N390" s="60"/>
      <c r="P390" s="72"/>
      <c r="R390" s="72"/>
      <c r="T390" s="60"/>
      <c r="V390" s="72"/>
      <c r="X390" s="72"/>
      <c r="Z390" s="60"/>
      <c r="AB390" s="72"/>
      <c r="AD390" s="72"/>
      <c r="AG390" s="60"/>
    </row>
    <row r="391" spans="1:33" s="119" customFormat="1" ht="15">
      <c r="A391" s="60"/>
      <c r="B391" s="60"/>
      <c r="C391" s="60"/>
      <c r="D391" s="60"/>
      <c r="E391" s="60"/>
      <c r="F391" s="60"/>
      <c r="H391" s="60"/>
      <c r="J391" s="72"/>
      <c r="L391" s="72"/>
      <c r="N391" s="60"/>
      <c r="P391" s="72"/>
      <c r="R391" s="72"/>
      <c r="T391" s="60"/>
      <c r="V391" s="72"/>
      <c r="X391" s="72"/>
      <c r="Z391" s="60"/>
      <c r="AB391" s="72"/>
      <c r="AD391" s="72"/>
      <c r="AG391" s="60"/>
    </row>
    <row r="392" spans="1:33" s="119" customFormat="1" ht="15">
      <c r="A392" s="60"/>
      <c r="B392" s="60"/>
      <c r="C392" s="60"/>
      <c r="D392" s="60"/>
      <c r="E392" s="60"/>
      <c r="F392" s="60"/>
      <c r="H392" s="60"/>
      <c r="J392" s="72"/>
      <c r="L392" s="72"/>
      <c r="N392" s="60"/>
      <c r="P392" s="72"/>
      <c r="R392" s="72"/>
      <c r="T392" s="60"/>
      <c r="V392" s="72"/>
      <c r="X392" s="72"/>
      <c r="Z392" s="60"/>
      <c r="AB392" s="72"/>
      <c r="AD392" s="72"/>
      <c r="AG392" s="60"/>
    </row>
    <row r="393" spans="1:33" s="119" customFormat="1" ht="15">
      <c r="A393" s="60"/>
      <c r="B393" s="60"/>
      <c r="C393" s="60"/>
      <c r="D393" s="60"/>
      <c r="E393" s="60"/>
      <c r="F393" s="60"/>
      <c r="H393" s="60"/>
      <c r="J393" s="72"/>
      <c r="L393" s="72"/>
      <c r="N393" s="60"/>
      <c r="P393" s="72"/>
      <c r="R393" s="72"/>
      <c r="T393" s="60"/>
      <c r="V393" s="72"/>
      <c r="X393" s="72"/>
      <c r="Z393" s="60"/>
      <c r="AB393" s="72"/>
      <c r="AD393" s="72"/>
      <c r="AG393" s="60"/>
    </row>
    <row r="394" spans="1:33" s="119" customFormat="1" ht="15">
      <c r="A394" s="60"/>
      <c r="B394" s="60"/>
      <c r="C394" s="60"/>
      <c r="D394" s="60"/>
      <c r="E394" s="60"/>
      <c r="F394" s="60"/>
      <c r="H394" s="60"/>
      <c r="J394" s="72"/>
      <c r="L394" s="72"/>
      <c r="N394" s="60"/>
      <c r="P394" s="72"/>
      <c r="R394" s="72"/>
      <c r="T394" s="60"/>
      <c r="V394" s="72"/>
      <c r="X394" s="72"/>
      <c r="Z394" s="60"/>
      <c r="AB394" s="72"/>
      <c r="AD394" s="72"/>
      <c r="AG394" s="60"/>
    </row>
    <row r="395" spans="1:33" s="119" customFormat="1" ht="15">
      <c r="A395" s="60"/>
      <c r="B395" s="60"/>
      <c r="C395" s="60"/>
      <c r="D395" s="60"/>
      <c r="E395" s="60"/>
      <c r="F395" s="60"/>
      <c r="H395" s="60"/>
      <c r="J395" s="72"/>
      <c r="L395" s="72"/>
      <c r="N395" s="60"/>
      <c r="P395" s="72"/>
      <c r="R395" s="72"/>
      <c r="T395" s="60"/>
      <c r="V395" s="72"/>
      <c r="X395" s="72"/>
      <c r="Z395" s="60"/>
      <c r="AB395" s="72"/>
      <c r="AD395" s="72"/>
      <c r="AG395" s="60"/>
    </row>
    <row r="396" spans="1:33" s="119" customFormat="1" ht="15">
      <c r="A396" s="60"/>
      <c r="B396" s="60"/>
      <c r="C396" s="60"/>
      <c r="D396" s="60"/>
      <c r="E396" s="60"/>
      <c r="F396" s="60"/>
      <c r="H396" s="60"/>
      <c r="J396" s="72"/>
      <c r="L396" s="72"/>
      <c r="N396" s="60"/>
      <c r="P396" s="72"/>
      <c r="R396" s="72"/>
      <c r="T396" s="60"/>
      <c r="V396" s="72"/>
      <c r="X396" s="72"/>
      <c r="Z396" s="60"/>
      <c r="AB396" s="72"/>
      <c r="AD396" s="72"/>
      <c r="AG396" s="60"/>
    </row>
    <row r="397" spans="1:33" s="119" customFormat="1" ht="15">
      <c r="A397" s="60"/>
      <c r="B397" s="60"/>
      <c r="C397" s="60"/>
      <c r="D397" s="60"/>
      <c r="E397" s="60"/>
      <c r="F397" s="60"/>
      <c r="H397" s="60"/>
      <c r="J397" s="72"/>
      <c r="L397" s="72"/>
      <c r="N397" s="60"/>
      <c r="P397" s="72"/>
      <c r="R397" s="72"/>
      <c r="T397" s="60"/>
      <c r="V397" s="72"/>
      <c r="X397" s="72"/>
      <c r="Z397" s="60"/>
      <c r="AB397" s="72"/>
      <c r="AD397" s="72"/>
      <c r="AG397" s="60"/>
    </row>
    <row r="398" spans="1:33" s="119" customFormat="1" ht="15">
      <c r="A398" s="60"/>
      <c r="B398" s="60"/>
      <c r="C398" s="60"/>
      <c r="D398" s="60"/>
      <c r="E398" s="60"/>
      <c r="F398" s="60"/>
      <c r="H398" s="60"/>
      <c r="J398" s="72"/>
      <c r="L398" s="72"/>
      <c r="N398" s="60"/>
      <c r="P398" s="72"/>
      <c r="R398" s="72"/>
      <c r="T398" s="60"/>
      <c r="V398" s="72"/>
      <c r="X398" s="72"/>
      <c r="Z398" s="60"/>
      <c r="AB398" s="72"/>
      <c r="AD398" s="72"/>
      <c r="AG398" s="60"/>
    </row>
    <row r="399" spans="1:33" s="119" customFormat="1" ht="15">
      <c r="A399" s="60"/>
      <c r="B399" s="60"/>
      <c r="C399" s="60"/>
      <c r="D399" s="60"/>
      <c r="E399" s="60"/>
      <c r="F399" s="60"/>
      <c r="H399" s="60"/>
      <c r="J399" s="72"/>
      <c r="L399" s="72"/>
      <c r="N399" s="60"/>
      <c r="P399" s="72"/>
      <c r="R399" s="72"/>
      <c r="T399" s="60"/>
      <c r="V399" s="72"/>
      <c r="X399" s="72"/>
      <c r="Z399" s="60"/>
      <c r="AB399" s="72"/>
      <c r="AD399" s="72"/>
      <c r="AG399" s="60"/>
    </row>
    <row r="400" spans="1:33" s="119" customFormat="1" ht="15">
      <c r="A400" s="60"/>
      <c r="B400" s="60"/>
      <c r="C400" s="60"/>
      <c r="D400" s="60"/>
      <c r="E400" s="60"/>
      <c r="F400" s="60"/>
      <c r="H400" s="60"/>
      <c r="J400" s="72"/>
      <c r="L400" s="72"/>
      <c r="N400" s="60"/>
      <c r="P400" s="72"/>
      <c r="R400" s="72"/>
      <c r="T400" s="60"/>
      <c r="V400" s="72"/>
      <c r="X400" s="72"/>
      <c r="Z400" s="60"/>
      <c r="AB400" s="72"/>
      <c r="AD400" s="72"/>
      <c r="AG400" s="60"/>
    </row>
    <row r="401" spans="1:33" s="119" customFormat="1" ht="15">
      <c r="A401" s="60"/>
      <c r="B401" s="60"/>
      <c r="C401" s="60"/>
      <c r="D401" s="60"/>
      <c r="E401" s="60"/>
      <c r="F401" s="60"/>
      <c r="H401" s="60"/>
      <c r="J401" s="72"/>
      <c r="L401" s="72"/>
      <c r="N401" s="60"/>
      <c r="P401" s="72"/>
      <c r="R401" s="72"/>
      <c r="T401" s="60"/>
      <c r="V401" s="72"/>
      <c r="X401" s="72"/>
      <c r="Z401" s="60"/>
      <c r="AB401" s="72"/>
      <c r="AD401" s="72"/>
      <c r="AG401" s="60"/>
    </row>
    <row r="402" spans="1:33" s="119" customFormat="1" ht="15">
      <c r="A402" s="60"/>
      <c r="B402" s="60"/>
      <c r="C402" s="60"/>
      <c r="D402" s="60"/>
      <c r="E402" s="60"/>
      <c r="F402" s="60"/>
      <c r="H402" s="60"/>
      <c r="J402" s="72"/>
      <c r="L402" s="72"/>
      <c r="N402" s="60"/>
      <c r="P402" s="72"/>
      <c r="R402" s="72"/>
      <c r="T402" s="60"/>
      <c r="V402" s="72"/>
      <c r="X402" s="72"/>
      <c r="Z402" s="60"/>
      <c r="AB402" s="72"/>
      <c r="AD402" s="72"/>
      <c r="AG402" s="60"/>
    </row>
    <row r="403" spans="1:33" s="119" customFormat="1" ht="15">
      <c r="A403" s="60"/>
      <c r="B403" s="60"/>
      <c r="C403" s="60"/>
      <c r="D403" s="60"/>
      <c r="E403" s="60"/>
      <c r="F403" s="60"/>
      <c r="H403" s="60"/>
      <c r="J403" s="72"/>
      <c r="L403" s="72"/>
      <c r="N403" s="60"/>
      <c r="P403" s="72"/>
      <c r="R403" s="72"/>
      <c r="T403" s="60"/>
      <c r="V403" s="72"/>
      <c r="X403" s="72"/>
      <c r="Z403" s="60"/>
      <c r="AB403" s="72"/>
      <c r="AD403" s="72"/>
      <c r="AG403" s="60"/>
    </row>
    <row r="404" spans="1:33" s="119" customFormat="1" ht="15">
      <c r="A404" s="60"/>
      <c r="B404" s="60"/>
      <c r="C404" s="60"/>
      <c r="D404" s="60"/>
      <c r="E404" s="60"/>
      <c r="F404" s="60"/>
      <c r="H404" s="60"/>
      <c r="J404" s="72"/>
      <c r="L404" s="72"/>
      <c r="N404" s="60"/>
      <c r="P404" s="72"/>
      <c r="R404" s="72"/>
      <c r="T404" s="60"/>
      <c r="V404" s="72"/>
      <c r="X404" s="72"/>
      <c r="Z404" s="60"/>
      <c r="AB404" s="72"/>
      <c r="AD404" s="72"/>
      <c r="AG404" s="60"/>
    </row>
    <row r="405" spans="1:33" s="119" customFormat="1" ht="15">
      <c r="A405" s="60"/>
      <c r="B405" s="60"/>
      <c r="C405" s="60"/>
      <c r="D405" s="60"/>
      <c r="E405" s="60"/>
      <c r="F405" s="60"/>
      <c r="H405" s="60"/>
      <c r="J405" s="72"/>
      <c r="L405" s="72"/>
      <c r="N405" s="60"/>
      <c r="P405" s="72"/>
      <c r="R405" s="72"/>
      <c r="T405" s="60"/>
      <c r="V405" s="72"/>
      <c r="X405" s="72"/>
      <c r="Z405" s="60"/>
      <c r="AB405" s="72"/>
      <c r="AD405" s="72"/>
      <c r="AG405" s="60"/>
    </row>
    <row r="406" spans="1:33" s="119" customFormat="1" ht="15">
      <c r="A406" s="60"/>
      <c r="B406" s="60"/>
      <c r="C406" s="60"/>
      <c r="D406" s="60"/>
      <c r="E406" s="60"/>
      <c r="F406" s="60"/>
      <c r="H406" s="60"/>
      <c r="J406" s="72"/>
      <c r="L406" s="72"/>
      <c r="N406" s="60"/>
      <c r="P406" s="72"/>
      <c r="R406" s="72"/>
      <c r="T406" s="60"/>
      <c r="V406" s="72"/>
      <c r="X406" s="72"/>
      <c r="Z406" s="60"/>
      <c r="AB406" s="72"/>
      <c r="AD406" s="72"/>
      <c r="AG406" s="60"/>
    </row>
    <row r="407" spans="1:33" s="119" customFormat="1" ht="15">
      <c r="A407" s="60"/>
      <c r="B407" s="60"/>
      <c r="C407" s="60"/>
      <c r="D407" s="60"/>
      <c r="E407" s="60"/>
      <c r="F407" s="60"/>
      <c r="H407" s="60"/>
      <c r="J407" s="72"/>
      <c r="L407" s="72"/>
      <c r="N407" s="60"/>
      <c r="P407" s="72"/>
      <c r="R407" s="72"/>
      <c r="T407" s="60"/>
      <c r="V407" s="72"/>
      <c r="X407" s="72"/>
      <c r="Z407" s="60"/>
      <c r="AB407" s="72"/>
      <c r="AD407" s="72"/>
      <c r="AG407" s="60"/>
    </row>
    <row r="408" spans="1:33" s="119" customFormat="1" ht="15">
      <c r="A408" s="60"/>
      <c r="B408" s="60"/>
      <c r="C408" s="60"/>
      <c r="D408" s="60"/>
      <c r="E408" s="60"/>
      <c r="F408" s="60"/>
      <c r="H408" s="60"/>
      <c r="J408" s="72"/>
      <c r="L408" s="72"/>
      <c r="N408" s="60"/>
      <c r="P408" s="72"/>
      <c r="R408" s="72"/>
      <c r="T408" s="60"/>
      <c r="V408" s="72"/>
      <c r="X408" s="72"/>
      <c r="Z408" s="60"/>
      <c r="AB408" s="72"/>
      <c r="AD408" s="72"/>
      <c r="AG408" s="60"/>
    </row>
    <row r="409" spans="1:33" s="119" customFormat="1" ht="15">
      <c r="A409" s="60"/>
      <c r="B409" s="60"/>
      <c r="C409" s="60"/>
      <c r="D409" s="60"/>
      <c r="E409" s="60"/>
      <c r="F409" s="60"/>
      <c r="H409" s="60"/>
      <c r="J409" s="72"/>
      <c r="L409" s="72"/>
      <c r="N409" s="60"/>
      <c r="P409" s="72"/>
      <c r="R409" s="72"/>
      <c r="T409" s="60"/>
      <c r="V409" s="72"/>
      <c r="X409" s="72"/>
      <c r="Z409" s="60"/>
      <c r="AB409" s="72"/>
      <c r="AD409" s="72"/>
      <c r="AG409" s="60"/>
    </row>
    <row r="410" spans="1:33" s="119" customFormat="1" ht="15">
      <c r="A410" s="60"/>
      <c r="B410" s="60"/>
      <c r="C410" s="60"/>
      <c r="D410" s="60"/>
      <c r="E410" s="60"/>
      <c r="F410" s="60"/>
      <c r="H410" s="60"/>
      <c r="J410" s="72"/>
      <c r="L410" s="72"/>
      <c r="N410" s="60"/>
      <c r="P410" s="72"/>
      <c r="R410" s="72"/>
      <c r="T410" s="60"/>
      <c r="V410" s="72"/>
      <c r="X410" s="72"/>
      <c r="Z410" s="60"/>
      <c r="AB410" s="72"/>
      <c r="AD410" s="72"/>
      <c r="AG410" s="60"/>
    </row>
    <row r="411" spans="1:33" s="119" customFormat="1" ht="15">
      <c r="A411" s="60"/>
      <c r="B411" s="60"/>
      <c r="C411" s="60"/>
      <c r="D411" s="60"/>
      <c r="E411" s="60"/>
      <c r="F411" s="60"/>
      <c r="H411" s="60"/>
      <c r="J411" s="72"/>
      <c r="L411" s="72"/>
      <c r="N411" s="60"/>
      <c r="P411" s="72"/>
      <c r="R411" s="72"/>
      <c r="T411" s="60"/>
      <c r="V411" s="72"/>
      <c r="X411" s="72"/>
      <c r="Z411" s="60"/>
      <c r="AB411" s="72"/>
      <c r="AD411" s="72"/>
      <c r="AG411" s="60"/>
    </row>
    <row r="412" spans="1:33" s="119" customFormat="1" ht="15">
      <c r="A412" s="60"/>
      <c r="B412" s="60"/>
      <c r="C412" s="60"/>
      <c r="D412" s="60"/>
      <c r="E412" s="60"/>
      <c r="F412" s="60"/>
      <c r="H412" s="60"/>
      <c r="J412" s="72"/>
      <c r="L412" s="72"/>
      <c r="N412" s="60"/>
      <c r="P412" s="72"/>
      <c r="R412" s="72"/>
      <c r="T412" s="60"/>
      <c r="V412" s="72"/>
      <c r="X412" s="72"/>
      <c r="Z412" s="60"/>
      <c r="AB412" s="72"/>
      <c r="AD412" s="72"/>
      <c r="AG412" s="60"/>
    </row>
    <row r="413" spans="1:33" s="119" customFormat="1" ht="15">
      <c r="A413" s="60"/>
      <c r="B413" s="60"/>
      <c r="C413" s="60"/>
      <c r="D413" s="60"/>
      <c r="E413" s="60"/>
      <c r="F413" s="60"/>
      <c r="H413" s="60"/>
      <c r="J413" s="72"/>
      <c r="L413" s="72"/>
      <c r="N413" s="60"/>
      <c r="P413" s="72"/>
      <c r="R413" s="72"/>
      <c r="T413" s="60"/>
      <c r="V413" s="72"/>
      <c r="X413" s="72"/>
      <c r="Z413" s="60"/>
      <c r="AB413" s="72"/>
      <c r="AD413" s="72"/>
      <c r="AG413" s="60"/>
    </row>
    <row r="414" spans="1:33" s="119" customFormat="1" ht="15">
      <c r="A414" s="60"/>
      <c r="B414" s="60"/>
      <c r="C414" s="60"/>
      <c r="D414" s="60"/>
      <c r="E414" s="60"/>
      <c r="F414" s="60"/>
      <c r="H414" s="60"/>
      <c r="J414" s="72"/>
      <c r="L414" s="72"/>
      <c r="N414" s="60"/>
      <c r="P414" s="72"/>
      <c r="R414" s="72"/>
      <c r="T414" s="60"/>
      <c r="V414" s="72"/>
      <c r="X414" s="72"/>
      <c r="Z414" s="60"/>
      <c r="AB414" s="72"/>
      <c r="AD414" s="72"/>
      <c r="AG414" s="60"/>
    </row>
    <row r="415" spans="1:33" s="119" customFormat="1" ht="15">
      <c r="A415" s="60"/>
      <c r="B415" s="60"/>
      <c r="C415" s="60"/>
      <c r="D415" s="60"/>
      <c r="E415" s="60"/>
      <c r="F415" s="60"/>
      <c r="H415" s="60"/>
      <c r="J415" s="72"/>
      <c r="L415" s="72"/>
      <c r="N415" s="60"/>
      <c r="P415" s="72"/>
      <c r="R415" s="72"/>
      <c r="T415" s="60"/>
      <c r="V415" s="72"/>
      <c r="X415" s="72"/>
      <c r="Z415" s="60"/>
      <c r="AB415" s="72"/>
      <c r="AD415" s="72"/>
      <c r="AG415" s="60"/>
    </row>
    <row r="416" spans="1:33" s="119" customFormat="1" ht="15">
      <c r="A416" s="60"/>
      <c r="B416" s="60"/>
      <c r="C416" s="60"/>
      <c r="D416" s="60"/>
      <c r="E416" s="60"/>
      <c r="F416" s="60"/>
      <c r="H416" s="60"/>
      <c r="J416" s="72"/>
      <c r="L416" s="72"/>
      <c r="N416" s="60"/>
      <c r="P416" s="72"/>
      <c r="R416" s="72"/>
      <c r="T416" s="60"/>
      <c r="V416" s="72"/>
      <c r="X416" s="72"/>
      <c r="Z416" s="60"/>
      <c r="AB416" s="72"/>
      <c r="AD416" s="72"/>
      <c r="AG416" s="60"/>
    </row>
    <row r="417" spans="1:33" s="119" customFormat="1" ht="15">
      <c r="A417" s="60"/>
      <c r="B417" s="60"/>
      <c r="C417" s="60"/>
      <c r="D417" s="60"/>
      <c r="E417" s="60"/>
      <c r="F417" s="60"/>
      <c r="H417" s="60"/>
      <c r="J417" s="72"/>
      <c r="L417" s="72"/>
      <c r="N417" s="60"/>
      <c r="P417" s="72"/>
      <c r="R417" s="72"/>
      <c r="T417" s="60"/>
      <c r="V417" s="72"/>
      <c r="X417" s="72"/>
      <c r="Z417" s="60"/>
      <c r="AB417" s="72"/>
      <c r="AD417" s="72"/>
      <c r="AG417" s="60"/>
    </row>
    <row r="418" spans="1:33" s="119" customFormat="1" ht="15">
      <c r="A418" s="60"/>
      <c r="B418" s="60"/>
      <c r="C418" s="60"/>
      <c r="D418" s="60"/>
      <c r="E418" s="60"/>
      <c r="F418" s="60"/>
      <c r="H418" s="60"/>
      <c r="J418" s="72"/>
      <c r="L418" s="72"/>
      <c r="N418" s="60"/>
      <c r="P418" s="72"/>
      <c r="R418" s="72"/>
      <c r="T418" s="60"/>
      <c r="V418" s="72"/>
      <c r="X418" s="72"/>
      <c r="Z418" s="60"/>
      <c r="AB418" s="72"/>
      <c r="AD418" s="72"/>
      <c r="AG418" s="60"/>
    </row>
    <row r="419" spans="1:33" s="119" customFormat="1" ht="15">
      <c r="A419" s="60"/>
      <c r="B419" s="60"/>
      <c r="C419" s="60"/>
      <c r="D419" s="60"/>
      <c r="E419" s="60"/>
      <c r="F419" s="60"/>
      <c r="H419" s="60"/>
      <c r="J419" s="72"/>
      <c r="L419" s="72"/>
      <c r="N419" s="60"/>
      <c r="P419" s="72"/>
      <c r="R419" s="72"/>
      <c r="T419" s="60"/>
      <c r="V419" s="72"/>
      <c r="X419" s="72"/>
      <c r="Z419" s="60"/>
      <c r="AB419" s="72"/>
      <c r="AD419" s="72"/>
      <c r="AG419" s="60"/>
    </row>
    <row r="420" spans="1:33" s="119" customFormat="1" ht="15">
      <c r="A420" s="60"/>
      <c r="B420" s="60"/>
      <c r="C420" s="60"/>
      <c r="D420" s="60"/>
      <c r="E420" s="60"/>
      <c r="F420" s="60"/>
      <c r="H420" s="60"/>
      <c r="J420" s="72"/>
      <c r="L420" s="72"/>
      <c r="N420" s="60"/>
      <c r="P420" s="72"/>
      <c r="R420" s="72"/>
      <c r="T420" s="60"/>
      <c r="V420" s="72"/>
      <c r="X420" s="72"/>
      <c r="Z420" s="60"/>
      <c r="AB420" s="72"/>
      <c r="AD420" s="72"/>
      <c r="AG420" s="60"/>
    </row>
    <row r="421" spans="1:33" s="119" customFormat="1" ht="15">
      <c r="A421" s="60"/>
      <c r="B421" s="60"/>
      <c r="C421" s="60"/>
      <c r="D421" s="60"/>
      <c r="E421" s="60"/>
      <c r="F421" s="60"/>
      <c r="H421" s="60"/>
      <c r="J421" s="72"/>
      <c r="L421" s="72"/>
      <c r="N421" s="60"/>
      <c r="P421" s="72"/>
      <c r="R421" s="72"/>
      <c r="T421" s="60"/>
      <c r="V421" s="72"/>
      <c r="X421" s="72"/>
      <c r="Z421" s="60"/>
      <c r="AB421" s="72"/>
      <c r="AD421" s="72"/>
      <c r="AG421" s="60"/>
    </row>
    <row r="422" spans="1:33" s="119" customFormat="1" ht="15">
      <c r="A422" s="60"/>
      <c r="B422" s="60"/>
      <c r="C422" s="60"/>
      <c r="D422" s="60"/>
      <c r="E422" s="60"/>
      <c r="F422" s="60"/>
      <c r="H422" s="60"/>
      <c r="J422" s="72"/>
      <c r="L422" s="72"/>
      <c r="N422" s="60"/>
      <c r="P422" s="72"/>
      <c r="R422" s="72"/>
      <c r="T422" s="60"/>
      <c r="V422" s="72"/>
      <c r="X422" s="72"/>
      <c r="Z422" s="60"/>
      <c r="AB422" s="72"/>
      <c r="AD422" s="72"/>
      <c r="AG422" s="60"/>
    </row>
    <row r="423" spans="1:33" s="119" customFormat="1" ht="15">
      <c r="A423" s="60"/>
      <c r="B423" s="60"/>
      <c r="C423" s="60"/>
      <c r="D423" s="60"/>
      <c r="E423" s="60"/>
      <c r="F423" s="60"/>
      <c r="H423" s="60"/>
      <c r="J423" s="72"/>
      <c r="L423" s="72"/>
      <c r="N423" s="60"/>
      <c r="P423" s="72"/>
      <c r="R423" s="72"/>
      <c r="T423" s="60"/>
      <c r="V423" s="72"/>
      <c r="X423" s="72"/>
      <c r="Z423" s="60"/>
      <c r="AB423" s="72"/>
      <c r="AD423" s="72"/>
      <c r="AG423" s="60"/>
    </row>
    <row r="424" spans="1:33" s="119" customFormat="1" ht="15">
      <c r="A424" s="60"/>
      <c r="B424" s="60"/>
      <c r="C424" s="60"/>
      <c r="D424" s="60"/>
      <c r="E424" s="60"/>
      <c r="F424" s="60"/>
      <c r="H424" s="60"/>
      <c r="J424" s="72"/>
      <c r="L424" s="72"/>
      <c r="N424" s="60"/>
      <c r="P424" s="72"/>
      <c r="R424" s="72"/>
      <c r="T424" s="60"/>
      <c r="V424" s="72"/>
      <c r="X424" s="72"/>
      <c r="Z424" s="60"/>
      <c r="AB424" s="72"/>
      <c r="AD424" s="72"/>
      <c r="AG424" s="60"/>
    </row>
    <row r="425" spans="1:33" s="119" customFormat="1" ht="15">
      <c r="A425" s="60"/>
      <c r="B425" s="60"/>
      <c r="C425" s="60"/>
      <c r="D425" s="60"/>
      <c r="E425" s="60"/>
      <c r="F425" s="60"/>
      <c r="H425" s="60"/>
      <c r="J425" s="72"/>
      <c r="L425" s="72"/>
      <c r="N425" s="60"/>
      <c r="P425" s="72"/>
      <c r="R425" s="72"/>
      <c r="T425" s="60"/>
      <c r="V425" s="72"/>
      <c r="X425" s="72"/>
      <c r="Z425" s="60"/>
      <c r="AB425" s="72"/>
      <c r="AD425" s="72"/>
      <c r="AG425" s="60"/>
    </row>
    <row r="426" spans="1:33" s="119" customFormat="1" ht="15">
      <c r="A426" s="60"/>
      <c r="B426" s="60"/>
      <c r="C426" s="60"/>
      <c r="D426" s="60"/>
      <c r="E426" s="60"/>
      <c r="F426" s="60"/>
      <c r="H426" s="60"/>
      <c r="J426" s="72"/>
      <c r="L426" s="72"/>
      <c r="N426" s="60"/>
      <c r="P426" s="72"/>
      <c r="R426" s="72"/>
      <c r="T426" s="60"/>
      <c r="V426" s="72"/>
      <c r="X426" s="72"/>
      <c r="Z426" s="60"/>
      <c r="AB426" s="72"/>
      <c r="AD426" s="72"/>
      <c r="AG426" s="60"/>
    </row>
    <row r="427" spans="1:33" s="119" customFormat="1" ht="15">
      <c r="A427" s="60"/>
      <c r="B427" s="60"/>
      <c r="C427" s="60"/>
      <c r="D427" s="60"/>
      <c r="E427" s="60"/>
      <c r="F427" s="60"/>
      <c r="H427" s="60"/>
      <c r="J427" s="72"/>
      <c r="L427" s="72"/>
      <c r="N427" s="60"/>
      <c r="P427" s="72"/>
      <c r="R427" s="72"/>
      <c r="T427" s="60"/>
      <c r="V427" s="72"/>
      <c r="X427" s="72"/>
      <c r="Z427" s="60"/>
      <c r="AB427" s="72"/>
      <c r="AD427" s="72"/>
      <c r="AG427" s="60"/>
    </row>
    <row r="428" spans="1:33" s="119" customFormat="1" ht="15">
      <c r="A428" s="60"/>
      <c r="B428" s="60"/>
      <c r="C428" s="60"/>
      <c r="D428" s="60"/>
      <c r="E428" s="60"/>
      <c r="F428" s="60"/>
      <c r="H428" s="60"/>
      <c r="J428" s="72"/>
      <c r="L428" s="72"/>
      <c r="N428" s="60"/>
      <c r="P428" s="72"/>
      <c r="R428" s="72"/>
      <c r="T428" s="60"/>
      <c r="V428" s="72"/>
      <c r="X428" s="72"/>
      <c r="Z428" s="60"/>
      <c r="AB428" s="72"/>
      <c r="AD428" s="72"/>
      <c r="AG428" s="60"/>
    </row>
    <row r="429" spans="1:33" s="119" customFormat="1" ht="15">
      <c r="A429" s="60"/>
      <c r="B429" s="60"/>
      <c r="C429" s="60"/>
      <c r="D429" s="60"/>
      <c r="E429" s="60"/>
      <c r="F429" s="60"/>
      <c r="H429" s="60"/>
      <c r="J429" s="72"/>
      <c r="L429" s="72"/>
      <c r="N429" s="60"/>
      <c r="P429" s="72"/>
      <c r="R429" s="72"/>
      <c r="T429" s="60"/>
      <c r="V429" s="72"/>
      <c r="X429" s="72"/>
      <c r="Z429" s="60"/>
      <c r="AB429" s="72"/>
      <c r="AD429" s="72"/>
      <c r="AG429" s="60"/>
    </row>
    <row r="430" spans="1:33" s="119" customFormat="1" ht="15">
      <c r="A430" s="60"/>
      <c r="B430" s="60"/>
      <c r="C430" s="60"/>
      <c r="D430" s="60"/>
      <c r="E430" s="60"/>
      <c r="F430" s="60"/>
      <c r="H430" s="60"/>
      <c r="J430" s="72"/>
      <c r="L430" s="72"/>
      <c r="N430" s="60"/>
      <c r="P430" s="72"/>
      <c r="R430" s="72"/>
      <c r="T430" s="60"/>
      <c r="V430" s="72"/>
      <c r="X430" s="72"/>
      <c r="Z430" s="60"/>
      <c r="AB430" s="72"/>
      <c r="AD430" s="72"/>
      <c r="AG430" s="60"/>
    </row>
    <row r="431" spans="1:33" s="119" customFormat="1" ht="15">
      <c r="A431" s="60"/>
      <c r="B431" s="60"/>
      <c r="C431" s="60"/>
      <c r="D431" s="60"/>
      <c r="E431" s="60"/>
      <c r="F431" s="60"/>
      <c r="H431" s="60"/>
      <c r="J431" s="72"/>
      <c r="L431" s="72"/>
      <c r="N431" s="60"/>
      <c r="P431" s="72"/>
      <c r="R431" s="72"/>
      <c r="T431" s="60"/>
      <c r="V431" s="72"/>
      <c r="X431" s="72"/>
      <c r="Z431" s="60"/>
      <c r="AB431" s="72"/>
      <c r="AD431" s="72"/>
      <c r="AG431" s="60"/>
    </row>
    <row r="432" spans="1:33" s="119" customFormat="1" ht="15">
      <c r="A432" s="60"/>
      <c r="B432" s="60"/>
      <c r="C432" s="60"/>
      <c r="D432" s="60"/>
      <c r="E432" s="60"/>
      <c r="F432" s="60"/>
      <c r="H432" s="60"/>
      <c r="J432" s="72"/>
      <c r="L432" s="72"/>
      <c r="N432" s="60"/>
      <c r="P432" s="72"/>
      <c r="R432" s="72"/>
      <c r="T432" s="60"/>
      <c r="V432" s="72"/>
      <c r="X432" s="72"/>
      <c r="Z432" s="60"/>
      <c r="AB432" s="72"/>
      <c r="AD432" s="72"/>
      <c r="AG432" s="60"/>
    </row>
    <row r="433" spans="1:33" s="119" customFormat="1" ht="15">
      <c r="A433" s="60"/>
      <c r="B433" s="60"/>
      <c r="C433" s="60"/>
      <c r="D433" s="60"/>
      <c r="E433" s="60"/>
      <c r="F433" s="60"/>
      <c r="H433" s="60"/>
      <c r="J433" s="72"/>
      <c r="L433" s="72"/>
      <c r="N433" s="60"/>
      <c r="P433" s="72"/>
      <c r="R433" s="72"/>
      <c r="T433" s="60"/>
      <c r="V433" s="72"/>
      <c r="X433" s="72"/>
      <c r="Z433" s="60"/>
      <c r="AB433" s="72"/>
      <c r="AD433" s="72"/>
      <c r="AG433" s="60"/>
    </row>
    <row r="434" spans="1:33" s="119" customFormat="1" ht="15">
      <c r="A434" s="60"/>
      <c r="B434" s="60"/>
      <c r="C434" s="60"/>
      <c r="D434" s="60"/>
      <c r="E434" s="60"/>
      <c r="F434" s="60"/>
      <c r="H434" s="60"/>
      <c r="J434" s="72"/>
      <c r="L434" s="72"/>
      <c r="N434" s="60"/>
      <c r="P434" s="72"/>
      <c r="R434" s="72"/>
      <c r="T434" s="60"/>
      <c r="V434" s="72"/>
      <c r="X434" s="72"/>
      <c r="Z434" s="60"/>
      <c r="AB434" s="72"/>
      <c r="AD434" s="72"/>
      <c r="AG434" s="60"/>
    </row>
    <row r="435" spans="1:33" s="119" customFormat="1" ht="15">
      <c r="A435" s="60"/>
      <c r="B435" s="60"/>
      <c r="C435" s="60"/>
      <c r="D435" s="60"/>
      <c r="E435" s="60"/>
      <c r="F435" s="60"/>
      <c r="H435" s="60"/>
      <c r="J435" s="72"/>
      <c r="L435" s="72"/>
      <c r="N435" s="60"/>
      <c r="P435" s="72"/>
      <c r="R435" s="72"/>
      <c r="T435" s="60"/>
      <c r="V435" s="72"/>
      <c r="X435" s="72"/>
      <c r="Z435" s="60"/>
      <c r="AB435" s="72"/>
      <c r="AD435" s="72"/>
      <c r="AG435" s="60"/>
    </row>
    <row r="436" spans="1:33" s="119" customFormat="1" ht="15">
      <c r="A436" s="60"/>
      <c r="B436" s="60"/>
      <c r="C436" s="60"/>
      <c r="D436" s="60"/>
      <c r="E436" s="60"/>
      <c r="F436" s="60"/>
      <c r="H436" s="60"/>
      <c r="J436" s="72"/>
      <c r="L436" s="72"/>
      <c r="N436" s="60"/>
      <c r="P436" s="72"/>
      <c r="R436" s="72"/>
      <c r="T436" s="60"/>
      <c r="V436" s="72"/>
      <c r="X436" s="72"/>
      <c r="Z436" s="60"/>
      <c r="AB436" s="72"/>
      <c r="AD436" s="72"/>
      <c r="AG436" s="60"/>
    </row>
    <row r="437" spans="1:33" s="119" customFormat="1" ht="15">
      <c r="A437" s="60"/>
      <c r="B437" s="60"/>
      <c r="C437" s="60"/>
      <c r="D437" s="60"/>
      <c r="E437" s="60"/>
      <c r="F437" s="60"/>
      <c r="H437" s="60"/>
      <c r="J437" s="72"/>
      <c r="L437" s="72"/>
      <c r="N437" s="60"/>
      <c r="P437" s="72"/>
      <c r="R437" s="72"/>
      <c r="T437" s="60"/>
      <c r="V437" s="72"/>
      <c r="X437" s="72"/>
      <c r="Z437" s="60"/>
      <c r="AB437" s="72"/>
      <c r="AD437" s="72"/>
      <c r="AG437" s="60"/>
    </row>
    <row r="438" spans="1:33" s="119" customFormat="1" ht="15">
      <c r="A438" s="60"/>
      <c r="B438" s="60"/>
      <c r="C438" s="60"/>
      <c r="D438" s="60"/>
      <c r="E438" s="60"/>
      <c r="F438" s="60"/>
      <c r="H438" s="60"/>
      <c r="J438" s="72"/>
      <c r="L438" s="72"/>
      <c r="N438" s="60"/>
      <c r="P438" s="72"/>
      <c r="R438" s="72"/>
      <c r="T438" s="60"/>
      <c r="V438" s="72"/>
      <c r="X438" s="72"/>
      <c r="Z438" s="60"/>
      <c r="AB438" s="72"/>
      <c r="AD438" s="72"/>
      <c r="AG438" s="60"/>
    </row>
    <row r="439" spans="1:33" s="119" customFormat="1" ht="15">
      <c r="A439" s="60"/>
      <c r="B439" s="60"/>
      <c r="C439" s="60"/>
      <c r="D439" s="60"/>
      <c r="E439" s="60"/>
      <c r="F439" s="60"/>
      <c r="H439" s="60"/>
      <c r="J439" s="72"/>
      <c r="L439" s="72"/>
      <c r="N439" s="60"/>
      <c r="P439" s="72"/>
      <c r="R439" s="72"/>
      <c r="T439" s="60"/>
      <c r="V439" s="72"/>
      <c r="X439" s="72"/>
      <c r="Z439" s="60"/>
      <c r="AB439" s="72"/>
      <c r="AD439" s="72"/>
      <c r="AG439" s="60"/>
    </row>
    <row r="440" spans="1:33" s="119" customFormat="1" ht="15">
      <c r="A440" s="60"/>
      <c r="B440" s="60"/>
      <c r="C440" s="60"/>
      <c r="D440" s="60"/>
      <c r="E440" s="60"/>
      <c r="F440" s="60"/>
      <c r="H440" s="60"/>
      <c r="J440" s="72"/>
      <c r="L440" s="72"/>
      <c r="N440" s="60"/>
      <c r="P440" s="72"/>
      <c r="R440" s="72"/>
      <c r="T440" s="60"/>
      <c r="V440" s="72"/>
      <c r="X440" s="72"/>
      <c r="Z440" s="60"/>
      <c r="AB440" s="72"/>
      <c r="AD440" s="72"/>
      <c r="AG440" s="60"/>
    </row>
    <row r="441" spans="1:33" s="119" customFormat="1" ht="15">
      <c r="A441" s="60"/>
      <c r="B441" s="60"/>
      <c r="C441" s="60"/>
      <c r="D441" s="60"/>
      <c r="E441" s="60"/>
      <c r="F441" s="60"/>
      <c r="H441" s="60"/>
      <c r="J441" s="72"/>
      <c r="L441" s="72"/>
      <c r="N441" s="60"/>
      <c r="P441" s="72"/>
      <c r="R441" s="72"/>
      <c r="T441" s="60"/>
      <c r="V441" s="72"/>
      <c r="X441" s="72"/>
      <c r="Z441" s="60"/>
      <c r="AB441" s="72"/>
      <c r="AD441" s="72"/>
      <c r="AG441" s="60"/>
    </row>
    <row r="442" spans="1:33" s="119" customFormat="1" ht="15">
      <c r="A442" s="60"/>
      <c r="B442" s="60"/>
      <c r="C442" s="60"/>
      <c r="D442" s="60"/>
      <c r="E442" s="60"/>
      <c r="F442" s="60"/>
      <c r="H442" s="60"/>
      <c r="J442" s="72"/>
      <c r="L442" s="72"/>
      <c r="N442" s="60"/>
      <c r="P442" s="72"/>
      <c r="R442" s="72"/>
      <c r="T442" s="60"/>
      <c r="V442" s="72"/>
      <c r="X442" s="72"/>
      <c r="Z442" s="60"/>
      <c r="AB442" s="72"/>
      <c r="AD442" s="72"/>
      <c r="AG442" s="60"/>
    </row>
    <row r="443" spans="1:33" s="119" customFormat="1" ht="15">
      <c r="A443" s="60"/>
      <c r="B443" s="60"/>
      <c r="C443" s="60"/>
      <c r="D443" s="60"/>
      <c r="E443" s="60"/>
      <c r="F443" s="60"/>
      <c r="H443" s="60"/>
      <c r="J443" s="72"/>
      <c r="L443" s="72"/>
      <c r="N443" s="60"/>
      <c r="P443" s="72"/>
      <c r="R443" s="72"/>
      <c r="T443" s="60"/>
      <c r="V443" s="72"/>
      <c r="X443" s="72"/>
      <c r="Z443" s="60"/>
      <c r="AB443" s="72"/>
      <c r="AD443" s="72"/>
      <c r="AG443" s="60"/>
    </row>
    <row r="444" spans="1:33" s="119" customFormat="1" ht="15">
      <c r="A444" s="60"/>
      <c r="B444" s="60"/>
      <c r="C444" s="60"/>
      <c r="D444" s="60"/>
      <c r="E444" s="60"/>
      <c r="F444" s="60"/>
      <c r="H444" s="60"/>
      <c r="J444" s="72"/>
      <c r="L444" s="72"/>
      <c r="N444" s="60"/>
      <c r="P444" s="72"/>
      <c r="R444" s="72"/>
      <c r="T444" s="60"/>
      <c r="V444" s="72"/>
      <c r="X444" s="72"/>
      <c r="Z444" s="60"/>
      <c r="AB444" s="72"/>
      <c r="AD444" s="72"/>
      <c r="AG444" s="60"/>
    </row>
    <row r="445" spans="1:33" s="119" customFormat="1" ht="15">
      <c r="A445" s="60"/>
      <c r="B445" s="60"/>
      <c r="C445" s="60"/>
      <c r="D445" s="60"/>
      <c r="E445" s="60"/>
      <c r="F445" s="60"/>
      <c r="H445" s="60"/>
      <c r="J445" s="72"/>
      <c r="L445" s="72"/>
      <c r="N445" s="60"/>
      <c r="P445" s="72"/>
      <c r="R445" s="72"/>
      <c r="T445" s="60"/>
      <c r="V445" s="72"/>
      <c r="X445" s="72"/>
      <c r="Z445" s="60"/>
      <c r="AB445" s="72"/>
      <c r="AD445" s="72"/>
      <c r="AG445" s="60"/>
    </row>
    <row r="446" spans="1:33" s="119" customFormat="1" ht="15">
      <c r="A446" s="60"/>
      <c r="B446" s="60"/>
      <c r="C446" s="60"/>
      <c r="D446" s="60"/>
      <c r="E446" s="60"/>
      <c r="F446" s="60"/>
      <c r="H446" s="60"/>
      <c r="J446" s="72"/>
      <c r="L446" s="72"/>
      <c r="N446" s="60"/>
      <c r="P446" s="72"/>
      <c r="R446" s="72"/>
      <c r="T446" s="60"/>
      <c r="V446" s="72"/>
      <c r="X446" s="72"/>
      <c r="Z446" s="60"/>
      <c r="AB446" s="72"/>
      <c r="AD446" s="72"/>
      <c r="AG446" s="60"/>
    </row>
    <row r="447" spans="1:33" s="119" customFormat="1" ht="15">
      <c r="A447" s="60"/>
      <c r="B447" s="60"/>
      <c r="C447" s="60"/>
      <c r="D447" s="60"/>
      <c r="E447" s="60"/>
      <c r="F447" s="60"/>
      <c r="H447" s="60"/>
      <c r="J447" s="72"/>
      <c r="L447" s="72"/>
      <c r="N447" s="60"/>
      <c r="P447" s="72"/>
      <c r="R447" s="72"/>
      <c r="T447" s="60"/>
      <c r="V447" s="72"/>
      <c r="X447" s="72"/>
      <c r="Z447" s="60"/>
      <c r="AB447" s="72"/>
      <c r="AD447" s="72"/>
      <c r="AG447" s="60"/>
    </row>
    <row r="448" spans="1:33" s="119" customFormat="1" ht="15">
      <c r="A448" s="60"/>
      <c r="B448" s="60"/>
      <c r="C448" s="60"/>
      <c r="D448" s="60"/>
      <c r="E448" s="60"/>
      <c r="F448" s="60"/>
      <c r="H448" s="60"/>
      <c r="J448" s="72"/>
      <c r="L448" s="72"/>
      <c r="N448" s="60"/>
      <c r="P448" s="72"/>
      <c r="R448" s="72"/>
      <c r="T448" s="60"/>
      <c r="V448" s="72"/>
      <c r="X448" s="72"/>
      <c r="Z448" s="60"/>
      <c r="AB448" s="72"/>
      <c r="AD448" s="72"/>
      <c r="AG448" s="60"/>
    </row>
    <row r="449" spans="1:33" s="119" customFormat="1" ht="15">
      <c r="A449" s="60"/>
      <c r="B449" s="60"/>
      <c r="C449" s="60"/>
      <c r="D449" s="60"/>
      <c r="E449" s="60"/>
      <c r="F449" s="60"/>
      <c r="H449" s="60"/>
      <c r="J449" s="72"/>
      <c r="L449" s="72"/>
      <c r="N449" s="60"/>
      <c r="P449" s="72"/>
      <c r="R449" s="72"/>
      <c r="T449" s="60"/>
      <c r="V449" s="72"/>
      <c r="X449" s="72"/>
      <c r="Z449" s="60"/>
      <c r="AB449" s="72"/>
      <c r="AD449" s="72"/>
      <c r="AG449" s="60"/>
    </row>
    <row r="450" spans="1:33" s="119" customFormat="1" ht="15">
      <c r="A450" s="60"/>
      <c r="B450" s="60"/>
      <c r="C450" s="60"/>
      <c r="D450" s="60"/>
      <c r="E450" s="60"/>
      <c r="F450" s="60"/>
      <c r="H450" s="60"/>
      <c r="J450" s="72"/>
      <c r="L450" s="72"/>
      <c r="N450" s="60"/>
      <c r="P450" s="72"/>
      <c r="R450" s="72"/>
      <c r="T450" s="60"/>
      <c r="V450" s="72"/>
      <c r="X450" s="72"/>
      <c r="Z450" s="60"/>
      <c r="AB450" s="72"/>
      <c r="AD450" s="72"/>
      <c r="AG450" s="60"/>
    </row>
    <row r="451" spans="1:33" s="119" customFormat="1" ht="15">
      <c r="A451" s="60"/>
      <c r="B451" s="60"/>
      <c r="C451" s="60"/>
      <c r="D451" s="60"/>
      <c r="E451" s="60"/>
      <c r="F451" s="60"/>
      <c r="H451" s="60"/>
      <c r="J451" s="72"/>
      <c r="L451" s="72"/>
      <c r="N451" s="60"/>
      <c r="P451" s="72"/>
      <c r="R451" s="72"/>
      <c r="T451" s="60"/>
      <c r="V451" s="72"/>
      <c r="X451" s="72"/>
      <c r="Z451" s="60"/>
      <c r="AB451" s="72"/>
      <c r="AD451" s="72"/>
      <c r="AG451" s="60"/>
    </row>
    <row r="452" spans="1:33" s="119" customFormat="1" ht="15">
      <c r="A452" s="60"/>
      <c r="B452" s="60"/>
      <c r="C452" s="60"/>
      <c r="D452" s="60"/>
      <c r="E452" s="60"/>
      <c r="F452" s="60"/>
      <c r="H452" s="60"/>
      <c r="J452" s="72"/>
      <c r="L452" s="72"/>
      <c r="N452" s="60"/>
      <c r="P452" s="72"/>
      <c r="R452" s="72"/>
      <c r="T452" s="60"/>
      <c r="V452" s="72"/>
      <c r="X452" s="72"/>
      <c r="Z452" s="60"/>
      <c r="AB452" s="72"/>
      <c r="AD452" s="72"/>
      <c r="AG452" s="60"/>
    </row>
    <row r="453" spans="1:33" s="119" customFormat="1" ht="15">
      <c r="A453" s="60"/>
      <c r="B453" s="60"/>
      <c r="C453" s="60"/>
      <c r="D453" s="60"/>
      <c r="E453" s="60"/>
      <c r="F453" s="60"/>
      <c r="H453" s="60"/>
      <c r="J453" s="72"/>
      <c r="L453" s="72"/>
      <c r="N453" s="60"/>
      <c r="P453" s="72"/>
      <c r="R453" s="72"/>
      <c r="T453" s="60"/>
      <c r="V453" s="72"/>
      <c r="X453" s="72"/>
      <c r="Z453" s="60"/>
      <c r="AB453" s="72"/>
      <c r="AD453" s="72"/>
      <c r="AG453" s="60"/>
    </row>
    <row r="454" spans="1:33" s="119" customFormat="1" ht="15">
      <c r="A454" s="60"/>
      <c r="B454" s="60"/>
      <c r="C454" s="60"/>
      <c r="D454" s="60"/>
      <c r="E454" s="60"/>
      <c r="F454" s="60"/>
      <c r="H454" s="60"/>
      <c r="J454" s="72"/>
      <c r="L454" s="72"/>
      <c r="N454" s="60"/>
      <c r="P454" s="72"/>
      <c r="R454" s="72"/>
      <c r="T454" s="60"/>
      <c r="V454" s="72"/>
      <c r="X454" s="72"/>
      <c r="Z454" s="60"/>
      <c r="AB454" s="72"/>
      <c r="AD454" s="72"/>
      <c r="AG454" s="60"/>
    </row>
    <row r="455" spans="1:33" s="119" customFormat="1" ht="15">
      <c r="A455" s="60"/>
      <c r="B455" s="60"/>
      <c r="C455" s="60"/>
      <c r="D455" s="60"/>
      <c r="E455" s="60"/>
      <c r="F455" s="60"/>
      <c r="H455" s="60"/>
      <c r="J455" s="72"/>
      <c r="L455" s="72"/>
      <c r="N455" s="60"/>
      <c r="P455" s="72"/>
      <c r="R455" s="72"/>
      <c r="T455" s="60"/>
      <c r="V455" s="72"/>
      <c r="X455" s="72"/>
      <c r="Z455" s="60"/>
      <c r="AB455" s="72"/>
      <c r="AD455" s="72"/>
      <c r="AG455" s="60"/>
    </row>
    <row r="456" spans="1:33" s="119" customFormat="1" ht="15">
      <c r="A456" s="60"/>
      <c r="B456" s="60"/>
      <c r="C456" s="60"/>
      <c r="D456" s="60"/>
      <c r="E456" s="60"/>
      <c r="F456" s="60"/>
      <c r="H456" s="60"/>
      <c r="J456" s="72"/>
      <c r="L456" s="72"/>
      <c r="N456" s="60"/>
      <c r="P456" s="72"/>
      <c r="R456" s="72"/>
      <c r="T456" s="60"/>
      <c r="V456" s="72"/>
      <c r="X456" s="72"/>
      <c r="Z456" s="60"/>
      <c r="AB456" s="72"/>
      <c r="AD456" s="72"/>
      <c r="AG456" s="60"/>
    </row>
    <row r="457" spans="1:33" s="119" customFormat="1" ht="15">
      <c r="A457" s="60"/>
      <c r="B457" s="60"/>
      <c r="C457" s="60"/>
      <c r="D457" s="60"/>
      <c r="E457" s="60"/>
      <c r="F457" s="60"/>
      <c r="H457" s="60"/>
      <c r="J457" s="72"/>
      <c r="L457" s="72"/>
      <c r="N457" s="60"/>
      <c r="P457" s="72"/>
      <c r="R457" s="72"/>
      <c r="T457" s="60"/>
      <c r="V457" s="72"/>
      <c r="X457" s="72"/>
      <c r="Z457" s="60"/>
      <c r="AB457" s="72"/>
      <c r="AD457" s="72"/>
      <c r="AG457" s="60"/>
    </row>
    <row r="458" spans="1:33" s="119" customFormat="1" ht="15">
      <c r="A458" s="60"/>
      <c r="B458" s="60"/>
      <c r="C458" s="60"/>
      <c r="D458" s="60"/>
      <c r="E458" s="60"/>
      <c r="F458" s="60"/>
      <c r="H458" s="60"/>
      <c r="J458" s="72"/>
      <c r="L458" s="72"/>
      <c r="N458" s="60"/>
      <c r="P458" s="72"/>
      <c r="R458" s="72"/>
      <c r="T458" s="60"/>
      <c r="V458" s="72"/>
      <c r="X458" s="72"/>
      <c r="Z458" s="60"/>
      <c r="AB458" s="72"/>
      <c r="AD458" s="72"/>
      <c r="AG458" s="60"/>
    </row>
    <row r="459" spans="1:33" s="119" customFormat="1" ht="15">
      <c r="A459" s="60"/>
      <c r="B459" s="60"/>
      <c r="C459" s="60"/>
      <c r="D459" s="60"/>
      <c r="E459" s="60"/>
      <c r="F459" s="60"/>
      <c r="H459" s="60"/>
      <c r="J459" s="72"/>
      <c r="L459" s="72"/>
      <c r="N459" s="60"/>
      <c r="P459" s="72"/>
      <c r="R459" s="72"/>
      <c r="T459" s="60"/>
      <c r="V459" s="72"/>
      <c r="X459" s="72"/>
      <c r="Z459" s="60"/>
      <c r="AB459" s="72"/>
      <c r="AD459" s="72"/>
      <c r="AG459" s="60"/>
    </row>
    <row r="460" spans="1:33" s="119" customFormat="1" ht="15">
      <c r="A460" s="60"/>
      <c r="B460" s="60"/>
      <c r="C460" s="60"/>
      <c r="D460" s="60"/>
      <c r="E460" s="60"/>
      <c r="F460" s="60"/>
      <c r="H460" s="60"/>
      <c r="J460" s="72"/>
      <c r="L460" s="72"/>
      <c r="N460" s="60"/>
      <c r="P460" s="72"/>
      <c r="R460" s="72"/>
      <c r="T460" s="60"/>
      <c r="V460" s="72"/>
      <c r="X460" s="72"/>
      <c r="Z460" s="60"/>
      <c r="AB460" s="72"/>
      <c r="AD460" s="72"/>
      <c r="AG460" s="60"/>
    </row>
    <row r="461" spans="1:33" s="119" customFormat="1" ht="15">
      <c r="A461" s="60"/>
      <c r="B461" s="60"/>
      <c r="C461" s="60"/>
      <c r="D461" s="60"/>
      <c r="E461" s="60"/>
      <c r="F461" s="60"/>
      <c r="H461" s="60"/>
      <c r="J461" s="72"/>
      <c r="L461" s="72"/>
      <c r="N461" s="60"/>
      <c r="P461" s="72"/>
      <c r="R461" s="72"/>
      <c r="T461" s="60"/>
      <c r="V461" s="72"/>
      <c r="X461" s="72"/>
      <c r="Z461" s="60"/>
      <c r="AB461" s="72"/>
      <c r="AD461" s="72"/>
      <c r="AG461" s="60"/>
    </row>
    <row r="462" spans="1:33" s="119" customFormat="1" ht="15">
      <c r="A462" s="60"/>
      <c r="B462" s="60"/>
      <c r="C462" s="60"/>
      <c r="D462" s="60"/>
      <c r="E462" s="60"/>
      <c r="F462" s="60"/>
      <c r="H462" s="60"/>
      <c r="J462" s="72"/>
      <c r="L462" s="72"/>
      <c r="N462" s="60"/>
      <c r="P462" s="72"/>
      <c r="R462" s="72"/>
      <c r="T462" s="60"/>
      <c r="V462" s="72"/>
      <c r="X462" s="72"/>
      <c r="Z462" s="60"/>
      <c r="AB462" s="72"/>
      <c r="AD462" s="72"/>
      <c r="AG462" s="60"/>
    </row>
    <row r="463" spans="1:33" s="119" customFormat="1" ht="15">
      <c r="A463" s="60"/>
      <c r="B463" s="60"/>
      <c r="C463" s="60"/>
      <c r="D463" s="60"/>
      <c r="E463" s="60"/>
      <c r="F463" s="60"/>
      <c r="H463" s="60"/>
      <c r="J463" s="72"/>
      <c r="L463" s="72"/>
      <c r="N463" s="60"/>
      <c r="P463" s="72"/>
      <c r="R463" s="72"/>
      <c r="T463" s="60"/>
      <c r="V463" s="72"/>
      <c r="X463" s="72"/>
      <c r="Z463" s="60"/>
      <c r="AB463" s="72"/>
      <c r="AD463" s="72"/>
      <c r="AG463" s="60"/>
    </row>
    <row r="464" spans="1:33" s="119" customFormat="1" ht="15">
      <c r="A464" s="60"/>
      <c r="B464" s="60"/>
      <c r="C464" s="60"/>
      <c r="D464" s="60"/>
      <c r="E464" s="60"/>
      <c r="F464" s="60"/>
      <c r="H464" s="60"/>
      <c r="J464" s="72"/>
      <c r="L464" s="72"/>
      <c r="N464" s="60"/>
      <c r="P464" s="72"/>
      <c r="R464" s="72"/>
      <c r="T464" s="60"/>
      <c r="V464" s="72"/>
      <c r="X464" s="72"/>
      <c r="Z464" s="60"/>
      <c r="AB464" s="72"/>
      <c r="AD464" s="72"/>
      <c r="AG464" s="60"/>
    </row>
    <row r="465" spans="1:33" s="119" customFormat="1" ht="15">
      <c r="A465" s="60"/>
      <c r="B465" s="60"/>
      <c r="C465" s="60"/>
      <c r="D465" s="60"/>
      <c r="E465" s="60"/>
      <c r="F465" s="60"/>
      <c r="H465" s="60"/>
      <c r="J465" s="72"/>
      <c r="L465" s="72"/>
      <c r="N465" s="60"/>
      <c r="P465" s="72"/>
      <c r="R465" s="72"/>
      <c r="T465" s="60"/>
      <c r="V465" s="72"/>
      <c r="X465" s="72"/>
      <c r="Z465" s="60"/>
      <c r="AB465" s="72"/>
      <c r="AD465" s="72"/>
      <c r="AG465" s="60"/>
    </row>
    <row r="466" spans="1:33" s="119" customFormat="1" ht="15">
      <c r="A466" s="60"/>
      <c r="B466" s="60"/>
      <c r="C466" s="60"/>
      <c r="D466" s="60"/>
      <c r="E466" s="60"/>
      <c r="F466" s="60"/>
      <c r="H466" s="60"/>
      <c r="J466" s="72"/>
      <c r="L466" s="72"/>
      <c r="N466" s="60"/>
      <c r="P466" s="72"/>
      <c r="R466" s="72"/>
      <c r="T466" s="60"/>
      <c r="V466" s="72"/>
      <c r="X466" s="72"/>
      <c r="Z466" s="60"/>
      <c r="AB466" s="72"/>
      <c r="AD466" s="72"/>
      <c r="AG466" s="60"/>
    </row>
    <row r="467" spans="1:33" s="119" customFormat="1" ht="15">
      <c r="A467" s="60"/>
      <c r="B467" s="60"/>
      <c r="C467" s="60"/>
      <c r="D467" s="60"/>
      <c r="E467" s="60"/>
      <c r="F467" s="60"/>
      <c r="H467" s="60"/>
      <c r="J467" s="72"/>
      <c r="L467" s="72"/>
      <c r="N467" s="60"/>
      <c r="P467" s="72"/>
      <c r="R467" s="72"/>
      <c r="T467" s="60"/>
      <c r="V467" s="72"/>
      <c r="X467" s="72"/>
      <c r="Z467" s="60"/>
      <c r="AB467" s="72"/>
      <c r="AD467" s="72"/>
      <c r="AG467" s="60"/>
    </row>
    <row r="468" spans="1:33" s="119" customFormat="1" ht="15">
      <c r="A468" s="60"/>
      <c r="B468" s="60"/>
      <c r="C468" s="60"/>
      <c r="D468" s="60"/>
      <c r="E468" s="60"/>
      <c r="F468" s="60"/>
      <c r="H468" s="60"/>
      <c r="J468" s="72"/>
      <c r="L468" s="72"/>
      <c r="N468" s="60"/>
      <c r="P468" s="72"/>
      <c r="R468" s="72"/>
      <c r="T468" s="60"/>
      <c r="V468" s="72"/>
      <c r="X468" s="72"/>
      <c r="Z468" s="60"/>
      <c r="AB468" s="72"/>
      <c r="AD468" s="72"/>
      <c r="AG468" s="60"/>
    </row>
    <row r="469" spans="1:33" s="119" customFormat="1" ht="15">
      <c r="A469" s="60"/>
      <c r="B469" s="60"/>
      <c r="C469" s="60"/>
      <c r="D469" s="60"/>
      <c r="E469" s="60"/>
      <c r="F469" s="60"/>
      <c r="H469" s="60"/>
      <c r="J469" s="72"/>
      <c r="L469" s="72"/>
      <c r="N469" s="60"/>
      <c r="P469" s="72"/>
      <c r="R469" s="72"/>
      <c r="T469" s="60"/>
      <c r="V469" s="72"/>
      <c r="X469" s="72"/>
      <c r="Z469" s="60"/>
      <c r="AB469" s="72"/>
      <c r="AD469" s="72"/>
      <c r="AG469" s="60"/>
    </row>
    <row r="470" spans="1:33" s="119" customFormat="1" ht="15">
      <c r="A470" s="60"/>
      <c r="B470" s="60"/>
      <c r="C470" s="60"/>
      <c r="D470" s="60"/>
      <c r="E470" s="60"/>
      <c r="F470" s="60"/>
      <c r="H470" s="60"/>
      <c r="J470" s="72"/>
      <c r="L470" s="72"/>
      <c r="N470" s="60"/>
      <c r="P470" s="72"/>
      <c r="R470" s="72"/>
      <c r="T470" s="60"/>
      <c r="V470" s="72"/>
      <c r="X470" s="72"/>
      <c r="Z470" s="60"/>
      <c r="AB470" s="72"/>
      <c r="AD470" s="72"/>
      <c r="AG470" s="60"/>
    </row>
    <row r="471" spans="1:33" s="119" customFormat="1" ht="15">
      <c r="A471" s="60"/>
      <c r="B471" s="60"/>
      <c r="C471" s="60"/>
      <c r="D471" s="60"/>
      <c r="E471" s="60"/>
      <c r="F471" s="60"/>
      <c r="H471" s="60"/>
      <c r="J471" s="72"/>
      <c r="L471" s="72"/>
      <c r="N471" s="60"/>
      <c r="P471" s="72"/>
      <c r="R471" s="72"/>
      <c r="T471" s="60"/>
      <c r="V471" s="72"/>
      <c r="X471" s="72"/>
      <c r="Z471" s="60"/>
      <c r="AB471" s="72"/>
      <c r="AD471" s="72"/>
      <c r="AG471" s="60"/>
    </row>
    <row r="472" spans="1:33" s="119" customFormat="1" ht="15">
      <c r="A472" s="60"/>
      <c r="B472" s="60"/>
      <c r="C472" s="60"/>
      <c r="D472" s="60"/>
      <c r="E472" s="60"/>
      <c r="F472" s="60"/>
      <c r="H472" s="60"/>
      <c r="J472" s="72"/>
      <c r="L472" s="72"/>
      <c r="N472" s="60"/>
      <c r="P472" s="72"/>
      <c r="R472" s="72"/>
      <c r="T472" s="60"/>
      <c r="V472" s="72"/>
      <c r="X472" s="72"/>
      <c r="Z472" s="60"/>
      <c r="AB472" s="72"/>
      <c r="AD472" s="72"/>
      <c r="AG472" s="60"/>
    </row>
    <row r="473" spans="1:33" s="119" customFormat="1" ht="15">
      <c r="A473" s="60"/>
      <c r="B473" s="60"/>
      <c r="C473" s="60"/>
      <c r="D473" s="60"/>
      <c r="E473" s="60"/>
      <c r="F473" s="60"/>
      <c r="H473" s="60"/>
      <c r="J473" s="72"/>
      <c r="L473" s="72"/>
      <c r="N473" s="60"/>
      <c r="P473" s="72"/>
      <c r="R473" s="72"/>
      <c r="T473" s="60"/>
      <c r="V473" s="72"/>
      <c r="X473" s="72"/>
      <c r="Z473" s="60"/>
      <c r="AB473" s="72"/>
      <c r="AD473" s="72"/>
      <c r="AG473" s="60"/>
    </row>
    <row r="474" spans="1:33" s="119" customFormat="1" ht="15">
      <c r="A474" s="60"/>
      <c r="B474" s="60"/>
      <c r="C474" s="60"/>
      <c r="D474" s="60"/>
      <c r="E474" s="60"/>
      <c r="F474" s="60"/>
      <c r="H474" s="60"/>
      <c r="J474" s="72"/>
      <c r="L474" s="72"/>
      <c r="N474" s="60"/>
      <c r="P474" s="72"/>
      <c r="R474" s="72"/>
      <c r="T474" s="60"/>
      <c r="V474" s="72"/>
      <c r="X474" s="72"/>
      <c r="Z474" s="60"/>
      <c r="AB474" s="72"/>
      <c r="AD474" s="72"/>
      <c r="AG474" s="60"/>
    </row>
    <row r="475" spans="1:33" s="119" customFormat="1" ht="15">
      <c r="A475" s="60"/>
      <c r="B475" s="60"/>
      <c r="C475" s="60"/>
      <c r="D475" s="60"/>
      <c r="E475" s="60"/>
      <c r="F475" s="60"/>
      <c r="H475" s="60"/>
      <c r="J475" s="72"/>
      <c r="L475" s="72"/>
      <c r="N475" s="60"/>
      <c r="P475" s="72"/>
      <c r="R475" s="72"/>
      <c r="T475" s="60"/>
      <c r="V475" s="72"/>
      <c r="X475" s="72"/>
      <c r="Z475" s="60"/>
      <c r="AB475" s="72"/>
      <c r="AD475" s="72"/>
      <c r="AG475" s="60"/>
    </row>
    <row r="476" spans="1:33" s="119" customFormat="1" ht="15">
      <c r="A476" s="60"/>
      <c r="B476" s="60"/>
      <c r="C476" s="60"/>
      <c r="D476" s="60"/>
      <c r="E476" s="60"/>
      <c r="F476" s="60"/>
      <c r="H476" s="60"/>
      <c r="J476" s="72"/>
      <c r="L476" s="72"/>
      <c r="N476" s="60"/>
      <c r="P476" s="72"/>
      <c r="R476" s="72"/>
      <c r="T476" s="60"/>
      <c r="V476" s="72"/>
      <c r="X476" s="72"/>
      <c r="Z476" s="60"/>
      <c r="AB476" s="72"/>
      <c r="AD476" s="72"/>
      <c r="AG476" s="60"/>
    </row>
    <row r="477" spans="1:33" s="119" customFormat="1" ht="15">
      <c r="A477" s="60"/>
      <c r="B477" s="60"/>
      <c r="C477" s="60"/>
      <c r="D477" s="60"/>
      <c r="E477" s="60"/>
      <c r="F477" s="60"/>
      <c r="H477" s="60"/>
      <c r="J477" s="72"/>
      <c r="L477" s="72"/>
      <c r="N477" s="60"/>
      <c r="P477" s="72"/>
      <c r="R477" s="72"/>
      <c r="T477" s="60"/>
      <c r="V477" s="72"/>
      <c r="X477" s="72"/>
      <c r="Z477" s="60"/>
      <c r="AB477" s="72"/>
      <c r="AD477" s="72"/>
      <c r="AG477" s="60"/>
    </row>
    <row r="478" spans="1:33" s="119" customFormat="1" ht="15">
      <c r="A478" s="60"/>
      <c r="B478" s="60"/>
      <c r="C478" s="60"/>
      <c r="D478" s="60"/>
      <c r="E478" s="60"/>
      <c r="F478" s="60"/>
      <c r="H478" s="60"/>
      <c r="J478" s="72"/>
      <c r="L478" s="72"/>
      <c r="N478" s="60"/>
      <c r="P478" s="72"/>
      <c r="R478" s="72"/>
      <c r="T478" s="60"/>
      <c r="V478" s="72"/>
      <c r="X478" s="72"/>
      <c r="Z478" s="60"/>
      <c r="AB478" s="72"/>
      <c r="AD478" s="72"/>
      <c r="AG478" s="60"/>
    </row>
    <row r="479" spans="1:33" s="119" customFormat="1" ht="15">
      <c r="A479" s="60"/>
      <c r="B479" s="60"/>
      <c r="C479" s="60"/>
      <c r="D479" s="60"/>
      <c r="E479" s="60"/>
      <c r="F479" s="60"/>
      <c r="H479" s="60"/>
      <c r="J479" s="72"/>
      <c r="L479" s="72"/>
      <c r="N479" s="60"/>
      <c r="P479" s="72"/>
      <c r="R479" s="72"/>
      <c r="T479" s="60"/>
      <c r="V479" s="72"/>
      <c r="X479" s="72"/>
      <c r="Z479" s="60"/>
      <c r="AB479" s="72"/>
      <c r="AD479" s="72"/>
      <c r="AG479" s="60"/>
    </row>
    <row r="480" spans="1:33" s="119" customFormat="1">
      <c r="A480" s="60"/>
      <c r="B480" s="60"/>
      <c r="C480" s="60"/>
      <c r="D480" s="60"/>
      <c r="E480" s="60"/>
      <c r="F480" s="60"/>
      <c r="H480" s="60"/>
      <c r="J480" s="60"/>
      <c r="L480" s="60"/>
      <c r="N480" s="60"/>
      <c r="P480" s="60"/>
      <c r="R480" s="60"/>
      <c r="T480" s="60"/>
      <c r="V480" s="60"/>
      <c r="X480" s="60"/>
      <c r="Z480" s="60"/>
      <c r="AB480" s="60"/>
      <c r="AD480" s="60"/>
      <c r="AF480" s="60"/>
      <c r="AG480" s="60"/>
    </row>
    <row r="481" spans="1:33" s="119" customFormat="1">
      <c r="A481" s="60"/>
      <c r="B481" s="60"/>
      <c r="C481" s="60"/>
      <c r="D481" s="60"/>
      <c r="E481" s="60"/>
      <c r="F481" s="60"/>
      <c r="H481" s="60"/>
      <c r="J481" s="60"/>
      <c r="L481" s="60"/>
      <c r="N481" s="60"/>
      <c r="P481" s="60"/>
      <c r="R481" s="60"/>
      <c r="T481" s="60"/>
      <c r="V481" s="60"/>
      <c r="X481" s="60"/>
      <c r="Z481" s="60"/>
      <c r="AB481" s="60"/>
      <c r="AD481" s="60"/>
      <c r="AF481" s="60"/>
      <c r="AG481" s="60"/>
    </row>
    <row r="482" spans="1:33" s="119" customFormat="1">
      <c r="A482" s="60"/>
      <c r="B482" s="60"/>
      <c r="C482" s="60"/>
      <c r="D482" s="60"/>
      <c r="E482" s="60"/>
      <c r="F482" s="60"/>
      <c r="H482" s="60"/>
      <c r="J482" s="60"/>
      <c r="L482" s="60"/>
      <c r="N482" s="60"/>
      <c r="P482" s="60"/>
      <c r="R482" s="60"/>
      <c r="T482" s="60"/>
      <c r="V482" s="60"/>
      <c r="X482" s="60"/>
      <c r="Z482" s="60"/>
      <c r="AB482" s="60"/>
      <c r="AD482" s="60"/>
      <c r="AF482" s="60"/>
      <c r="AG482" s="60"/>
    </row>
    <row r="483" spans="1:33" s="119" customFormat="1">
      <c r="A483" s="60"/>
      <c r="B483" s="60"/>
      <c r="C483" s="60"/>
      <c r="D483" s="60"/>
      <c r="E483" s="60"/>
      <c r="F483" s="60"/>
      <c r="H483" s="60"/>
      <c r="J483" s="60"/>
      <c r="L483" s="60"/>
      <c r="N483" s="60"/>
      <c r="P483" s="60"/>
      <c r="R483" s="60"/>
      <c r="T483" s="60"/>
      <c r="V483" s="60"/>
      <c r="X483" s="60"/>
      <c r="Z483" s="60"/>
      <c r="AB483" s="60"/>
      <c r="AD483" s="60"/>
      <c r="AF483" s="60"/>
      <c r="AG483" s="60"/>
    </row>
    <row r="484" spans="1:33" s="119" customFormat="1">
      <c r="A484" s="60"/>
      <c r="B484" s="60"/>
      <c r="C484" s="60"/>
      <c r="D484" s="60"/>
      <c r="E484" s="60"/>
      <c r="F484" s="60"/>
      <c r="H484" s="60"/>
      <c r="J484" s="60"/>
      <c r="L484" s="60"/>
      <c r="N484" s="60"/>
      <c r="P484" s="60"/>
      <c r="R484" s="60"/>
      <c r="T484" s="60"/>
      <c r="V484" s="60"/>
      <c r="X484" s="60"/>
      <c r="Z484" s="60"/>
      <c r="AB484" s="60"/>
      <c r="AD484" s="60"/>
      <c r="AF484" s="60"/>
      <c r="AG484" s="60"/>
    </row>
    <row r="485" spans="1:33" s="119" customFormat="1">
      <c r="A485" s="60"/>
      <c r="B485" s="60"/>
      <c r="C485" s="60"/>
      <c r="D485" s="60"/>
      <c r="E485" s="60"/>
      <c r="F485" s="60"/>
      <c r="H485" s="60"/>
      <c r="J485" s="60"/>
      <c r="L485" s="60"/>
      <c r="N485" s="60"/>
      <c r="P485" s="60"/>
      <c r="R485" s="60"/>
      <c r="T485" s="60"/>
      <c r="V485" s="60"/>
      <c r="X485" s="60"/>
      <c r="Z485" s="60"/>
      <c r="AB485" s="60"/>
      <c r="AD485" s="60"/>
      <c r="AF485" s="60"/>
      <c r="AG485" s="60"/>
    </row>
    <row r="486" spans="1:33" s="119" customFormat="1">
      <c r="A486" s="60"/>
      <c r="B486" s="60"/>
      <c r="C486" s="60"/>
      <c r="D486" s="60"/>
      <c r="E486" s="60"/>
      <c r="F486" s="60"/>
      <c r="H486" s="60"/>
      <c r="J486" s="60"/>
      <c r="L486" s="60"/>
      <c r="N486" s="60"/>
      <c r="P486" s="60"/>
      <c r="R486" s="60"/>
      <c r="T486" s="60"/>
      <c r="V486" s="60"/>
      <c r="X486" s="60"/>
      <c r="Z486" s="60"/>
      <c r="AB486" s="60"/>
      <c r="AD486" s="60"/>
      <c r="AF486" s="60"/>
      <c r="AG486" s="60"/>
    </row>
    <row r="487" spans="1:33" s="119" customFormat="1">
      <c r="A487" s="60"/>
      <c r="B487" s="60"/>
      <c r="C487" s="60"/>
      <c r="D487" s="60"/>
      <c r="E487" s="60"/>
      <c r="F487" s="60"/>
      <c r="H487" s="60"/>
      <c r="J487" s="60"/>
      <c r="L487" s="60"/>
      <c r="N487" s="60"/>
      <c r="P487" s="60"/>
      <c r="R487" s="60"/>
      <c r="T487" s="60"/>
      <c r="V487" s="60"/>
      <c r="X487" s="60"/>
      <c r="Z487" s="60"/>
      <c r="AB487" s="60"/>
      <c r="AD487" s="60"/>
      <c r="AF487" s="60"/>
      <c r="AG487" s="60"/>
    </row>
    <row r="488" spans="1:33" s="119" customFormat="1">
      <c r="A488" s="60"/>
      <c r="B488" s="60"/>
      <c r="C488" s="60"/>
      <c r="D488" s="60"/>
      <c r="E488" s="60"/>
      <c r="F488" s="60"/>
      <c r="H488" s="60"/>
      <c r="J488" s="60"/>
      <c r="L488" s="60"/>
      <c r="N488" s="60"/>
      <c r="P488" s="60"/>
      <c r="R488" s="60"/>
      <c r="T488" s="60"/>
      <c r="V488" s="60"/>
      <c r="X488" s="60"/>
      <c r="Z488" s="60"/>
      <c r="AB488" s="60"/>
      <c r="AD488" s="60"/>
      <c r="AF488" s="60"/>
      <c r="AG488" s="60"/>
    </row>
    <row r="489" spans="1:33" s="119" customFormat="1">
      <c r="A489" s="60"/>
      <c r="B489" s="60"/>
      <c r="C489" s="60"/>
      <c r="D489" s="60"/>
      <c r="E489" s="60"/>
      <c r="F489" s="60"/>
      <c r="H489" s="60"/>
      <c r="J489" s="60"/>
      <c r="L489" s="60"/>
      <c r="N489" s="60"/>
      <c r="P489" s="60"/>
      <c r="R489" s="60"/>
      <c r="T489" s="60"/>
      <c r="V489" s="60"/>
      <c r="X489" s="60"/>
      <c r="Z489" s="60"/>
      <c r="AB489" s="60"/>
      <c r="AD489" s="60"/>
      <c r="AF489" s="60"/>
      <c r="AG489" s="60"/>
    </row>
    <row r="490" spans="1:33" s="119" customFormat="1">
      <c r="A490" s="60"/>
      <c r="B490" s="60"/>
      <c r="C490" s="60"/>
      <c r="D490" s="60"/>
      <c r="E490" s="60"/>
      <c r="F490" s="60"/>
      <c r="H490" s="60"/>
      <c r="J490" s="60"/>
      <c r="L490" s="60"/>
      <c r="N490" s="60"/>
      <c r="P490" s="60"/>
      <c r="R490" s="60"/>
      <c r="T490" s="60"/>
      <c r="V490" s="60"/>
      <c r="X490" s="60"/>
      <c r="Z490" s="60"/>
      <c r="AB490" s="60"/>
      <c r="AD490" s="60"/>
      <c r="AF490" s="60"/>
      <c r="AG490" s="60"/>
    </row>
    <row r="491" spans="1:33" s="119" customFormat="1">
      <c r="A491" s="60"/>
      <c r="B491" s="60"/>
      <c r="C491" s="60"/>
      <c r="D491" s="60"/>
      <c r="E491" s="60"/>
      <c r="F491" s="60"/>
      <c r="H491" s="60"/>
      <c r="J491" s="60"/>
      <c r="L491" s="60"/>
      <c r="N491" s="60"/>
      <c r="P491" s="60"/>
      <c r="R491" s="60"/>
      <c r="T491" s="60"/>
      <c r="V491" s="60"/>
      <c r="X491" s="60"/>
      <c r="Z491" s="60"/>
      <c r="AB491" s="60"/>
      <c r="AD491" s="60"/>
      <c r="AF491" s="60"/>
      <c r="AG491" s="60"/>
    </row>
    <row r="492" spans="1:33" s="119" customFormat="1">
      <c r="A492" s="60"/>
      <c r="B492" s="60"/>
      <c r="C492" s="60"/>
      <c r="D492" s="60"/>
      <c r="E492" s="60"/>
      <c r="F492" s="60"/>
      <c r="H492" s="60"/>
      <c r="J492" s="60"/>
      <c r="L492" s="60"/>
      <c r="N492" s="60"/>
      <c r="P492" s="60"/>
      <c r="R492" s="60"/>
      <c r="T492" s="60"/>
      <c r="V492" s="60"/>
      <c r="X492" s="60"/>
      <c r="Z492" s="60"/>
      <c r="AB492" s="60"/>
      <c r="AD492" s="60"/>
      <c r="AF492" s="60"/>
      <c r="AG492" s="60"/>
    </row>
    <row r="493" spans="1:33" s="119" customFormat="1">
      <c r="A493" s="60"/>
      <c r="B493" s="60"/>
      <c r="C493" s="60"/>
      <c r="D493" s="60"/>
      <c r="E493" s="60"/>
      <c r="F493" s="60"/>
      <c r="H493" s="60"/>
      <c r="J493" s="60"/>
      <c r="L493" s="60"/>
      <c r="N493" s="60"/>
      <c r="P493" s="60"/>
      <c r="R493" s="60"/>
      <c r="T493" s="60"/>
      <c r="V493" s="60"/>
      <c r="X493" s="60"/>
      <c r="Z493" s="60"/>
      <c r="AB493" s="60"/>
      <c r="AD493" s="60"/>
      <c r="AF493" s="60"/>
      <c r="AG493" s="60"/>
    </row>
    <row r="494" spans="1:33" s="119" customFormat="1">
      <c r="A494" s="60"/>
      <c r="B494" s="60"/>
      <c r="C494" s="60"/>
      <c r="D494" s="60"/>
      <c r="E494" s="60"/>
      <c r="F494" s="60"/>
      <c r="H494" s="60"/>
      <c r="J494" s="60"/>
      <c r="L494" s="60"/>
      <c r="N494" s="60"/>
      <c r="P494" s="60"/>
      <c r="R494" s="60"/>
      <c r="T494" s="60"/>
      <c r="V494" s="60"/>
      <c r="X494" s="60"/>
      <c r="Z494" s="60"/>
      <c r="AB494" s="60"/>
      <c r="AD494" s="60"/>
      <c r="AF494" s="60"/>
      <c r="AG494" s="60"/>
    </row>
  </sheetData>
  <pageMargins left="0.25" right="0.25" top="0.27" bottom="0.4" header="0.18" footer="0.25"/>
  <pageSetup scale="47" fitToHeight="3" orientation="landscape" errors="blank" horizontalDpi="4294967292" r:id="rId1"/>
  <headerFooter alignWithMargins="0">
    <oddFooter>&amp;L&amp;F - &amp;A&amp;CPrinted &amp;D - &amp;T&amp;RPage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6"/>
  <sheetViews>
    <sheetView topLeftCell="A5" workbookViewId="0">
      <selection activeCell="F52" sqref="F52"/>
    </sheetView>
  </sheetViews>
  <sheetFormatPr defaultRowHeight="15" outlineLevelRow="1"/>
  <cols>
    <col min="1" max="1" width="9.140625" style="284"/>
    <col min="2" max="2" width="36.140625" style="284" bestFit="1" customWidth="1"/>
    <col min="3" max="4" width="18" style="284" bestFit="1" customWidth="1"/>
    <col min="5" max="5" width="17.140625" style="284" customWidth="1"/>
    <col min="6" max="6" width="12.28515625" style="239" bestFit="1" customWidth="1"/>
    <col min="7" max="7" width="18" style="232" bestFit="1" customWidth="1"/>
    <col min="8" max="8" width="26.28515625" style="267" customWidth="1"/>
    <col min="9" max="10" width="9.140625" style="267"/>
    <col min="11" max="257" width="9.140625" style="284"/>
    <col min="258" max="258" width="36.140625" style="284" bestFit="1" customWidth="1"/>
    <col min="259" max="260" width="18" style="284" bestFit="1" customWidth="1"/>
    <col min="261" max="261" width="13.5703125" style="284" customWidth="1"/>
    <col min="262" max="513" width="9.140625" style="284"/>
    <col min="514" max="514" width="36.140625" style="284" bestFit="1" customWidth="1"/>
    <col min="515" max="516" width="18" style="284" bestFit="1" customWidth="1"/>
    <col min="517" max="517" width="13.5703125" style="284" customWidth="1"/>
    <col min="518" max="769" width="9.140625" style="284"/>
    <col min="770" max="770" width="36.140625" style="284" bestFit="1" customWidth="1"/>
    <col min="771" max="772" width="18" style="284" bestFit="1" customWidth="1"/>
    <col min="773" max="773" width="13.5703125" style="284" customWidth="1"/>
    <col min="774" max="1025" width="9.140625" style="284"/>
    <col min="1026" max="1026" width="36.140625" style="284" bestFit="1" customWidth="1"/>
    <col min="1027" max="1028" width="18" style="284" bestFit="1" customWidth="1"/>
    <col min="1029" max="1029" width="13.5703125" style="284" customWidth="1"/>
    <col min="1030" max="1281" width="9.140625" style="284"/>
    <col min="1282" max="1282" width="36.140625" style="284" bestFit="1" customWidth="1"/>
    <col min="1283" max="1284" width="18" style="284" bestFit="1" customWidth="1"/>
    <col min="1285" max="1285" width="13.5703125" style="284" customWidth="1"/>
    <col min="1286" max="1537" width="9.140625" style="284"/>
    <col min="1538" max="1538" width="36.140625" style="284" bestFit="1" customWidth="1"/>
    <col min="1539" max="1540" width="18" style="284" bestFit="1" customWidth="1"/>
    <col min="1541" max="1541" width="13.5703125" style="284" customWidth="1"/>
    <col min="1542" max="1793" width="9.140625" style="284"/>
    <col min="1794" max="1794" width="36.140625" style="284" bestFit="1" customWidth="1"/>
    <col min="1795" max="1796" width="18" style="284" bestFit="1" customWidth="1"/>
    <col min="1797" max="1797" width="13.5703125" style="284" customWidth="1"/>
    <col min="1798" max="2049" width="9.140625" style="284"/>
    <col min="2050" max="2050" width="36.140625" style="284" bestFit="1" customWidth="1"/>
    <col min="2051" max="2052" width="18" style="284" bestFit="1" customWidth="1"/>
    <col min="2053" max="2053" width="13.5703125" style="284" customWidth="1"/>
    <col min="2054" max="2305" width="9.140625" style="284"/>
    <col min="2306" max="2306" width="36.140625" style="284" bestFit="1" customWidth="1"/>
    <col min="2307" max="2308" width="18" style="284" bestFit="1" customWidth="1"/>
    <col min="2309" max="2309" width="13.5703125" style="284" customWidth="1"/>
    <col min="2310" max="2561" width="9.140625" style="284"/>
    <col min="2562" max="2562" width="36.140625" style="284" bestFit="1" customWidth="1"/>
    <col min="2563" max="2564" width="18" style="284" bestFit="1" customWidth="1"/>
    <col min="2565" max="2565" width="13.5703125" style="284" customWidth="1"/>
    <col min="2566" max="2817" width="9.140625" style="284"/>
    <col min="2818" max="2818" width="36.140625" style="284" bestFit="1" customWidth="1"/>
    <col min="2819" max="2820" width="18" style="284" bestFit="1" customWidth="1"/>
    <col min="2821" max="2821" width="13.5703125" style="284" customWidth="1"/>
    <col min="2822" max="3073" width="9.140625" style="284"/>
    <col min="3074" max="3074" width="36.140625" style="284" bestFit="1" customWidth="1"/>
    <col min="3075" max="3076" width="18" style="284" bestFit="1" customWidth="1"/>
    <col min="3077" max="3077" width="13.5703125" style="284" customWidth="1"/>
    <col min="3078" max="3329" width="9.140625" style="284"/>
    <col min="3330" max="3330" width="36.140625" style="284" bestFit="1" customWidth="1"/>
    <col min="3331" max="3332" width="18" style="284" bestFit="1" customWidth="1"/>
    <col min="3333" max="3333" width="13.5703125" style="284" customWidth="1"/>
    <col min="3334" max="3585" width="9.140625" style="284"/>
    <col min="3586" max="3586" width="36.140625" style="284" bestFit="1" customWidth="1"/>
    <col min="3587" max="3588" width="18" style="284" bestFit="1" customWidth="1"/>
    <col min="3589" max="3589" width="13.5703125" style="284" customWidth="1"/>
    <col min="3590" max="3841" width="9.140625" style="284"/>
    <col min="3842" max="3842" width="36.140625" style="284" bestFit="1" customWidth="1"/>
    <col min="3843" max="3844" width="18" style="284" bestFit="1" customWidth="1"/>
    <col min="3845" max="3845" width="13.5703125" style="284" customWidth="1"/>
    <col min="3846" max="4097" width="9.140625" style="284"/>
    <col min="4098" max="4098" width="36.140625" style="284" bestFit="1" customWidth="1"/>
    <col min="4099" max="4100" width="18" style="284" bestFit="1" customWidth="1"/>
    <col min="4101" max="4101" width="13.5703125" style="284" customWidth="1"/>
    <col min="4102" max="4353" width="9.140625" style="284"/>
    <col min="4354" max="4354" width="36.140625" style="284" bestFit="1" customWidth="1"/>
    <col min="4355" max="4356" width="18" style="284" bestFit="1" customWidth="1"/>
    <col min="4357" max="4357" width="13.5703125" style="284" customWidth="1"/>
    <col min="4358" max="4609" width="9.140625" style="284"/>
    <col min="4610" max="4610" width="36.140625" style="284" bestFit="1" customWidth="1"/>
    <col min="4611" max="4612" width="18" style="284" bestFit="1" customWidth="1"/>
    <col min="4613" max="4613" width="13.5703125" style="284" customWidth="1"/>
    <col min="4614" max="4865" width="9.140625" style="284"/>
    <col min="4866" max="4866" width="36.140625" style="284" bestFit="1" customWidth="1"/>
    <col min="4867" max="4868" width="18" style="284" bestFit="1" customWidth="1"/>
    <col min="4869" max="4869" width="13.5703125" style="284" customWidth="1"/>
    <col min="4870" max="5121" width="9.140625" style="284"/>
    <col min="5122" max="5122" width="36.140625" style="284" bestFit="1" customWidth="1"/>
    <col min="5123" max="5124" width="18" style="284" bestFit="1" customWidth="1"/>
    <col min="5125" max="5125" width="13.5703125" style="284" customWidth="1"/>
    <col min="5126" max="5377" width="9.140625" style="284"/>
    <col min="5378" max="5378" width="36.140625" style="284" bestFit="1" customWidth="1"/>
    <col min="5379" max="5380" width="18" style="284" bestFit="1" customWidth="1"/>
    <col min="5381" max="5381" width="13.5703125" style="284" customWidth="1"/>
    <col min="5382" max="5633" width="9.140625" style="284"/>
    <col min="5634" max="5634" width="36.140625" style="284" bestFit="1" customWidth="1"/>
    <col min="5635" max="5636" width="18" style="284" bestFit="1" customWidth="1"/>
    <col min="5637" max="5637" width="13.5703125" style="284" customWidth="1"/>
    <col min="5638" max="5889" width="9.140625" style="284"/>
    <col min="5890" max="5890" width="36.140625" style="284" bestFit="1" customWidth="1"/>
    <col min="5891" max="5892" width="18" style="284" bestFit="1" customWidth="1"/>
    <col min="5893" max="5893" width="13.5703125" style="284" customWidth="1"/>
    <col min="5894" max="6145" width="9.140625" style="284"/>
    <col min="6146" max="6146" width="36.140625" style="284" bestFit="1" customWidth="1"/>
    <col min="6147" max="6148" width="18" style="284" bestFit="1" customWidth="1"/>
    <col min="6149" max="6149" width="13.5703125" style="284" customWidth="1"/>
    <col min="6150" max="6401" width="9.140625" style="284"/>
    <col min="6402" max="6402" width="36.140625" style="284" bestFit="1" customWidth="1"/>
    <col min="6403" max="6404" width="18" style="284" bestFit="1" customWidth="1"/>
    <col min="6405" max="6405" width="13.5703125" style="284" customWidth="1"/>
    <col min="6406" max="6657" width="9.140625" style="284"/>
    <col min="6658" max="6658" width="36.140625" style="284" bestFit="1" customWidth="1"/>
    <col min="6659" max="6660" width="18" style="284" bestFit="1" customWidth="1"/>
    <col min="6661" max="6661" width="13.5703125" style="284" customWidth="1"/>
    <col min="6662" max="6913" width="9.140625" style="284"/>
    <col min="6914" max="6914" width="36.140625" style="284" bestFit="1" customWidth="1"/>
    <col min="6915" max="6916" width="18" style="284" bestFit="1" customWidth="1"/>
    <col min="6917" max="6917" width="13.5703125" style="284" customWidth="1"/>
    <col min="6918" max="7169" width="9.140625" style="284"/>
    <col min="7170" max="7170" width="36.140625" style="284" bestFit="1" customWidth="1"/>
    <col min="7171" max="7172" width="18" style="284" bestFit="1" customWidth="1"/>
    <col min="7173" max="7173" width="13.5703125" style="284" customWidth="1"/>
    <col min="7174" max="7425" width="9.140625" style="284"/>
    <col min="7426" max="7426" width="36.140625" style="284" bestFit="1" customWidth="1"/>
    <col min="7427" max="7428" width="18" style="284" bestFit="1" customWidth="1"/>
    <col min="7429" max="7429" width="13.5703125" style="284" customWidth="1"/>
    <col min="7430" max="7681" width="9.140625" style="284"/>
    <col min="7682" max="7682" width="36.140625" style="284" bestFit="1" customWidth="1"/>
    <col min="7683" max="7684" width="18" style="284" bestFit="1" customWidth="1"/>
    <col min="7685" max="7685" width="13.5703125" style="284" customWidth="1"/>
    <col min="7686" max="7937" width="9.140625" style="284"/>
    <col min="7938" max="7938" width="36.140625" style="284" bestFit="1" customWidth="1"/>
    <col min="7939" max="7940" width="18" style="284" bestFit="1" customWidth="1"/>
    <col min="7941" max="7941" width="13.5703125" style="284" customWidth="1"/>
    <col min="7942" max="8193" width="9.140625" style="284"/>
    <col min="8194" max="8194" width="36.140625" style="284" bestFit="1" customWidth="1"/>
    <col min="8195" max="8196" width="18" style="284" bestFit="1" customWidth="1"/>
    <col min="8197" max="8197" width="13.5703125" style="284" customWidth="1"/>
    <col min="8198" max="8449" width="9.140625" style="284"/>
    <col min="8450" max="8450" width="36.140625" style="284" bestFit="1" customWidth="1"/>
    <col min="8451" max="8452" width="18" style="284" bestFit="1" customWidth="1"/>
    <col min="8453" max="8453" width="13.5703125" style="284" customWidth="1"/>
    <col min="8454" max="8705" width="9.140625" style="284"/>
    <col min="8706" max="8706" width="36.140625" style="284" bestFit="1" customWidth="1"/>
    <col min="8707" max="8708" width="18" style="284" bestFit="1" customWidth="1"/>
    <col min="8709" max="8709" width="13.5703125" style="284" customWidth="1"/>
    <col min="8710" max="8961" width="9.140625" style="284"/>
    <col min="8962" max="8962" width="36.140625" style="284" bestFit="1" customWidth="1"/>
    <col min="8963" max="8964" width="18" style="284" bestFit="1" customWidth="1"/>
    <col min="8965" max="8965" width="13.5703125" style="284" customWidth="1"/>
    <col min="8966" max="9217" width="9.140625" style="284"/>
    <col min="9218" max="9218" width="36.140625" style="284" bestFit="1" customWidth="1"/>
    <col min="9219" max="9220" width="18" style="284" bestFit="1" customWidth="1"/>
    <col min="9221" max="9221" width="13.5703125" style="284" customWidth="1"/>
    <col min="9222" max="9473" width="9.140625" style="284"/>
    <col min="9474" max="9474" width="36.140625" style="284" bestFit="1" customWidth="1"/>
    <col min="9475" max="9476" width="18" style="284" bestFit="1" customWidth="1"/>
    <col min="9477" max="9477" width="13.5703125" style="284" customWidth="1"/>
    <col min="9478" max="9729" width="9.140625" style="284"/>
    <col min="9730" max="9730" width="36.140625" style="284" bestFit="1" customWidth="1"/>
    <col min="9731" max="9732" width="18" style="284" bestFit="1" customWidth="1"/>
    <col min="9733" max="9733" width="13.5703125" style="284" customWidth="1"/>
    <col min="9734" max="9985" width="9.140625" style="284"/>
    <col min="9986" max="9986" width="36.140625" style="284" bestFit="1" customWidth="1"/>
    <col min="9987" max="9988" width="18" style="284" bestFit="1" customWidth="1"/>
    <col min="9989" max="9989" width="13.5703125" style="284" customWidth="1"/>
    <col min="9990" max="10241" width="9.140625" style="284"/>
    <col min="10242" max="10242" width="36.140625" style="284" bestFit="1" customWidth="1"/>
    <col min="10243" max="10244" width="18" style="284" bestFit="1" customWidth="1"/>
    <col min="10245" max="10245" width="13.5703125" style="284" customWidth="1"/>
    <col min="10246" max="10497" width="9.140625" style="284"/>
    <col min="10498" max="10498" width="36.140625" style="284" bestFit="1" customWidth="1"/>
    <col min="10499" max="10500" width="18" style="284" bestFit="1" customWidth="1"/>
    <col min="10501" max="10501" width="13.5703125" style="284" customWidth="1"/>
    <col min="10502" max="10753" width="9.140625" style="284"/>
    <col min="10754" max="10754" width="36.140625" style="284" bestFit="1" customWidth="1"/>
    <col min="10755" max="10756" width="18" style="284" bestFit="1" customWidth="1"/>
    <col min="10757" max="10757" width="13.5703125" style="284" customWidth="1"/>
    <col min="10758" max="11009" width="9.140625" style="284"/>
    <col min="11010" max="11010" width="36.140625" style="284" bestFit="1" customWidth="1"/>
    <col min="11011" max="11012" width="18" style="284" bestFit="1" customWidth="1"/>
    <col min="11013" max="11013" width="13.5703125" style="284" customWidth="1"/>
    <col min="11014" max="11265" width="9.140625" style="284"/>
    <col min="11266" max="11266" width="36.140625" style="284" bestFit="1" customWidth="1"/>
    <col min="11267" max="11268" width="18" style="284" bestFit="1" customWidth="1"/>
    <col min="11269" max="11269" width="13.5703125" style="284" customWidth="1"/>
    <col min="11270" max="11521" width="9.140625" style="284"/>
    <col min="11522" max="11522" width="36.140625" style="284" bestFit="1" customWidth="1"/>
    <col min="11523" max="11524" width="18" style="284" bestFit="1" customWidth="1"/>
    <col min="11525" max="11525" width="13.5703125" style="284" customWidth="1"/>
    <col min="11526" max="11777" width="9.140625" style="284"/>
    <col min="11778" max="11778" width="36.140625" style="284" bestFit="1" customWidth="1"/>
    <col min="11779" max="11780" width="18" style="284" bestFit="1" customWidth="1"/>
    <col min="11781" max="11781" width="13.5703125" style="284" customWidth="1"/>
    <col min="11782" max="12033" width="9.140625" style="284"/>
    <col min="12034" max="12034" width="36.140625" style="284" bestFit="1" customWidth="1"/>
    <col min="12035" max="12036" width="18" style="284" bestFit="1" customWidth="1"/>
    <col min="12037" max="12037" width="13.5703125" style="284" customWidth="1"/>
    <col min="12038" max="12289" width="9.140625" style="284"/>
    <col min="12290" max="12290" width="36.140625" style="284" bestFit="1" customWidth="1"/>
    <col min="12291" max="12292" width="18" style="284" bestFit="1" customWidth="1"/>
    <col min="12293" max="12293" width="13.5703125" style="284" customWidth="1"/>
    <col min="12294" max="12545" width="9.140625" style="284"/>
    <col min="12546" max="12546" width="36.140625" style="284" bestFit="1" customWidth="1"/>
    <col min="12547" max="12548" width="18" style="284" bestFit="1" customWidth="1"/>
    <col min="12549" max="12549" width="13.5703125" style="284" customWidth="1"/>
    <col min="12550" max="12801" width="9.140625" style="284"/>
    <col min="12802" max="12802" width="36.140625" style="284" bestFit="1" customWidth="1"/>
    <col min="12803" max="12804" width="18" style="284" bestFit="1" customWidth="1"/>
    <col min="12805" max="12805" width="13.5703125" style="284" customWidth="1"/>
    <col min="12806" max="13057" width="9.140625" style="284"/>
    <col min="13058" max="13058" width="36.140625" style="284" bestFit="1" customWidth="1"/>
    <col min="13059" max="13060" width="18" style="284" bestFit="1" customWidth="1"/>
    <col min="13061" max="13061" width="13.5703125" style="284" customWidth="1"/>
    <col min="13062" max="13313" width="9.140625" style="284"/>
    <col min="13314" max="13314" width="36.140625" style="284" bestFit="1" customWidth="1"/>
    <col min="13315" max="13316" width="18" style="284" bestFit="1" customWidth="1"/>
    <col min="13317" max="13317" width="13.5703125" style="284" customWidth="1"/>
    <col min="13318" max="13569" width="9.140625" style="284"/>
    <col min="13570" max="13570" width="36.140625" style="284" bestFit="1" customWidth="1"/>
    <col min="13571" max="13572" width="18" style="284" bestFit="1" customWidth="1"/>
    <col min="13573" max="13573" width="13.5703125" style="284" customWidth="1"/>
    <col min="13574" max="13825" width="9.140625" style="284"/>
    <col min="13826" max="13826" width="36.140625" style="284" bestFit="1" customWidth="1"/>
    <col min="13827" max="13828" width="18" style="284" bestFit="1" customWidth="1"/>
    <col min="13829" max="13829" width="13.5703125" style="284" customWidth="1"/>
    <col min="13830" max="14081" width="9.140625" style="284"/>
    <col min="14082" max="14082" width="36.140625" style="284" bestFit="1" customWidth="1"/>
    <col min="14083" max="14084" width="18" style="284" bestFit="1" customWidth="1"/>
    <col min="14085" max="14085" width="13.5703125" style="284" customWidth="1"/>
    <col min="14086" max="14337" width="9.140625" style="284"/>
    <col min="14338" max="14338" width="36.140625" style="284" bestFit="1" customWidth="1"/>
    <col min="14339" max="14340" width="18" style="284" bestFit="1" customWidth="1"/>
    <col min="14341" max="14341" width="13.5703125" style="284" customWidth="1"/>
    <col min="14342" max="14593" width="9.140625" style="284"/>
    <col min="14594" max="14594" width="36.140625" style="284" bestFit="1" customWidth="1"/>
    <col min="14595" max="14596" width="18" style="284" bestFit="1" customWidth="1"/>
    <col min="14597" max="14597" width="13.5703125" style="284" customWidth="1"/>
    <col min="14598" max="14849" width="9.140625" style="284"/>
    <col min="14850" max="14850" width="36.140625" style="284" bestFit="1" customWidth="1"/>
    <col min="14851" max="14852" width="18" style="284" bestFit="1" customWidth="1"/>
    <col min="14853" max="14853" width="13.5703125" style="284" customWidth="1"/>
    <col min="14854" max="15105" width="9.140625" style="284"/>
    <col min="15106" max="15106" width="36.140625" style="284" bestFit="1" customWidth="1"/>
    <col min="15107" max="15108" width="18" style="284" bestFit="1" customWidth="1"/>
    <col min="15109" max="15109" width="13.5703125" style="284" customWidth="1"/>
    <col min="15110" max="15361" width="9.140625" style="284"/>
    <col min="15362" max="15362" width="36.140625" style="284" bestFit="1" customWidth="1"/>
    <col min="15363" max="15364" width="18" style="284" bestFit="1" customWidth="1"/>
    <col min="15365" max="15365" width="13.5703125" style="284" customWidth="1"/>
    <col min="15366" max="15617" width="9.140625" style="284"/>
    <col min="15618" max="15618" width="36.140625" style="284" bestFit="1" customWidth="1"/>
    <col min="15619" max="15620" width="18" style="284" bestFit="1" customWidth="1"/>
    <col min="15621" max="15621" width="13.5703125" style="284" customWidth="1"/>
    <col min="15622" max="15873" width="9.140625" style="284"/>
    <col min="15874" max="15874" width="36.140625" style="284" bestFit="1" customWidth="1"/>
    <col min="15875" max="15876" width="18" style="284" bestFit="1" customWidth="1"/>
    <col min="15877" max="15877" width="13.5703125" style="284" customWidth="1"/>
    <col min="15878" max="16129" width="9.140625" style="284"/>
    <col min="16130" max="16130" width="36.140625" style="284" bestFit="1" customWidth="1"/>
    <col min="16131" max="16132" width="18" style="284" bestFit="1" customWidth="1"/>
    <col min="16133" max="16133" width="13.5703125" style="284" customWidth="1"/>
    <col min="16134" max="16384" width="9.140625" style="284"/>
  </cols>
  <sheetData>
    <row r="1" spans="1:10" hidden="1" outlineLevel="1">
      <c r="C1" s="282" t="s">
        <v>591</v>
      </c>
      <c r="D1" s="282"/>
    </row>
    <row r="2" spans="1:10" hidden="1" outlineLevel="1">
      <c r="C2" s="282" t="s">
        <v>592</v>
      </c>
      <c r="D2" s="282" t="s">
        <v>13</v>
      </c>
    </row>
    <row r="3" spans="1:10" hidden="1" outlineLevel="1">
      <c r="C3" s="282" t="s">
        <v>592</v>
      </c>
      <c r="D3" s="282"/>
    </row>
    <row r="4" spans="1:10" hidden="1" outlineLevel="1">
      <c r="C4" s="282" t="s">
        <v>593</v>
      </c>
      <c r="D4" s="282"/>
    </row>
    <row r="5" spans="1:10" collapsed="1">
      <c r="A5" s="232" t="s">
        <v>594</v>
      </c>
      <c r="B5" s="268"/>
      <c r="C5" s="266"/>
      <c r="D5" s="266"/>
    </row>
    <row r="6" spans="1:10">
      <c r="A6" s="232" t="s">
        <v>595</v>
      </c>
    </row>
    <row r="7" spans="1:10">
      <c r="A7" s="232"/>
      <c r="E7" s="241" t="s">
        <v>596</v>
      </c>
      <c r="H7" s="264">
        <f>C29/(C21+C22+C23+C24+C25+C26+C28+C31+C32)</f>
        <v>3.2212303093889304E-2</v>
      </c>
      <c r="I7" s="265" t="s">
        <v>597</v>
      </c>
    </row>
    <row r="8" spans="1:10">
      <c r="A8" s="232"/>
      <c r="C8" s="241" t="s">
        <v>598</v>
      </c>
      <c r="D8" s="241"/>
      <c r="E8" s="241" t="s">
        <v>599</v>
      </c>
    </row>
    <row r="9" spans="1:10">
      <c r="A9" s="232"/>
      <c r="C9" s="281" t="s">
        <v>600</v>
      </c>
      <c r="D9" s="281"/>
      <c r="E9" s="241" t="s">
        <v>600</v>
      </c>
    </row>
    <row r="10" spans="1:10">
      <c r="C10" s="280">
        <v>2015</v>
      </c>
      <c r="D10" s="280" t="s">
        <v>7</v>
      </c>
      <c r="E10" s="278" t="s">
        <v>601</v>
      </c>
      <c r="F10" s="239" t="s">
        <v>637</v>
      </c>
    </row>
    <row r="11" spans="1:10" s="290" customFormat="1">
      <c r="A11" s="263">
        <v>50086</v>
      </c>
      <c r="B11" s="277" t="s">
        <v>148</v>
      </c>
      <c r="C11" s="276">
        <v>123681.78</v>
      </c>
      <c r="D11" s="276"/>
      <c r="E11" s="275">
        <f>SUM(C11:D11)</f>
        <v>123681.78</v>
      </c>
      <c r="F11" s="274"/>
      <c r="G11" s="270">
        <f>E11+F11</f>
        <v>123681.78</v>
      </c>
      <c r="H11" s="265"/>
      <c r="I11" s="265"/>
      <c r="J11" s="265"/>
    </row>
    <row r="12" spans="1:10" s="290" customFormat="1">
      <c r="A12" s="263">
        <v>51260</v>
      </c>
      <c r="B12" s="277" t="s">
        <v>202</v>
      </c>
      <c r="C12" s="276">
        <v>43483.839999999997</v>
      </c>
      <c r="D12" s="276">
        <v>-13909.84</v>
      </c>
      <c r="E12" s="275">
        <f t="shared" ref="E12:E75" si="0">SUM(C12:D12)</f>
        <v>29573.999999999996</v>
      </c>
      <c r="F12" s="274"/>
      <c r="G12" s="270">
        <f t="shared" ref="G12:G75" si="1">E12+F12</f>
        <v>29573.999999999996</v>
      </c>
      <c r="H12" s="265"/>
      <c r="I12" s="265"/>
      <c r="J12" s="265"/>
    </row>
    <row r="13" spans="1:10" s="290" customFormat="1">
      <c r="A13" s="263">
        <v>52090</v>
      </c>
      <c r="B13" s="277" t="s">
        <v>46</v>
      </c>
      <c r="C13" s="276">
        <v>0</v>
      </c>
      <c r="D13" s="276"/>
      <c r="E13" s="275">
        <f t="shared" si="0"/>
        <v>0</v>
      </c>
      <c r="F13" s="274"/>
      <c r="G13" s="270">
        <f t="shared" si="1"/>
        <v>0</v>
      </c>
      <c r="H13" s="265"/>
      <c r="I13" s="265"/>
      <c r="J13" s="265"/>
    </row>
    <row r="14" spans="1:10" s="290" customFormat="1">
      <c r="A14" s="263">
        <v>52120</v>
      </c>
      <c r="B14" s="277" t="s">
        <v>153</v>
      </c>
      <c r="C14" s="276">
        <v>-65902.679999999993</v>
      </c>
      <c r="D14" s="276">
        <f>-C14</f>
        <v>65902.679999999993</v>
      </c>
      <c r="E14" s="275">
        <f t="shared" si="0"/>
        <v>0</v>
      </c>
      <c r="F14" s="274"/>
      <c r="G14" s="270">
        <f t="shared" si="1"/>
        <v>0</v>
      </c>
      <c r="H14" s="265"/>
      <c r="I14" s="265"/>
      <c r="J14" s="265"/>
    </row>
    <row r="15" spans="1:10" s="290" customFormat="1">
      <c r="A15" s="263">
        <v>56037</v>
      </c>
      <c r="B15" s="277" t="s">
        <v>602</v>
      </c>
      <c r="C15" s="276">
        <v>0</v>
      </c>
      <c r="D15" s="276"/>
      <c r="E15" s="275">
        <f t="shared" si="0"/>
        <v>0</v>
      </c>
      <c r="F15" s="274"/>
      <c r="G15" s="270">
        <f t="shared" si="1"/>
        <v>0</v>
      </c>
      <c r="H15" s="265"/>
      <c r="I15" s="265"/>
      <c r="J15" s="265"/>
    </row>
    <row r="16" spans="1:10" s="290" customFormat="1">
      <c r="A16" s="263">
        <v>57255</v>
      </c>
      <c r="B16" s="277" t="s">
        <v>167</v>
      </c>
      <c r="C16" s="276">
        <v>0</v>
      </c>
      <c r="D16" s="276"/>
      <c r="E16" s="275">
        <f t="shared" si="0"/>
        <v>0</v>
      </c>
      <c r="F16" s="274"/>
      <c r="G16" s="270">
        <f t="shared" si="1"/>
        <v>0</v>
      </c>
      <c r="H16" s="265"/>
      <c r="I16" s="265"/>
      <c r="J16" s="265"/>
    </row>
    <row r="17" spans="1:10" s="290" customFormat="1">
      <c r="A17" s="263">
        <v>57260</v>
      </c>
      <c r="B17" s="277" t="s">
        <v>202</v>
      </c>
      <c r="C17" s="276">
        <v>511368.21</v>
      </c>
      <c r="D17" s="276"/>
      <c r="E17" s="279">
        <f t="shared" si="0"/>
        <v>511368.21</v>
      </c>
      <c r="F17" s="237">
        <v>-4570.95</v>
      </c>
      <c r="G17" s="262">
        <f t="shared" si="1"/>
        <v>506797.26</v>
      </c>
      <c r="H17" s="261" t="s">
        <v>603</v>
      </c>
      <c r="I17" s="265"/>
      <c r="J17" s="265"/>
    </row>
    <row r="18" spans="1:10" s="290" customFormat="1">
      <c r="A18" s="263">
        <v>59271</v>
      </c>
      <c r="B18" s="277" t="s">
        <v>604</v>
      </c>
      <c r="C18" s="276">
        <v>0</v>
      </c>
      <c r="D18" s="276"/>
      <c r="E18" s="275">
        <f t="shared" si="0"/>
        <v>0</v>
      </c>
      <c r="F18" s="274"/>
      <c r="G18" s="270">
        <f t="shared" si="1"/>
        <v>0</v>
      </c>
      <c r="H18" s="265"/>
      <c r="I18" s="265"/>
      <c r="J18" s="265"/>
    </row>
    <row r="19" spans="1:10" s="290" customFormat="1">
      <c r="A19" s="263">
        <v>59331</v>
      </c>
      <c r="B19" s="277" t="s">
        <v>605</v>
      </c>
      <c r="C19" s="276">
        <v>624820.46</v>
      </c>
      <c r="D19" s="276"/>
      <c r="E19" s="275">
        <f t="shared" si="0"/>
        <v>624820.46</v>
      </c>
      <c r="F19" s="274"/>
      <c r="G19" s="270">
        <f t="shared" si="1"/>
        <v>624820.46</v>
      </c>
      <c r="H19" s="265"/>
      <c r="I19" s="265"/>
      <c r="J19" s="265"/>
    </row>
    <row r="20" spans="1:10" s="290" customFormat="1">
      <c r="A20" s="263">
        <v>59340</v>
      </c>
      <c r="B20" s="277" t="s">
        <v>54</v>
      </c>
      <c r="C20" s="276">
        <v>24713.21</v>
      </c>
      <c r="D20" s="276"/>
      <c r="E20" s="275">
        <f t="shared" si="0"/>
        <v>24713.21</v>
      </c>
      <c r="F20" s="274"/>
      <c r="G20" s="270">
        <f t="shared" si="1"/>
        <v>24713.21</v>
      </c>
      <c r="H20" s="265"/>
      <c r="I20" s="265"/>
      <c r="J20" s="265"/>
    </row>
    <row r="21" spans="1:10" s="290" customFormat="1">
      <c r="A21" s="263">
        <v>70010</v>
      </c>
      <c r="B21" s="277" t="s">
        <v>58</v>
      </c>
      <c r="C21" s="276">
        <v>32973333.210000001</v>
      </c>
      <c r="D21" s="276"/>
      <c r="E21" s="275">
        <f t="shared" si="0"/>
        <v>32973333.210000001</v>
      </c>
      <c r="F21" s="274"/>
      <c r="G21" s="270">
        <f t="shared" si="1"/>
        <v>32973333.210000001</v>
      </c>
      <c r="H21" s="265"/>
      <c r="I21" s="265"/>
      <c r="J21" s="265"/>
    </row>
    <row r="22" spans="1:10" s="290" customFormat="1">
      <c r="A22" s="263">
        <v>70015</v>
      </c>
      <c r="B22" s="277" t="s">
        <v>606</v>
      </c>
      <c r="C22" s="276">
        <v>-14109.13</v>
      </c>
      <c r="D22" s="276">
        <f>-C22</f>
        <v>14109.13</v>
      </c>
      <c r="E22" s="275">
        <f t="shared" si="0"/>
        <v>0</v>
      </c>
      <c r="F22" s="274"/>
      <c r="G22" s="270">
        <f t="shared" si="1"/>
        <v>0</v>
      </c>
      <c r="H22" s="265"/>
      <c r="I22" s="265"/>
      <c r="J22" s="265"/>
    </row>
    <row r="23" spans="1:10" s="290" customFormat="1">
      <c r="A23" s="263">
        <v>70020</v>
      </c>
      <c r="B23" s="277" t="s">
        <v>39</v>
      </c>
      <c r="C23" s="276">
        <v>741706.16</v>
      </c>
      <c r="D23" s="276"/>
      <c r="E23" s="275">
        <f t="shared" si="0"/>
        <v>741706.16</v>
      </c>
      <c r="F23" s="274"/>
      <c r="G23" s="270">
        <f t="shared" si="1"/>
        <v>741706.16</v>
      </c>
      <c r="H23" s="265"/>
      <c r="I23" s="265"/>
      <c r="J23" s="265"/>
    </row>
    <row r="24" spans="1:10" s="290" customFormat="1">
      <c r="A24" s="263">
        <v>70025</v>
      </c>
      <c r="B24" s="277" t="s">
        <v>146</v>
      </c>
      <c r="C24" s="276">
        <v>65587.41</v>
      </c>
      <c r="D24" s="276"/>
      <c r="E24" s="275">
        <f t="shared" si="0"/>
        <v>65587.41</v>
      </c>
      <c r="F24" s="274"/>
      <c r="G24" s="270">
        <f t="shared" si="1"/>
        <v>65587.41</v>
      </c>
      <c r="H24" s="265"/>
      <c r="I24" s="265"/>
      <c r="J24" s="265"/>
    </row>
    <row r="25" spans="1:10" s="290" customFormat="1">
      <c r="A25" s="263">
        <v>70030</v>
      </c>
      <c r="B25" s="277" t="s">
        <v>607</v>
      </c>
      <c r="C25" s="276">
        <v>17318528</v>
      </c>
      <c r="D25" s="276">
        <f>-C25</f>
        <v>-17318528</v>
      </c>
      <c r="E25" s="275">
        <f t="shared" si="0"/>
        <v>0</v>
      </c>
      <c r="F25" s="274"/>
      <c r="G25" s="270">
        <f t="shared" si="1"/>
        <v>0</v>
      </c>
      <c r="H25" s="265"/>
      <c r="I25" s="265"/>
      <c r="J25" s="265"/>
    </row>
    <row r="26" spans="1:10" s="290" customFormat="1">
      <c r="A26" s="263">
        <v>70036</v>
      </c>
      <c r="B26" s="277" t="s">
        <v>183</v>
      </c>
      <c r="C26" s="276">
        <v>87311.58</v>
      </c>
      <c r="D26" s="276">
        <f>-C26</f>
        <v>-87311.58</v>
      </c>
      <c r="E26" s="275">
        <f t="shared" si="0"/>
        <v>0</v>
      </c>
      <c r="F26" s="274"/>
      <c r="G26" s="270">
        <f t="shared" si="1"/>
        <v>0</v>
      </c>
      <c r="H26" s="265"/>
      <c r="I26" s="265"/>
      <c r="J26" s="265"/>
    </row>
    <row r="27" spans="1:10" s="290" customFormat="1">
      <c r="A27" s="263">
        <v>70037</v>
      </c>
      <c r="B27" s="277" t="s">
        <v>602</v>
      </c>
      <c r="C27" s="276">
        <v>62837.82</v>
      </c>
      <c r="D27" s="276">
        <f>-C27</f>
        <v>-62837.82</v>
      </c>
      <c r="E27" s="275">
        <f t="shared" si="0"/>
        <v>0</v>
      </c>
      <c r="F27" s="274"/>
      <c r="G27" s="270">
        <f t="shared" si="1"/>
        <v>0</v>
      </c>
      <c r="H27" s="265"/>
      <c r="I27" s="265"/>
      <c r="J27" s="265"/>
    </row>
    <row r="28" spans="1:10" s="290" customFormat="1">
      <c r="A28" s="263">
        <v>70045</v>
      </c>
      <c r="B28" s="277" t="s">
        <v>608</v>
      </c>
      <c r="C28" s="276">
        <v>546990.16</v>
      </c>
      <c r="D28" s="276"/>
      <c r="E28" s="275">
        <f t="shared" si="0"/>
        <v>546990.16</v>
      </c>
      <c r="F28" s="274"/>
      <c r="G28" s="270">
        <f t="shared" si="1"/>
        <v>546990.16</v>
      </c>
      <c r="H28" s="265"/>
      <c r="I28" s="265"/>
      <c r="J28" s="265"/>
    </row>
    <row r="29" spans="1:10" s="290" customFormat="1">
      <c r="A29" s="263">
        <v>70050</v>
      </c>
      <c r="B29" s="277" t="s">
        <v>106</v>
      </c>
      <c r="C29" s="276">
        <v>1667437.61</v>
      </c>
      <c r="D29" s="276"/>
      <c r="E29" s="275">
        <f t="shared" si="0"/>
        <v>1667437.61</v>
      </c>
      <c r="F29" s="237">
        <f>H7*D22+H7*D25+H7*D26+H7*D27</f>
        <v>-562251.84348622302</v>
      </c>
      <c r="G29" s="270">
        <f t="shared" si="1"/>
        <v>1105185.766513777</v>
      </c>
      <c r="H29" s="265"/>
      <c r="I29" s="265"/>
      <c r="J29" s="265"/>
    </row>
    <row r="30" spans="1:10" s="290" customFormat="1">
      <c r="A30" s="263">
        <v>70060</v>
      </c>
      <c r="B30" s="277" t="s">
        <v>76</v>
      </c>
      <c r="C30" s="276">
        <v>680254.67</v>
      </c>
      <c r="D30" s="276"/>
      <c r="E30" s="275">
        <f t="shared" si="0"/>
        <v>680254.67</v>
      </c>
      <c r="F30" s="274"/>
      <c r="G30" s="270">
        <f t="shared" si="1"/>
        <v>680254.67</v>
      </c>
      <c r="H30" s="265"/>
      <c r="I30" s="265"/>
      <c r="J30" s="265"/>
    </row>
    <row r="31" spans="1:10" s="290" customFormat="1">
      <c r="A31" s="263">
        <v>70065</v>
      </c>
      <c r="B31" s="277" t="s">
        <v>26</v>
      </c>
      <c r="C31" s="276">
        <v>32861.980000000003</v>
      </c>
      <c r="D31" s="276"/>
      <c r="E31" s="275">
        <f t="shared" si="0"/>
        <v>32861.980000000003</v>
      </c>
      <c r="F31" s="274"/>
      <c r="G31" s="270">
        <f t="shared" si="1"/>
        <v>32861.980000000003</v>
      </c>
      <c r="H31" s="265"/>
      <c r="I31" s="265"/>
      <c r="J31" s="265"/>
    </row>
    <row r="32" spans="1:10" s="290" customFormat="1">
      <c r="A32" s="263">
        <v>70070</v>
      </c>
      <c r="B32" s="277" t="s">
        <v>27</v>
      </c>
      <c r="C32" s="276">
        <v>11789.16</v>
      </c>
      <c r="D32" s="276"/>
      <c r="E32" s="275">
        <f t="shared" si="0"/>
        <v>11789.16</v>
      </c>
      <c r="F32" s="274"/>
      <c r="G32" s="270">
        <f t="shared" si="1"/>
        <v>11789.16</v>
      </c>
      <c r="H32" s="265"/>
      <c r="I32" s="265"/>
      <c r="J32" s="265"/>
    </row>
    <row r="33" spans="1:10" s="290" customFormat="1">
      <c r="A33" s="263">
        <v>70086</v>
      </c>
      <c r="B33" s="277" t="s">
        <v>148</v>
      </c>
      <c r="C33" s="276">
        <v>92549.18</v>
      </c>
      <c r="D33" s="276"/>
      <c r="E33" s="275">
        <f t="shared" si="0"/>
        <v>92549.18</v>
      </c>
      <c r="F33" s="274"/>
      <c r="G33" s="270">
        <f t="shared" si="1"/>
        <v>92549.18</v>
      </c>
      <c r="H33" s="265"/>
      <c r="I33" s="265"/>
      <c r="J33" s="265"/>
    </row>
    <row r="34" spans="1:10" s="290" customFormat="1">
      <c r="A34" s="263">
        <v>70090</v>
      </c>
      <c r="B34" s="277" t="s">
        <v>609</v>
      </c>
      <c r="C34" s="276">
        <v>867925.47</v>
      </c>
      <c r="D34" s="276"/>
      <c r="E34" s="275">
        <f t="shared" si="0"/>
        <v>867925.47</v>
      </c>
      <c r="F34" s="274"/>
      <c r="G34" s="270">
        <f t="shared" si="1"/>
        <v>867925.47</v>
      </c>
      <c r="H34" s="265"/>
      <c r="I34" s="265"/>
      <c r="J34" s="265"/>
    </row>
    <row r="35" spans="1:10" s="290" customFormat="1">
      <c r="A35" s="263">
        <v>70095</v>
      </c>
      <c r="B35" s="277" t="s">
        <v>162</v>
      </c>
      <c r="C35" s="276">
        <v>489364.84</v>
      </c>
      <c r="D35" s="276">
        <f>-C35</f>
        <v>-489364.84</v>
      </c>
      <c r="E35" s="275">
        <f t="shared" si="0"/>
        <v>0</v>
      </c>
      <c r="F35" s="274"/>
      <c r="G35" s="270">
        <f t="shared" si="1"/>
        <v>0</v>
      </c>
      <c r="H35" s="265"/>
      <c r="I35" s="265"/>
      <c r="J35" s="265"/>
    </row>
    <row r="36" spans="1:10" s="290" customFormat="1">
      <c r="A36" s="263">
        <v>70105</v>
      </c>
      <c r="B36" s="277" t="s">
        <v>184</v>
      </c>
      <c r="C36" s="276">
        <v>332997.15999999997</v>
      </c>
      <c r="D36" s="276">
        <f>-C36</f>
        <v>-332997.15999999997</v>
      </c>
      <c r="E36" s="275">
        <f t="shared" si="0"/>
        <v>0</v>
      </c>
      <c r="F36" s="274"/>
      <c r="G36" s="270">
        <f t="shared" si="1"/>
        <v>0</v>
      </c>
      <c r="H36" s="265"/>
      <c r="I36" s="265"/>
      <c r="J36" s="265"/>
    </row>
    <row r="37" spans="1:10" s="290" customFormat="1">
      <c r="A37" s="263">
        <v>70106</v>
      </c>
      <c r="B37" s="277" t="s">
        <v>610</v>
      </c>
      <c r="C37" s="276">
        <v>0</v>
      </c>
      <c r="D37" s="276"/>
      <c r="E37" s="275">
        <f t="shared" si="0"/>
        <v>0</v>
      </c>
      <c r="F37" s="274"/>
      <c r="G37" s="270">
        <f t="shared" si="1"/>
        <v>0</v>
      </c>
      <c r="H37" s="265"/>
      <c r="I37" s="265"/>
      <c r="J37" s="265"/>
    </row>
    <row r="38" spans="1:10" s="290" customFormat="1">
      <c r="A38" s="263">
        <v>70110</v>
      </c>
      <c r="B38" s="277" t="s">
        <v>82</v>
      </c>
      <c r="C38" s="276">
        <v>133508.46</v>
      </c>
      <c r="D38" s="276">
        <f>-C38</f>
        <v>-133508.46</v>
      </c>
      <c r="E38" s="275">
        <f t="shared" si="0"/>
        <v>0</v>
      </c>
      <c r="F38" s="274"/>
      <c r="G38" s="270">
        <f t="shared" si="1"/>
        <v>0</v>
      </c>
      <c r="H38" s="265"/>
      <c r="I38" s="265"/>
      <c r="J38" s="265"/>
    </row>
    <row r="39" spans="1:10" s="290" customFormat="1">
      <c r="A39" s="263">
        <v>70112</v>
      </c>
      <c r="B39" s="277" t="s">
        <v>611</v>
      </c>
      <c r="C39" s="276">
        <v>0</v>
      </c>
      <c r="D39" s="276"/>
      <c r="E39" s="275">
        <f t="shared" si="0"/>
        <v>0</v>
      </c>
      <c r="F39" s="274"/>
      <c r="G39" s="270">
        <f t="shared" si="1"/>
        <v>0</v>
      </c>
      <c r="H39" s="265"/>
      <c r="I39" s="265"/>
      <c r="J39" s="265"/>
    </row>
    <row r="40" spans="1:10" s="290" customFormat="1">
      <c r="A40" s="263">
        <v>70116</v>
      </c>
      <c r="B40" s="277" t="s">
        <v>149</v>
      </c>
      <c r="C40" s="276">
        <v>297229.01</v>
      </c>
      <c r="D40" s="276"/>
      <c r="E40" s="275">
        <f t="shared" si="0"/>
        <v>297229.01</v>
      </c>
      <c r="F40" s="274"/>
      <c r="G40" s="270">
        <f t="shared" si="1"/>
        <v>297229.01</v>
      </c>
      <c r="H40" s="265"/>
      <c r="I40" s="265"/>
      <c r="J40" s="265"/>
    </row>
    <row r="41" spans="1:10" s="290" customFormat="1">
      <c r="A41" s="263">
        <v>70120</v>
      </c>
      <c r="B41" s="277" t="s">
        <v>612</v>
      </c>
      <c r="C41" s="276">
        <v>35527.74</v>
      </c>
      <c r="D41" s="276">
        <f>-C41</f>
        <v>-35527.74</v>
      </c>
      <c r="E41" s="275">
        <f t="shared" si="0"/>
        <v>0</v>
      </c>
      <c r="F41" s="274"/>
      <c r="G41" s="270">
        <f t="shared" si="1"/>
        <v>0</v>
      </c>
      <c r="H41" s="265"/>
      <c r="I41" s="265"/>
      <c r="J41" s="265"/>
    </row>
    <row r="42" spans="1:10" s="290" customFormat="1">
      <c r="A42" s="263">
        <v>70142</v>
      </c>
      <c r="B42" s="277" t="s">
        <v>42</v>
      </c>
      <c r="C42" s="276">
        <v>475469.83</v>
      </c>
      <c r="D42" s="276"/>
      <c r="E42" s="275">
        <f t="shared" si="0"/>
        <v>475469.83</v>
      </c>
      <c r="F42" s="274"/>
      <c r="G42" s="270">
        <f t="shared" si="1"/>
        <v>475469.83</v>
      </c>
      <c r="H42" s="265"/>
      <c r="I42" s="265"/>
      <c r="J42" s="265"/>
    </row>
    <row r="43" spans="1:10" s="290" customFormat="1">
      <c r="A43" s="263">
        <v>70145</v>
      </c>
      <c r="B43" s="277" t="s">
        <v>155</v>
      </c>
      <c r="C43" s="276">
        <v>86085.11</v>
      </c>
      <c r="D43" s="276"/>
      <c r="E43" s="275">
        <f t="shared" si="0"/>
        <v>86085.11</v>
      </c>
      <c r="F43" s="274"/>
      <c r="G43" s="270">
        <f t="shared" si="1"/>
        <v>86085.11</v>
      </c>
      <c r="H43" s="265"/>
      <c r="I43" s="265"/>
      <c r="J43" s="265"/>
    </row>
    <row r="44" spans="1:10" s="290" customFormat="1">
      <c r="A44" s="263">
        <v>70146</v>
      </c>
      <c r="B44" s="277" t="s">
        <v>613</v>
      </c>
      <c r="C44" s="276">
        <v>4142.34</v>
      </c>
      <c r="D44" s="276">
        <f>-C44</f>
        <v>-4142.34</v>
      </c>
      <c r="E44" s="275">
        <f t="shared" si="0"/>
        <v>0</v>
      </c>
      <c r="F44" s="274"/>
      <c r="G44" s="270">
        <f t="shared" si="1"/>
        <v>0</v>
      </c>
      <c r="H44" s="265"/>
      <c r="I44" s="265"/>
      <c r="J44" s="265"/>
    </row>
    <row r="45" spans="1:10" s="290" customFormat="1">
      <c r="A45" s="263">
        <v>70147</v>
      </c>
      <c r="B45" s="277" t="s">
        <v>66</v>
      </c>
      <c r="C45" s="276">
        <v>30525.17</v>
      </c>
      <c r="D45" s="276"/>
      <c r="E45" s="275">
        <f t="shared" si="0"/>
        <v>30525.17</v>
      </c>
      <c r="F45" s="274"/>
      <c r="G45" s="270">
        <f t="shared" si="1"/>
        <v>30525.17</v>
      </c>
      <c r="H45" s="265"/>
      <c r="I45" s="265"/>
      <c r="J45" s="265"/>
    </row>
    <row r="46" spans="1:10" s="290" customFormat="1">
      <c r="A46" s="263">
        <v>70165</v>
      </c>
      <c r="B46" s="277" t="s">
        <v>157</v>
      </c>
      <c r="C46" s="276">
        <v>502015.92</v>
      </c>
      <c r="D46" s="276"/>
      <c r="E46" s="275">
        <f t="shared" si="0"/>
        <v>502015.92</v>
      </c>
      <c r="F46" s="274"/>
      <c r="G46" s="270">
        <f t="shared" si="1"/>
        <v>502015.92</v>
      </c>
      <c r="H46" s="265"/>
      <c r="I46" s="265"/>
      <c r="J46" s="265"/>
    </row>
    <row r="47" spans="1:10" s="290" customFormat="1">
      <c r="A47" s="263">
        <v>70167</v>
      </c>
      <c r="B47" s="277" t="s">
        <v>186</v>
      </c>
      <c r="C47" s="276">
        <v>29804.78</v>
      </c>
      <c r="D47" s="276"/>
      <c r="E47" s="275">
        <f t="shared" si="0"/>
        <v>29804.78</v>
      </c>
      <c r="F47" s="274"/>
      <c r="G47" s="270">
        <f t="shared" si="1"/>
        <v>29804.78</v>
      </c>
      <c r="H47" s="265"/>
      <c r="I47" s="265"/>
      <c r="J47" s="265"/>
    </row>
    <row r="48" spans="1:10" s="290" customFormat="1">
      <c r="A48" s="263">
        <v>70170</v>
      </c>
      <c r="B48" s="277" t="s">
        <v>166</v>
      </c>
      <c r="C48" s="276">
        <v>1393067.07</v>
      </c>
      <c r="D48" s="276"/>
      <c r="E48" s="275">
        <f t="shared" si="0"/>
        <v>1393067.07</v>
      </c>
      <c r="F48" s="274"/>
      <c r="G48" s="270">
        <f t="shared" si="1"/>
        <v>1393067.07</v>
      </c>
      <c r="H48" s="265"/>
      <c r="I48" s="265"/>
      <c r="J48" s="265"/>
    </row>
    <row r="49" spans="1:10" s="290" customFormat="1">
      <c r="A49" s="263">
        <v>70175</v>
      </c>
      <c r="B49" s="277" t="s">
        <v>67</v>
      </c>
      <c r="C49" s="276">
        <v>761110.03</v>
      </c>
      <c r="D49" s="276"/>
      <c r="E49" s="275">
        <f t="shared" si="0"/>
        <v>761110.03</v>
      </c>
      <c r="F49" s="274"/>
      <c r="G49" s="270">
        <f t="shared" si="1"/>
        <v>761110.03</v>
      </c>
      <c r="H49" s="265"/>
      <c r="I49" s="265"/>
      <c r="J49" s="265"/>
    </row>
    <row r="50" spans="1:10" s="290" customFormat="1">
      <c r="A50" s="263">
        <v>70185</v>
      </c>
      <c r="B50" s="277" t="s">
        <v>68</v>
      </c>
      <c r="C50" s="276">
        <v>292941.3</v>
      </c>
      <c r="D50" s="276"/>
      <c r="E50" s="275">
        <f t="shared" si="0"/>
        <v>292941.3</v>
      </c>
      <c r="F50" s="274"/>
      <c r="G50" s="270">
        <f t="shared" si="1"/>
        <v>292941.3</v>
      </c>
      <c r="H50" s="265"/>
      <c r="I50" s="265"/>
      <c r="J50" s="265"/>
    </row>
    <row r="51" spans="1:10" s="290" customFormat="1">
      <c r="A51" s="263">
        <v>70190</v>
      </c>
      <c r="B51" s="277" t="s">
        <v>614</v>
      </c>
      <c r="C51" s="276">
        <v>337193.48</v>
      </c>
      <c r="D51" s="276">
        <f>-C51</f>
        <v>-337193.48</v>
      </c>
      <c r="E51" s="275">
        <f t="shared" si="0"/>
        <v>0</v>
      </c>
      <c r="F51" s="274"/>
      <c r="G51" s="270">
        <f t="shared" si="1"/>
        <v>0</v>
      </c>
      <c r="H51" s="265"/>
      <c r="I51" s="265"/>
      <c r="J51" s="265"/>
    </row>
    <row r="52" spans="1:10" s="290" customFormat="1">
      <c r="A52" s="263">
        <v>70195</v>
      </c>
      <c r="B52" s="277" t="s">
        <v>187</v>
      </c>
      <c r="C52" s="276">
        <v>1570238.58</v>
      </c>
      <c r="D52" s="276"/>
      <c r="E52" s="275">
        <f t="shared" si="0"/>
        <v>1570238.58</v>
      </c>
      <c r="F52" s="237">
        <v>-135350</v>
      </c>
      <c r="G52" s="270">
        <f t="shared" si="1"/>
        <v>1434888.58</v>
      </c>
      <c r="H52" s="261" t="s">
        <v>615</v>
      </c>
      <c r="I52" s="265"/>
      <c r="J52" s="265"/>
    </row>
    <row r="53" spans="1:10" s="290" customFormat="1">
      <c r="A53" s="263">
        <v>70196</v>
      </c>
      <c r="B53" s="277" t="s">
        <v>616</v>
      </c>
      <c r="C53" s="276">
        <v>146960.29999999999</v>
      </c>
      <c r="D53" s="276">
        <f>-C53</f>
        <v>-146960.29999999999</v>
      </c>
      <c r="E53" s="275">
        <f t="shared" si="0"/>
        <v>0</v>
      </c>
      <c r="F53" s="274"/>
      <c r="G53" s="270">
        <f t="shared" si="1"/>
        <v>0</v>
      </c>
      <c r="H53" s="265"/>
      <c r="I53" s="265"/>
      <c r="J53" s="265"/>
    </row>
    <row r="54" spans="1:10" s="290" customFormat="1">
      <c r="A54" s="263">
        <v>70200</v>
      </c>
      <c r="B54" s="277" t="s">
        <v>188</v>
      </c>
      <c r="C54" s="276">
        <v>598465.22</v>
      </c>
      <c r="D54" s="276"/>
      <c r="E54" s="275">
        <f t="shared" si="0"/>
        <v>598465.22</v>
      </c>
      <c r="F54" s="274"/>
      <c r="G54" s="270">
        <f t="shared" si="1"/>
        <v>598465.22</v>
      </c>
      <c r="H54" s="265"/>
      <c r="I54" s="265"/>
      <c r="J54" s="265"/>
    </row>
    <row r="55" spans="1:10" s="290" customFormat="1">
      <c r="A55" s="263">
        <v>70201</v>
      </c>
      <c r="B55" s="277" t="s">
        <v>86</v>
      </c>
      <c r="C55" s="276">
        <v>389065.83</v>
      </c>
      <c r="D55" s="276">
        <f>-C55</f>
        <v>-389065.83</v>
      </c>
      <c r="E55" s="275">
        <f t="shared" si="0"/>
        <v>0</v>
      </c>
      <c r="F55" s="274"/>
      <c r="G55" s="270">
        <f t="shared" si="1"/>
        <v>0</v>
      </c>
      <c r="H55" s="265"/>
      <c r="I55" s="265"/>
      <c r="J55" s="265"/>
    </row>
    <row r="56" spans="1:10" s="290" customFormat="1">
      <c r="A56" s="263">
        <v>70202</v>
      </c>
      <c r="B56" s="277" t="s">
        <v>189</v>
      </c>
      <c r="C56" s="276">
        <v>1396431.04</v>
      </c>
      <c r="D56" s="276"/>
      <c r="E56" s="275">
        <f t="shared" si="0"/>
        <v>1396431.04</v>
      </c>
      <c r="F56" s="274"/>
      <c r="G56" s="270">
        <f t="shared" si="1"/>
        <v>1396431.04</v>
      </c>
      <c r="H56" s="265"/>
      <c r="I56" s="265"/>
      <c r="J56" s="265"/>
    </row>
    <row r="57" spans="1:10" s="290" customFormat="1">
      <c r="A57" s="263">
        <v>70203</v>
      </c>
      <c r="B57" s="277" t="s">
        <v>88</v>
      </c>
      <c r="C57" s="276">
        <v>355871.18</v>
      </c>
      <c r="D57" s="276"/>
      <c r="E57" s="275">
        <f t="shared" si="0"/>
        <v>355871.18</v>
      </c>
      <c r="F57" s="274"/>
      <c r="G57" s="270">
        <f t="shared" si="1"/>
        <v>355871.18</v>
      </c>
      <c r="H57" s="265"/>
      <c r="I57" s="265"/>
      <c r="J57" s="265"/>
    </row>
    <row r="58" spans="1:10" s="290" customFormat="1">
      <c r="A58" s="263">
        <v>70205</v>
      </c>
      <c r="B58" s="277" t="s">
        <v>190</v>
      </c>
      <c r="C58" s="276">
        <v>227922.69</v>
      </c>
      <c r="D58" s="276"/>
      <c r="E58" s="275">
        <f t="shared" si="0"/>
        <v>227922.69</v>
      </c>
      <c r="F58" s="274"/>
      <c r="G58" s="270">
        <f t="shared" si="1"/>
        <v>227922.69</v>
      </c>
      <c r="H58" s="265"/>
      <c r="I58" s="265"/>
      <c r="J58" s="265"/>
    </row>
    <row r="59" spans="1:10" s="290" customFormat="1">
      <c r="A59" s="263">
        <v>70206</v>
      </c>
      <c r="B59" s="277" t="s">
        <v>191</v>
      </c>
      <c r="C59" s="276">
        <v>228820.33</v>
      </c>
      <c r="D59" s="276"/>
      <c r="E59" s="275">
        <f t="shared" si="0"/>
        <v>228820.33</v>
      </c>
      <c r="F59" s="274"/>
      <c r="G59" s="270">
        <f t="shared" si="1"/>
        <v>228820.33</v>
      </c>
      <c r="H59" s="265"/>
      <c r="I59" s="265"/>
      <c r="J59" s="265"/>
    </row>
    <row r="60" spans="1:10" s="290" customFormat="1">
      <c r="A60" s="263">
        <v>70210</v>
      </c>
      <c r="B60" s="277" t="s">
        <v>192</v>
      </c>
      <c r="C60" s="276">
        <v>187331.23</v>
      </c>
      <c r="D60" s="276"/>
      <c r="E60" s="275">
        <f t="shared" si="0"/>
        <v>187331.23</v>
      </c>
      <c r="F60" s="274"/>
      <c r="G60" s="270">
        <f t="shared" si="1"/>
        <v>187331.23</v>
      </c>
      <c r="H60" s="265"/>
      <c r="I60" s="265"/>
      <c r="J60" s="265"/>
    </row>
    <row r="61" spans="1:10" s="290" customFormat="1">
      <c r="A61" s="263">
        <v>70214</v>
      </c>
      <c r="B61" s="277" t="s">
        <v>90</v>
      </c>
      <c r="C61" s="276">
        <v>30144.959999999999</v>
      </c>
      <c r="D61" s="276"/>
      <c r="E61" s="275">
        <f t="shared" si="0"/>
        <v>30144.959999999999</v>
      </c>
      <c r="F61" s="274"/>
      <c r="G61" s="270">
        <f t="shared" si="1"/>
        <v>30144.959999999999</v>
      </c>
      <c r="H61" s="265"/>
      <c r="I61" s="265"/>
      <c r="J61" s="265"/>
    </row>
    <row r="62" spans="1:10" s="290" customFormat="1">
      <c r="A62" s="263">
        <v>70215</v>
      </c>
      <c r="B62" s="277" t="s">
        <v>193</v>
      </c>
      <c r="C62" s="276">
        <v>2276862.7200000002</v>
      </c>
      <c r="D62" s="276"/>
      <c r="E62" s="275">
        <f t="shared" si="0"/>
        <v>2276862.7200000002</v>
      </c>
      <c r="F62" s="274"/>
      <c r="G62" s="270">
        <f t="shared" si="1"/>
        <v>2276862.7200000002</v>
      </c>
      <c r="H62" s="265"/>
      <c r="I62" s="265"/>
      <c r="J62" s="265"/>
    </row>
    <row r="63" spans="1:10" s="290" customFormat="1">
      <c r="A63" s="263">
        <v>70216</v>
      </c>
      <c r="B63" s="277" t="s">
        <v>617</v>
      </c>
      <c r="C63" s="276">
        <v>83010.86</v>
      </c>
      <c r="D63" s="276"/>
      <c r="E63" s="275">
        <f t="shared" si="0"/>
        <v>83010.86</v>
      </c>
      <c r="F63" s="274"/>
      <c r="G63" s="270">
        <f t="shared" si="1"/>
        <v>83010.86</v>
      </c>
      <c r="H63" s="265"/>
      <c r="I63" s="265"/>
      <c r="J63" s="265"/>
    </row>
    <row r="64" spans="1:10" s="290" customFormat="1">
      <c r="A64" s="263">
        <v>70230</v>
      </c>
      <c r="B64" s="277" t="s">
        <v>618</v>
      </c>
      <c r="C64" s="276">
        <v>22068</v>
      </c>
      <c r="D64" s="276"/>
      <c r="E64" s="275">
        <f t="shared" si="0"/>
        <v>22068</v>
      </c>
      <c r="F64" s="274"/>
      <c r="G64" s="270">
        <f t="shared" si="1"/>
        <v>22068</v>
      </c>
      <c r="H64" s="265"/>
      <c r="I64" s="265"/>
      <c r="J64" s="265"/>
    </row>
    <row r="65" spans="1:10" s="290" customFormat="1">
      <c r="A65" s="263">
        <v>70231</v>
      </c>
      <c r="B65" s="277" t="s">
        <v>619</v>
      </c>
      <c r="C65" s="276">
        <v>275533.21999999997</v>
      </c>
      <c r="D65" s="276"/>
      <c r="E65" s="275">
        <f t="shared" si="0"/>
        <v>275533.21999999997</v>
      </c>
      <c r="F65" s="274"/>
      <c r="G65" s="270">
        <f t="shared" si="1"/>
        <v>275533.21999999997</v>
      </c>
      <c r="H65" s="265"/>
      <c r="I65" s="265"/>
      <c r="J65" s="265"/>
    </row>
    <row r="66" spans="1:10" s="290" customFormat="1">
      <c r="A66" s="263">
        <v>70232</v>
      </c>
      <c r="B66" s="277" t="s">
        <v>620</v>
      </c>
      <c r="C66" s="276">
        <v>7665.23</v>
      </c>
      <c r="D66" s="276"/>
      <c r="E66" s="275">
        <f t="shared" si="0"/>
        <v>7665.23</v>
      </c>
      <c r="F66" s="274"/>
      <c r="G66" s="270">
        <f t="shared" si="1"/>
        <v>7665.23</v>
      </c>
      <c r="H66" s="265"/>
      <c r="I66" s="265"/>
      <c r="J66" s="265"/>
    </row>
    <row r="67" spans="1:10" s="290" customFormat="1">
      <c r="A67" s="263">
        <v>70235</v>
      </c>
      <c r="B67" s="277" t="s">
        <v>621</v>
      </c>
      <c r="C67" s="276">
        <v>3350858.04</v>
      </c>
      <c r="D67" s="276">
        <f>-C67</f>
        <v>-3350858.04</v>
      </c>
      <c r="E67" s="275">
        <f t="shared" si="0"/>
        <v>0</v>
      </c>
      <c r="F67" s="274"/>
      <c r="G67" s="270">
        <f t="shared" si="1"/>
        <v>0</v>
      </c>
      <c r="H67" s="265"/>
      <c r="I67" s="265"/>
      <c r="J67" s="265"/>
    </row>
    <row r="68" spans="1:10" s="290" customFormat="1">
      <c r="A68" s="263">
        <v>70240</v>
      </c>
      <c r="B68" s="277" t="s">
        <v>622</v>
      </c>
      <c r="C68" s="276">
        <v>2039369.79</v>
      </c>
      <c r="D68" s="276"/>
      <c r="E68" s="275">
        <f t="shared" si="0"/>
        <v>2039369.79</v>
      </c>
      <c r="F68" s="274"/>
      <c r="G68" s="270">
        <f t="shared" si="1"/>
        <v>2039369.79</v>
      </c>
      <c r="H68" s="265"/>
      <c r="I68" s="265"/>
      <c r="J68" s="265"/>
    </row>
    <row r="69" spans="1:10" s="290" customFormat="1">
      <c r="A69" s="263">
        <v>70245</v>
      </c>
      <c r="B69" s="277" t="s">
        <v>194</v>
      </c>
      <c r="C69" s="276">
        <v>632976.71</v>
      </c>
      <c r="D69" s="276"/>
      <c r="E69" s="275">
        <f t="shared" si="0"/>
        <v>632976.71</v>
      </c>
      <c r="F69" s="274"/>
      <c r="G69" s="270">
        <f t="shared" si="1"/>
        <v>632976.71</v>
      </c>
      <c r="H69" s="265"/>
      <c r="I69" s="265"/>
      <c r="J69" s="265"/>
    </row>
    <row r="70" spans="1:10" s="290" customFormat="1">
      <c r="A70" s="263">
        <v>70250</v>
      </c>
      <c r="B70" s="277" t="s">
        <v>623</v>
      </c>
      <c r="C70" s="276">
        <v>4234774.3600000003</v>
      </c>
      <c r="D70" s="276">
        <f>-C70</f>
        <v>-4234774.3600000003</v>
      </c>
      <c r="E70" s="275">
        <f t="shared" si="0"/>
        <v>0</v>
      </c>
      <c r="F70" s="274"/>
      <c r="G70" s="270">
        <f t="shared" si="1"/>
        <v>0</v>
      </c>
      <c r="H70" s="265"/>
      <c r="I70" s="265"/>
      <c r="J70" s="265"/>
    </row>
    <row r="71" spans="1:10" s="290" customFormat="1">
      <c r="A71" s="263">
        <v>70255</v>
      </c>
      <c r="B71" s="277" t="s">
        <v>167</v>
      </c>
      <c r="C71" s="276">
        <v>2144647.2200000002</v>
      </c>
      <c r="D71" s="276"/>
      <c r="E71" s="275">
        <f t="shared" si="0"/>
        <v>2144647.2200000002</v>
      </c>
      <c r="F71" s="237">
        <v>-370424.63999999943</v>
      </c>
      <c r="G71" s="270">
        <f t="shared" si="1"/>
        <v>1774222.5800000008</v>
      </c>
      <c r="H71" s="261" t="s">
        <v>624</v>
      </c>
      <c r="I71" s="265"/>
      <c r="J71" s="265"/>
    </row>
    <row r="72" spans="1:10" s="290" customFormat="1">
      <c r="A72" s="263">
        <v>70260</v>
      </c>
      <c r="B72" s="277" t="s">
        <v>202</v>
      </c>
      <c r="C72" s="276">
        <v>2303930.39</v>
      </c>
      <c r="D72" s="276">
        <v>-63926.55</v>
      </c>
      <c r="E72" s="275">
        <f t="shared" si="0"/>
        <v>2240003.8400000003</v>
      </c>
      <c r="F72" s="274"/>
      <c r="G72" s="270">
        <f t="shared" si="1"/>
        <v>2240003.8400000003</v>
      </c>
      <c r="H72" s="265"/>
      <c r="I72" s="265"/>
      <c r="J72" s="265"/>
    </row>
    <row r="73" spans="1:10" s="290" customFormat="1">
      <c r="A73" s="263">
        <v>70271</v>
      </c>
      <c r="B73" s="277" t="s">
        <v>604</v>
      </c>
      <c r="C73" s="276">
        <v>360861.89</v>
      </c>
      <c r="D73" s="276"/>
      <c r="E73" s="275">
        <f t="shared" si="0"/>
        <v>360861.89</v>
      </c>
      <c r="F73" s="274"/>
      <c r="G73" s="270">
        <f t="shared" si="1"/>
        <v>360861.89</v>
      </c>
      <c r="H73" s="265"/>
      <c r="I73" s="265"/>
      <c r="J73" s="265"/>
    </row>
    <row r="74" spans="1:10" s="290" customFormat="1">
      <c r="A74" s="263">
        <v>70273</v>
      </c>
      <c r="B74" s="277" t="s">
        <v>625</v>
      </c>
      <c r="C74" s="276">
        <v>428202.91</v>
      </c>
      <c r="D74" s="276">
        <f>-C74</f>
        <v>-428202.91</v>
      </c>
      <c r="E74" s="275">
        <f t="shared" si="0"/>
        <v>0</v>
      </c>
      <c r="F74" s="274"/>
      <c r="G74" s="270">
        <f t="shared" si="1"/>
        <v>0</v>
      </c>
      <c r="H74" s="265"/>
      <c r="I74" s="265"/>
      <c r="J74" s="265"/>
    </row>
    <row r="75" spans="1:10" s="290" customFormat="1">
      <c r="A75" s="263">
        <v>70275</v>
      </c>
      <c r="B75" s="277" t="s">
        <v>168</v>
      </c>
      <c r="C75" s="276">
        <v>249176.64</v>
      </c>
      <c r="D75" s="276"/>
      <c r="E75" s="275">
        <f t="shared" si="0"/>
        <v>249176.64</v>
      </c>
      <c r="F75" s="274"/>
      <c r="G75" s="270">
        <f t="shared" si="1"/>
        <v>249176.64</v>
      </c>
      <c r="H75" s="265"/>
      <c r="I75" s="265"/>
      <c r="J75" s="265"/>
    </row>
    <row r="76" spans="1:10" s="290" customFormat="1">
      <c r="A76" s="263">
        <v>70300</v>
      </c>
      <c r="B76" s="277" t="s">
        <v>71</v>
      </c>
      <c r="C76" s="276">
        <v>-67743.06</v>
      </c>
      <c r="D76" s="276">
        <f>-C76</f>
        <v>67743.06</v>
      </c>
      <c r="E76" s="275">
        <f t="shared" ref="E76:E84" si="2">SUM(C76:D76)</f>
        <v>0</v>
      </c>
      <c r="F76" s="274"/>
      <c r="G76" s="270">
        <f t="shared" ref="G76:G84" si="3">E76+F76</f>
        <v>0</v>
      </c>
      <c r="H76" s="265"/>
      <c r="I76" s="265"/>
      <c r="J76" s="265"/>
    </row>
    <row r="77" spans="1:10" s="290" customFormat="1">
      <c r="A77" s="263">
        <v>70301</v>
      </c>
      <c r="B77" s="277" t="s">
        <v>195</v>
      </c>
      <c r="C77" s="276">
        <v>5944.53</v>
      </c>
      <c r="D77" s="276"/>
      <c r="E77" s="275">
        <f t="shared" si="2"/>
        <v>5944.53</v>
      </c>
      <c r="F77" s="274"/>
      <c r="G77" s="270">
        <f t="shared" si="3"/>
        <v>5944.53</v>
      </c>
      <c r="H77" s="265"/>
      <c r="I77" s="265"/>
      <c r="J77" s="265"/>
    </row>
    <row r="78" spans="1:10" s="290" customFormat="1">
      <c r="A78" s="263">
        <v>70302</v>
      </c>
      <c r="B78" s="277" t="s">
        <v>626</v>
      </c>
      <c r="C78" s="276">
        <v>53317</v>
      </c>
      <c r="D78" s="276"/>
      <c r="E78" s="275">
        <f t="shared" si="2"/>
        <v>53317</v>
      </c>
      <c r="F78" s="274"/>
      <c r="G78" s="270">
        <f t="shared" si="3"/>
        <v>53317</v>
      </c>
      <c r="H78" s="265"/>
      <c r="I78" s="265"/>
      <c r="J78" s="265"/>
    </row>
    <row r="79" spans="1:10" s="290" customFormat="1">
      <c r="A79" s="263">
        <v>70324</v>
      </c>
      <c r="B79" s="277" t="s">
        <v>627</v>
      </c>
      <c r="C79" s="276">
        <v>8963.59</v>
      </c>
      <c r="D79" s="276">
        <f>-C79</f>
        <v>-8963.59</v>
      </c>
      <c r="E79" s="275">
        <f t="shared" si="2"/>
        <v>0</v>
      </c>
      <c r="F79" s="274"/>
      <c r="G79" s="270">
        <f t="shared" si="3"/>
        <v>0</v>
      </c>
      <c r="H79" s="265"/>
      <c r="I79" s="265"/>
      <c r="J79" s="265"/>
    </row>
    <row r="80" spans="1:10" s="290" customFormat="1">
      <c r="A80" s="263">
        <v>70345</v>
      </c>
      <c r="B80" s="277" t="s">
        <v>628</v>
      </c>
      <c r="C80" s="276">
        <v>0</v>
      </c>
      <c r="D80" s="276"/>
      <c r="E80" s="275">
        <f t="shared" si="2"/>
        <v>0</v>
      </c>
      <c r="F80" s="274"/>
      <c r="G80" s="270">
        <f t="shared" si="3"/>
        <v>0</v>
      </c>
      <c r="H80" s="265"/>
      <c r="I80" s="265"/>
      <c r="J80" s="265"/>
    </row>
    <row r="81" spans="1:8">
      <c r="A81" s="263">
        <v>70357</v>
      </c>
      <c r="B81" s="277" t="s">
        <v>104</v>
      </c>
      <c r="C81" s="276">
        <v>0</v>
      </c>
      <c r="D81" s="276"/>
      <c r="E81" s="275">
        <f t="shared" si="2"/>
        <v>0</v>
      </c>
      <c r="G81" s="270">
        <f t="shared" si="3"/>
        <v>0</v>
      </c>
    </row>
    <row r="82" spans="1:8">
      <c r="A82" s="263">
        <v>70371</v>
      </c>
      <c r="B82" s="277" t="s">
        <v>629</v>
      </c>
      <c r="C82" s="276">
        <v>269999.88</v>
      </c>
      <c r="D82" s="276">
        <f>-C82</f>
        <v>-269999.88</v>
      </c>
      <c r="E82" s="275">
        <f t="shared" si="2"/>
        <v>0</v>
      </c>
      <c r="G82" s="270">
        <f t="shared" si="3"/>
        <v>0</v>
      </c>
    </row>
    <row r="83" spans="1:8">
      <c r="A83" s="263">
        <v>70372</v>
      </c>
      <c r="B83" s="277" t="s">
        <v>630</v>
      </c>
      <c r="C83" s="276">
        <v>42430.46</v>
      </c>
      <c r="D83" s="276"/>
      <c r="E83" s="275">
        <f t="shared" si="2"/>
        <v>42430.46</v>
      </c>
      <c r="G83" s="270">
        <f t="shared" si="3"/>
        <v>42430.46</v>
      </c>
    </row>
    <row r="84" spans="1:8">
      <c r="A84" s="263">
        <v>70475</v>
      </c>
      <c r="B84" s="277" t="s">
        <v>631</v>
      </c>
      <c r="C84" s="260">
        <v>463641.72</v>
      </c>
      <c r="D84" s="260">
        <f>-C84</f>
        <v>-463641.72</v>
      </c>
      <c r="E84" s="259">
        <f t="shared" si="2"/>
        <v>0</v>
      </c>
      <c r="G84" s="258">
        <f t="shared" si="3"/>
        <v>0</v>
      </c>
    </row>
    <row r="85" spans="1:8">
      <c r="A85" s="277"/>
      <c r="B85" s="277" t="s">
        <v>632</v>
      </c>
      <c r="C85" s="257">
        <f>SUM(C11:C84)</f>
        <v>85915893.799999967</v>
      </c>
      <c r="D85" s="257">
        <f t="shared" ref="D85:E85" si="4">SUM(D11:D84)</f>
        <v>-28023959.569999997</v>
      </c>
      <c r="E85" s="257">
        <f t="shared" si="4"/>
        <v>57891934.229999967</v>
      </c>
      <c r="G85" s="256">
        <f>SUM(G11:G84)</f>
        <v>56819336.796513751</v>
      </c>
    </row>
    <row r="86" spans="1:8">
      <c r="A86" s="277"/>
      <c r="B86" s="277" t="s">
        <v>633</v>
      </c>
      <c r="C86" s="276">
        <v>2117286754.3199999</v>
      </c>
      <c r="D86" s="255"/>
      <c r="E86" s="254">
        <v>2117286754.3199999</v>
      </c>
      <c r="G86" s="253">
        <f>E86</f>
        <v>2117286754.3199999</v>
      </c>
    </row>
    <row r="87" spans="1:8" ht="15.75" thickBot="1">
      <c r="A87" s="277"/>
      <c r="B87" s="277"/>
      <c r="C87" s="252">
        <f>+C85/C86</f>
        <v>4.0578298440068036E-2</v>
      </c>
      <c r="D87" s="251"/>
      <c r="E87" s="252">
        <f>+E85/E86</f>
        <v>2.7342509989202134E-2</v>
      </c>
      <c r="G87" s="245">
        <f>+G85/G86</f>
        <v>2.6835919452375821E-2</v>
      </c>
    </row>
    <row r="88" spans="1:8">
      <c r="D88" s="290"/>
      <c r="G88" s="1160"/>
      <c r="H88" s="1160"/>
    </row>
    <row r="89" spans="1:8">
      <c r="B89" s="250" t="s">
        <v>634</v>
      </c>
      <c r="C89" s="249">
        <f>+C90-C86</f>
        <v>273903280.77999997</v>
      </c>
      <c r="D89" s="248"/>
      <c r="G89" s="234"/>
      <c r="H89" s="234"/>
    </row>
    <row r="90" spans="1:8">
      <c r="B90" s="250" t="s">
        <v>635</v>
      </c>
      <c r="C90" s="276">
        <v>2391190035.0999999</v>
      </c>
      <c r="D90" s="255"/>
      <c r="G90" s="233"/>
      <c r="H90" s="235"/>
    </row>
    <row r="91" spans="1:8" ht="15.75" thickBot="1">
      <c r="B91" s="250" t="s">
        <v>636</v>
      </c>
      <c r="C91" s="247">
        <f>+C85/C90</f>
        <v>3.5930182268598718E-2</v>
      </c>
      <c r="D91" s="246"/>
      <c r="G91" s="234"/>
      <c r="H91" s="234"/>
    </row>
    <row r="92" spans="1:8">
      <c r="C92" s="294"/>
      <c r="G92" s="234"/>
      <c r="H92" s="240"/>
    </row>
    <row r="93" spans="1:8">
      <c r="G93" s="234"/>
      <c r="H93" s="234"/>
    </row>
    <row r="94" spans="1:8">
      <c r="G94" s="234"/>
      <c r="H94" s="233"/>
    </row>
    <row r="95" spans="1:8">
      <c r="G95" s="234"/>
      <c r="H95" s="234"/>
    </row>
    <row r="96" spans="1:8">
      <c r="G96" s="234"/>
      <c r="H96" s="233"/>
    </row>
  </sheetData>
  <mergeCells count="1">
    <mergeCell ref="G88:H88"/>
  </mergeCells>
  <pageMargins left="0.7" right="0.7" top="0.75" bottom="0.75" header="0.3" footer="0.3"/>
  <pageSetup scale="5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0"/>
  <sheetViews>
    <sheetView showGridLines="0" zoomScale="85" zoomScaleNormal="85" workbookViewId="0">
      <selection activeCell="AI17" sqref="AI17"/>
    </sheetView>
  </sheetViews>
  <sheetFormatPr defaultColWidth="13.85546875" defaultRowHeight="12.75" outlineLevelRow="1" outlineLevelCol="1"/>
  <cols>
    <col min="1" max="1" width="7.85546875" style="60" customWidth="1"/>
    <col min="2" max="3" width="2.28515625" style="60" customWidth="1"/>
    <col min="4" max="4" width="26" style="60" customWidth="1"/>
    <col min="5" max="5" width="2.28515625" style="60" customWidth="1"/>
    <col min="6" max="6" width="2.140625" style="60" customWidth="1"/>
    <col min="7" max="7" width="9" style="119" bestFit="1" customWidth="1" outlineLevel="1"/>
    <col min="8" max="8" width="1.5703125" style="60" customWidth="1" outlineLevel="1"/>
    <col min="9" max="9" width="9" style="119" bestFit="1" customWidth="1" outlineLevel="1"/>
    <col min="10" max="10" width="1.5703125" style="60" customWidth="1" outlineLevel="1"/>
    <col min="11" max="11" width="9" style="119" bestFit="1" customWidth="1" outlineLevel="1"/>
    <col min="12" max="12" width="1.5703125" style="60" customWidth="1" outlineLevel="1"/>
    <col min="13" max="13" width="9" style="119" bestFit="1" customWidth="1" outlineLevel="1"/>
    <col min="14" max="14" width="0.85546875" style="60" customWidth="1" outlineLevel="1"/>
    <col min="15" max="15" width="9.7109375" style="119" bestFit="1" customWidth="1" outlineLevel="1"/>
    <col min="16" max="16" width="1.5703125" style="60" customWidth="1" outlineLevel="1"/>
    <col min="17" max="17" width="9" style="119" bestFit="1" customWidth="1" outlineLevel="1"/>
    <col min="18" max="18" width="1.5703125" style="60" customWidth="1" outlineLevel="1"/>
    <col min="19" max="19" width="9" style="119" bestFit="1" customWidth="1" outlineLevel="1"/>
    <col min="20" max="20" width="0.85546875" style="60" customWidth="1" outlineLevel="1"/>
    <col min="21" max="21" width="9" style="119" bestFit="1" customWidth="1" outlineLevel="1"/>
    <col min="22" max="22" width="1.5703125" style="60" customWidth="1" outlineLevel="1"/>
    <col min="23" max="23" width="9" style="119" bestFit="1" customWidth="1" outlineLevel="1"/>
    <col min="24" max="24" width="1.5703125" style="60" customWidth="1" outlineLevel="1"/>
    <col min="25" max="25" width="9" style="119" bestFit="1" customWidth="1" outlineLevel="1"/>
    <col min="26" max="26" width="0.85546875" style="60" customWidth="1" outlineLevel="1"/>
    <col min="27" max="27" width="9" style="119" bestFit="1" customWidth="1" outlineLevel="1"/>
    <col min="28" max="28" width="1.5703125" style="60" customWidth="1" outlineLevel="1"/>
    <col min="29" max="29" width="9" style="119" bestFit="1" customWidth="1" outlineLevel="1"/>
    <col min="30" max="30" width="1.5703125" style="60" customWidth="1" outlineLevel="1"/>
    <col min="31" max="31" width="10.5703125" style="119" bestFit="1" customWidth="1"/>
    <col min="32" max="32" width="4.5703125" style="60" customWidth="1"/>
    <col min="33" max="33" width="1.42578125" style="60" customWidth="1"/>
    <col min="34" max="34" width="16.7109375" style="60" bestFit="1" customWidth="1"/>
    <col min="35" max="35" width="12.42578125" style="60" bestFit="1" customWidth="1"/>
    <col min="36" max="36" width="18.85546875" style="60" customWidth="1"/>
    <col min="37" max="37" width="6.28515625" style="60" customWidth="1"/>
    <col min="38" max="43" width="13.85546875" style="60"/>
    <col min="44" max="44" width="6" style="60" customWidth="1"/>
    <col min="45" max="45" width="13.85546875" style="60"/>
    <col min="46" max="46" width="15.140625" style="60" bestFit="1" customWidth="1"/>
    <col min="47" max="16384" width="13.85546875" style="60"/>
  </cols>
  <sheetData>
    <row r="1" spans="1:47" s="72" customFormat="1" ht="15.75">
      <c r="A1" s="607" t="s">
        <v>1544</v>
      </c>
      <c r="J1" s="73"/>
      <c r="K1" s="74"/>
      <c r="N1" s="73"/>
      <c r="O1" s="75"/>
      <c r="P1" s="73"/>
      <c r="Q1" s="74"/>
      <c r="V1" s="73"/>
      <c r="W1" s="74"/>
      <c r="AB1" s="73"/>
      <c r="AC1" s="74"/>
      <c r="AE1" s="76"/>
      <c r="AO1" s="608"/>
      <c r="AP1" s="609"/>
      <c r="AQ1" s="609"/>
      <c r="AR1" s="610"/>
    </row>
    <row r="2" spans="1:47" s="72" customFormat="1" ht="15.75">
      <c r="A2" s="607" t="s">
        <v>640</v>
      </c>
      <c r="K2" s="77"/>
      <c r="N2" s="73"/>
      <c r="O2" s="77"/>
      <c r="Q2" s="77" t="s">
        <v>114</v>
      </c>
      <c r="W2" s="77" t="s">
        <v>114</v>
      </c>
      <c r="AC2" s="77" t="s">
        <v>114</v>
      </c>
      <c r="AF2" s="611"/>
      <c r="AG2" s="611" t="s">
        <v>1545</v>
      </c>
      <c r="AH2" s="612">
        <f>AQ28</f>
        <v>6.1854473316755205E-3</v>
      </c>
      <c r="AO2" s="613"/>
      <c r="AP2" s="614"/>
      <c r="AQ2" s="615" t="s">
        <v>1546</v>
      </c>
      <c r="AR2" s="616"/>
      <c r="AS2" s="613"/>
      <c r="AT2" s="614"/>
      <c r="AU2" s="615" t="s">
        <v>1547</v>
      </c>
    </row>
    <row r="3" spans="1:47" s="72" customFormat="1" ht="30">
      <c r="A3" s="607" t="s">
        <v>220</v>
      </c>
      <c r="AG3" s="617" t="s">
        <v>1548</v>
      </c>
      <c r="AH3" s="612">
        <f>AU28</f>
        <v>6.0850951483143794E-3</v>
      </c>
      <c r="AO3" s="618" t="s">
        <v>1</v>
      </c>
      <c r="AP3" s="619" t="s">
        <v>1549</v>
      </c>
      <c r="AQ3" s="620" t="s">
        <v>1550</v>
      </c>
      <c r="AR3" s="621"/>
      <c r="AS3" s="618" t="s">
        <v>1</v>
      </c>
      <c r="AT3" s="619" t="s">
        <v>1551</v>
      </c>
      <c r="AU3" s="620" t="s">
        <v>1550</v>
      </c>
    </row>
    <row r="4" spans="1:47" s="72" customFormat="1" ht="16.5" thickBot="1">
      <c r="A4" s="622"/>
      <c r="AE4" s="623"/>
      <c r="AF4" s="623"/>
      <c r="AH4" s="623"/>
      <c r="AI4" s="623"/>
      <c r="AJ4" s="623"/>
      <c r="AK4" s="624"/>
      <c r="AO4" s="625">
        <v>2010</v>
      </c>
      <c r="AP4" s="626">
        <v>125450</v>
      </c>
      <c r="AQ4" s="627">
        <v>0.12434489469598105</v>
      </c>
      <c r="AR4" s="628"/>
      <c r="AS4" s="625">
        <v>2010</v>
      </c>
      <c r="AT4" s="626">
        <v>128337</v>
      </c>
      <c r="AU4" s="627">
        <v>0.12595852516922945</v>
      </c>
    </row>
    <row r="5" spans="1:47" s="72" customFormat="1" ht="15.75">
      <c r="A5" s="629" t="s">
        <v>1552</v>
      </c>
      <c r="B5" s="630"/>
      <c r="C5" s="630"/>
      <c r="D5" s="630"/>
      <c r="E5" s="630"/>
      <c r="F5" s="630"/>
      <c r="G5" s="631"/>
      <c r="H5" s="629"/>
      <c r="I5" s="629"/>
      <c r="J5" s="629"/>
      <c r="K5" s="629"/>
      <c r="L5" s="629"/>
      <c r="M5" s="629"/>
      <c r="N5" s="629"/>
      <c r="O5" s="629"/>
      <c r="P5" s="629"/>
      <c r="Q5" s="629"/>
      <c r="R5" s="629"/>
      <c r="S5" s="629"/>
      <c r="T5" s="629"/>
      <c r="U5" s="629"/>
      <c r="V5" s="629"/>
      <c r="W5" s="629"/>
      <c r="X5" s="629"/>
      <c r="Y5" s="629"/>
      <c r="Z5" s="629"/>
      <c r="AA5" s="629"/>
      <c r="AB5" s="629"/>
      <c r="AC5" s="629"/>
      <c r="AD5" s="629"/>
      <c r="AE5" s="632"/>
      <c r="AF5" s="632"/>
      <c r="AH5" s="633" t="s">
        <v>1553</v>
      </c>
      <c r="AI5" s="633" t="s">
        <v>1554</v>
      </c>
      <c r="AJ5" s="1125" t="s">
        <v>1555</v>
      </c>
      <c r="AK5" s="633"/>
      <c r="AO5" s="625">
        <v>2011</v>
      </c>
      <c r="AP5" s="626">
        <v>29789</v>
      </c>
      <c r="AQ5" s="627">
        <v>2.9526584839366914E-2</v>
      </c>
      <c r="AR5" s="628"/>
      <c r="AS5" s="625">
        <v>2011</v>
      </c>
      <c r="AT5" s="626">
        <v>30394</v>
      </c>
      <c r="AU5" s="627">
        <v>2.9830706764172137E-2</v>
      </c>
    </row>
    <row r="6" spans="1:47" s="72" customFormat="1" ht="16.5" thickBot="1">
      <c r="A6" s="79"/>
      <c r="B6" s="79"/>
      <c r="C6" s="79"/>
      <c r="D6" s="79"/>
      <c r="E6" s="79"/>
      <c r="F6" s="79"/>
      <c r="G6" s="83">
        <v>42186</v>
      </c>
      <c r="H6" s="84"/>
      <c r="I6" s="83">
        <f>G6+31</f>
        <v>42217</v>
      </c>
      <c r="J6" s="84"/>
      <c r="K6" s="83">
        <f>I6+31</f>
        <v>42248</v>
      </c>
      <c r="L6" s="85"/>
      <c r="M6" s="83">
        <f>K6+31</f>
        <v>42279</v>
      </c>
      <c r="N6" s="84"/>
      <c r="O6" s="83">
        <f>M6+31</f>
        <v>42310</v>
      </c>
      <c r="P6" s="84"/>
      <c r="Q6" s="83">
        <f>O6+31</f>
        <v>42341</v>
      </c>
      <c r="R6" s="85"/>
      <c r="S6" s="83">
        <f>Q6+31</f>
        <v>42372</v>
      </c>
      <c r="T6" s="84"/>
      <c r="U6" s="83">
        <f>S6+31</f>
        <v>42403</v>
      </c>
      <c r="V6" s="84"/>
      <c r="W6" s="83">
        <f>U6+31</f>
        <v>42434</v>
      </c>
      <c r="X6" s="85"/>
      <c r="Y6" s="83">
        <f>W6+31</f>
        <v>42465</v>
      </c>
      <c r="Z6" s="84"/>
      <c r="AA6" s="83">
        <f>Y6+31</f>
        <v>42496</v>
      </c>
      <c r="AB6" s="84"/>
      <c r="AC6" s="83">
        <f>AA6+31</f>
        <v>42527</v>
      </c>
      <c r="AD6" s="85"/>
      <c r="AE6" s="86" t="s">
        <v>3</v>
      </c>
      <c r="AF6" s="87"/>
      <c r="AH6" s="83" t="s">
        <v>1556</v>
      </c>
      <c r="AI6" s="83" t="s">
        <v>1557</v>
      </c>
      <c r="AJ6" s="1126" t="s">
        <v>1558</v>
      </c>
      <c r="AK6" s="633"/>
      <c r="AO6" s="625">
        <v>2012</v>
      </c>
      <c r="AP6" s="626">
        <v>22230</v>
      </c>
      <c r="AQ6" s="627">
        <v>2.2034173049754156E-2</v>
      </c>
      <c r="AR6" s="628"/>
      <c r="AS6" s="625">
        <v>2012</v>
      </c>
      <c r="AT6" s="626">
        <v>21971</v>
      </c>
      <c r="AU6" s="627">
        <v>2.1563810565099231E-2</v>
      </c>
    </row>
    <row r="7" spans="1:47" s="65" customFormat="1" ht="15.75" outlineLevel="1">
      <c r="G7" s="94"/>
      <c r="H7" s="93"/>
      <c r="I7" s="94"/>
      <c r="J7" s="93"/>
      <c r="K7" s="94"/>
      <c r="L7" s="93"/>
      <c r="M7" s="94"/>
      <c r="N7" s="93"/>
      <c r="O7" s="94"/>
      <c r="P7" s="93"/>
      <c r="Q7" s="94"/>
      <c r="R7" s="93"/>
      <c r="S7" s="94"/>
      <c r="T7" s="93"/>
      <c r="U7" s="94"/>
      <c r="V7" s="93"/>
      <c r="W7" s="94"/>
      <c r="X7" s="93"/>
      <c r="Y7" s="94"/>
      <c r="Z7" s="93"/>
      <c r="AA7" s="94"/>
      <c r="AB7" s="93"/>
      <c r="AC7" s="94"/>
      <c r="AD7" s="93"/>
      <c r="AE7" s="94"/>
      <c r="AF7" s="89"/>
      <c r="AG7" s="72"/>
      <c r="AO7" s="625">
        <v>2013</v>
      </c>
      <c r="AP7" s="626">
        <v>59123</v>
      </c>
      <c r="AQ7" s="627">
        <v>5.8602177832686231E-2</v>
      </c>
      <c r="AR7" s="628"/>
      <c r="AS7" s="625">
        <v>2013</v>
      </c>
      <c r="AT7" s="626">
        <v>59448</v>
      </c>
      <c r="AU7" s="627">
        <v>5.8346247802740843E-2</v>
      </c>
    </row>
    <row r="8" spans="1:47" ht="15" outlineLevel="1">
      <c r="A8" s="63">
        <v>70035</v>
      </c>
      <c r="B8" s="63" t="s">
        <v>147</v>
      </c>
      <c r="C8" s="64"/>
      <c r="D8" s="61"/>
      <c r="E8" s="65"/>
      <c r="F8" s="66"/>
      <c r="G8" s="67">
        <v>191.56</v>
      </c>
      <c r="H8" s="66"/>
      <c r="I8" s="67">
        <v>191.57</v>
      </c>
      <c r="J8" s="66"/>
      <c r="K8" s="67">
        <v>191.56</v>
      </c>
      <c r="L8" s="66"/>
      <c r="M8" s="67">
        <v>191.56</v>
      </c>
      <c r="N8" s="66"/>
      <c r="O8" s="67">
        <v>125</v>
      </c>
      <c r="P8" s="66"/>
      <c r="Q8" s="67">
        <v>937.5</v>
      </c>
      <c r="R8" s="66"/>
      <c r="S8" s="67">
        <v>187.5</v>
      </c>
      <c r="T8" s="66"/>
      <c r="U8" s="67">
        <v>187.5</v>
      </c>
      <c r="V8" s="66"/>
      <c r="W8" s="67">
        <v>251.79</v>
      </c>
      <c r="X8" s="66"/>
      <c r="Y8" s="67">
        <v>251.8</v>
      </c>
      <c r="Z8" s="66"/>
      <c r="AA8" s="67">
        <v>251.79</v>
      </c>
      <c r="AB8" s="66"/>
      <c r="AC8" s="67">
        <v>-248.21</v>
      </c>
      <c r="AD8" s="66"/>
      <c r="AE8" s="67">
        <f t="shared" ref="AE8:AE42" si="0">AC8+AA8+Y8+W8+U8+S8+Q8+O8+M8+K8+I8+G8</f>
        <v>2710.92</v>
      </c>
      <c r="AF8" s="68"/>
      <c r="AG8" s="69"/>
      <c r="AH8" s="634">
        <f>(SUM(G8:Q8)*$AH$2)+(SUM(S8:AC8)*$AH$3)</f>
        <v>16.679725194790102</v>
      </c>
      <c r="AJ8" s="60">
        <f t="shared" ref="AJ8:AJ42" si="1">AH8+AI8</f>
        <v>16.679725194790102</v>
      </c>
      <c r="AO8" s="625">
        <v>2014</v>
      </c>
      <c r="AP8" s="626">
        <v>75</v>
      </c>
      <c r="AQ8" s="627">
        <v>7.433931528257138E-5</v>
      </c>
      <c r="AR8" s="628"/>
      <c r="AS8" s="625">
        <v>2014</v>
      </c>
      <c r="AT8" s="626">
        <v>52</v>
      </c>
      <c r="AU8" s="627">
        <v>5.1036281889088342E-5</v>
      </c>
    </row>
    <row r="9" spans="1:47" ht="15" outlineLevel="1">
      <c r="A9" s="63">
        <v>70036</v>
      </c>
      <c r="B9" s="63" t="s">
        <v>183</v>
      </c>
      <c r="C9" s="64"/>
      <c r="D9" s="61"/>
      <c r="E9" s="65"/>
      <c r="F9" s="66"/>
      <c r="G9" s="67">
        <v>4586.55</v>
      </c>
      <c r="H9" s="66"/>
      <c r="I9" s="67">
        <v>3432.7</v>
      </c>
      <c r="J9" s="66"/>
      <c r="K9" s="67">
        <v>2293.85</v>
      </c>
      <c r="L9" s="66"/>
      <c r="M9" s="67">
        <v>4586.55</v>
      </c>
      <c r="N9" s="66"/>
      <c r="O9" s="67">
        <v>3432.7</v>
      </c>
      <c r="P9" s="66"/>
      <c r="Q9" s="67">
        <v>4586.55</v>
      </c>
      <c r="R9" s="66"/>
      <c r="S9" s="67">
        <v>3769.83</v>
      </c>
      <c r="T9" s="66"/>
      <c r="U9" s="67">
        <v>2625</v>
      </c>
      <c r="V9" s="66"/>
      <c r="W9" s="67">
        <v>4471.1499999999996</v>
      </c>
      <c r="X9" s="66"/>
      <c r="Y9" s="67">
        <v>5841.67</v>
      </c>
      <c r="Z9" s="66"/>
      <c r="AA9" s="67">
        <v>5816.64</v>
      </c>
      <c r="AB9" s="66"/>
      <c r="AC9" s="67">
        <v>4216.67</v>
      </c>
      <c r="AD9" s="66"/>
      <c r="AE9" s="67">
        <f t="shared" si="0"/>
        <v>49659.86</v>
      </c>
      <c r="AF9" s="68"/>
      <c r="AG9" s="69"/>
      <c r="AH9" s="634">
        <f t="shared" ref="AH9:AH42" si="2">(SUM(G9:Q9)*$AH$2)+(SUM(S9:AC9)*$AH$3)</f>
        <v>304.48493480720697</v>
      </c>
      <c r="AJ9" s="60">
        <f t="shared" si="1"/>
        <v>304.48493480720697</v>
      </c>
      <c r="AO9" s="625">
        <v>2015</v>
      </c>
      <c r="AP9" s="626">
        <v>0</v>
      </c>
      <c r="AQ9" s="627">
        <v>0</v>
      </c>
      <c r="AR9" s="628"/>
      <c r="AS9" s="625">
        <v>2015</v>
      </c>
      <c r="AT9" s="626">
        <v>0</v>
      </c>
      <c r="AU9" s="627">
        <v>0</v>
      </c>
    </row>
    <row r="10" spans="1:47" ht="15" outlineLevel="1">
      <c r="A10" s="63">
        <v>70086</v>
      </c>
      <c r="B10" s="63" t="s">
        <v>148</v>
      </c>
      <c r="C10" s="64"/>
      <c r="D10" s="61"/>
      <c r="E10" s="65"/>
      <c r="F10" s="66"/>
      <c r="G10" s="67">
        <v>115.89</v>
      </c>
      <c r="H10" s="66"/>
      <c r="I10" s="67">
        <v>1798.52</v>
      </c>
      <c r="J10" s="66"/>
      <c r="K10" s="67">
        <v>11.38</v>
      </c>
      <c r="L10" s="66"/>
      <c r="M10" s="67">
        <v>826.29</v>
      </c>
      <c r="N10" s="66"/>
      <c r="O10" s="67">
        <v>3093.28</v>
      </c>
      <c r="P10" s="66"/>
      <c r="Q10" s="67">
        <v>1926.25</v>
      </c>
      <c r="R10" s="66"/>
      <c r="S10" s="67">
        <v>1523.4</v>
      </c>
      <c r="T10" s="66"/>
      <c r="U10" s="67">
        <v>2922.36</v>
      </c>
      <c r="V10" s="66"/>
      <c r="W10" s="67">
        <v>679.5</v>
      </c>
      <c r="X10" s="66"/>
      <c r="Y10" s="67">
        <v>140.16999999999999</v>
      </c>
      <c r="Z10" s="66"/>
      <c r="AA10" s="67">
        <v>3802.54</v>
      </c>
      <c r="AB10" s="66"/>
      <c r="AC10" s="67">
        <v>4697.21</v>
      </c>
      <c r="AD10" s="66"/>
      <c r="AE10" s="67">
        <f t="shared" si="0"/>
        <v>21536.79</v>
      </c>
      <c r="AF10" s="68"/>
      <c r="AG10" s="69"/>
      <c r="AH10" s="634">
        <f t="shared" si="2"/>
        <v>131.83331437099693</v>
      </c>
      <c r="AJ10" s="60">
        <f t="shared" si="1"/>
        <v>131.83331437099693</v>
      </c>
      <c r="AO10" s="625">
        <v>2025</v>
      </c>
      <c r="AP10" s="626">
        <v>2159</v>
      </c>
      <c r="AQ10" s="627">
        <v>2.1399810892676215E-3</v>
      </c>
      <c r="AR10" s="628"/>
      <c r="AS10" s="625">
        <v>2020</v>
      </c>
      <c r="AT10" s="626">
        <v>0</v>
      </c>
      <c r="AU10" s="627">
        <v>0</v>
      </c>
    </row>
    <row r="11" spans="1:47" ht="15" outlineLevel="1">
      <c r="A11" s="63">
        <v>70095</v>
      </c>
      <c r="B11" s="63" t="s">
        <v>162</v>
      </c>
      <c r="C11" s="64"/>
      <c r="D11" s="61"/>
      <c r="E11" s="65"/>
      <c r="F11" s="66"/>
      <c r="G11" s="67">
        <v>5484.21</v>
      </c>
      <c r="H11" s="66"/>
      <c r="I11" s="67">
        <v>2242.2800000000002</v>
      </c>
      <c r="J11" s="66"/>
      <c r="K11" s="67">
        <v>11984.05</v>
      </c>
      <c r="L11" s="66"/>
      <c r="M11" s="67">
        <v>2998.39</v>
      </c>
      <c r="N11" s="66"/>
      <c r="O11" s="67">
        <v>6015.84</v>
      </c>
      <c r="P11" s="66"/>
      <c r="Q11" s="67">
        <v>30697.53</v>
      </c>
      <c r="R11" s="66"/>
      <c r="S11" s="67">
        <v>5397.07</v>
      </c>
      <c r="T11" s="66"/>
      <c r="U11" s="67">
        <v>2144.94</v>
      </c>
      <c r="V11" s="66"/>
      <c r="W11" s="67">
        <v>1917.19</v>
      </c>
      <c r="X11" s="66"/>
      <c r="Y11" s="67">
        <v>1760.92</v>
      </c>
      <c r="Z11" s="66"/>
      <c r="AA11" s="67">
        <v>9685.43</v>
      </c>
      <c r="AB11" s="66"/>
      <c r="AC11" s="67">
        <v>1659.08</v>
      </c>
      <c r="AD11" s="66"/>
      <c r="AE11" s="67">
        <f t="shared" si="0"/>
        <v>81986.930000000008</v>
      </c>
      <c r="AF11" s="68"/>
      <c r="AG11" s="69"/>
      <c r="AH11" s="634">
        <f t="shared" si="2"/>
        <v>504.86142751353145</v>
      </c>
      <c r="AI11" s="60">
        <f>-AH11</f>
        <v>-504.86142751353145</v>
      </c>
      <c r="AJ11" s="60">
        <f t="shared" si="1"/>
        <v>0</v>
      </c>
      <c r="AO11" s="625">
        <v>2040</v>
      </c>
      <c r="AP11" s="626">
        <v>7444</v>
      </c>
      <c r="AQ11" s="627">
        <v>7.3784248395128175E-3</v>
      </c>
      <c r="AR11" s="628"/>
      <c r="AS11" s="625">
        <v>2025</v>
      </c>
      <c r="AT11" s="626">
        <v>2362</v>
      </c>
      <c r="AU11" s="627">
        <v>2.3182249581158976E-3</v>
      </c>
    </row>
    <row r="12" spans="1:47" ht="15" outlineLevel="1">
      <c r="A12" s="63">
        <v>70105</v>
      </c>
      <c r="B12" s="63" t="s">
        <v>184</v>
      </c>
      <c r="C12" s="64"/>
      <c r="D12" s="61"/>
      <c r="E12" s="65"/>
      <c r="F12" s="66"/>
      <c r="G12" s="67">
        <v>12371.39</v>
      </c>
      <c r="H12" s="66"/>
      <c r="I12" s="67">
        <v>2597.23</v>
      </c>
      <c r="J12" s="66"/>
      <c r="K12" s="67">
        <v>0</v>
      </c>
      <c r="L12" s="66"/>
      <c r="M12" s="67">
        <v>34.97</v>
      </c>
      <c r="N12" s="66"/>
      <c r="O12" s="67">
        <v>0</v>
      </c>
      <c r="P12" s="66"/>
      <c r="Q12" s="67">
        <v>0</v>
      </c>
      <c r="R12" s="66"/>
      <c r="S12" s="67">
        <v>0</v>
      </c>
      <c r="T12" s="66"/>
      <c r="U12" s="67">
        <v>0</v>
      </c>
      <c r="V12" s="66"/>
      <c r="W12" s="67">
        <v>0</v>
      </c>
      <c r="X12" s="66"/>
      <c r="Y12" s="67">
        <v>0</v>
      </c>
      <c r="Z12" s="66"/>
      <c r="AA12" s="67">
        <v>1012.32</v>
      </c>
      <c r="AB12" s="66"/>
      <c r="AC12" s="67">
        <v>42122.91</v>
      </c>
      <c r="AD12" s="66"/>
      <c r="AE12" s="67">
        <f t="shared" si="0"/>
        <v>58138.820000000007</v>
      </c>
      <c r="AF12" s="68"/>
      <c r="AG12" s="69"/>
      <c r="AH12" s="634">
        <f t="shared" si="2"/>
        <v>355.2858945254784</v>
      </c>
      <c r="AJ12" s="60">
        <f t="shared" si="1"/>
        <v>355.2858945254784</v>
      </c>
      <c r="AO12" s="625">
        <v>2041</v>
      </c>
      <c r="AP12" s="626">
        <v>2548</v>
      </c>
      <c r="AQ12" s="627">
        <v>2.5255543378665582E-3</v>
      </c>
      <c r="AR12" s="628"/>
      <c r="AS12" s="625">
        <v>2040</v>
      </c>
      <c r="AT12" s="626">
        <v>7628</v>
      </c>
      <c r="AU12" s="627">
        <v>7.4866299663454983E-3</v>
      </c>
    </row>
    <row r="13" spans="1:47" ht="15" outlineLevel="1">
      <c r="A13" s="63">
        <v>70110</v>
      </c>
      <c r="B13" s="63" t="s">
        <v>82</v>
      </c>
      <c r="C13" s="64"/>
      <c r="D13" s="61"/>
      <c r="E13" s="65"/>
      <c r="F13" s="66"/>
      <c r="G13" s="67">
        <v>0</v>
      </c>
      <c r="H13" s="66"/>
      <c r="I13" s="67">
        <v>109000</v>
      </c>
      <c r="J13" s="66"/>
      <c r="K13" s="67">
        <v>0</v>
      </c>
      <c r="L13" s="66"/>
      <c r="M13" s="67">
        <v>0</v>
      </c>
      <c r="N13" s="66"/>
      <c r="O13" s="67">
        <v>-171000</v>
      </c>
      <c r="P13" s="66"/>
      <c r="Q13" s="67">
        <v>7500</v>
      </c>
      <c r="R13" s="66"/>
      <c r="S13" s="67">
        <v>0</v>
      </c>
      <c r="T13" s="66"/>
      <c r="U13" s="67">
        <v>5000</v>
      </c>
      <c r="V13" s="66"/>
      <c r="W13" s="67">
        <v>23500</v>
      </c>
      <c r="X13" s="66"/>
      <c r="Y13" s="67">
        <v>5000</v>
      </c>
      <c r="Z13" s="66"/>
      <c r="AA13" s="67">
        <v>0</v>
      </c>
      <c r="AB13" s="66"/>
      <c r="AC13" s="67">
        <v>15000</v>
      </c>
      <c r="AD13" s="66"/>
      <c r="AE13" s="67">
        <f t="shared" si="0"/>
        <v>-6000</v>
      </c>
      <c r="AF13" s="68"/>
      <c r="AG13" s="69"/>
      <c r="AH13" s="634">
        <f t="shared" si="2"/>
        <v>-41.979764883068469</v>
      </c>
      <c r="AI13" s="60">
        <f>-AH13</f>
        <v>41.979764883068469</v>
      </c>
      <c r="AJ13" s="60">
        <f t="shared" si="1"/>
        <v>0</v>
      </c>
      <c r="AO13" s="625">
        <v>2042</v>
      </c>
      <c r="AP13" s="626">
        <v>92</v>
      </c>
      <c r="AQ13" s="627">
        <v>9.1189560079954214E-5</v>
      </c>
      <c r="AR13" s="628"/>
      <c r="AS13" s="625">
        <v>2041</v>
      </c>
      <c r="AT13" s="626">
        <v>2532</v>
      </c>
      <c r="AU13" s="627">
        <v>2.4850743412148401E-3</v>
      </c>
    </row>
    <row r="14" spans="1:47" ht="15" outlineLevel="1">
      <c r="A14" s="63">
        <v>70112</v>
      </c>
      <c r="B14" s="63" t="s">
        <v>611</v>
      </c>
      <c r="C14" s="64"/>
      <c r="D14" s="61"/>
      <c r="E14" s="65"/>
      <c r="F14" s="66"/>
      <c r="G14" s="67">
        <v>0</v>
      </c>
      <c r="H14" s="66"/>
      <c r="I14" s="67">
        <v>0</v>
      </c>
      <c r="J14" s="66"/>
      <c r="K14" s="67">
        <v>0</v>
      </c>
      <c r="L14" s="66"/>
      <c r="M14" s="67">
        <v>0</v>
      </c>
      <c r="N14" s="66"/>
      <c r="O14" s="67">
        <v>-225</v>
      </c>
      <c r="P14" s="66"/>
      <c r="Q14" s="67">
        <v>0</v>
      </c>
      <c r="R14" s="66"/>
      <c r="S14" s="67">
        <v>0</v>
      </c>
      <c r="T14" s="66"/>
      <c r="U14" s="67">
        <v>0</v>
      </c>
      <c r="V14" s="66"/>
      <c r="W14" s="67">
        <v>0</v>
      </c>
      <c r="X14" s="66"/>
      <c r="Y14" s="67">
        <v>0</v>
      </c>
      <c r="Z14" s="66"/>
      <c r="AA14" s="67">
        <v>30</v>
      </c>
      <c r="AB14" s="66"/>
      <c r="AC14" s="67">
        <v>50000</v>
      </c>
      <c r="AD14" s="66"/>
      <c r="AE14" s="67">
        <f t="shared" si="0"/>
        <v>49805</v>
      </c>
      <c r="AF14" s="68"/>
      <c r="AG14" s="69"/>
      <c r="AH14" s="634">
        <f t="shared" si="2"/>
        <v>303.04558462054138</v>
      </c>
      <c r="AI14" s="60">
        <f>-AH14</f>
        <v>-303.04558462054138</v>
      </c>
      <c r="AJ14" s="60">
        <f t="shared" si="1"/>
        <v>0</v>
      </c>
      <c r="AO14" s="625">
        <v>2043</v>
      </c>
      <c r="AP14" s="626">
        <v>4846</v>
      </c>
      <c r="AQ14" s="627">
        <v>4.8033109581245449E-3</v>
      </c>
      <c r="AR14" s="628"/>
      <c r="AS14" s="625">
        <v>2042</v>
      </c>
      <c r="AT14" s="626">
        <v>114</v>
      </c>
      <c r="AU14" s="627">
        <v>1.1188723337223214E-4</v>
      </c>
    </row>
    <row r="15" spans="1:47" ht="15" outlineLevel="1">
      <c r="A15" s="63">
        <v>70147</v>
      </c>
      <c r="B15" s="63" t="s">
        <v>66</v>
      </c>
      <c r="C15" s="64"/>
      <c r="D15" s="61"/>
      <c r="E15" s="65"/>
      <c r="F15" s="66"/>
      <c r="G15" s="67">
        <v>2486.4299999999998</v>
      </c>
      <c r="H15" s="66"/>
      <c r="I15" s="67">
        <v>2205.42</v>
      </c>
      <c r="J15" s="66"/>
      <c r="K15" s="67">
        <v>1138.98</v>
      </c>
      <c r="L15" s="66"/>
      <c r="M15" s="67">
        <v>2458.0100000000002</v>
      </c>
      <c r="N15" s="66"/>
      <c r="O15" s="67">
        <v>2349.8000000000002</v>
      </c>
      <c r="P15" s="66"/>
      <c r="Q15" s="67">
        <v>3048.64</v>
      </c>
      <c r="R15" s="66"/>
      <c r="S15" s="67">
        <v>2759.91</v>
      </c>
      <c r="T15" s="66"/>
      <c r="U15" s="67">
        <v>1331.72</v>
      </c>
      <c r="V15" s="66"/>
      <c r="W15" s="67">
        <v>2329.36</v>
      </c>
      <c r="X15" s="66"/>
      <c r="Y15" s="67">
        <v>2585.7199999999998</v>
      </c>
      <c r="Z15" s="66"/>
      <c r="AA15" s="67">
        <v>2177.3000000000002</v>
      </c>
      <c r="AB15" s="66"/>
      <c r="AC15" s="67">
        <v>2319.96</v>
      </c>
      <c r="AD15" s="66"/>
      <c r="AE15" s="67">
        <f t="shared" si="0"/>
        <v>27191.25</v>
      </c>
      <c r="AF15" s="68"/>
      <c r="AG15" s="69"/>
      <c r="AH15" s="634">
        <f t="shared" si="2"/>
        <v>166.83489188387864</v>
      </c>
      <c r="AJ15" s="60">
        <f t="shared" si="1"/>
        <v>166.83489188387864</v>
      </c>
      <c r="AO15" s="625">
        <v>2044</v>
      </c>
      <c r="AP15" s="626">
        <v>6509</v>
      </c>
      <c r="AQ15" s="627">
        <v>6.4516613756567609E-3</v>
      </c>
      <c r="AR15" s="628"/>
      <c r="AS15" s="625">
        <v>2043</v>
      </c>
      <c r="AT15" s="626">
        <v>5013</v>
      </c>
      <c r="AU15" s="627">
        <v>4.9200938674999976E-3</v>
      </c>
    </row>
    <row r="16" spans="1:47" ht="15" outlineLevel="1">
      <c r="A16" s="63">
        <v>70165</v>
      </c>
      <c r="B16" s="63" t="s">
        <v>157</v>
      </c>
      <c r="C16" s="64"/>
      <c r="D16" s="61"/>
      <c r="E16" s="65"/>
      <c r="F16" s="66"/>
      <c r="G16" s="67">
        <v>4065.69</v>
      </c>
      <c r="H16" s="66"/>
      <c r="I16" s="67">
        <v>3756.16</v>
      </c>
      <c r="J16" s="66"/>
      <c r="K16" s="67">
        <v>4837.3500000000004</v>
      </c>
      <c r="L16" s="66"/>
      <c r="M16" s="67">
        <v>4220.8100000000004</v>
      </c>
      <c r="N16" s="66"/>
      <c r="O16" s="67">
        <v>4235.8500000000004</v>
      </c>
      <c r="P16" s="66"/>
      <c r="Q16" s="67">
        <v>4868.13</v>
      </c>
      <c r="R16" s="66"/>
      <c r="S16" s="67">
        <v>5638.99</v>
      </c>
      <c r="T16" s="66"/>
      <c r="U16" s="67">
        <v>1684.77</v>
      </c>
      <c r="V16" s="66"/>
      <c r="W16" s="67">
        <v>2288.89</v>
      </c>
      <c r="X16" s="66"/>
      <c r="Y16" s="67">
        <v>2131.6</v>
      </c>
      <c r="Z16" s="66"/>
      <c r="AA16" s="67">
        <v>2832.1</v>
      </c>
      <c r="AB16" s="66"/>
      <c r="AC16" s="67">
        <v>3580.24</v>
      </c>
      <c r="AD16" s="66"/>
      <c r="AE16" s="67">
        <f t="shared" si="0"/>
        <v>44140.58</v>
      </c>
      <c r="AF16" s="68"/>
      <c r="AG16" s="69"/>
      <c r="AH16" s="634">
        <f t="shared" si="2"/>
        <v>271.20717933071683</v>
      </c>
      <c r="AJ16" s="60">
        <f t="shared" si="1"/>
        <v>271.20717933071683</v>
      </c>
      <c r="AO16" s="625">
        <v>2045</v>
      </c>
      <c r="AP16" s="626">
        <v>6112</v>
      </c>
      <c r="AQ16" s="627">
        <v>6.0581586000943502E-3</v>
      </c>
      <c r="AR16" s="628"/>
      <c r="AS16" s="625">
        <v>2044</v>
      </c>
      <c r="AT16" s="626">
        <v>7605</v>
      </c>
      <c r="AU16" s="627">
        <v>7.46405622627917E-3</v>
      </c>
    </row>
    <row r="17" spans="1:47" ht="15" outlineLevel="1">
      <c r="A17" s="63">
        <v>70167</v>
      </c>
      <c r="B17" s="63" t="s">
        <v>186</v>
      </c>
      <c r="C17" s="64"/>
      <c r="D17" s="61"/>
      <c r="E17" s="65"/>
      <c r="F17" s="66"/>
      <c r="G17" s="67">
        <v>3194.3</v>
      </c>
      <c r="H17" s="66"/>
      <c r="I17" s="67">
        <v>1584.6</v>
      </c>
      <c r="J17" s="66"/>
      <c r="K17" s="67">
        <v>2884.84</v>
      </c>
      <c r="L17" s="66"/>
      <c r="M17" s="67">
        <v>1818.92</v>
      </c>
      <c r="N17" s="66"/>
      <c r="O17" s="67">
        <v>2450.94</v>
      </c>
      <c r="P17" s="66"/>
      <c r="Q17" s="67">
        <v>1781.38</v>
      </c>
      <c r="R17" s="66"/>
      <c r="S17" s="67">
        <v>1728.58</v>
      </c>
      <c r="T17" s="66"/>
      <c r="U17" s="67">
        <v>1995.67</v>
      </c>
      <c r="V17" s="66"/>
      <c r="W17" s="67">
        <v>2318.94</v>
      </c>
      <c r="X17" s="66"/>
      <c r="Y17" s="67">
        <v>2116.2199999999998</v>
      </c>
      <c r="Z17" s="66"/>
      <c r="AA17" s="67">
        <v>2489.6</v>
      </c>
      <c r="AB17" s="66"/>
      <c r="AC17" s="67">
        <v>1816.17</v>
      </c>
      <c r="AD17" s="66"/>
      <c r="AE17" s="67">
        <f t="shared" si="0"/>
        <v>26180.159999999996</v>
      </c>
      <c r="AF17" s="68"/>
      <c r="AG17" s="69"/>
      <c r="AH17" s="634">
        <f t="shared" si="2"/>
        <v>160.68509278584855</v>
      </c>
      <c r="AJ17" s="60">
        <f t="shared" si="1"/>
        <v>160.68509278584855</v>
      </c>
      <c r="AO17" s="625">
        <v>2046</v>
      </c>
      <c r="AP17" s="626">
        <v>9028</v>
      </c>
      <c r="AQ17" s="627">
        <v>8.9484711782807248E-3</v>
      </c>
      <c r="AR17" s="628"/>
      <c r="AS17" s="625">
        <v>2045</v>
      </c>
      <c r="AT17" s="626">
        <v>6089</v>
      </c>
      <c r="AU17" s="627">
        <v>5.976152315820364E-3</v>
      </c>
    </row>
    <row r="18" spans="1:47" ht="15" outlineLevel="1">
      <c r="A18" s="63">
        <v>70170</v>
      </c>
      <c r="B18" s="63" t="s">
        <v>166</v>
      </c>
      <c r="C18" s="64"/>
      <c r="D18" s="61"/>
      <c r="E18" s="65"/>
      <c r="F18" s="66"/>
      <c r="G18" s="67">
        <v>21327.35</v>
      </c>
      <c r="H18" s="66"/>
      <c r="I18" s="67">
        <v>21327.35</v>
      </c>
      <c r="J18" s="66"/>
      <c r="K18" s="67">
        <v>21327.35</v>
      </c>
      <c r="L18" s="66"/>
      <c r="M18" s="67">
        <v>21327.35</v>
      </c>
      <c r="N18" s="66"/>
      <c r="O18" s="67">
        <v>21327.35</v>
      </c>
      <c r="P18" s="66"/>
      <c r="Q18" s="67">
        <v>21327.35</v>
      </c>
      <c r="R18" s="66"/>
      <c r="S18" s="67">
        <v>21327.35</v>
      </c>
      <c r="T18" s="66"/>
      <c r="U18" s="67">
        <v>21327.35</v>
      </c>
      <c r="V18" s="66"/>
      <c r="W18" s="67">
        <v>21327.35</v>
      </c>
      <c r="X18" s="66"/>
      <c r="Y18" s="67">
        <v>21635.15</v>
      </c>
      <c r="Z18" s="66"/>
      <c r="AA18" s="67">
        <v>21327.35</v>
      </c>
      <c r="AB18" s="66"/>
      <c r="AC18" s="67">
        <v>20695.72</v>
      </c>
      <c r="AD18" s="66"/>
      <c r="AE18" s="67">
        <f t="shared" si="0"/>
        <v>255604.37000000005</v>
      </c>
      <c r="AF18" s="68"/>
      <c r="AG18" s="69"/>
      <c r="AH18" s="634">
        <f t="shared" si="2"/>
        <v>1568.218388601797</v>
      </c>
      <c r="AJ18" s="60">
        <f t="shared" si="1"/>
        <v>1568.218388601797</v>
      </c>
      <c r="AO18" s="625">
        <v>2047</v>
      </c>
      <c r="AP18" s="626">
        <v>13247</v>
      </c>
      <c r="AQ18" s="627">
        <v>1.3130305460642974E-2</v>
      </c>
      <c r="AR18" s="628"/>
      <c r="AS18" s="625">
        <v>2046</v>
      </c>
      <c r="AT18" s="626">
        <v>9174</v>
      </c>
      <c r="AU18" s="627">
        <v>9.0039778855864703E-3</v>
      </c>
    </row>
    <row r="19" spans="1:47" ht="15" outlineLevel="1">
      <c r="A19" s="63">
        <v>70175</v>
      </c>
      <c r="B19" s="63" t="s">
        <v>67</v>
      </c>
      <c r="C19" s="64"/>
      <c r="D19" s="61"/>
      <c r="E19" s="65"/>
      <c r="F19" s="66"/>
      <c r="G19" s="67">
        <v>0</v>
      </c>
      <c r="H19" s="66"/>
      <c r="I19" s="67">
        <v>0</v>
      </c>
      <c r="J19" s="66"/>
      <c r="K19" s="67">
        <v>0</v>
      </c>
      <c r="L19" s="66"/>
      <c r="M19" s="67">
        <v>0</v>
      </c>
      <c r="N19" s="66"/>
      <c r="O19" s="67">
        <v>812.42</v>
      </c>
      <c r="P19" s="66"/>
      <c r="Q19" s="67">
        <v>-812.42</v>
      </c>
      <c r="R19" s="66"/>
      <c r="S19" s="67">
        <v>0</v>
      </c>
      <c r="T19" s="66"/>
      <c r="U19" s="67">
        <v>0</v>
      </c>
      <c r="V19" s="66"/>
      <c r="W19" s="67">
        <v>0</v>
      </c>
      <c r="X19" s="66"/>
      <c r="Y19" s="67">
        <v>0</v>
      </c>
      <c r="Z19" s="66"/>
      <c r="AA19" s="67">
        <v>0</v>
      </c>
      <c r="AB19" s="66"/>
      <c r="AC19" s="67">
        <v>0</v>
      </c>
      <c r="AD19" s="66"/>
      <c r="AE19" s="67">
        <f t="shared" si="0"/>
        <v>0</v>
      </c>
      <c r="AF19" s="68"/>
      <c r="AG19" s="69"/>
      <c r="AH19" s="634">
        <f t="shared" si="2"/>
        <v>0</v>
      </c>
      <c r="AJ19" s="60">
        <f t="shared" si="1"/>
        <v>0</v>
      </c>
      <c r="AO19" s="625">
        <v>2048</v>
      </c>
      <c r="AP19" s="626">
        <v>84</v>
      </c>
      <c r="AQ19" s="627">
        <v>8.3260033116479935E-5</v>
      </c>
      <c r="AR19" s="628"/>
      <c r="AS19" s="625">
        <v>2047</v>
      </c>
      <c r="AT19" s="626">
        <v>13384</v>
      </c>
      <c r="AU19" s="627">
        <v>1.3135953784683815E-2</v>
      </c>
    </row>
    <row r="20" spans="1:47" ht="15" outlineLevel="1">
      <c r="A20" s="63">
        <v>70185</v>
      </c>
      <c r="B20" s="63" t="s">
        <v>68</v>
      </c>
      <c r="C20" s="64"/>
      <c r="D20" s="61"/>
      <c r="E20" s="65"/>
      <c r="F20" s="66"/>
      <c r="G20" s="67">
        <v>413.71</v>
      </c>
      <c r="H20" s="66"/>
      <c r="I20" s="67">
        <v>931.46</v>
      </c>
      <c r="J20" s="66"/>
      <c r="K20" s="67">
        <v>886.74</v>
      </c>
      <c r="L20" s="66"/>
      <c r="M20" s="67">
        <v>1016.7</v>
      </c>
      <c r="N20" s="66"/>
      <c r="O20" s="67">
        <v>1361.65</v>
      </c>
      <c r="P20" s="66"/>
      <c r="Q20" s="67">
        <v>2023.82</v>
      </c>
      <c r="R20" s="66"/>
      <c r="S20" s="67">
        <v>763.28</v>
      </c>
      <c r="T20" s="66"/>
      <c r="U20" s="67">
        <v>1598.3</v>
      </c>
      <c r="V20" s="66"/>
      <c r="W20" s="67">
        <v>412.13</v>
      </c>
      <c r="X20" s="66"/>
      <c r="Y20" s="67">
        <v>847.91</v>
      </c>
      <c r="Z20" s="66"/>
      <c r="AA20" s="67">
        <v>645.32000000000005</v>
      </c>
      <c r="AB20" s="66"/>
      <c r="AC20" s="67">
        <v>1362.17</v>
      </c>
      <c r="AD20" s="66"/>
      <c r="AE20" s="67">
        <f t="shared" si="0"/>
        <v>12263.189999999999</v>
      </c>
      <c r="AF20" s="68"/>
      <c r="AG20" s="69"/>
      <c r="AH20" s="634">
        <f t="shared" si="2"/>
        <v>75.288422384449888</v>
      </c>
      <c r="AJ20" s="60">
        <f t="shared" si="1"/>
        <v>75.288422384449888</v>
      </c>
      <c r="AO20" s="625">
        <v>2048</v>
      </c>
      <c r="AP20" s="626">
        <v>10</v>
      </c>
      <c r="AQ20" s="627">
        <v>9.9119087043428503E-6</v>
      </c>
      <c r="AR20" s="628"/>
      <c r="AS20" s="625">
        <v>2048</v>
      </c>
      <c r="AT20" s="626">
        <v>109</v>
      </c>
      <c r="AU20" s="627">
        <v>1.0697989857520442E-4</v>
      </c>
    </row>
    <row r="21" spans="1:47" ht="15" outlineLevel="1">
      <c r="A21" s="63">
        <v>70190</v>
      </c>
      <c r="B21" s="63" t="s">
        <v>614</v>
      </c>
      <c r="C21" s="64"/>
      <c r="D21" s="61"/>
      <c r="E21" s="65"/>
      <c r="F21" s="66"/>
      <c r="G21" s="67">
        <v>1758</v>
      </c>
      <c r="H21" s="66"/>
      <c r="I21" s="67">
        <v>0</v>
      </c>
      <c r="J21" s="66"/>
      <c r="K21" s="67">
        <v>0</v>
      </c>
      <c r="L21" s="66"/>
      <c r="M21" s="67">
        <v>0</v>
      </c>
      <c r="N21" s="66"/>
      <c r="O21" s="67">
        <v>0</v>
      </c>
      <c r="P21" s="66"/>
      <c r="Q21" s="67">
        <v>0</v>
      </c>
      <c r="R21" s="66"/>
      <c r="S21" s="67">
        <v>0</v>
      </c>
      <c r="T21" s="66"/>
      <c r="U21" s="67">
        <v>0</v>
      </c>
      <c r="V21" s="66"/>
      <c r="W21" s="67">
        <v>0</v>
      </c>
      <c r="X21" s="66"/>
      <c r="Y21" s="67">
        <v>0</v>
      </c>
      <c r="Z21" s="66"/>
      <c r="AA21" s="67">
        <v>0</v>
      </c>
      <c r="AB21" s="66"/>
      <c r="AC21" s="67">
        <v>475</v>
      </c>
      <c r="AD21" s="66"/>
      <c r="AE21" s="67">
        <f t="shared" si="0"/>
        <v>2233</v>
      </c>
      <c r="AF21" s="68"/>
      <c r="AG21" s="69"/>
      <c r="AH21" s="634">
        <f t="shared" si="2"/>
        <v>13.764436604534895</v>
      </c>
      <c r="AJ21" s="60">
        <f t="shared" si="1"/>
        <v>13.764436604534895</v>
      </c>
      <c r="AO21" s="625">
        <v>2049</v>
      </c>
      <c r="AP21" s="626">
        <v>8</v>
      </c>
      <c r="AQ21" s="627">
        <v>7.9295269634742806E-6</v>
      </c>
      <c r="AR21" s="628"/>
      <c r="AS21" s="625">
        <v>2049</v>
      </c>
      <c r="AT21" s="626">
        <v>16</v>
      </c>
      <c r="AU21" s="627">
        <v>1.5703471350488722E-5</v>
      </c>
    </row>
    <row r="22" spans="1:47" ht="15" outlineLevel="1">
      <c r="A22" s="63">
        <v>70195</v>
      </c>
      <c r="B22" s="63" t="s">
        <v>187</v>
      </c>
      <c r="C22" s="64"/>
      <c r="D22" s="61"/>
      <c r="E22" s="65"/>
      <c r="F22" s="66"/>
      <c r="G22" s="67">
        <v>4801.6899999999996</v>
      </c>
      <c r="H22" s="66"/>
      <c r="I22" s="67">
        <v>3244.23</v>
      </c>
      <c r="J22" s="66"/>
      <c r="K22" s="67">
        <v>2077.48</v>
      </c>
      <c r="L22" s="66"/>
      <c r="M22" s="67">
        <v>3208.78</v>
      </c>
      <c r="N22" s="66"/>
      <c r="O22" s="67">
        <v>7050.09</v>
      </c>
      <c r="P22" s="66"/>
      <c r="Q22" s="67">
        <v>1077.2</v>
      </c>
      <c r="R22" s="66"/>
      <c r="S22" s="67">
        <v>2763.27</v>
      </c>
      <c r="T22" s="66"/>
      <c r="U22" s="67">
        <v>3984.22</v>
      </c>
      <c r="V22" s="66"/>
      <c r="W22" s="67">
        <v>4350.2700000000004</v>
      </c>
      <c r="X22" s="66"/>
      <c r="Y22" s="67">
        <v>2735.52</v>
      </c>
      <c r="Z22" s="66"/>
      <c r="AA22" s="67">
        <v>4726.01</v>
      </c>
      <c r="AB22" s="66"/>
      <c r="AC22" s="67">
        <v>5562.29</v>
      </c>
      <c r="AD22" s="66"/>
      <c r="AE22" s="67">
        <f t="shared" si="0"/>
        <v>45581.05000000001</v>
      </c>
      <c r="AF22" s="68"/>
      <c r="AG22" s="69"/>
      <c r="AH22" s="634">
        <f t="shared" si="2"/>
        <v>279.51853087834809</v>
      </c>
      <c r="AJ22" s="60">
        <f t="shared" si="1"/>
        <v>279.51853087834809</v>
      </c>
      <c r="AO22" s="625">
        <v>2050</v>
      </c>
      <c r="AP22" s="626">
        <v>56</v>
      </c>
      <c r="AQ22" s="627">
        <v>5.5506688744319959E-5</v>
      </c>
      <c r="AR22" s="628"/>
      <c r="AS22" s="625">
        <v>2050</v>
      </c>
      <c r="AT22" s="626">
        <v>54</v>
      </c>
      <c r="AU22" s="627">
        <v>5.2999215807899436E-5</v>
      </c>
    </row>
    <row r="23" spans="1:47" ht="15" outlineLevel="1">
      <c r="A23" s="63">
        <v>70200</v>
      </c>
      <c r="B23" s="63" t="s">
        <v>188</v>
      </c>
      <c r="C23" s="64"/>
      <c r="D23" s="61"/>
      <c r="E23" s="65"/>
      <c r="F23" s="66"/>
      <c r="G23" s="67">
        <v>11945.82</v>
      </c>
      <c r="H23" s="66"/>
      <c r="I23" s="67">
        <v>10886.81</v>
      </c>
      <c r="J23" s="66"/>
      <c r="K23" s="67">
        <v>15124.93</v>
      </c>
      <c r="L23" s="66"/>
      <c r="M23" s="67">
        <v>22679.360000000001</v>
      </c>
      <c r="N23" s="66"/>
      <c r="O23" s="67">
        <v>4185.6899999999996</v>
      </c>
      <c r="P23" s="66"/>
      <c r="Q23" s="67">
        <v>7457.36</v>
      </c>
      <c r="R23" s="66"/>
      <c r="S23" s="67">
        <v>18194.189999999999</v>
      </c>
      <c r="T23" s="66"/>
      <c r="U23" s="67">
        <v>19750.47</v>
      </c>
      <c r="V23" s="66"/>
      <c r="W23" s="67">
        <v>19075.439999999999</v>
      </c>
      <c r="X23" s="66"/>
      <c r="Y23" s="67">
        <v>12499.77</v>
      </c>
      <c r="Z23" s="66"/>
      <c r="AA23" s="67">
        <v>17826.14</v>
      </c>
      <c r="AB23" s="66"/>
      <c r="AC23" s="67">
        <v>9805.93</v>
      </c>
      <c r="AD23" s="66"/>
      <c r="AE23" s="67">
        <f t="shared" si="0"/>
        <v>169431.91</v>
      </c>
      <c r="AF23" s="68"/>
      <c r="AG23" s="69"/>
      <c r="AH23" s="634">
        <f t="shared" si="2"/>
        <v>1038.2627463134163</v>
      </c>
      <c r="AJ23" s="60">
        <f t="shared" si="1"/>
        <v>1038.2627463134163</v>
      </c>
      <c r="AO23" s="625">
        <v>2051</v>
      </c>
      <c r="AP23" s="626">
        <v>294</v>
      </c>
      <c r="AQ23" s="627">
        <v>2.9141011590767981E-4</v>
      </c>
      <c r="AR23" s="628"/>
      <c r="AS23" s="625">
        <v>2051</v>
      </c>
      <c r="AT23" s="626">
        <v>437</v>
      </c>
      <c r="AU23" s="627">
        <v>4.2890106126022322E-4</v>
      </c>
    </row>
    <row r="24" spans="1:47" ht="15" outlineLevel="1">
      <c r="A24" s="63">
        <v>70201</v>
      </c>
      <c r="B24" s="63" t="s">
        <v>86</v>
      </c>
      <c r="C24" s="64"/>
      <c r="D24" s="61"/>
      <c r="E24" s="65"/>
      <c r="F24" s="66"/>
      <c r="G24" s="67">
        <v>1738.9</v>
      </c>
      <c r="H24" s="66"/>
      <c r="I24" s="67">
        <v>3319.89</v>
      </c>
      <c r="J24" s="66"/>
      <c r="K24" s="67">
        <v>4871.9799999999996</v>
      </c>
      <c r="L24" s="66"/>
      <c r="M24" s="67">
        <v>8099.93</v>
      </c>
      <c r="N24" s="66"/>
      <c r="O24" s="67">
        <v>1587.62</v>
      </c>
      <c r="P24" s="66"/>
      <c r="Q24" s="67">
        <v>11461.81</v>
      </c>
      <c r="R24" s="66"/>
      <c r="S24" s="67">
        <v>-3102.96</v>
      </c>
      <c r="T24" s="66"/>
      <c r="U24" s="67">
        <v>4354.17</v>
      </c>
      <c r="V24" s="66"/>
      <c r="W24" s="67">
        <v>4538.1400000000003</v>
      </c>
      <c r="X24" s="66"/>
      <c r="Y24" s="67">
        <v>3374.49</v>
      </c>
      <c r="Z24" s="66"/>
      <c r="AA24" s="67">
        <v>2054.2600000000002</v>
      </c>
      <c r="AB24" s="66"/>
      <c r="AC24" s="67">
        <v>8105.34</v>
      </c>
      <c r="AD24" s="66"/>
      <c r="AE24" s="67">
        <f t="shared" si="0"/>
        <v>50403.57</v>
      </c>
      <c r="AF24" s="68"/>
      <c r="AG24" s="69"/>
      <c r="AH24" s="634">
        <f t="shared" si="2"/>
        <v>309.82947816937229</v>
      </c>
      <c r="AI24" s="60">
        <f>-AH24</f>
        <v>-309.82947816937229</v>
      </c>
      <c r="AJ24" s="60">
        <f t="shared" si="1"/>
        <v>0</v>
      </c>
      <c r="AO24" s="625">
        <v>2053</v>
      </c>
      <c r="AP24" s="626">
        <v>76</v>
      </c>
      <c r="AQ24" s="627">
        <v>7.5330506153005656E-5</v>
      </c>
      <c r="AR24" s="628"/>
      <c r="AS24" s="625">
        <v>2053</v>
      </c>
      <c r="AT24" s="626">
        <v>80</v>
      </c>
      <c r="AU24" s="627">
        <v>7.8517356752443607E-5</v>
      </c>
    </row>
    <row r="25" spans="1:47" ht="15" outlineLevel="1">
      <c r="A25" s="63">
        <v>70202</v>
      </c>
      <c r="B25" s="63" t="s">
        <v>189</v>
      </c>
      <c r="C25" s="64"/>
      <c r="D25" s="61"/>
      <c r="E25" s="65"/>
      <c r="F25" s="66"/>
      <c r="G25" s="67">
        <v>432641.69</v>
      </c>
      <c r="H25" s="66"/>
      <c r="I25" s="67">
        <v>25944.01</v>
      </c>
      <c r="J25" s="66"/>
      <c r="K25" s="67">
        <v>4217.13</v>
      </c>
      <c r="L25" s="66"/>
      <c r="M25" s="67">
        <v>5043.62</v>
      </c>
      <c r="N25" s="66"/>
      <c r="O25" s="67">
        <v>10504.99</v>
      </c>
      <c r="P25" s="66"/>
      <c r="Q25" s="67">
        <v>20341.93</v>
      </c>
      <c r="R25" s="66"/>
      <c r="S25" s="67">
        <v>48922.38</v>
      </c>
      <c r="T25" s="66"/>
      <c r="U25" s="67">
        <v>128153.39</v>
      </c>
      <c r="V25" s="66"/>
      <c r="W25" s="67">
        <v>33662.129999999997</v>
      </c>
      <c r="X25" s="66"/>
      <c r="Y25" s="67">
        <v>15005.2</v>
      </c>
      <c r="Z25" s="66"/>
      <c r="AA25" s="67">
        <v>149899.53</v>
      </c>
      <c r="AB25" s="66"/>
      <c r="AC25" s="67">
        <v>51619.5</v>
      </c>
      <c r="AD25" s="66"/>
      <c r="AE25" s="67">
        <f t="shared" si="0"/>
        <v>925955.5</v>
      </c>
      <c r="AF25" s="68"/>
      <c r="AG25" s="69"/>
      <c r="AH25" s="634">
        <f t="shared" si="2"/>
        <v>5684.5722891122405</v>
      </c>
      <c r="AJ25" s="60">
        <f t="shared" si="1"/>
        <v>5684.5722891122405</v>
      </c>
      <c r="AO25" s="625">
        <v>2111</v>
      </c>
      <c r="AP25" s="626">
        <v>33799</v>
      </c>
      <c r="AQ25" s="627">
        <v>3.3501260229808399E-2</v>
      </c>
      <c r="AR25" s="628"/>
      <c r="AS25" s="625">
        <v>2111</v>
      </c>
      <c r="AT25" s="626">
        <v>35691</v>
      </c>
      <c r="AU25" s="627">
        <v>3.5029537248143311E-2</v>
      </c>
    </row>
    <row r="26" spans="1:47" ht="15" outlineLevel="1">
      <c r="A26" s="63">
        <v>70203</v>
      </c>
      <c r="B26" s="63" t="s">
        <v>88</v>
      </c>
      <c r="C26" s="64"/>
      <c r="D26" s="61"/>
      <c r="E26" s="65"/>
      <c r="F26" s="66"/>
      <c r="G26" s="67">
        <v>-3938.47</v>
      </c>
      <c r="H26" s="66"/>
      <c r="I26" s="67">
        <v>14822.25</v>
      </c>
      <c r="J26" s="66"/>
      <c r="K26" s="67">
        <v>11800.42</v>
      </c>
      <c r="L26" s="66"/>
      <c r="M26" s="67">
        <v>8294.11</v>
      </c>
      <c r="N26" s="66"/>
      <c r="O26" s="67">
        <v>8923.6299999999992</v>
      </c>
      <c r="P26" s="66"/>
      <c r="Q26" s="67">
        <v>12497.64</v>
      </c>
      <c r="R26" s="66"/>
      <c r="S26" s="67">
        <v>5665.49</v>
      </c>
      <c r="T26" s="66"/>
      <c r="U26" s="67">
        <v>11888.37</v>
      </c>
      <c r="V26" s="66"/>
      <c r="W26" s="67">
        <v>14146.69</v>
      </c>
      <c r="X26" s="66"/>
      <c r="Y26" s="67">
        <v>15330.88</v>
      </c>
      <c r="Z26" s="66"/>
      <c r="AA26" s="67">
        <v>14367.03</v>
      </c>
      <c r="AB26" s="66"/>
      <c r="AC26" s="67">
        <v>14470.02</v>
      </c>
      <c r="AD26" s="66"/>
      <c r="AE26" s="67">
        <f t="shared" si="0"/>
        <v>128268.06000000003</v>
      </c>
      <c r="AF26" s="68"/>
      <c r="AG26" s="69"/>
      <c r="AH26" s="634">
        <f t="shared" si="2"/>
        <v>785.78176184990446</v>
      </c>
      <c r="AJ26" s="60">
        <f t="shared" si="1"/>
        <v>785.78176184990446</v>
      </c>
      <c r="AO26" s="625">
        <v>2112</v>
      </c>
      <c r="AP26" s="626">
        <v>11786</v>
      </c>
      <c r="AQ26" s="627">
        <v>1.1682175598938483E-2</v>
      </c>
      <c r="AR26" s="628"/>
      <c r="AS26" s="625">
        <v>2112</v>
      </c>
      <c r="AT26" s="626">
        <v>12098</v>
      </c>
      <c r="AU26" s="627">
        <v>1.1873787274888284E-2</v>
      </c>
    </row>
    <row r="27" spans="1:47" ht="15" outlineLevel="1">
      <c r="A27" s="63">
        <v>70204</v>
      </c>
      <c r="B27" s="63" t="s">
        <v>1559</v>
      </c>
      <c r="C27" s="64"/>
      <c r="D27" s="61"/>
      <c r="E27" s="65"/>
      <c r="F27" s="66"/>
      <c r="G27" s="67">
        <v>0</v>
      </c>
      <c r="H27" s="66"/>
      <c r="I27" s="67">
        <v>0</v>
      </c>
      <c r="J27" s="66"/>
      <c r="K27" s="67">
        <v>0</v>
      </c>
      <c r="L27" s="66"/>
      <c r="M27" s="67">
        <v>0</v>
      </c>
      <c r="N27" s="66"/>
      <c r="O27" s="67">
        <v>0</v>
      </c>
      <c r="P27" s="66"/>
      <c r="Q27" s="67">
        <v>0</v>
      </c>
      <c r="R27" s="66"/>
      <c r="S27" s="67">
        <v>0</v>
      </c>
      <c r="T27" s="66"/>
      <c r="U27" s="67">
        <v>100</v>
      </c>
      <c r="V27" s="66"/>
      <c r="W27" s="67">
        <v>-100</v>
      </c>
      <c r="X27" s="66"/>
      <c r="Y27" s="67">
        <v>0</v>
      </c>
      <c r="Z27" s="66"/>
      <c r="AA27" s="67">
        <v>0</v>
      </c>
      <c r="AB27" s="66"/>
      <c r="AC27" s="67">
        <v>0</v>
      </c>
      <c r="AD27" s="66"/>
      <c r="AE27" s="67">
        <f t="shared" si="0"/>
        <v>0</v>
      </c>
      <c r="AF27" s="68"/>
      <c r="AG27" s="69"/>
      <c r="AH27" s="634">
        <f t="shared" si="2"/>
        <v>0</v>
      </c>
      <c r="AJ27" s="60">
        <f t="shared" si="1"/>
        <v>0</v>
      </c>
      <c r="AO27" s="625">
        <v>2113</v>
      </c>
      <c r="AP27" s="626">
        <v>1</v>
      </c>
      <c r="AQ27" s="627">
        <v>9.9119087043428507E-7</v>
      </c>
      <c r="AR27" s="628"/>
      <c r="AS27" s="625">
        <v>2113</v>
      </c>
      <c r="AT27" s="626">
        <v>1</v>
      </c>
      <c r="AU27" s="627">
        <v>9.8146695940554513E-7</v>
      </c>
    </row>
    <row r="28" spans="1:47" ht="15" outlineLevel="1">
      <c r="A28" s="63">
        <v>70205</v>
      </c>
      <c r="B28" s="63" t="s">
        <v>190</v>
      </c>
      <c r="C28" s="64"/>
      <c r="D28" s="61"/>
      <c r="E28" s="65"/>
      <c r="F28" s="66"/>
      <c r="G28" s="67">
        <v>6912.47</v>
      </c>
      <c r="H28" s="66"/>
      <c r="I28" s="67">
        <v>13716.11</v>
      </c>
      <c r="J28" s="66"/>
      <c r="K28" s="67">
        <v>6711.23</v>
      </c>
      <c r="L28" s="66"/>
      <c r="M28" s="67">
        <v>9629.64</v>
      </c>
      <c r="N28" s="66"/>
      <c r="O28" s="67">
        <v>8228.25</v>
      </c>
      <c r="P28" s="66"/>
      <c r="Q28" s="67">
        <v>9565.2099999999991</v>
      </c>
      <c r="R28" s="66"/>
      <c r="S28" s="67">
        <v>10552.83</v>
      </c>
      <c r="T28" s="66"/>
      <c r="U28" s="67">
        <v>11571.13</v>
      </c>
      <c r="V28" s="66"/>
      <c r="W28" s="67">
        <v>9725.26</v>
      </c>
      <c r="X28" s="66"/>
      <c r="Y28" s="67">
        <v>12122.82</v>
      </c>
      <c r="Z28" s="66"/>
      <c r="AA28" s="67">
        <v>6481.74</v>
      </c>
      <c r="AB28" s="66"/>
      <c r="AC28" s="67">
        <v>15403.48</v>
      </c>
      <c r="AD28" s="66"/>
      <c r="AE28" s="67">
        <f t="shared" si="0"/>
        <v>120620.17</v>
      </c>
      <c r="AF28" s="68"/>
      <c r="AG28" s="69"/>
      <c r="AH28" s="634">
        <f t="shared" si="2"/>
        <v>739.4807888415653</v>
      </c>
      <c r="AJ28" s="60">
        <f t="shared" si="1"/>
        <v>739.4807888415653</v>
      </c>
      <c r="AO28" s="635">
        <v>2120</v>
      </c>
      <c r="AP28" s="636">
        <v>6240.42</v>
      </c>
      <c r="AQ28" s="637">
        <v>6.1854473316755205E-3</v>
      </c>
      <c r="AR28" s="628"/>
      <c r="AS28" s="635">
        <v>2120</v>
      </c>
      <c r="AT28" s="636">
        <v>6200</v>
      </c>
      <c r="AU28" s="637">
        <v>6.0850951483143794E-3</v>
      </c>
    </row>
    <row r="29" spans="1:47" ht="15" outlineLevel="1">
      <c r="A29" s="63">
        <v>70206</v>
      </c>
      <c r="B29" s="63" t="s">
        <v>191</v>
      </c>
      <c r="C29" s="64"/>
      <c r="D29" s="61"/>
      <c r="E29" s="65"/>
      <c r="F29" s="66"/>
      <c r="G29" s="67">
        <v>2780.39</v>
      </c>
      <c r="H29" s="66"/>
      <c r="I29" s="67">
        <v>3400.23</v>
      </c>
      <c r="J29" s="66"/>
      <c r="K29" s="67">
        <v>3101.77</v>
      </c>
      <c r="L29" s="66"/>
      <c r="M29" s="67">
        <v>5671.05</v>
      </c>
      <c r="N29" s="66"/>
      <c r="O29" s="67">
        <v>3771.23</v>
      </c>
      <c r="P29" s="66"/>
      <c r="Q29" s="67">
        <v>741.12</v>
      </c>
      <c r="R29" s="66"/>
      <c r="S29" s="67">
        <v>974.52</v>
      </c>
      <c r="T29" s="66"/>
      <c r="U29" s="67">
        <v>3133.51</v>
      </c>
      <c r="V29" s="66"/>
      <c r="W29" s="67">
        <v>1583.95</v>
      </c>
      <c r="X29" s="66"/>
      <c r="Y29" s="67">
        <v>1721.41</v>
      </c>
      <c r="Z29" s="66"/>
      <c r="AA29" s="67">
        <v>1470.39</v>
      </c>
      <c r="AB29" s="66"/>
      <c r="AC29" s="67">
        <v>2804.75</v>
      </c>
      <c r="AD29" s="66"/>
      <c r="AE29" s="67">
        <f t="shared" si="0"/>
        <v>31154.32</v>
      </c>
      <c r="AF29" s="68"/>
      <c r="AG29" s="69"/>
      <c r="AH29" s="634">
        <f t="shared" si="2"/>
        <v>191.53043600838311</v>
      </c>
      <c r="AJ29" s="60">
        <f t="shared" si="1"/>
        <v>191.53043600838311</v>
      </c>
      <c r="AO29" s="625">
        <v>2125</v>
      </c>
      <c r="AP29" s="626">
        <v>1</v>
      </c>
      <c r="AQ29" s="627">
        <v>9.9119087043428507E-7</v>
      </c>
      <c r="AR29" s="628"/>
      <c r="AS29" s="625">
        <v>2125</v>
      </c>
      <c r="AT29" s="626">
        <v>1</v>
      </c>
      <c r="AU29" s="627">
        <v>9.8146695940554513E-7</v>
      </c>
    </row>
    <row r="30" spans="1:47" ht="15" outlineLevel="1">
      <c r="A30" s="63">
        <v>70207</v>
      </c>
      <c r="B30" s="63" t="s">
        <v>1560</v>
      </c>
      <c r="C30" s="64"/>
      <c r="D30" s="61"/>
      <c r="E30" s="65"/>
      <c r="F30" s="66"/>
      <c r="G30" s="67">
        <v>0</v>
      </c>
      <c r="H30" s="66"/>
      <c r="I30" s="67">
        <v>0</v>
      </c>
      <c r="J30" s="66"/>
      <c r="K30" s="67">
        <v>0</v>
      </c>
      <c r="L30" s="66"/>
      <c r="M30" s="67">
        <v>0</v>
      </c>
      <c r="N30" s="66"/>
      <c r="O30" s="67">
        <v>0</v>
      </c>
      <c r="P30" s="66"/>
      <c r="Q30" s="67">
        <v>0</v>
      </c>
      <c r="R30" s="66"/>
      <c r="S30" s="67">
        <v>0</v>
      </c>
      <c r="T30" s="66"/>
      <c r="U30" s="67">
        <v>0</v>
      </c>
      <c r="V30" s="66"/>
      <c r="W30" s="67">
        <v>0</v>
      </c>
      <c r="X30" s="66"/>
      <c r="Y30" s="67">
        <v>0</v>
      </c>
      <c r="Z30" s="66"/>
      <c r="AA30" s="67">
        <v>0</v>
      </c>
      <c r="AB30" s="66"/>
      <c r="AC30" s="67">
        <v>107.52</v>
      </c>
      <c r="AD30" s="66"/>
      <c r="AE30" s="67">
        <f t="shared" si="0"/>
        <v>107.52</v>
      </c>
      <c r="AF30" s="68"/>
      <c r="AG30" s="69"/>
      <c r="AH30" s="634">
        <f t="shared" si="2"/>
        <v>0.6542694303467621</v>
      </c>
      <c r="AJ30" s="60">
        <f t="shared" si="1"/>
        <v>0.6542694303467621</v>
      </c>
      <c r="AO30" s="625">
        <v>2131</v>
      </c>
      <c r="AP30" s="626">
        <v>17839</v>
      </c>
      <c r="AQ30" s="627">
        <v>1.7681853937677211E-2</v>
      </c>
      <c r="AR30" s="628"/>
      <c r="AS30" s="625">
        <v>2131</v>
      </c>
      <c r="AT30" s="626">
        <v>18827</v>
      </c>
      <c r="AU30" s="627">
        <v>1.8478078444728197E-2</v>
      </c>
    </row>
    <row r="31" spans="1:47" ht="15" outlineLevel="1">
      <c r="A31" s="63">
        <v>70210</v>
      </c>
      <c r="B31" s="63" t="s">
        <v>192</v>
      </c>
      <c r="C31" s="64"/>
      <c r="D31" s="61"/>
      <c r="E31" s="65"/>
      <c r="F31" s="66"/>
      <c r="G31" s="67">
        <v>3433.14</v>
      </c>
      <c r="H31" s="66"/>
      <c r="I31" s="67">
        <v>1784.2</v>
      </c>
      <c r="J31" s="66"/>
      <c r="K31" s="67">
        <v>3178.26</v>
      </c>
      <c r="L31" s="66"/>
      <c r="M31" s="67">
        <v>4491.9399999999996</v>
      </c>
      <c r="N31" s="66"/>
      <c r="O31" s="67">
        <v>868.24</v>
      </c>
      <c r="P31" s="66"/>
      <c r="Q31" s="67">
        <v>3846.02</v>
      </c>
      <c r="R31" s="66"/>
      <c r="S31" s="67">
        <v>3025.48</v>
      </c>
      <c r="T31" s="66"/>
      <c r="U31" s="67">
        <v>2265.63</v>
      </c>
      <c r="V31" s="66"/>
      <c r="W31" s="67">
        <v>3341.47</v>
      </c>
      <c r="X31" s="66"/>
      <c r="Y31" s="67">
        <v>2386.63</v>
      </c>
      <c r="Z31" s="66"/>
      <c r="AA31" s="67">
        <v>1674.56</v>
      </c>
      <c r="AB31" s="66"/>
      <c r="AC31" s="67">
        <v>4859.6899999999996</v>
      </c>
      <c r="AD31" s="66"/>
      <c r="AE31" s="67">
        <f t="shared" si="0"/>
        <v>35155.26</v>
      </c>
      <c r="AF31" s="68"/>
      <c r="AG31" s="69"/>
      <c r="AH31" s="634">
        <f t="shared" si="2"/>
        <v>215.68948112481669</v>
      </c>
      <c r="AJ31" s="60">
        <f t="shared" si="1"/>
        <v>215.68948112481669</v>
      </c>
      <c r="AO31" s="625">
        <v>2132</v>
      </c>
      <c r="AP31" s="626">
        <v>2002</v>
      </c>
      <c r="AQ31" s="627">
        <v>1.9843641226094384E-3</v>
      </c>
      <c r="AR31" s="628"/>
      <c r="AS31" s="625">
        <v>2132</v>
      </c>
      <c r="AT31" s="626">
        <v>2100</v>
      </c>
      <c r="AU31" s="627">
        <v>2.0610806147516448E-3</v>
      </c>
    </row>
    <row r="32" spans="1:47" ht="15" outlineLevel="1">
      <c r="A32" s="63">
        <v>70215</v>
      </c>
      <c r="B32" s="63" t="s">
        <v>193</v>
      </c>
      <c r="C32" s="64"/>
      <c r="D32" s="61"/>
      <c r="E32" s="65"/>
      <c r="F32" s="66"/>
      <c r="G32" s="67">
        <v>0</v>
      </c>
      <c r="H32" s="66"/>
      <c r="I32" s="67">
        <v>52.62</v>
      </c>
      <c r="J32" s="66"/>
      <c r="K32" s="67">
        <v>0</v>
      </c>
      <c r="L32" s="66"/>
      <c r="M32" s="67">
        <v>0</v>
      </c>
      <c r="N32" s="66"/>
      <c r="O32" s="67">
        <v>0</v>
      </c>
      <c r="P32" s="66"/>
      <c r="Q32" s="67">
        <v>0</v>
      </c>
      <c r="R32" s="66"/>
      <c r="S32" s="67">
        <v>10</v>
      </c>
      <c r="T32" s="66"/>
      <c r="U32" s="67">
        <v>162.68</v>
      </c>
      <c r="V32" s="66"/>
      <c r="W32" s="67">
        <v>12.48</v>
      </c>
      <c r="X32" s="66"/>
      <c r="Y32" s="67">
        <v>0</v>
      </c>
      <c r="Z32" s="66"/>
      <c r="AA32" s="67">
        <v>6.23</v>
      </c>
      <c r="AB32" s="66"/>
      <c r="AC32" s="67">
        <v>8.67</v>
      </c>
      <c r="AD32" s="66"/>
      <c r="AE32" s="67">
        <f t="shared" si="0"/>
        <v>252.68</v>
      </c>
      <c r="AF32" s="68"/>
      <c r="AG32" s="69"/>
      <c r="AH32" s="634">
        <f t="shared" si="2"/>
        <v>1.5428623739645406</v>
      </c>
      <c r="AJ32" s="60">
        <f t="shared" si="1"/>
        <v>1.5428623739645406</v>
      </c>
      <c r="AO32" s="625">
        <v>2140</v>
      </c>
      <c r="AP32" s="626">
        <v>25198</v>
      </c>
      <c r="AQ32" s="627">
        <v>2.4976027553203113E-2</v>
      </c>
      <c r="AR32" s="628"/>
      <c r="AS32" s="625">
        <v>2140</v>
      </c>
      <c r="AT32" s="626">
        <v>26142</v>
      </c>
      <c r="AU32" s="627">
        <v>2.5657509252779761E-2</v>
      </c>
    </row>
    <row r="33" spans="1:47" ht="15" outlineLevel="1">
      <c r="A33" s="63">
        <v>70225</v>
      </c>
      <c r="B33" s="63" t="s">
        <v>181</v>
      </c>
      <c r="C33" s="64"/>
      <c r="D33" s="61"/>
      <c r="E33" s="65"/>
      <c r="F33" s="66"/>
      <c r="G33" s="67">
        <v>25</v>
      </c>
      <c r="H33" s="66"/>
      <c r="I33" s="67">
        <v>-25</v>
      </c>
      <c r="J33" s="66"/>
      <c r="K33" s="67">
        <v>0</v>
      </c>
      <c r="L33" s="66"/>
      <c r="M33" s="67">
        <v>80</v>
      </c>
      <c r="N33" s="66"/>
      <c r="O33" s="67">
        <v>180000</v>
      </c>
      <c r="P33" s="66"/>
      <c r="Q33" s="67">
        <v>15</v>
      </c>
      <c r="R33" s="66"/>
      <c r="S33" s="67">
        <v>-15</v>
      </c>
      <c r="T33" s="66"/>
      <c r="U33" s="67">
        <v>0</v>
      </c>
      <c r="V33" s="66"/>
      <c r="W33" s="67">
        <v>0</v>
      </c>
      <c r="X33" s="66"/>
      <c r="Y33" s="67">
        <v>1041.4000000000001</v>
      </c>
      <c r="Z33" s="66"/>
      <c r="AA33" s="67">
        <v>-1041.4000000000001</v>
      </c>
      <c r="AB33" s="66"/>
      <c r="AC33" s="67">
        <v>0</v>
      </c>
      <c r="AD33" s="66"/>
      <c r="AE33" s="67">
        <f t="shared" si="0"/>
        <v>180080</v>
      </c>
      <c r="AF33" s="68"/>
      <c r="AG33" s="69"/>
      <c r="AH33" s="634">
        <f t="shared" si="2"/>
        <v>1113.876860770878</v>
      </c>
      <c r="AI33" s="60">
        <f>-AH33</f>
        <v>-1113.876860770878</v>
      </c>
      <c r="AJ33" s="60">
        <f t="shared" si="1"/>
        <v>0</v>
      </c>
      <c r="AO33" s="625">
        <v>2144</v>
      </c>
      <c r="AP33" s="626">
        <v>13021</v>
      </c>
      <c r="AQ33" s="627">
        <v>1.2906296323924826E-2</v>
      </c>
      <c r="AR33" s="628"/>
      <c r="AS33" s="625">
        <v>2144</v>
      </c>
      <c r="AT33" s="626">
        <v>13535</v>
      </c>
      <c r="AU33" s="627">
        <v>1.3284155295554052E-2</v>
      </c>
    </row>
    <row r="34" spans="1:47" ht="15" outlineLevel="1">
      <c r="A34" s="63">
        <v>70230</v>
      </c>
      <c r="B34" s="63" t="s">
        <v>618</v>
      </c>
      <c r="C34" s="64"/>
      <c r="D34" s="61"/>
      <c r="E34" s="65"/>
      <c r="F34" s="66"/>
      <c r="G34" s="67">
        <v>0</v>
      </c>
      <c r="H34" s="66"/>
      <c r="I34" s="67">
        <v>0</v>
      </c>
      <c r="J34" s="66"/>
      <c r="K34" s="67">
        <v>0</v>
      </c>
      <c r="L34" s="66"/>
      <c r="M34" s="67">
        <v>0</v>
      </c>
      <c r="N34" s="66"/>
      <c r="O34" s="67">
        <v>0</v>
      </c>
      <c r="P34" s="66"/>
      <c r="Q34" s="67">
        <v>0</v>
      </c>
      <c r="R34" s="66"/>
      <c r="S34" s="67">
        <v>0</v>
      </c>
      <c r="T34" s="66"/>
      <c r="U34" s="67">
        <v>0</v>
      </c>
      <c r="V34" s="66"/>
      <c r="W34" s="67">
        <v>13625</v>
      </c>
      <c r="X34" s="66"/>
      <c r="Y34" s="67">
        <v>0</v>
      </c>
      <c r="Z34" s="66"/>
      <c r="AA34" s="67">
        <v>-13625</v>
      </c>
      <c r="AB34" s="66"/>
      <c r="AC34" s="67">
        <v>0</v>
      </c>
      <c r="AD34" s="66"/>
      <c r="AE34" s="67">
        <f t="shared" si="0"/>
        <v>0</v>
      </c>
      <c r="AF34" s="68"/>
      <c r="AG34" s="69"/>
      <c r="AH34" s="634">
        <f t="shared" si="2"/>
        <v>0</v>
      </c>
      <c r="AJ34" s="60">
        <f t="shared" si="1"/>
        <v>0</v>
      </c>
      <c r="AO34" s="625">
        <v>2146</v>
      </c>
      <c r="AP34" s="626">
        <v>7473</v>
      </c>
      <c r="AQ34" s="627">
        <v>7.4071693747554115E-3</v>
      </c>
      <c r="AR34" s="628"/>
      <c r="AS34" s="625">
        <v>2146</v>
      </c>
      <c r="AT34" s="626">
        <v>7463</v>
      </c>
      <c r="AU34" s="627">
        <v>7.3246879180435829E-3</v>
      </c>
    </row>
    <row r="35" spans="1:47" ht="15" outlineLevel="1">
      <c r="A35" s="63">
        <v>70231</v>
      </c>
      <c r="B35" s="63" t="s">
        <v>619</v>
      </c>
      <c r="C35" s="64"/>
      <c r="D35" s="61"/>
      <c r="E35" s="65"/>
      <c r="F35" s="66"/>
      <c r="G35" s="67">
        <v>831.87</v>
      </c>
      <c r="H35" s="66"/>
      <c r="I35" s="67">
        <v>528.73</v>
      </c>
      <c r="J35" s="66"/>
      <c r="K35" s="67">
        <v>125.99</v>
      </c>
      <c r="L35" s="66"/>
      <c r="M35" s="67">
        <v>33.33</v>
      </c>
      <c r="N35" s="66"/>
      <c r="O35" s="67">
        <v>0</v>
      </c>
      <c r="P35" s="66"/>
      <c r="Q35" s="67">
        <v>0</v>
      </c>
      <c r="R35" s="66"/>
      <c r="S35" s="67">
        <v>200</v>
      </c>
      <c r="T35" s="66"/>
      <c r="U35" s="67">
        <v>70</v>
      </c>
      <c r="V35" s="66"/>
      <c r="W35" s="67">
        <v>172.88</v>
      </c>
      <c r="X35" s="66"/>
      <c r="Y35" s="67">
        <v>361.31</v>
      </c>
      <c r="Z35" s="66"/>
      <c r="AA35" s="67">
        <v>35</v>
      </c>
      <c r="AB35" s="66"/>
      <c r="AC35" s="67">
        <v>0</v>
      </c>
      <c r="AD35" s="66"/>
      <c r="AE35" s="67">
        <f t="shared" si="0"/>
        <v>2359.11</v>
      </c>
      <c r="AF35" s="68"/>
      <c r="AG35" s="69"/>
      <c r="AH35" s="634">
        <f t="shared" si="2"/>
        <v>14.507936105874201</v>
      </c>
      <c r="AJ35" s="60">
        <f t="shared" si="1"/>
        <v>14.507936105874201</v>
      </c>
      <c r="AO35" s="625">
        <v>2148</v>
      </c>
      <c r="AP35" s="626">
        <v>5577</v>
      </c>
      <c r="AQ35" s="627">
        <v>5.5278714844120072E-3</v>
      </c>
      <c r="AR35" s="628"/>
      <c r="AS35" s="625">
        <v>2148</v>
      </c>
      <c r="AT35" s="626">
        <v>5798</v>
      </c>
      <c r="AU35" s="627">
        <v>5.6905454306333501E-3</v>
      </c>
    </row>
    <row r="36" spans="1:47" ht="15" outlineLevel="1">
      <c r="A36" s="63">
        <v>70245</v>
      </c>
      <c r="B36" s="63" t="s">
        <v>194</v>
      </c>
      <c r="C36" s="64"/>
      <c r="D36" s="61"/>
      <c r="E36" s="65"/>
      <c r="F36" s="66"/>
      <c r="G36" s="67">
        <v>146.26</v>
      </c>
      <c r="H36" s="66"/>
      <c r="I36" s="67">
        <v>153.55000000000001</v>
      </c>
      <c r="J36" s="66"/>
      <c r="K36" s="67">
        <v>125.61</v>
      </c>
      <c r="L36" s="66"/>
      <c r="M36" s="67">
        <v>126.8</v>
      </c>
      <c r="N36" s="66"/>
      <c r="O36" s="67">
        <v>126.8</v>
      </c>
      <c r="P36" s="66"/>
      <c r="Q36" s="67">
        <v>123.04</v>
      </c>
      <c r="R36" s="66"/>
      <c r="S36" s="67">
        <v>119.71</v>
      </c>
      <c r="T36" s="66"/>
      <c r="U36" s="67">
        <v>115.98</v>
      </c>
      <c r="V36" s="66"/>
      <c r="W36" s="67">
        <v>117.78</v>
      </c>
      <c r="X36" s="66"/>
      <c r="Y36" s="67">
        <v>115.97</v>
      </c>
      <c r="Z36" s="66"/>
      <c r="AA36" s="67">
        <v>124.99</v>
      </c>
      <c r="AB36" s="66"/>
      <c r="AC36" s="67">
        <v>118.96</v>
      </c>
      <c r="AD36" s="66"/>
      <c r="AE36" s="67">
        <f t="shared" si="0"/>
        <v>1515.4499999999998</v>
      </c>
      <c r="AF36" s="68"/>
      <c r="AG36" s="69"/>
      <c r="AH36" s="634">
        <f t="shared" si="2"/>
        <v>9.3021459146996648</v>
      </c>
      <c r="AJ36" s="60">
        <f t="shared" si="1"/>
        <v>9.3021459146996648</v>
      </c>
      <c r="AO36" s="625">
        <v>2149</v>
      </c>
      <c r="AP36" s="626">
        <v>11755</v>
      </c>
      <c r="AQ36" s="627">
        <v>1.165144868195502E-2</v>
      </c>
      <c r="AR36" s="628"/>
      <c r="AS36" s="625">
        <v>2149</v>
      </c>
      <c r="AT36" s="626">
        <v>11953</v>
      </c>
      <c r="AU36" s="627">
        <v>1.173147456577448E-2</v>
      </c>
    </row>
    <row r="37" spans="1:47" ht="15" outlineLevel="1">
      <c r="A37" s="63">
        <v>70255</v>
      </c>
      <c r="B37" s="63" t="s">
        <v>167</v>
      </c>
      <c r="C37" s="64"/>
      <c r="D37" s="61"/>
      <c r="E37" s="65"/>
      <c r="F37" s="66"/>
      <c r="G37" s="67">
        <v>-98.08</v>
      </c>
      <c r="H37" s="66"/>
      <c r="I37" s="67">
        <v>-12.07</v>
      </c>
      <c r="J37" s="66"/>
      <c r="K37" s="67">
        <v>24.26</v>
      </c>
      <c r="L37" s="66"/>
      <c r="M37" s="67">
        <v>137.5</v>
      </c>
      <c r="N37" s="66"/>
      <c r="O37" s="67">
        <v>-850</v>
      </c>
      <c r="P37" s="66"/>
      <c r="Q37" s="67">
        <v>2069.5</v>
      </c>
      <c r="R37" s="66"/>
      <c r="S37" s="67">
        <v>77.260000000000005</v>
      </c>
      <c r="T37" s="66"/>
      <c r="U37" s="67">
        <v>0</v>
      </c>
      <c r="V37" s="66"/>
      <c r="W37" s="67">
        <v>0</v>
      </c>
      <c r="X37" s="66"/>
      <c r="Y37" s="67">
        <v>0</v>
      </c>
      <c r="Z37" s="66"/>
      <c r="AA37" s="67">
        <v>0</v>
      </c>
      <c r="AB37" s="66"/>
      <c r="AC37" s="67">
        <v>0</v>
      </c>
      <c r="AD37" s="66"/>
      <c r="AE37" s="67">
        <f t="shared" si="0"/>
        <v>1348.3700000000003</v>
      </c>
      <c r="AF37" s="68"/>
      <c r="AG37" s="69"/>
      <c r="AH37" s="634">
        <f t="shared" si="2"/>
        <v>8.332518408924841</v>
      </c>
      <c r="AJ37" s="60">
        <f t="shared" si="1"/>
        <v>8.332518408924841</v>
      </c>
      <c r="AO37" s="625">
        <v>2150</v>
      </c>
      <c r="AP37" s="626">
        <v>424</v>
      </c>
      <c r="AQ37" s="627">
        <v>4.2026492906413682E-4</v>
      </c>
      <c r="AR37" s="628"/>
      <c r="AS37" s="625">
        <v>2150</v>
      </c>
      <c r="AT37" s="626">
        <v>348</v>
      </c>
      <c r="AU37" s="627">
        <v>3.4155050187312968E-4</v>
      </c>
    </row>
    <row r="38" spans="1:47" ht="15" outlineLevel="1">
      <c r="A38" s="63">
        <v>70275</v>
      </c>
      <c r="B38" s="63" t="s">
        <v>168</v>
      </c>
      <c r="C38" s="64"/>
      <c r="D38" s="61"/>
      <c r="E38" s="65"/>
      <c r="F38" s="66"/>
      <c r="G38" s="67">
        <v>0</v>
      </c>
      <c r="H38" s="66"/>
      <c r="I38" s="67">
        <v>0</v>
      </c>
      <c r="J38" s="66"/>
      <c r="K38" s="67">
        <v>0</v>
      </c>
      <c r="L38" s="66"/>
      <c r="M38" s="67">
        <v>0</v>
      </c>
      <c r="N38" s="66"/>
      <c r="O38" s="67">
        <v>0</v>
      </c>
      <c r="P38" s="66"/>
      <c r="Q38" s="67">
        <v>0</v>
      </c>
      <c r="R38" s="66"/>
      <c r="S38" s="67">
        <v>0</v>
      </c>
      <c r="T38" s="66"/>
      <c r="U38" s="67">
        <v>0</v>
      </c>
      <c r="V38" s="66"/>
      <c r="W38" s="67">
        <v>0</v>
      </c>
      <c r="X38" s="66"/>
      <c r="Y38" s="67">
        <v>1431.09</v>
      </c>
      <c r="Z38" s="66"/>
      <c r="AA38" s="67">
        <v>0</v>
      </c>
      <c r="AB38" s="66"/>
      <c r="AC38" s="67">
        <v>0</v>
      </c>
      <c r="AD38" s="66"/>
      <c r="AE38" s="67">
        <f t="shared" si="0"/>
        <v>1431.09</v>
      </c>
      <c r="AF38" s="68"/>
      <c r="AG38" s="69"/>
      <c r="AH38" s="634">
        <f t="shared" si="2"/>
        <v>8.7083188158012241</v>
      </c>
      <c r="AJ38" s="60">
        <f t="shared" si="1"/>
        <v>8.7083188158012241</v>
      </c>
      <c r="AO38" s="625">
        <v>2160</v>
      </c>
      <c r="AP38" s="626">
        <v>2768</v>
      </c>
      <c r="AQ38" s="627">
        <v>2.7436163293621009E-3</v>
      </c>
      <c r="AR38" s="628"/>
      <c r="AS38" s="625">
        <v>2160</v>
      </c>
      <c r="AT38" s="626">
        <v>3050</v>
      </c>
      <c r="AU38" s="627">
        <v>2.9934742261869124E-3</v>
      </c>
    </row>
    <row r="39" spans="1:47" ht="15" outlineLevel="1">
      <c r="A39" s="63">
        <v>70302</v>
      </c>
      <c r="B39" s="63" t="s">
        <v>626</v>
      </c>
      <c r="C39" s="64"/>
      <c r="D39" s="61"/>
      <c r="E39" s="65"/>
      <c r="F39" s="66"/>
      <c r="G39" s="67">
        <v>-1249.26</v>
      </c>
      <c r="H39" s="66"/>
      <c r="I39" s="67">
        <v>27.11</v>
      </c>
      <c r="J39" s="66"/>
      <c r="K39" s="67">
        <v>2871.59</v>
      </c>
      <c r="L39" s="66"/>
      <c r="M39" s="67">
        <v>1938.08</v>
      </c>
      <c r="N39" s="66"/>
      <c r="O39" s="67">
        <v>1992.6</v>
      </c>
      <c r="P39" s="66"/>
      <c r="Q39" s="67">
        <v>-891.45</v>
      </c>
      <c r="R39" s="66"/>
      <c r="S39" s="67">
        <v>-218.76</v>
      </c>
      <c r="T39" s="66"/>
      <c r="U39" s="67">
        <v>268.17</v>
      </c>
      <c r="V39" s="66"/>
      <c r="W39" s="67">
        <v>1573.69</v>
      </c>
      <c r="X39" s="66"/>
      <c r="Y39" s="67">
        <v>1002.56</v>
      </c>
      <c r="Z39" s="66"/>
      <c r="AA39" s="67">
        <v>1463.22</v>
      </c>
      <c r="AB39" s="66"/>
      <c r="AC39" s="67">
        <v>1148.3800000000001</v>
      </c>
      <c r="AD39" s="66"/>
      <c r="AE39" s="67">
        <f t="shared" si="0"/>
        <v>9925.93</v>
      </c>
      <c r="AF39" s="68"/>
      <c r="AG39" s="69"/>
      <c r="AH39" s="634">
        <f t="shared" si="2"/>
        <v>60.870746757068034</v>
      </c>
      <c r="AJ39" s="60">
        <f t="shared" si="1"/>
        <v>60.870746757068034</v>
      </c>
      <c r="AO39" s="625">
        <v>2171</v>
      </c>
      <c r="AP39" s="626">
        <v>57</v>
      </c>
      <c r="AQ39" s="627">
        <v>5.6497879614754242E-5</v>
      </c>
      <c r="AR39" s="628"/>
      <c r="AS39" s="625">
        <v>2171</v>
      </c>
      <c r="AT39" s="626">
        <v>64</v>
      </c>
      <c r="AU39" s="627">
        <v>6.2813885401954888E-5</v>
      </c>
    </row>
    <row r="40" spans="1:47" ht="15" outlineLevel="1">
      <c r="A40" s="63">
        <v>70320</v>
      </c>
      <c r="B40" s="63" t="s">
        <v>73</v>
      </c>
      <c r="C40" s="64"/>
      <c r="D40" s="61"/>
      <c r="E40" s="65"/>
      <c r="F40" s="66"/>
      <c r="G40" s="67">
        <v>282.14999999999998</v>
      </c>
      <c r="H40" s="66"/>
      <c r="I40" s="67">
        <v>417.6</v>
      </c>
      <c r="J40" s="66"/>
      <c r="K40" s="67">
        <v>63.76</v>
      </c>
      <c r="L40" s="66"/>
      <c r="M40" s="67">
        <v>0</v>
      </c>
      <c r="N40" s="66"/>
      <c r="O40" s="67">
        <v>115.61</v>
      </c>
      <c r="P40" s="66"/>
      <c r="Q40" s="67">
        <v>325.76</v>
      </c>
      <c r="R40" s="66"/>
      <c r="S40" s="67">
        <v>78.95</v>
      </c>
      <c r="T40" s="66"/>
      <c r="U40" s="67">
        <v>1858.04</v>
      </c>
      <c r="V40" s="66"/>
      <c r="W40" s="67">
        <v>284.26</v>
      </c>
      <c r="X40" s="66"/>
      <c r="Y40" s="67">
        <v>496.27</v>
      </c>
      <c r="Z40" s="66"/>
      <c r="AA40" s="67">
        <v>211.62</v>
      </c>
      <c r="AB40" s="66"/>
      <c r="AC40" s="67">
        <v>52</v>
      </c>
      <c r="AD40" s="66"/>
      <c r="AE40" s="67">
        <f t="shared" si="0"/>
        <v>4186.0199999999995</v>
      </c>
      <c r="AF40" s="68"/>
      <c r="AG40" s="69"/>
      <c r="AH40" s="634">
        <f t="shared" si="2"/>
        <v>25.593242331435128</v>
      </c>
      <c r="AJ40" s="60">
        <f t="shared" si="1"/>
        <v>25.593242331435128</v>
      </c>
      <c r="AO40" s="625">
        <v>2172</v>
      </c>
      <c r="AP40" s="626">
        <v>11</v>
      </c>
      <c r="AQ40" s="627">
        <v>1.0903099574777135E-5</v>
      </c>
      <c r="AR40" s="628"/>
      <c r="AS40" s="625">
        <v>2172</v>
      </c>
      <c r="AT40" s="626">
        <v>10</v>
      </c>
      <c r="AU40" s="627">
        <v>9.8146695940554509E-6</v>
      </c>
    </row>
    <row r="41" spans="1:47" ht="15" outlineLevel="1">
      <c r="A41" s="63">
        <v>70335</v>
      </c>
      <c r="B41" s="63" t="s">
        <v>1561</v>
      </c>
      <c r="C41" s="64"/>
      <c r="D41" s="61"/>
      <c r="E41" s="65"/>
      <c r="F41" s="66"/>
      <c r="G41" s="67">
        <v>0</v>
      </c>
      <c r="H41" s="66"/>
      <c r="I41" s="67">
        <v>0</v>
      </c>
      <c r="J41" s="66"/>
      <c r="K41" s="67">
        <v>0</v>
      </c>
      <c r="L41" s="66"/>
      <c r="M41" s="67">
        <v>0</v>
      </c>
      <c r="N41" s="66"/>
      <c r="O41" s="67">
        <v>0</v>
      </c>
      <c r="P41" s="66"/>
      <c r="Q41" s="67">
        <v>0</v>
      </c>
      <c r="R41" s="66"/>
      <c r="S41" s="67">
        <v>0</v>
      </c>
      <c r="T41" s="66"/>
      <c r="U41" s="67">
        <v>0</v>
      </c>
      <c r="V41" s="66"/>
      <c r="W41" s="67">
        <v>0</v>
      </c>
      <c r="X41" s="66"/>
      <c r="Y41" s="67">
        <v>0</v>
      </c>
      <c r="Z41" s="66"/>
      <c r="AA41" s="67">
        <v>0</v>
      </c>
      <c r="AB41" s="66"/>
      <c r="AC41" s="67">
        <v>565.66</v>
      </c>
      <c r="AD41" s="66"/>
      <c r="AE41" s="67">
        <f t="shared" si="0"/>
        <v>565.66</v>
      </c>
      <c r="AF41" s="68"/>
      <c r="AG41" s="69"/>
      <c r="AH41" s="634">
        <f t="shared" si="2"/>
        <v>3.4420949215955119</v>
      </c>
      <c r="AJ41" s="60">
        <f t="shared" si="1"/>
        <v>3.4420949215955119</v>
      </c>
      <c r="AO41" s="625">
        <v>2173</v>
      </c>
      <c r="AP41" s="626">
        <v>5</v>
      </c>
      <c r="AQ41" s="627">
        <v>4.9559543521714251E-6</v>
      </c>
      <c r="AR41" s="628"/>
      <c r="AS41" s="625">
        <v>2173</v>
      </c>
      <c r="AT41" s="626">
        <v>10</v>
      </c>
      <c r="AU41" s="627">
        <v>9.8146695940554509E-6</v>
      </c>
    </row>
    <row r="42" spans="1:47" ht="15" outlineLevel="1">
      <c r="A42" s="63">
        <v>70336</v>
      </c>
      <c r="B42" s="63" t="s">
        <v>92</v>
      </c>
      <c r="C42" s="64"/>
      <c r="D42" s="61"/>
      <c r="E42" s="65"/>
      <c r="F42" s="66"/>
      <c r="G42" s="67">
        <v>367.01</v>
      </c>
      <c r="H42" s="66"/>
      <c r="I42" s="67">
        <v>482.54</v>
      </c>
      <c r="J42" s="66"/>
      <c r="K42" s="67">
        <v>288.01</v>
      </c>
      <c r="L42" s="66"/>
      <c r="M42" s="67">
        <v>803.26</v>
      </c>
      <c r="N42" s="66"/>
      <c r="O42" s="67">
        <v>674.7</v>
      </c>
      <c r="P42" s="66"/>
      <c r="Q42" s="67">
        <v>137.07</v>
      </c>
      <c r="R42" s="66"/>
      <c r="S42" s="67">
        <v>778.59</v>
      </c>
      <c r="T42" s="66"/>
      <c r="U42" s="67">
        <v>391.38</v>
      </c>
      <c r="V42" s="66"/>
      <c r="W42" s="67">
        <v>700.11</v>
      </c>
      <c r="X42" s="66"/>
      <c r="Y42" s="67">
        <v>622.16</v>
      </c>
      <c r="Z42" s="66"/>
      <c r="AA42" s="67">
        <v>327.68</v>
      </c>
      <c r="AB42" s="66"/>
      <c r="AC42" s="67">
        <v>1284.06</v>
      </c>
      <c r="AD42" s="66"/>
      <c r="AE42" s="67">
        <f t="shared" si="0"/>
        <v>6856.5700000000006</v>
      </c>
      <c r="AF42" s="68"/>
      <c r="AG42" s="69"/>
      <c r="AH42" s="634">
        <f t="shared" si="2"/>
        <v>41.999109257475965</v>
      </c>
      <c r="AJ42" s="60">
        <f t="shared" si="1"/>
        <v>41.999109257475965</v>
      </c>
      <c r="AO42" s="625">
        <v>2180</v>
      </c>
      <c r="AP42" s="626">
        <v>70657</v>
      </c>
      <c r="AQ42" s="627">
        <v>7.0034573332275279E-2</v>
      </c>
      <c r="AR42" s="628"/>
      <c r="AS42" s="625">
        <v>2180</v>
      </c>
      <c r="AT42" s="626">
        <v>72412</v>
      </c>
      <c r="AU42" s="627">
        <v>7.1069985464474336E-2</v>
      </c>
    </row>
    <row r="43" spans="1:47" ht="15.75" outlineLevel="1">
      <c r="A43" s="64"/>
      <c r="B43" s="64"/>
      <c r="C43" s="64"/>
      <c r="D43" s="64"/>
      <c r="E43" s="65"/>
      <c r="F43" s="65"/>
      <c r="G43" s="95"/>
      <c r="H43" s="93"/>
      <c r="I43" s="95"/>
      <c r="J43" s="93"/>
      <c r="K43" s="95"/>
      <c r="L43" s="93"/>
      <c r="M43" s="95"/>
      <c r="N43" s="93"/>
      <c r="O43" s="95"/>
      <c r="P43" s="93"/>
      <c r="Q43" s="95"/>
      <c r="R43" s="93"/>
      <c r="S43" s="95"/>
      <c r="T43" s="93"/>
      <c r="U43" s="95"/>
      <c r="V43" s="93"/>
      <c r="W43" s="95"/>
      <c r="X43" s="93"/>
      <c r="Y43" s="95"/>
      <c r="Z43" s="93"/>
      <c r="AA43" s="95"/>
      <c r="AB43" s="93"/>
      <c r="AC43" s="95"/>
      <c r="AD43" s="93"/>
      <c r="AE43" s="95"/>
      <c r="AF43" s="89"/>
      <c r="AG43" s="72"/>
      <c r="AH43" s="638"/>
      <c r="AI43" s="638"/>
      <c r="AJ43" s="638"/>
      <c r="AK43" s="639"/>
      <c r="AL43" s="65"/>
      <c r="AO43" s="625">
        <v>2182</v>
      </c>
      <c r="AP43" s="626">
        <v>298</v>
      </c>
      <c r="AQ43" s="627">
        <v>2.9537487938941691E-4</v>
      </c>
      <c r="AR43" s="628"/>
      <c r="AS43" s="625">
        <v>2182</v>
      </c>
      <c r="AT43" s="626">
        <v>302</v>
      </c>
      <c r="AU43" s="627">
        <v>2.9640302174047464E-4</v>
      </c>
    </row>
    <row r="44" spans="1:47" ht="15.75" outlineLevel="1">
      <c r="A44" s="65"/>
      <c r="B44" s="65"/>
      <c r="C44" s="64" t="s">
        <v>196</v>
      </c>
      <c r="D44" s="65"/>
      <c r="E44" s="65"/>
      <c r="F44" s="65"/>
      <c r="G44" s="92">
        <f>SUM(G7:G43)</f>
        <v>516615.66000000003</v>
      </c>
      <c r="H44" s="93"/>
      <c r="I44" s="92">
        <f>SUM(I7:I43)</f>
        <v>227810.10000000003</v>
      </c>
      <c r="J44" s="93"/>
      <c r="K44" s="92">
        <f>SUM(K7:K43)</f>
        <v>100138.51999999999</v>
      </c>
      <c r="L44" s="93"/>
      <c r="M44" s="92">
        <f>SUM(M7:M43)</f>
        <v>109716.95</v>
      </c>
      <c r="N44" s="93"/>
      <c r="O44" s="92">
        <f>SUM(O7:O43)</f>
        <v>101159.28000000001</v>
      </c>
      <c r="P44" s="93"/>
      <c r="Q44" s="92">
        <f>SUM(Q7:Q43)</f>
        <v>146651.94</v>
      </c>
      <c r="R44" s="93"/>
      <c r="S44" s="92">
        <f>SUM(S7:S43)</f>
        <v>131121.86000000002</v>
      </c>
      <c r="T44" s="93"/>
      <c r="U44" s="92">
        <f>SUM(U7:U43)</f>
        <v>228884.75000000003</v>
      </c>
      <c r="V44" s="93"/>
      <c r="W44" s="92">
        <f>SUM(W7:W43)</f>
        <v>166305.85000000003</v>
      </c>
      <c r="X44" s="93"/>
      <c r="Y44" s="92">
        <f>SUM(Y7:Y43)</f>
        <v>112558.64</v>
      </c>
      <c r="Z44" s="93"/>
      <c r="AA44" s="92">
        <f>SUM(AA7:AA43)</f>
        <v>236072.38999999998</v>
      </c>
      <c r="AB44" s="93"/>
      <c r="AC44" s="92">
        <f>SUM(AC7:AC43)</f>
        <v>263613.17</v>
      </c>
      <c r="AD44" s="93"/>
      <c r="AE44" s="92">
        <f>SUM(AE7:AE43)</f>
        <v>2340649.1100000003</v>
      </c>
      <c r="AF44" s="68"/>
      <c r="AG44" s="72"/>
      <c r="AH44" s="92">
        <f>SUM(AH8:AH43)</f>
        <v>14363.705145126813</v>
      </c>
      <c r="AI44" s="92">
        <f>SUM(AI8:AI43)</f>
        <v>-2189.6335861912548</v>
      </c>
      <c r="AJ44" s="92">
        <f>SUM(AJ8:AJ43)</f>
        <v>12174.071558935557</v>
      </c>
      <c r="AK44" s="92"/>
      <c r="AL44" s="65"/>
      <c r="AO44" s="625">
        <v>2183</v>
      </c>
      <c r="AP44" s="626">
        <v>57817</v>
      </c>
      <c r="AQ44" s="627">
        <v>5.7307682555899055E-2</v>
      </c>
      <c r="AR44" s="628"/>
      <c r="AS44" s="625">
        <v>2183</v>
      </c>
      <c r="AT44" s="626">
        <v>57091</v>
      </c>
      <c r="AU44" s="627">
        <v>5.6032930179421972E-2</v>
      </c>
    </row>
    <row r="45" spans="1:47" s="65" customFormat="1" ht="5.0999999999999996" customHeight="1" outlineLevel="1">
      <c r="G45" s="94"/>
      <c r="H45" s="93"/>
      <c r="I45" s="94"/>
      <c r="J45" s="93"/>
      <c r="K45" s="94"/>
      <c r="L45" s="93"/>
      <c r="M45" s="94"/>
      <c r="N45" s="93"/>
      <c r="O45" s="94"/>
      <c r="P45" s="93"/>
      <c r="Q45" s="94"/>
      <c r="R45" s="93"/>
      <c r="S45" s="94"/>
      <c r="T45" s="93"/>
      <c r="U45" s="94"/>
      <c r="V45" s="93"/>
      <c r="W45" s="94"/>
      <c r="X45" s="93"/>
      <c r="Y45" s="94"/>
      <c r="Z45" s="93"/>
      <c r="AA45" s="94"/>
      <c r="AB45" s="93"/>
      <c r="AC45" s="94"/>
      <c r="AD45" s="93"/>
      <c r="AE45" s="94"/>
      <c r="AF45" s="89"/>
      <c r="AG45" s="72"/>
      <c r="AO45" s="625">
        <v>2184</v>
      </c>
      <c r="AP45" s="626">
        <v>1</v>
      </c>
      <c r="AQ45" s="627">
        <v>9.9119087043428507E-7</v>
      </c>
      <c r="AR45" s="628"/>
      <c r="AS45" s="625">
        <v>2184</v>
      </c>
      <c r="AT45" s="626">
        <v>1</v>
      </c>
      <c r="AU45" s="627">
        <v>9.8146695940554513E-7</v>
      </c>
    </row>
    <row r="46" spans="1:47" s="65" customFormat="1" ht="16.5" thickBot="1">
      <c r="A46" s="70"/>
      <c r="B46" s="70"/>
      <c r="C46" s="70"/>
      <c r="D46" s="70"/>
      <c r="E46" s="60"/>
      <c r="F46" s="60"/>
      <c r="G46" s="119"/>
      <c r="H46" s="60"/>
      <c r="I46" s="119"/>
      <c r="J46" s="72"/>
      <c r="K46" s="119"/>
      <c r="L46" s="72"/>
      <c r="M46" s="119"/>
      <c r="N46" s="60"/>
      <c r="O46" s="119"/>
      <c r="P46" s="72"/>
      <c r="Q46" s="119"/>
      <c r="R46" s="72"/>
      <c r="S46" s="119"/>
      <c r="T46" s="60"/>
      <c r="U46" s="119"/>
      <c r="V46" s="72"/>
      <c r="W46" s="119"/>
      <c r="X46" s="72"/>
      <c r="Y46" s="119"/>
      <c r="Z46" s="60"/>
      <c r="AA46" s="119"/>
      <c r="AB46" s="72"/>
      <c r="AC46" s="119"/>
      <c r="AD46" s="72"/>
      <c r="AE46" s="119"/>
      <c r="AF46" s="645" t="s">
        <v>1403</v>
      </c>
      <c r="AG46" s="60"/>
      <c r="AH46" s="646">
        <f>'Consolidated IS'!C144</f>
        <v>14347.96</v>
      </c>
      <c r="AI46" s="119"/>
      <c r="AJ46" s="640">
        <f>AH46+AI44</f>
        <v>12158.326413808743</v>
      </c>
      <c r="AK46" s="641"/>
      <c r="AL46" s="642"/>
      <c r="AO46" s="625">
        <v>2185</v>
      </c>
      <c r="AP46" s="626">
        <v>5315</v>
      </c>
      <c r="AQ46" s="627">
        <v>5.268179476358225E-3</v>
      </c>
      <c r="AR46" s="628"/>
      <c r="AS46" s="625">
        <v>2185</v>
      </c>
      <c r="AT46" s="626">
        <v>2788</v>
      </c>
      <c r="AU46" s="627">
        <v>2.7363298828226596E-3</v>
      </c>
    </row>
    <row r="47" spans="1:47" s="65" customFormat="1" ht="15.75" outlineLevel="1">
      <c r="A47" s="64"/>
      <c r="B47" s="64"/>
      <c r="C47" s="64"/>
      <c r="D47" s="64"/>
      <c r="E47" s="60"/>
      <c r="F47" s="60"/>
      <c r="G47" s="119"/>
      <c r="H47" s="60"/>
      <c r="I47" s="119"/>
      <c r="J47" s="72"/>
      <c r="K47" s="119"/>
      <c r="L47" s="72"/>
      <c r="M47" s="119"/>
      <c r="N47" s="60"/>
      <c r="O47" s="119"/>
      <c r="P47" s="72"/>
      <c r="Q47" s="119"/>
      <c r="R47" s="72"/>
      <c r="S47" s="119"/>
      <c r="T47" s="60"/>
      <c r="U47" s="119"/>
      <c r="V47" s="72"/>
      <c r="W47" s="119"/>
      <c r="X47" s="72"/>
      <c r="Y47" s="119"/>
      <c r="Z47" s="60"/>
      <c r="AA47" s="119"/>
      <c r="AB47" s="72"/>
      <c r="AC47" s="119"/>
      <c r="AD47" s="72"/>
      <c r="AE47" s="119"/>
      <c r="AF47" s="119"/>
      <c r="AG47" s="60"/>
      <c r="AH47" s="119">
        <f>AH44-AH46</f>
        <v>15.745145126813441</v>
      </c>
      <c r="AI47" s="125" t="s">
        <v>1530</v>
      </c>
      <c r="AJ47" s="119">
        <f>AJ44-AJ46</f>
        <v>15.745145126813441</v>
      </c>
      <c r="AK47" s="119"/>
      <c r="AL47" s="119"/>
      <c r="AO47" s="625">
        <v>2186</v>
      </c>
      <c r="AP47" s="626">
        <v>20440</v>
      </c>
      <c r="AQ47" s="627">
        <v>2.0259941391676785E-2</v>
      </c>
      <c r="AR47" s="628"/>
      <c r="AS47" s="625">
        <v>2186</v>
      </c>
      <c r="AT47" s="626">
        <v>20198</v>
      </c>
      <c r="AU47" s="627">
        <v>1.9823669646073201E-2</v>
      </c>
    </row>
    <row r="48" spans="1:47" s="119" customFormat="1" ht="15.75">
      <c r="A48" s="65"/>
      <c r="B48" s="65"/>
      <c r="C48" s="64"/>
      <c r="D48" s="65"/>
      <c r="E48" s="60"/>
      <c r="F48" s="60"/>
      <c r="H48" s="60"/>
      <c r="J48" s="72"/>
      <c r="L48" s="72"/>
      <c r="N48" s="60"/>
      <c r="P48" s="72"/>
      <c r="R48" s="72"/>
      <c r="T48" s="60"/>
      <c r="V48" s="72"/>
      <c r="X48" s="72"/>
      <c r="Z48" s="60"/>
      <c r="AB48" s="72"/>
      <c r="AD48" s="72"/>
      <c r="AG48" s="60"/>
      <c r="AO48" s="625">
        <v>2187</v>
      </c>
      <c r="AP48" s="626">
        <v>113</v>
      </c>
      <c r="AQ48" s="627">
        <v>1.1200456835907421E-4</v>
      </c>
      <c r="AR48" s="628"/>
      <c r="AS48" s="625">
        <v>2187</v>
      </c>
      <c r="AT48" s="626">
        <v>1</v>
      </c>
      <c r="AU48" s="627">
        <v>9.8146695940554513E-7</v>
      </c>
    </row>
    <row r="49" spans="1:47" s="119" customFormat="1" ht="15.75">
      <c r="A49" s="125" t="s">
        <v>1562</v>
      </c>
      <c r="B49" s="65"/>
      <c r="C49" s="65"/>
      <c r="D49" s="65"/>
      <c r="E49" s="60"/>
      <c r="F49" s="60"/>
      <c r="H49" s="60"/>
      <c r="J49" s="72"/>
      <c r="L49" s="72"/>
      <c r="N49" s="60"/>
      <c r="P49" s="72"/>
      <c r="R49" s="72"/>
      <c r="T49" s="60"/>
      <c r="V49" s="72"/>
      <c r="X49" s="72"/>
      <c r="Z49" s="60"/>
      <c r="AB49" s="72"/>
      <c r="AD49" s="72"/>
      <c r="AG49" s="60"/>
      <c r="AO49" s="625">
        <v>2188</v>
      </c>
      <c r="AP49" s="626">
        <v>24560</v>
      </c>
      <c r="AQ49" s="627">
        <v>2.4343647777866038E-2</v>
      </c>
      <c r="AR49" s="628"/>
      <c r="AS49" s="625">
        <v>2188</v>
      </c>
      <c r="AT49" s="626">
        <v>24213</v>
      </c>
      <c r="AU49" s="627">
        <v>2.3764259488086463E-2</v>
      </c>
    </row>
    <row r="50" spans="1:47" s="119" customFormat="1" ht="15.75">
      <c r="A50" s="65"/>
      <c r="B50" s="97"/>
      <c r="C50" s="65"/>
      <c r="D50" s="65"/>
      <c r="E50" s="60"/>
      <c r="F50" s="60"/>
      <c r="H50" s="60"/>
      <c r="J50" s="72"/>
      <c r="L50" s="72"/>
      <c r="N50" s="60"/>
      <c r="P50" s="72"/>
      <c r="R50" s="72"/>
      <c r="T50" s="60"/>
      <c r="V50" s="72"/>
      <c r="X50" s="72"/>
      <c r="Z50" s="60"/>
      <c r="AB50" s="72"/>
      <c r="AD50" s="72"/>
      <c r="AG50" s="60"/>
      <c r="AO50" s="625">
        <v>2189</v>
      </c>
      <c r="AP50" s="626">
        <v>5</v>
      </c>
      <c r="AQ50" s="627">
        <v>4.9559543521714251E-6</v>
      </c>
      <c r="AR50" s="628"/>
      <c r="AS50" s="625">
        <v>2189</v>
      </c>
      <c r="AT50" s="626">
        <v>1</v>
      </c>
      <c r="AU50" s="627">
        <v>9.8146695940554513E-7</v>
      </c>
    </row>
    <row r="51" spans="1:47" s="119" customFormat="1" ht="15.75">
      <c r="A51" s="65"/>
      <c r="B51" s="65"/>
      <c r="C51" s="65"/>
      <c r="D51" s="65"/>
      <c r="E51" s="60"/>
      <c r="F51" s="60"/>
      <c r="H51" s="60"/>
      <c r="J51" s="72"/>
      <c r="L51" s="72"/>
      <c r="N51" s="60"/>
      <c r="P51" s="72"/>
      <c r="R51" s="72"/>
      <c r="T51" s="60"/>
      <c r="V51" s="72"/>
      <c r="X51" s="72"/>
      <c r="Z51" s="60"/>
      <c r="AB51" s="72"/>
      <c r="AD51" s="72"/>
      <c r="AG51" s="60"/>
      <c r="AO51" s="625">
        <v>2190</v>
      </c>
      <c r="AP51" s="626">
        <v>545</v>
      </c>
      <c r="AQ51" s="627">
        <v>5.4019902438668538E-4</v>
      </c>
      <c r="AR51" s="628"/>
      <c r="AS51" s="625">
        <v>2190</v>
      </c>
      <c r="AT51" s="626">
        <v>458</v>
      </c>
      <c r="AU51" s="627">
        <v>4.4951186740773964E-4</v>
      </c>
    </row>
    <row r="52" spans="1:47" s="119" customFormat="1" ht="15.75">
      <c r="A52" s="70"/>
      <c r="B52" s="70"/>
      <c r="C52" s="70"/>
      <c r="D52" s="70"/>
      <c r="E52" s="60"/>
      <c r="F52" s="60"/>
      <c r="H52" s="60"/>
      <c r="J52" s="72"/>
      <c r="L52" s="72"/>
      <c r="N52" s="60"/>
      <c r="P52" s="72"/>
      <c r="R52" s="72"/>
      <c r="T52" s="60"/>
      <c r="V52" s="72"/>
      <c r="X52" s="72"/>
      <c r="Z52" s="60"/>
      <c r="AB52" s="72"/>
      <c r="AD52" s="72"/>
      <c r="AG52" s="60"/>
      <c r="AO52" s="625">
        <v>2191</v>
      </c>
      <c r="AP52" s="626">
        <v>7</v>
      </c>
      <c r="AQ52" s="627">
        <v>6.9383360930399949E-6</v>
      </c>
      <c r="AR52" s="628"/>
      <c r="AS52" s="625">
        <v>2191</v>
      </c>
      <c r="AT52" s="626">
        <v>7</v>
      </c>
      <c r="AU52" s="627">
        <v>6.8702687158388153E-6</v>
      </c>
    </row>
    <row r="53" spans="1:47" s="119" customFormat="1" ht="15.75">
      <c r="A53" s="64"/>
      <c r="B53" s="64"/>
      <c r="C53" s="64"/>
      <c r="D53" s="64"/>
      <c r="E53" s="60"/>
      <c r="F53" s="60"/>
      <c r="H53" s="60"/>
      <c r="J53" s="72"/>
      <c r="L53" s="72"/>
      <c r="N53" s="60"/>
      <c r="P53" s="72"/>
      <c r="R53" s="72"/>
      <c r="T53" s="60"/>
      <c r="V53" s="72"/>
      <c r="X53" s="72"/>
      <c r="Z53" s="60"/>
      <c r="AB53" s="72"/>
      <c r="AD53" s="72"/>
      <c r="AG53" s="60"/>
      <c r="AO53" s="625">
        <v>2195</v>
      </c>
      <c r="AP53" s="626">
        <v>33686</v>
      </c>
      <c r="AQ53" s="627">
        <v>3.3389255661449325E-2</v>
      </c>
      <c r="AR53" s="628"/>
      <c r="AS53" s="625">
        <v>2195</v>
      </c>
      <c r="AT53" s="626">
        <v>30389</v>
      </c>
      <c r="AU53" s="627">
        <v>2.9825799429375108E-2</v>
      </c>
    </row>
    <row r="54" spans="1:47" s="119" customFormat="1" ht="15.75">
      <c r="A54" s="65"/>
      <c r="B54" s="65"/>
      <c r="C54" s="63"/>
      <c r="D54" s="65"/>
      <c r="E54" s="60"/>
      <c r="F54" s="60"/>
      <c r="H54" s="60"/>
      <c r="J54" s="72"/>
      <c r="L54" s="72"/>
      <c r="N54" s="60"/>
      <c r="P54" s="72"/>
      <c r="R54" s="72"/>
      <c r="T54" s="60"/>
      <c r="V54" s="72"/>
      <c r="X54" s="72"/>
      <c r="Z54" s="60"/>
      <c r="AB54" s="72"/>
      <c r="AD54" s="72"/>
      <c r="AG54" s="60"/>
      <c r="AO54" s="625">
        <v>2210</v>
      </c>
      <c r="AP54" s="626">
        <v>14501</v>
      </c>
      <c r="AQ54" s="627">
        <v>1.4373258812167567E-2</v>
      </c>
      <c r="AR54" s="628"/>
      <c r="AS54" s="625">
        <v>2210</v>
      </c>
      <c r="AT54" s="626">
        <v>13794</v>
      </c>
      <c r="AU54" s="627">
        <v>1.353835523804009E-2</v>
      </c>
    </row>
    <row r="55" spans="1:47" s="119" customFormat="1" ht="15.75">
      <c r="A55" s="65"/>
      <c r="B55" s="65"/>
      <c r="C55" s="65"/>
      <c r="D55" s="65"/>
      <c r="E55" s="60"/>
      <c r="F55" s="60"/>
      <c r="H55" s="60"/>
      <c r="J55" s="72"/>
      <c r="L55" s="72"/>
      <c r="N55" s="60"/>
      <c r="P55" s="72"/>
      <c r="R55" s="72"/>
      <c r="T55" s="60"/>
      <c r="V55" s="72"/>
      <c r="X55" s="72"/>
      <c r="Z55" s="60"/>
      <c r="AB55" s="72"/>
      <c r="AD55" s="72"/>
      <c r="AG55" s="60"/>
      <c r="AO55" s="625">
        <v>2211</v>
      </c>
      <c r="AP55" s="626">
        <v>25849</v>
      </c>
      <c r="AQ55" s="627">
        <v>2.5621292809855832E-2</v>
      </c>
      <c r="AR55" s="628"/>
      <c r="AS55" s="625">
        <v>2211</v>
      </c>
      <c r="AT55" s="626">
        <v>25064</v>
      </c>
      <c r="AU55" s="627">
        <v>2.4599487870540584E-2</v>
      </c>
    </row>
    <row r="56" spans="1:47" s="119" customFormat="1" ht="15.75">
      <c r="A56" s="65"/>
      <c r="B56" s="97"/>
      <c r="C56" s="65"/>
      <c r="D56" s="65"/>
      <c r="E56" s="60"/>
      <c r="F56" s="60"/>
      <c r="H56" s="60"/>
      <c r="J56" s="72"/>
      <c r="L56" s="72"/>
      <c r="N56" s="60"/>
      <c r="P56" s="72"/>
      <c r="R56" s="72"/>
      <c r="T56" s="60"/>
      <c r="V56" s="72"/>
      <c r="X56" s="72"/>
      <c r="Z56" s="60"/>
      <c r="AB56" s="72"/>
      <c r="AD56" s="72"/>
      <c r="AG56" s="60"/>
      <c r="AO56" s="625">
        <v>2212</v>
      </c>
      <c r="AP56" s="626">
        <v>4374</v>
      </c>
      <c r="AQ56" s="627">
        <v>4.3354688672795627E-3</v>
      </c>
      <c r="AR56" s="628"/>
      <c r="AS56" s="625">
        <v>2212</v>
      </c>
      <c r="AT56" s="626">
        <v>4623</v>
      </c>
      <c r="AU56" s="627">
        <v>4.5373217533318348E-3</v>
      </c>
    </row>
    <row r="57" spans="1:47" s="119" customFormat="1" ht="15.75">
      <c r="A57" s="60"/>
      <c r="B57" s="60"/>
      <c r="C57" s="60"/>
      <c r="D57" s="60"/>
      <c r="E57" s="60"/>
      <c r="F57" s="60"/>
      <c r="H57" s="60"/>
      <c r="J57" s="72"/>
      <c r="L57" s="72"/>
      <c r="N57" s="60"/>
      <c r="P57" s="72"/>
      <c r="R57" s="72"/>
      <c r="T57" s="60"/>
      <c r="V57" s="72"/>
      <c r="X57" s="72"/>
      <c r="Z57" s="60"/>
      <c r="AB57" s="72"/>
      <c r="AD57" s="72"/>
      <c r="AG57" s="60"/>
      <c r="AO57" s="625">
        <v>2213</v>
      </c>
      <c r="AP57" s="626">
        <v>2370</v>
      </c>
      <c r="AQ57" s="627">
        <v>2.3491223629292556E-3</v>
      </c>
      <c r="AR57" s="628"/>
      <c r="AS57" s="625">
        <v>2213</v>
      </c>
      <c r="AT57" s="626">
        <v>0</v>
      </c>
      <c r="AU57" s="627">
        <v>0</v>
      </c>
    </row>
    <row r="58" spans="1:47" s="119" customFormat="1" ht="15.75">
      <c r="A58" s="70"/>
      <c r="B58" s="70"/>
      <c r="C58" s="70"/>
      <c r="D58" s="70"/>
      <c r="E58" s="60"/>
      <c r="F58" s="60"/>
      <c r="H58" s="60"/>
      <c r="J58" s="72"/>
      <c r="L58" s="72"/>
      <c r="N58" s="60"/>
      <c r="P58" s="72"/>
      <c r="R58" s="72"/>
      <c r="T58" s="60"/>
      <c r="V58" s="72"/>
      <c r="X58" s="72"/>
      <c r="Z58" s="60"/>
      <c r="AB58" s="72"/>
      <c r="AD58" s="72"/>
      <c r="AG58" s="60"/>
      <c r="AO58" s="625">
        <v>2214</v>
      </c>
      <c r="AP58" s="626">
        <v>7723</v>
      </c>
      <c r="AQ58" s="627">
        <v>7.6549670923639831E-3</v>
      </c>
      <c r="AR58" s="628"/>
      <c r="AS58" s="625">
        <v>2214</v>
      </c>
      <c r="AT58" s="626">
        <v>8098</v>
      </c>
      <c r="AU58" s="627">
        <v>7.9479194372661047E-3</v>
      </c>
    </row>
    <row r="59" spans="1:47" s="119" customFormat="1" ht="15.75">
      <c r="A59" s="64"/>
      <c r="B59" s="64"/>
      <c r="C59" s="64"/>
      <c r="D59" s="64"/>
      <c r="E59" s="60"/>
      <c r="F59" s="60"/>
      <c r="H59" s="60"/>
      <c r="J59" s="72"/>
      <c r="L59" s="72"/>
      <c r="N59" s="60"/>
      <c r="P59" s="72"/>
      <c r="R59" s="72"/>
      <c r="T59" s="60"/>
      <c r="V59" s="72"/>
      <c r="X59" s="72"/>
      <c r="Z59" s="60"/>
      <c r="AB59" s="72"/>
      <c r="AD59" s="72"/>
      <c r="AG59" s="60"/>
      <c r="AO59" s="625">
        <v>2310</v>
      </c>
      <c r="AP59" s="626">
        <v>11039</v>
      </c>
      <c r="AQ59" s="627">
        <v>1.0941756018724071E-2</v>
      </c>
      <c r="AR59" s="628"/>
      <c r="AS59" s="625">
        <v>2310</v>
      </c>
      <c r="AT59" s="626">
        <v>11253</v>
      </c>
      <c r="AU59" s="627">
        <v>1.10444476941906E-2</v>
      </c>
    </row>
    <row r="60" spans="1:47" s="119" customFormat="1" ht="15.75">
      <c r="A60" s="65"/>
      <c r="B60" s="65"/>
      <c r="C60" s="63"/>
      <c r="D60" s="65"/>
      <c r="E60" s="60"/>
      <c r="F60" s="60"/>
      <c r="H60" s="60"/>
      <c r="J60" s="72"/>
      <c r="L60" s="72"/>
      <c r="N60" s="60"/>
      <c r="P60" s="72"/>
      <c r="R60" s="72"/>
      <c r="T60" s="60"/>
      <c r="V60" s="72"/>
      <c r="X60" s="72"/>
      <c r="Z60" s="60"/>
      <c r="AB60" s="72"/>
      <c r="AD60" s="72"/>
      <c r="AG60" s="60"/>
      <c r="AO60" s="625">
        <v>2410</v>
      </c>
      <c r="AP60" s="626">
        <v>92728</v>
      </c>
      <c r="AQ60" s="627">
        <v>9.1911147033630375E-2</v>
      </c>
      <c r="AR60" s="628"/>
      <c r="AS60" s="625">
        <v>2410</v>
      </c>
      <c r="AT60" s="626">
        <v>92305</v>
      </c>
      <c r="AU60" s="627">
        <v>9.0594307687928838E-2</v>
      </c>
    </row>
    <row r="61" spans="1:47" s="119" customFormat="1" ht="15.75">
      <c r="A61" s="65"/>
      <c r="B61" s="65"/>
      <c r="C61" s="65"/>
      <c r="D61" s="65"/>
      <c r="E61" s="60"/>
      <c r="F61" s="60"/>
      <c r="H61" s="60"/>
      <c r="J61" s="72"/>
      <c r="L61" s="72"/>
      <c r="N61" s="60"/>
      <c r="P61" s="72"/>
      <c r="R61" s="72"/>
      <c r="T61" s="60"/>
      <c r="V61" s="72"/>
      <c r="X61" s="72"/>
      <c r="Z61" s="60"/>
      <c r="AB61" s="72"/>
      <c r="AD61" s="72"/>
      <c r="AG61" s="60"/>
      <c r="AO61" s="625">
        <v>3022</v>
      </c>
      <c r="AP61" s="626">
        <v>4502</v>
      </c>
      <c r="AQ61" s="627">
        <v>4.462341298695151E-3</v>
      </c>
      <c r="AR61" s="628"/>
      <c r="AS61" s="625">
        <v>3022</v>
      </c>
      <c r="AT61" s="626">
        <v>4374</v>
      </c>
      <c r="AU61" s="627">
        <v>4.2929364804398544E-3</v>
      </c>
    </row>
    <row r="62" spans="1:47" s="119" customFormat="1" ht="15.75">
      <c r="A62" s="65"/>
      <c r="B62" s="97"/>
      <c r="C62" s="65"/>
      <c r="D62" s="65"/>
      <c r="E62" s="60"/>
      <c r="F62" s="60"/>
      <c r="H62" s="60"/>
      <c r="J62" s="72"/>
      <c r="L62" s="72"/>
      <c r="N62" s="60"/>
      <c r="P62" s="72"/>
      <c r="R62" s="72"/>
      <c r="T62" s="60"/>
      <c r="V62" s="72"/>
      <c r="X62" s="72"/>
      <c r="Z62" s="60"/>
      <c r="AB62" s="72"/>
      <c r="AD62" s="72"/>
      <c r="AG62" s="60"/>
      <c r="AO62" s="625">
        <v>3023</v>
      </c>
      <c r="AP62" s="626">
        <v>8474</v>
      </c>
      <c r="AQ62" s="627">
        <v>8.3993514360601318E-3</v>
      </c>
      <c r="AR62" s="628"/>
      <c r="AS62" s="625">
        <v>3023</v>
      </c>
      <c r="AT62" s="626">
        <v>8369</v>
      </c>
      <c r="AU62" s="627">
        <v>8.2138969832650077E-3</v>
      </c>
    </row>
    <row r="63" spans="1:47" s="119" customFormat="1" ht="15.75">
      <c r="A63" s="65"/>
      <c r="B63" s="65"/>
      <c r="C63" s="65"/>
      <c r="D63" s="65"/>
      <c r="E63" s="60"/>
      <c r="F63" s="60"/>
      <c r="H63" s="60"/>
      <c r="J63" s="72"/>
      <c r="L63" s="72"/>
      <c r="N63" s="60"/>
      <c r="P63" s="72"/>
      <c r="R63" s="72"/>
      <c r="T63" s="60"/>
      <c r="V63" s="72"/>
      <c r="X63" s="72"/>
      <c r="Z63" s="60"/>
      <c r="AB63" s="72"/>
      <c r="AD63" s="72"/>
      <c r="AG63" s="60"/>
      <c r="AO63" s="625">
        <v>3024</v>
      </c>
      <c r="AP63" s="626">
        <v>4464</v>
      </c>
      <c r="AQ63" s="627">
        <v>4.4246760456186484E-3</v>
      </c>
      <c r="AR63" s="628"/>
      <c r="AS63" s="625">
        <v>3024</v>
      </c>
      <c r="AT63" s="626">
        <v>4296</v>
      </c>
      <c r="AU63" s="627">
        <v>4.2163820576062213E-3</v>
      </c>
    </row>
    <row r="64" spans="1:47" s="119" customFormat="1" ht="15.75">
      <c r="A64" s="70"/>
      <c r="B64" s="70"/>
      <c r="C64" s="70"/>
      <c r="D64" s="70"/>
      <c r="E64" s="60"/>
      <c r="F64" s="60"/>
      <c r="H64" s="60"/>
      <c r="J64" s="72"/>
      <c r="L64" s="72"/>
      <c r="N64" s="60"/>
      <c r="P64" s="72"/>
      <c r="R64" s="72"/>
      <c r="T64" s="60"/>
      <c r="V64" s="72"/>
      <c r="X64" s="72"/>
      <c r="Z64" s="60"/>
      <c r="AB64" s="72"/>
      <c r="AD64" s="72"/>
      <c r="AG64" s="60"/>
      <c r="AO64" s="625">
        <v>3025</v>
      </c>
      <c r="AP64" s="626">
        <v>954</v>
      </c>
      <c r="AQ64" s="627">
        <v>9.4559609039430786E-4</v>
      </c>
      <c r="AR64" s="628"/>
      <c r="AS64" s="625">
        <v>3025</v>
      </c>
      <c r="AT64" s="626">
        <v>970</v>
      </c>
      <c r="AU64" s="627">
        <v>9.5202295062337869E-4</v>
      </c>
    </row>
    <row r="65" spans="1:47" s="119" customFormat="1" ht="15.75">
      <c r="A65" s="64"/>
      <c r="B65" s="64"/>
      <c r="C65" s="64"/>
      <c r="D65" s="64"/>
      <c r="E65" s="60"/>
      <c r="F65" s="60"/>
      <c r="H65" s="60"/>
      <c r="J65" s="72"/>
      <c r="L65" s="72"/>
      <c r="N65" s="60"/>
      <c r="P65" s="72"/>
      <c r="R65" s="72"/>
      <c r="T65" s="60"/>
      <c r="V65" s="72"/>
      <c r="X65" s="72"/>
      <c r="Z65" s="60"/>
      <c r="AB65" s="72"/>
      <c r="AD65" s="72"/>
      <c r="AG65" s="60"/>
      <c r="AO65" s="625">
        <v>4014</v>
      </c>
      <c r="AP65" s="626">
        <v>5296</v>
      </c>
      <c r="AQ65" s="627">
        <v>5.2493468498199733E-3</v>
      </c>
      <c r="AR65" s="628"/>
      <c r="AS65" s="625">
        <v>4014</v>
      </c>
      <c r="AT65" s="626">
        <v>5181</v>
      </c>
      <c r="AU65" s="627">
        <v>5.0849803166801294E-3</v>
      </c>
    </row>
    <row r="66" spans="1:47" s="119" customFormat="1" ht="15.75">
      <c r="A66" s="65"/>
      <c r="B66" s="65"/>
      <c r="C66" s="63"/>
      <c r="D66" s="65"/>
      <c r="E66" s="60"/>
      <c r="F66" s="60"/>
      <c r="H66" s="60"/>
      <c r="J66" s="72"/>
      <c r="L66" s="72"/>
      <c r="N66" s="60"/>
      <c r="P66" s="72"/>
      <c r="R66" s="72"/>
      <c r="T66" s="60"/>
      <c r="V66" s="72"/>
      <c r="X66" s="72"/>
      <c r="Z66" s="60"/>
      <c r="AB66" s="72"/>
      <c r="AD66" s="72"/>
      <c r="AG66" s="60"/>
      <c r="AO66" s="625">
        <v>4016</v>
      </c>
      <c r="AP66" s="626">
        <v>40</v>
      </c>
      <c r="AQ66" s="627">
        <v>3.9647634817371401E-5</v>
      </c>
      <c r="AR66" s="628"/>
      <c r="AS66" s="625">
        <v>4016</v>
      </c>
      <c r="AT66" s="626">
        <v>38</v>
      </c>
      <c r="AU66" s="627">
        <v>3.729574445741071E-5</v>
      </c>
    </row>
    <row r="67" spans="1:47" s="119" customFormat="1" ht="15.75">
      <c r="A67" s="65"/>
      <c r="B67" s="65"/>
      <c r="C67" s="65"/>
      <c r="D67" s="65"/>
      <c r="E67" s="60"/>
      <c r="F67" s="60"/>
      <c r="H67" s="60"/>
      <c r="J67" s="72"/>
      <c r="L67" s="72"/>
      <c r="N67" s="60"/>
      <c r="P67" s="72"/>
      <c r="R67" s="72"/>
      <c r="T67" s="60"/>
      <c r="V67" s="72"/>
      <c r="X67" s="72"/>
      <c r="Z67" s="60"/>
      <c r="AB67" s="72"/>
      <c r="AD67" s="72"/>
      <c r="AG67" s="60"/>
      <c r="AO67" s="625">
        <v>4018</v>
      </c>
      <c r="AP67" s="626">
        <v>14410</v>
      </c>
      <c r="AQ67" s="627">
        <v>1.4283060442958047E-2</v>
      </c>
      <c r="AR67" s="628"/>
      <c r="AS67" s="625">
        <v>4018</v>
      </c>
      <c r="AT67" s="626">
        <v>14750</v>
      </c>
      <c r="AU67" s="627">
        <v>1.447663765123179E-2</v>
      </c>
    </row>
    <row r="68" spans="1:47" s="119" customFormat="1" ht="15.75">
      <c r="A68" s="65"/>
      <c r="B68" s="97"/>
      <c r="C68" s="65"/>
      <c r="D68" s="65"/>
      <c r="E68" s="60"/>
      <c r="F68" s="60"/>
      <c r="H68" s="60"/>
      <c r="J68" s="72"/>
      <c r="L68" s="72"/>
      <c r="N68" s="60"/>
      <c r="P68" s="72"/>
      <c r="R68" s="72"/>
      <c r="T68" s="60"/>
      <c r="V68" s="72"/>
      <c r="X68" s="72"/>
      <c r="Z68" s="60"/>
      <c r="AB68" s="72"/>
      <c r="AD68" s="72"/>
      <c r="AG68" s="60"/>
      <c r="AO68" s="625">
        <v>4019</v>
      </c>
      <c r="AP68" s="626">
        <v>132</v>
      </c>
      <c r="AQ68" s="627">
        <v>1.3083719489732562E-4</v>
      </c>
      <c r="AR68" s="628"/>
      <c r="AS68" s="625">
        <v>4019</v>
      </c>
      <c r="AT68" s="626">
        <v>70</v>
      </c>
      <c r="AU68" s="627">
        <v>6.8702687158388154E-5</v>
      </c>
    </row>
    <row r="69" spans="1:47" s="119" customFormat="1" ht="15.75">
      <c r="A69" s="60"/>
      <c r="B69" s="60"/>
      <c r="C69" s="60"/>
      <c r="D69" s="60"/>
      <c r="E69" s="60"/>
      <c r="F69" s="60"/>
      <c r="H69" s="60"/>
      <c r="J69" s="72"/>
      <c r="L69" s="72"/>
      <c r="N69" s="60"/>
      <c r="P69" s="72"/>
      <c r="R69" s="72"/>
      <c r="T69" s="60"/>
      <c r="V69" s="72"/>
      <c r="X69" s="72"/>
      <c r="Z69" s="60"/>
      <c r="AB69" s="72"/>
      <c r="AD69" s="72"/>
      <c r="AG69" s="60"/>
      <c r="AO69" s="625">
        <v>4020</v>
      </c>
      <c r="AP69" s="626">
        <v>52139</v>
      </c>
      <c r="AQ69" s="627">
        <v>5.1679700793573188E-2</v>
      </c>
      <c r="AR69" s="628"/>
      <c r="AS69" s="625">
        <v>4020</v>
      </c>
      <c r="AT69" s="626">
        <v>58787</v>
      </c>
      <c r="AU69" s="627">
        <v>5.7697498142573779E-2</v>
      </c>
    </row>
    <row r="70" spans="1:47" s="119" customFormat="1" ht="15.75">
      <c r="A70" s="60"/>
      <c r="B70" s="60"/>
      <c r="C70" s="60"/>
      <c r="D70" s="60"/>
      <c r="E70" s="60"/>
      <c r="F70" s="60"/>
      <c r="H70" s="60"/>
      <c r="J70" s="72"/>
      <c r="L70" s="72"/>
      <c r="N70" s="60"/>
      <c r="P70" s="72"/>
      <c r="R70" s="72"/>
      <c r="T70" s="60"/>
      <c r="V70" s="72"/>
      <c r="X70" s="72"/>
      <c r="Z70" s="60"/>
      <c r="AB70" s="72"/>
      <c r="AD70" s="72"/>
      <c r="AG70" s="60"/>
      <c r="AO70" s="625">
        <v>4021</v>
      </c>
      <c r="AP70" s="626">
        <v>139</v>
      </c>
      <c r="AQ70" s="627">
        <v>1.3777553099036561E-4</v>
      </c>
      <c r="AR70" s="628"/>
      <c r="AS70" s="625">
        <v>4021</v>
      </c>
      <c r="AT70" s="626">
        <v>135</v>
      </c>
      <c r="AU70" s="627">
        <v>1.3249803951974858E-4</v>
      </c>
    </row>
    <row r="71" spans="1:47" s="119" customFormat="1" ht="15.75">
      <c r="A71" s="60"/>
      <c r="B71" s="60"/>
      <c r="C71" s="60"/>
      <c r="D71" s="60"/>
      <c r="E71" s="60"/>
      <c r="F71" s="60"/>
      <c r="H71" s="60"/>
      <c r="J71" s="72"/>
      <c r="L71" s="72"/>
      <c r="N71" s="60"/>
      <c r="P71" s="72"/>
      <c r="R71" s="72"/>
      <c r="T71" s="60"/>
      <c r="V71" s="72"/>
      <c r="X71" s="72"/>
      <c r="Z71" s="60"/>
      <c r="AB71" s="72"/>
      <c r="AD71" s="72"/>
      <c r="AG71" s="60"/>
      <c r="AO71" s="625">
        <v>4030</v>
      </c>
      <c r="AP71" s="626">
        <v>37727</v>
      </c>
      <c r="AQ71" s="627">
        <v>3.739465796887427E-2</v>
      </c>
      <c r="AR71" s="628"/>
      <c r="AS71" s="625">
        <v>4030</v>
      </c>
      <c r="AT71" s="626">
        <v>38744</v>
      </c>
      <c r="AU71" s="627">
        <v>3.8025955875208441E-2</v>
      </c>
    </row>
    <row r="72" spans="1:47" s="119" customFormat="1" ht="15.75">
      <c r="A72" s="60"/>
      <c r="B72" s="60"/>
      <c r="C72" s="60"/>
      <c r="D72" s="60"/>
      <c r="E72" s="60"/>
      <c r="F72" s="60"/>
      <c r="H72" s="60"/>
      <c r="J72" s="72"/>
      <c r="L72" s="72"/>
      <c r="N72" s="60"/>
      <c r="P72" s="72"/>
      <c r="R72" s="72"/>
      <c r="T72" s="60"/>
      <c r="V72" s="72"/>
      <c r="X72" s="72"/>
      <c r="Z72" s="60"/>
      <c r="AB72" s="72"/>
      <c r="AD72" s="72"/>
      <c r="AG72" s="60"/>
      <c r="AO72" s="625">
        <v>4031</v>
      </c>
      <c r="AP72" s="626">
        <v>595</v>
      </c>
      <c r="AQ72" s="627">
        <v>5.8975856790839957E-4</v>
      </c>
      <c r="AR72" s="628"/>
      <c r="AS72" s="625">
        <v>4031</v>
      </c>
      <c r="AT72" s="626">
        <v>178</v>
      </c>
      <c r="AU72" s="627">
        <v>1.7470111877418703E-4</v>
      </c>
    </row>
    <row r="73" spans="1:47" s="119" customFormat="1" ht="15.75">
      <c r="A73" s="60"/>
      <c r="B73" s="60"/>
      <c r="C73" s="60"/>
      <c r="D73" s="60"/>
      <c r="E73" s="60"/>
      <c r="F73" s="60"/>
      <c r="H73" s="60"/>
      <c r="J73" s="72"/>
      <c r="L73" s="72"/>
      <c r="N73" s="60"/>
      <c r="P73" s="72"/>
      <c r="R73" s="72"/>
      <c r="T73" s="60"/>
      <c r="V73" s="72"/>
      <c r="X73" s="72"/>
      <c r="Z73" s="60"/>
      <c r="AB73" s="72"/>
      <c r="AD73" s="72"/>
      <c r="AG73" s="60"/>
      <c r="AO73" s="625">
        <v>4040</v>
      </c>
      <c r="AP73" s="626">
        <v>264</v>
      </c>
      <c r="AQ73" s="627">
        <v>2.6167438979465124E-4</v>
      </c>
      <c r="AR73" s="628"/>
      <c r="AS73" s="625">
        <v>4040</v>
      </c>
      <c r="AT73" s="626">
        <v>278</v>
      </c>
      <c r="AU73" s="627">
        <v>2.7284781471474152E-4</v>
      </c>
    </row>
    <row r="74" spans="1:47" s="119" customFormat="1" ht="15.75">
      <c r="A74" s="60"/>
      <c r="B74" s="60"/>
      <c r="C74" s="60"/>
      <c r="D74" s="60"/>
      <c r="E74" s="60"/>
      <c r="F74" s="60"/>
      <c r="H74" s="60"/>
      <c r="J74" s="72"/>
      <c r="L74" s="72"/>
      <c r="N74" s="60"/>
      <c r="P74" s="72"/>
      <c r="R74" s="72"/>
      <c r="T74" s="60"/>
      <c r="V74" s="72"/>
      <c r="X74" s="72"/>
      <c r="Z74" s="60"/>
      <c r="AB74" s="72"/>
      <c r="AD74" s="72"/>
      <c r="AG74" s="60"/>
      <c r="AO74" s="625">
        <v>4050</v>
      </c>
      <c r="AP74" s="626">
        <v>83</v>
      </c>
      <c r="AQ74" s="627">
        <v>8.2268842246045659E-5</v>
      </c>
      <c r="AR74" s="628"/>
      <c r="AS74" s="625">
        <v>4050</v>
      </c>
      <c r="AT74" s="626">
        <v>81</v>
      </c>
      <c r="AU74" s="627">
        <v>7.9498823711849153E-5</v>
      </c>
    </row>
    <row r="75" spans="1:47" s="119" customFormat="1" ht="15.75">
      <c r="A75" s="60"/>
      <c r="B75" s="60"/>
      <c r="C75" s="60"/>
      <c r="D75" s="60"/>
      <c r="E75" s="60"/>
      <c r="F75" s="60"/>
      <c r="H75" s="60"/>
      <c r="J75" s="72"/>
      <c r="L75" s="72"/>
      <c r="N75" s="60"/>
      <c r="P75" s="72"/>
      <c r="R75" s="72"/>
      <c r="T75" s="60"/>
      <c r="V75" s="72"/>
      <c r="X75" s="72"/>
      <c r="Z75" s="60"/>
      <c r="AB75" s="72"/>
      <c r="AD75" s="72"/>
      <c r="AG75" s="60"/>
      <c r="AO75" s="625">
        <v>4100</v>
      </c>
      <c r="AP75" s="626">
        <v>184</v>
      </c>
      <c r="AQ75" s="627">
        <v>1.8237912015990843E-4</v>
      </c>
      <c r="AR75" s="628"/>
      <c r="AS75" s="625">
        <v>4100</v>
      </c>
      <c r="AT75" s="626">
        <v>188</v>
      </c>
      <c r="AU75" s="627">
        <v>1.8451578836824246E-4</v>
      </c>
    </row>
    <row r="76" spans="1:47" s="119" customFormat="1" ht="15.75">
      <c r="A76" s="60"/>
      <c r="B76" s="60"/>
      <c r="C76" s="60"/>
      <c r="D76" s="60"/>
      <c r="E76" s="60"/>
      <c r="F76" s="60"/>
      <c r="H76" s="60"/>
      <c r="J76" s="72"/>
      <c r="L76" s="72"/>
      <c r="N76" s="60"/>
      <c r="P76" s="72"/>
      <c r="R76" s="72"/>
      <c r="T76" s="60"/>
      <c r="V76" s="72"/>
      <c r="X76" s="72"/>
      <c r="Z76" s="60"/>
      <c r="AB76" s="72"/>
      <c r="AD76" s="72"/>
      <c r="AG76" s="60"/>
      <c r="AO76" s="625">
        <v>4105</v>
      </c>
      <c r="AP76" s="626">
        <v>17</v>
      </c>
      <c r="AQ76" s="627">
        <v>1.6850244797382844E-5</v>
      </c>
      <c r="AR76" s="628"/>
      <c r="AS76" s="625">
        <v>4105</v>
      </c>
      <c r="AT76" s="626">
        <v>17</v>
      </c>
      <c r="AU76" s="627">
        <v>1.6684938309894265E-5</v>
      </c>
    </row>
    <row r="77" spans="1:47" s="119" customFormat="1" ht="15.75">
      <c r="A77" s="60"/>
      <c r="B77" s="60"/>
      <c r="C77" s="60"/>
      <c r="D77" s="60"/>
      <c r="E77" s="60"/>
      <c r="F77" s="60"/>
      <c r="H77" s="60"/>
      <c r="J77" s="72"/>
      <c r="L77" s="72"/>
      <c r="N77" s="60"/>
      <c r="P77" s="72"/>
      <c r="R77" s="72"/>
      <c r="T77" s="60"/>
      <c r="V77" s="72"/>
      <c r="X77" s="72"/>
      <c r="Z77" s="60"/>
      <c r="AB77" s="72"/>
      <c r="AD77" s="72"/>
      <c r="AG77" s="60"/>
      <c r="AO77" s="625">
        <v>4110</v>
      </c>
      <c r="AP77" s="626">
        <v>13696</v>
      </c>
      <c r="AQ77" s="627">
        <v>1.3575350161467967E-2</v>
      </c>
      <c r="AR77" s="628"/>
      <c r="AS77" s="625">
        <v>4110</v>
      </c>
      <c r="AT77" s="626">
        <v>13734</v>
      </c>
      <c r="AU77" s="627">
        <v>1.3479467220475756E-2</v>
      </c>
    </row>
    <row r="78" spans="1:47" s="119" customFormat="1" ht="15.75">
      <c r="A78" s="60"/>
      <c r="B78" s="60"/>
      <c r="C78" s="60"/>
      <c r="D78" s="60"/>
      <c r="E78" s="60"/>
      <c r="F78" s="60"/>
      <c r="H78" s="60"/>
      <c r="J78" s="72"/>
      <c r="L78" s="72"/>
      <c r="N78" s="60"/>
      <c r="P78" s="72"/>
      <c r="R78" s="72"/>
      <c r="T78" s="60"/>
      <c r="V78" s="72"/>
      <c r="X78" s="72"/>
      <c r="Z78" s="60"/>
      <c r="AB78" s="72"/>
      <c r="AD78" s="72"/>
      <c r="AG78" s="60"/>
      <c r="AO78" s="625">
        <v>4120</v>
      </c>
      <c r="AP78" s="626">
        <v>27338</v>
      </c>
      <c r="AQ78" s="627">
        <v>2.7097176015932482E-2</v>
      </c>
      <c r="AR78" s="628"/>
      <c r="AS78" s="625">
        <v>4120</v>
      </c>
      <c r="AT78" s="626">
        <v>27724</v>
      </c>
      <c r="AU78" s="627">
        <v>2.7210189982559332E-2</v>
      </c>
    </row>
    <row r="79" spans="1:47" s="119" customFormat="1" ht="15.75">
      <c r="A79" s="60"/>
      <c r="B79" s="60"/>
      <c r="C79" s="60"/>
      <c r="D79" s="60"/>
      <c r="E79" s="60"/>
      <c r="F79" s="60"/>
      <c r="H79" s="60"/>
      <c r="J79" s="72"/>
      <c r="L79" s="72"/>
      <c r="N79" s="60"/>
      <c r="P79" s="72"/>
      <c r="R79" s="72"/>
      <c r="T79" s="60"/>
      <c r="V79" s="72"/>
      <c r="X79" s="72"/>
      <c r="Z79" s="60"/>
      <c r="AB79" s="72"/>
      <c r="AD79" s="72"/>
      <c r="AG79" s="60"/>
      <c r="AO79" s="625">
        <v>4130</v>
      </c>
      <c r="AP79" s="626">
        <v>11544</v>
      </c>
      <c r="AQ79" s="627">
        <v>1.1442307408293386E-2</v>
      </c>
      <c r="AR79" s="628"/>
      <c r="AS79" s="625">
        <v>4130</v>
      </c>
      <c r="AT79" s="626">
        <v>11602</v>
      </c>
      <c r="AU79" s="627">
        <v>1.1386979663023135E-2</v>
      </c>
    </row>
    <row r="80" spans="1:47" s="119" customFormat="1" ht="15.75">
      <c r="A80" s="60"/>
      <c r="B80" s="60"/>
      <c r="C80" s="60"/>
      <c r="D80" s="60"/>
      <c r="E80" s="60"/>
      <c r="F80" s="60"/>
      <c r="H80" s="60"/>
      <c r="J80" s="72"/>
      <c r="L80" s="72"/>
      <c r="N80" s="60"/>
      <c r="P80" s="72"/>
      <c r="R80" s="72"/>
      <c r="T80" s="60"/>
      <c r="V80" s="72"/>
      <c r="X80" s="72"/>
      <c r="Z80" s="60"/>
      <c r="AB80" s="72"/>
      <c r="AD80" s="72"/>
      <c r="AG80" s="60"/>
      <c r="AO80" s="625">
        <v>4140</v>
      </c>
      <c r="AP80" s="626">
        <v>5112</v>
      </c>
      <c r="AQ80" s="627">
        <v>5.0669677296600654E-3</v>
      </c>
      <c r="AR80" s="628"/>
      <c r="AS80" s="625">
        <v>4140</v>
      </c>
      <c r="AT80" s="626">
        <v>5133</v>
      </c>
      <c r="AU80" s="627">
        <v>5.0378699026286632E-3</v>
      </c>
    </row>
    <row r="81" spans="1:47" s="119" customFormat="1" ht="15.75">
      <c r="A81" s="60"/>
      <c r="B81" s="60"/>
      <c r="C81" s="60"/>
      <c r="D81" s="60"/>
      <c r="E81" s="60"/>
      <c r="F81" s="60"/>
      <c r="H81" s="60"/>
      <c r="J81" s="72"/>
      <c r="L81" s="72"/>
      <c r="N81" s="60"/>
      <c r="P81" s="72"/>
      <c r="R81" s="72"/>
      <c r="T81" s="60"/>
      <c r="V81" s="72"/>
      <c r="X81" s="72"/>
      <c r="Z81" s="60"/>
      <c r="AB81" s="72"/>
      <c r="AD81" s="72"/>
      <c r="AG81" s="60"/>
      <c r="AO81" s="625">
        <v>4150</v>
      </c>
      <c r="AP81" s="626">
        <v>89</v>
      </c>
      <c r="AQ81" s="627">
        <v>8.8215987468651371E-5</v>
      </c>
      <c r="AR81" s="628"/>
      <c r="AS81" s="625">
        <v>4150</v>
      </c>
      <c r="AT81" s="626">
        <v>90</v>
      </c>
      <c r="AU81" s="627">
        <v>8.8332026346499059E-5</v>
      </c>
    </row>
    <row r="82" spans="1:47" s="119" customFormat="1" ht="15.75">
      <c r="A82" s="60"/>
      <c r="B82" s="60"/>
      <c r="C82" s="60"/>
      <c r="D82" s="60"/>
      <c r="E82" s="60"/>
      <c r="F82" s="60"/>
      <c r="H82" s="60"/>
      <c r="J82" s="72"/>
      <c r="L82" s="72"/>
      <c r="N82" s="60"/>
      <c r="P82" s="72"/>
      <c r="R82" s="72"/>
      <c r="T82" s="60"/>
      <c r="V82" s="72"/>
      <c r="X82" s="72"/>
      <c r="Z82" s="60"/>
      <c r="AB82" s="72"/>
      <c r="AD82" s="72"/>
      <c r="AG82" s="60"/>
      <c r="AO82" s="625">
        <v>5411</v>
      </c>
      <c r="AP82" s="626">
        <v>13485</v>
      </c>
      <c r="AQ82" s="627">
        <v>1.3366208887806333E-2</v>
      </c>
      <c r="AR82" s="628"/>
      <c r="AS82" s="625">
        <v>5411</v>
      </c>
      <c r="AT82" s="626">
        <v>13748</v>
      </c>
      <c r="AU82" s="627">
        <v>1.3493207757907433E-2</v>
      </c>
    </row>
    <row r="83" spans="1:47" s="119" customFormat="1" ht="15.75">
      <c r="A83" s="60"/>
      <c r="B83" s="60"/>
      <c r="C83" s="60"/>
      <c r="D83" s="60"/>
      <c r="E83" s="60"/>
      <c r="F83" s="60"/>
      <c r="H83" s="60"/>
      <c r="J83" s="72"/>
      <c r="L83" s="72"/>
      <c r="N83" s="60"/>
      <c r="P83" s="72"/>
      <c r="R83" s="72"/>
      <c r="T83" s="60"/>
      <c r="V83" s="72"/>
      <c r="X83" s="72"/>
      <c r="Z83" s="60"/>
      <c r="AB83" s="72"/>
      <c r="AD83" s="72"/>
      <c r="AG83" s="60"/>
      <c r="AO83" s="625">
        <v>5412</v>
      </c>
      <c r="AP83" s="626">
        <v>9032</v>
      </c>
      <c r="AQ83" s="627">
        <v>8.9524359417624613E-3</v>
      </c>
      <c r="AR83" s="628"/>
      <c r="AS83" s="625">
        <v>5412</v>
      </c>
      <c r="AT83" s="626">
        <v>9302</v>
      </c>
      <c r="AU83" s="627">
        <v>9.1296056563903803E-3</v>
      </c>
    </row>
    <row r="84" spans="1:47" s="119" customFormat="1" ht="15.75">
      <c r="A84" s="60"/>
      <c r="B84" s="60"/>
      <c r="C84" s="60"/>
      <c r="D84" s="60"/>
      <c r="E84" s="60"/>
      <c r="F84" s="60"/>
      <c r="H84" s="60"/>
      <c r="J84" s="72"/>
      <c r="L84" s="72"/>
      <c r="N84" s="60"/>
      <c r="P84" s="72"/>
      <c r="R84" s="72"/>
      <c r="T84" s="60"/>
      <c r="V84" s="72"/>
      <c r="X84" s="72"/>
      <c r="Z84" s="60"/>
      <c r="AB84" s="72"/>
      <c r="AD84" s="72"/>
      <c r="AG84" s="60"/>
      <c r="AO84" s="625">
        <v>5414</v>
      </c>
      <c r="AP84" s="626">
        <v>6</v>
      </c>
      <c r="AQ84" s="627">
        <v>5.94714522260571E-6</v>
      </c>
      <c r="AR84" s="628"/>
      <c r="AS84" s="625">
        <v>5414</v>
      </c>
      <c r="AT84" s="626">
        <v>6</v>
      </c>
      <c r="AU84" s="627">
        <v>5.8888017564332703E-6</v>
      </c>
    </row>
    <row r="85" spans="1:47" s="119" customFormat="1" ht="15.75">
      <c r="A85" s="60"/>
      <c r="B85" s="60"/>
      <c r="C85" s="60"/>
      <c r="D85" s="60"/>
      <c r="E85" s="60"/>
      <c r="F85" s="60"/>
      <c r="H85" s="60"/>
      <c r="J85" s="72"/>
      <c r="L85" s="72"/>
      <c r="N85" s="60"/>
      <c r="P85" s="72"/>
      <c r="R85" s="72"/>
      <c r="T85" s="60"/>
      <c r="V85" s="72"/>
      <c r="X85" s="72"/>
      <c r="Z85" s="60"/>
      <c r="AB85" s="72"/>
      <c r="AD85" s="72"/>
      <c r="AG85" s="60"/>
      <c r="AO85" s="613"/>
      <c r="AP85" s="614"/>
      <c r="AQ85" s="643">
        <v>1.0000000000000002</v>
      </c>
      <c r="AR85" s="644"/>
      <c r="AS85" s="625"/>
      <c r="AT85" s="626"/>
      <c r="AU85" s="627">
        <v>0.99999999999999989</v>
      </c>
    </row>
    <row r="86" spans="1:47" s="119" customFormat="1" ht="15.75">
      <c r="A86" s="60"/>
      <c r="B86" s="60"/>
      <c r="C86" s="60"/>
      <c r="D86" s="60"/>
      <c r="E86" s="60"/>
      <c r="F86" s="60"/>
      <c r="H86" s="60"/>
      <c r="J86" s="72"/>
      <c r="L86" s="72"/>
      <c r="N86" s="60"/>
      <c r="P86" s="72"/>
      <c r="R86" s="72"/>
      <c r="T86" s="60"/>
      <c r="V86" s="72"/>
      <c r="X86" s="72"/>
      <c r="Z86" s="60"/>
      <c r="AB86" s="72"/>
      <c r="AD86" s="72"/>
      <c r="AG86" s="60"/>
      <c r="AO86" s="613"/>
      <c r="AP86" s="614">
        <v>1008887.4199999999</v>
      </c>
      <c r="AQ86" s="614"/>
      <c r="AR86" s="610"/>
      <c r="AS86" s="625"/>
      <c r="AT86" s="626">
        <v>1018883</v>
      </c>
      <c r="AU86" s="627"/>
    </row>
    <row r="87" spans="1:47" s="119" customFormat="1" ht="15.75">
      <c r="A87" s="60"/>
      <c r="B87" s="60"/>
      <c r="C87" s="60"/>
      <c r="D87" s="60"/>
      <c r="E87" s="60"/>
      <c r="F87" s="60"/>
      <c r="H87" s="60"/>
      <c r="J87" s="72"/>
      <c r="L87" s="72"/>
      <c r="N87" s="60"/>
      <c r="P87" s="72"/>
      <c r="R87" s="72"/>
      <c r="T87" s="60"/>
      <c r="V87" s="72"/>
      <c r="X87" s="72"/>
      <c r="Z87" s="60"/>
      <c r="AB87" s="72"/>
      <c r="AD87" s="72"/>
      <c r="AG87" s="60"/>
      <c r="AO87" s="613"/>
      <c r="AP87" s="614"/>
      <c r="AQ87" s="614"/>
      <c r="AR87" s="610"/>
      <c r="AS87" s="625"/>
      <c r="AT87" s="626"/>
      <c r="AU87" s="627"/>
    </row>
    <row r="88" spans="1:47" s="119" customFormat="1" ht="15">
      <c r="A88" s="60"/>
      <c r="B88" s="60"/>
      <c r="C88" s="60"/>
      <c r="D88" s="60"/>
      <c r="E88" s="60"/>
      <c r="F88" s="60"/>
      <c r="H88" s="60"/>
      <c r="J88" s="72"/>
      <c r="L88" s="72"/>
      <c r="N88" s="60"/>
      <c r="P88" s="72"/>
      <c r="R88" s="72"/>
      <c r="T88" s="60"/>
      <c r="V88" s="72"/>
      <c r="X88" s="72"/>
      <c r="Z88" s="60"/>
      <c r="AB88" s="72"/>
      <c r="AD88" s="72"/>
      <c r="AG88" s="60"/>
    </row>
    <row r="89" spans="1:47" s="119" customFormat="1" ht="15">
      <c r="A89" s="60"/>
      <c r="B89" s="60"/>
      <c r="C89" s="60"/>
      <c r="D89" s="60"/>
      <c r="E89" s="60"/>
      <c r="F89" s="60"/>
      <c r="H89" s="60"/>
      <c r="J89" s="72"/>
      <c r="L89" s="72"/>
      <c r="N89" s="60"/>
      <c r="P89" s="72"/>
      <c r="R89" s="72"/>
      <c r="T89" s="60"/>
      <c r="V89" s="72"/>
      <c r="X89" s="72"/>
      <c r="Z89" s="60"/>
      <c r="AB89" s="72"/>
      <c r="AD89" s="72"/>
      <c r="AG89" s="60"/>
    </row>
    <row r="90" spans="1:47" s="119" customFormat="1" ht="15">
      <c r="A90" s="60"/>
      <c r="B90" s="60"/>
      <c r="C90" s="60"/>
      <c r="D90" s="60"/>
      <c r="E90" s="60"/>
      <c r="F90" s="60"/>
      <c r="H90" s="60"/>
      <c r="J90" s="72"/>
      <c r="L90" s="72"/>
      <c r="N90" s="60"/>
      <c r="P90" s="72"/>
      <c r="R90" s="72"/>
      <c r="T90" s="60"/>
      <c r="V90" s="72"/>
      <c r="X90" s="72"/>
      <c r="Z90" s="60"/>
      <c r="AB90" s="72"/>
      <c r="AD90" s="72"/>
      <c r="AG90" s="60"/>
    </row>
    <row r="91" spans="1:47" s="119" customFormat="1" ht="15">
      <c r="A91" s="60"/>
      <c r="B91" s="60"/>
      <c r="C91" s="60"/>
      <c r="D91" s="60"/>
      <c r="E91" s="60"/>
      <c r="F91" s="60"/>
      <c r="H91" s="60"/>
      <c r="J91" s="72"/>
      <c r="L91" s="72"/>
      <c r="N91" s="60"/>
      <c r="P91" s="72"/>
      <c r="R91" s="72"/>
      <c r="T91" s="60"/>
      <c r="V91" s="72"/>
      <c r="X91" s="72"/>
      <c r="Z91" s="60"/>
      <c r="AB91" s="72"/>
      <c r="AD91" s="72"/>
      <c r="AG91" s="60"/>
    </row>
    <row r="92" spans="1:47" s="119" customFormat="1" ht="15">
      <c r="A92" s="60"/>
      <c r="B92" s="60"/>
      <c r="C92" s="60"/>
      <c r="D92" s="60"/>
      <c r="E92" s="60"/>
      <c r="F92" s="60"/>
      <c r="H92" s="60"/>
      <c r="J92" s="72"/>
      <c r="L92" s="72"/>
      <c r="N92" s="60"/>
      <c r="P92" s="72"/>
      <c r="R92" s="72"/>
      <c r="T92" s="60"/>
      <c r="V92" s="72"/>
      <c r="X92" s="72"/>
      <c r="Z92" s="60"/>
      <c r="AB92" s="72"/>
      <c r="AD92" s="72"/>
      <c r="AG92" s="60"/>
    </row>
    <row r="93" spans="1:47" s="119" customFormat="1" ht="15">
      <c r="A93" s="60"/>
      <c r="B93" s="60"/>
      <c r="C93" s="60"/>
      <c r="D93" s="60"/>
      <c r="E93" s="60"/>
      <c r="F93" s="60"/>
      <c r="H93" s="60"/>
      <c r="J93" s="72"/>
      <c r="L93" s="72"/>
      <c r="N93" s="60"/>
      <c r="P93" s="72"/>
      <c r="R93" s="72"/>
      <c r="T93" s="60"/>
      <c r="V93" s="72"/>
      <c r="X93" s="72"/>
      <c r="Z93" s="60"/>
      <c r="AB93" s="72"/>
      <c r="AD93" s="72"/>
      <c r="AG93" s="60"/>
    </row>
    <row r="94" spans="1:47" s="119" customFormat="1" ht="15">
      <c r="A94" s="60"/>
      <c r="B94" s="60"/>
      <c r="C94" s="60"/>
      <c r="D94" s="60"/>
      <c r="E94" s="60"/>
      <c r="F94" s="60"/>
      <c r="H94" s="60"/>
      <c r="J94" s="72"/>
      <c r="L94" s="72"/>
      <c r="N94" s="60"/>
      <c r="P94" s="72"/>
      <c r="R94" s="72"/>
      <c r="T94" s="60"/>
      <c r="V94" s="72"/>
      <c r="X94" s="72"/>
      <c r="Z94" s="60"/>
      <c r="AB94" s="72"/>
      <c r="AD94" s="72"/>
      <c r="AG94" s="60"/>
    </row>
    <row r="95" spans="1:47" s="119" customFormat="1" ht="15">
      <c r="A95" s="60"/>
      <c r="B95" s="60"/>
      <c r="C95" s="60"/>
      <c r="D95" s="60"/>
      <c r="E95" s="60"/>
      <c r="F95" s="60"/>
      <c r="H95" s="60"/>
      <c r="J95" s="72"/>
      <c r="L95" s="72"/>
      <c r="N95" s="60"/>
      <c r="P95" s="72"/>
      <c r="R95" s="72"/>
      <c r="T95" s="60"/>
      <c r="V95" s="72"/>
      <c r="X95" s="72"/>
      <c r="Z95" s="60"/>
      <c r="AB95" s="72"/>
      <c r="AD95" s="72"/>
      <c r="AG95" s="60"/>
    </row>
    <row r="96" spans="1:47" s="119" customFormat="1" ht="15">
      <c r="A96" s="60"/>
      <c r="B96" s="60"/>
      <c r="C96" s="60"/>
      <c r="D96" s="60"/>
      <c r="E96" s="60"/>
      <c r="F96" s="60"/>
      <c r="H96" s="60"/>
      <c r="J96" s="72"/>
      <c r="L96" s="72"/>
      <c r="N96" s="60"/>
      <c r="P96" s="72"/>
      <c r="R96" s="72"/>
      <c r="T96" s="60"/>
      <c r="V96" s="72"/>
      <c r="X96" s="72"/>
      <c r="Z96" s="60"/>
      <c r="AB96" s="72"/>
      <c r="AD96" s="72"/>
      <c r="AG96" s="60"/>
    </row>
    <row r="97" spans="1:33" s="119" customFormat="1" ht="15">
      <c r="A97" s="60"/>
      <c r="B97" s="60"/>
      <c r="C97" s="60"/>
      <c r="D97" s="60"/>
      <c r="E97" s="60"/>
      <c r="F97" s="60"/>
      <c r="H97" s="60"/>
      <c r="J97" s="72"/>
      <c r="L97" s="72"/>
      <c r="N97" s="60"/>
      <c r="P97" s="72"/>
      <c r="R97" s="72"/>
      <c r="T97" s="60"/>
      <c r="V97" s="72"/>
      <c r="X97" s="72"/>
      <c r="Z97" s="60"/>
      <c r="AB97" s="72"/>
      <c r="AD97" s="72"/>
      <c r="AG97" s="60"/>
    </row>
    <row r="98" spans="1:33" s="119" customFormat="1" ht="15">
      <c r="A98" s="60"/>
      <c r="B98" s="60"/>
      <c r="C98" s="60"/>
      <c r="D98" s="60"/>
      <c r="E98" s="60"/>
      <c r="F98" s="60"/>
      <c r="H98" s="60"/>
      <c r="J98" s="72"/>
      <c r="L98" s="72"/>
      <c r="N98" s="60"/>
      <c r="P98" s="72"/>
      <c r="R98" s="72"/>
      <c r="T98" s="60"/>
      <c r="V98" s="72"/>
      <c r="X98" s="72"/>
      <c r="Z98" s="60"/>
      <c r="AB98" s="72"/>
      <c r="AD98" s="72"/>
      <c r="AG98" s="60"/>
    </row>
    <row r="99" spans="1:33" s="119" customFormat="1" ht="15">
      <c r="A99" s="60"/>
      <c r="B99" s="60"/>
      <c r="C99" s="60"/>
      <c r="D99" s="60"/>
      <c r="E99" s="60"/>
      <c r="F99" s="60"/>
      <c r="H99" s="60"/>
      <c r="J99" s="72"/>
      <c r="L99" s="72"/>
      <c r="N99" s="60"/>
      <c r="P99" s="72"/>
      <c r="R99" s="72"/>
      <c r="T99" s="60"/>
      <c r="V99" s="72"/>
      <c r="X99" s="72"/>
      <c r="Z99" s="60"/>
      <c r="AB99" s="72"/>
      <c r="AD99" s="72"/>
      <c r="AG99" s="60"/>
    </row>
    <row r="100" spans="1:33" s="119" customFormat="1" ht="15">
      <c r="A100" s="60"/>
      <c r="B100" s="60"/>
      <c r="C100" s="60"/>
      <c r="D100" s="60"/>
      <c r="E100" s="60"/>
      <c r="F100" s="60"/>
      <c r="H100" s="60"/>
      <c r="J100" s="72"/>
      <c r="L100" s="72"/>
      <c r="N100" s="60"/>
      <c r="P100" s="72"/>
      <c r="R100" s="72"/>
      <c r="T100" s="60"/>
      <c r="V100" s="72"/>
      <c r="X100" s="72"/>
      <c r="Z100" s="60"/>
      <c r="AB100" s="72"/>
      <c r="AD100" s="72"/>
      <c r="AG100" s="60"/>
    </row>
    <row r="101" spans="1:33" s="119" customFormat="1" ht="15">
      <c r="A101" s="60"/>
      <c r="B101" s="60"/>
      <c r="C101" s="60"/>
      <c r="D101" s="60"/>
      <c r="E101" s="60"/>
      <c r="F101" s="60"/>
      <c r="H101" s="60"/>
      <c r="J101" s="72"/>
      <c r="L101" s="72"/>
      <c r="N101" s="60"/>
      <c r="P101" s="72"/>
      <c r="R101" s="72"/>
      <c r="T101" s="60"/>
      <c r="V101" s="72"/>
      <c r="X101" s="72"/>
      <c r="Z101" s="60"/>
      <c r="AB101" s="72"/>
      <c r="AD101" s="72"/>
      <c r="AG101" s="60"/>
    </row>
    <row r="102" spans="1:33" s="119" customFormat="1" ht="15">
      <c r="A102" s="60"/>
      <c r="B102" s="60"/>
      <c r="C102" s="60"/>
      <c r="D102" s="60"/>
      <c r="E102" s="60"/>
      <c r="F102" s="60"/>
      <c r="H102" s="60"/>
      <c r="J102" s="72"/>
      <c r="L102" s="72"/>
      <c r="N102" s="60"/>
      <c r="P102" s="72"/>
      <c r="R102" s="72"/>
      <c r="T102" s="60"/>
      <c r="V102" s="72"/>
      <c r="X102" s="72"/>
      <c r="Z102" s="60"/>
      <c r="AB102" s="72"/>
      <c r="AD102" s="72"/>
      <c r="AG102" s="60"/>
    </row>
    <row r="103" spans="1:33" s="119" customFormat="1" ht="15">
      <c r="A103" s="60"/>
      <c r="B103" s="60"/>
      <c r="C103" s="60"/>
      <c r="D103" s="60"/>
      <c r="E103" s="60"/>
      <c r="F103" s="60"/>
      <c r="H103" s="60"/>
      <c r="J103" s="72"/>
      <c r="L103" s="72"/>
      <c r="N103" s="60"/>
      <c r="P103" s="72"/>
      <c r="R103" s="72"/>
      <c r="T103" s="60"/>
      <c r="V103" s="72"/>
      <c r="X103" s="72"/>
      <c r="Z103" s="60"/>
      <c r="AB103" s="72"/>
      <c r="AD103" s="72"/>
      <c r="AG103" s="60"/>
    </row>
    <row r="104" spans="1:33" s="119" customFormat="1" ht="15">
      <c r="A104" s="60"/>
      <c r="B104" s="60"/>
      <c r="C104" s="60"/>
      <c r="D104" s="60"/>
      <c r="E104" s="60"/>
      <c r="F104" s="60"/>
      <c r="H104" s="60"/>
      <c r="J104" s="72"/>
      <c r="L104" s="72"/>
      <c r="N104" s="60"/>
      <c r="P104" s="72"/>
      <c r="R104" s="72"/>
      <c r="T104" s="60"/>
      <c r="V104" s="72"/>
      <c r="X104" s="72"/>
      <c r="Z104" s="60"/>
      <c r="AB104" s="72"/>
      <c r="AD104" s="72"/>
      <c r="AG104" s="60"/>
    </row>
    <row r="105" spans="1:33" s="119" customFormat="1" ht="15">
      <c r="A105" s="60"/>
      <c r="B105" s="60"/>
      <c r="C105" s="60"/>
      <c r="D105" s="60"/>
      <c r="E105" s="60"/>
      <c r="F105" s="60"/>
      <c r="H105" s="60"/>
      <c r="J105" s="72"/>
      <c r="L105" s="72"/>
      <c r="N105" s="60"/>
      <c r="P105" s="72"/>
      <c r="R105" s="72"/>
      <c r="T105" s="60"/>
      <c r="V105" s="72"/>
      <c r="X105" s="72"/>
      <c r="Z105" s="60"/>
      <c r="AB105" s="72"/>
      <c r="AD105" s="72"/>
      <c r="AG105" s="60"/>
    </row>
    <row r="106" spans="1:33" s="119" customFormat="1" ht="15">
      <c r="A106" s="60"/>
      <c r="B106" s="60"/>
      <c r="C106" s="60"/>
      <c r="D106" s="60"/>
      <c r="E106" s="60"/>
      <c r="F106" s="60"/>
      <c r="H106" s="60"/>
      <c r="J106" s="72"/>
      <c r="L106" s="72"/>
      <c r="N106" s="60"/>
      <c r="P106" s="72"/>
      <c r="R106" s="72"/>
      <c r="T106" s="60"/>
      <c r="V106" s="72"/>
      <c r="X106" s="72"/>
      <c r="Z106" s="60"/>
      <c r="AB106" s="72"/>
      <c r="AD106" s="72"/>
      <c r="AG106" s="60"/>
    </row>
    <row r="107" spans="1:33" s="119" customFormat="1" ht="15">
      <c r="A107" s="60"/>
      <c r="B107" s="60"/>
      <c r="C107" s="60"/>
      <c r="D107" s="60"/>
      <c r="E107" s="60"/>
      <c r="F107" s="60"/>
      <c r="H107" s="60"/>
      <c r="J107" s="72"/>
      <c r="L107" s="72"/>
      <c r="N107" s="60"/>
      <c r="P107" s="72"/>
      <c r="R107" s="72"/>
      <c r="T107" s="60"/>
      <c r="V107" s="72"/>
      <c r="X107" s="72"/>
      <c r="Z107" s="60"/>
      <c r="AB107" s="72"/>
      <c r="AD107" s="72"/>
      <c r="AG107" s="60"/>
    </row>
    <row r="108" spans="1:33" s="119" customFormat="1" ht="15">
      <c r="A108" s="60"/>
      <c r="B108" s="60"/>
      <c r="C108" s="60"/>
      <c r="D108" s="60"/>
      <c r="E108" s="60"/>
      <c r="F108" s="60"/>
      <c r="H108" s="60"/>
      <c r="J108" s="72"/>
      <c r="L108" s="72"/>
      <c r="N108" s="60"/>
      <c r="P108" s="72"/>
      <c r="R108" s="72"/>
      <c r="T108" s="60"/>
      <c r="V108" s="72"/>
      <c r="X108" s="72"/>
      <c r="Z108" s="60"/>
      <c r="AB108" s="72"/>
      <c r="AD108" s="72"/>
      <c r="AG108" s="60"/>
    </row>
    <row r="109" spans="1:33" s="119" customFormat="1" ht="15">
      <c r="A109" s="60"/>
      <c r="B109" s="60"/>
      <c r="C109" s="60"/>
      <c r="D109" s="60"/>
      <c r="E109" s="60"/>
      <c r="F109" s="60"/>
      <c r="H109" s="60"/>
      <c r="J109" s="72"/>
      <c r="L109" s="72"/>
      <c r="N109" s="60"/>
      <c r="P109" s="72"/>
      <c r="R109" s="72"/>
      <c r="T109" s="60"/>
      <c r="V109" s="72"/>
      <c r="X109" s="72"/>
      <c r="Z109" s="60"/>
      <c r="AB109" s="72"/>
      <c r="AD109" s="72"/>
      <c r="AG109" s="60"/>
    </row>
    <row r="110" spans="1:33" s="119" customFormat="1" ht="15">
      <c r="A110" s="60"/>
      <c r="B110" s="60"/>
      <c r="C110" s="60"/>
      <c r="D110" s="60"/>
      <c r="E110" s="60"/>
      <c r="F110" s="60"/>
      <c r="H110" s="60"/>
      <c r="J110" s="72"/>
      <c r="L110" s="72"/>
      <c r="N110" s="60"/>
      <c r="P110" s="72"/>
      <c r="R110" s="72"/>
      <c r="T110" s="60"/>
      <c r="V110" s="72"/>
      <c r="X110" s="72"/>
      <c r="Z110" s="60"/>
      <c r="AB110" s="72"/>
      <c r="AD110" s="72"/>
      <c r="AG110" s="60"/>
    </row>
    <row r="111" spans="1:33" s="119" customFormat="1" ht="15">
      <c r="A111" s="60"/>
      <c r="B111" s="60"/>
      <c r="C111" s="60"/>
      <c r="D111" s="60"/>
      <c r="E111" s="60"/>
      <c r="F111" s="60"/>
      <c r="H111" s="60"/>
      <c r="J111" s="72"/>
      <c r="L111" s="72"/>
      <c r="N111" s="60"/>
      <c r="P111" s="72"/>
      <c r="R111" s="72"/>
      <c r="T111" s="60"/>
      <c r="V111" s="72"/>
      <c r="X111" s="72"/>
      <c r="Z111" s="60"/>
      <c r="AB111" s="72"/>
      <c r="AD111" s="72"/>
      <c r="AG111" s="60"/>
    </row>
    <row r="112" spans="1:33" s="119" customFormat="1" ht="15">
      <c r="A112" s="60"/>
      <c r="B112" s="60"/>
      <c r="C112" s="60"/>
      <c r="D112" s="60"/>
      <c r="E112" s="60"/>
      <c r="F112" s="60"/>
      <c r="H112" s="60"/>
      <c r="J112" s="72"/>
      <c r="L112" s="72"/>
      <c r="N112" s="60"/>
      <c r="P112" s="72"/>
      <c r="R112" s="72"/>
      <c r="T112" s="60"/>
      <c r="V112" s="72"/>
      <c r="X112" s="72"/>
      <c r="Z112" s="60"/>
      <c r="AB112" s="72"/>
      <c r="AD112" s="72"/>
      <c r="AG112" s="60"/>
    </row>
    <row r="113" spans="1:33" s="119" customFormat="1" ht="15">
      <c r="A113" s="60"/>
      <c r="B113" s="60"/>
      <c r="C113" s="60"/>
      <c r="D113" s="60"/>
      <c r="E113" s="60"/>
      <c r="F113" s="60"/>
      <c r="H113" s="60"/>
      <c r="J113" s="72"/>
      <c r="L113" s="72"/>
      <c r="N113" s="60"/>
      <c r="P113" s="72"/>
      <c r="R113" s="72"/>
      <c r="T113" s="60"/>
      <c r="V113" s="72"/>
      <c r="X113" s="72"/>
      <c r="Z113" s="60"/>
      <c r="AB113" s="72"/>
      <c r="AD113" s="72"/>
      <c r="AG113" s="60"/>
    </row>
    <row r="114" spans="1:33" s="119" customFormat="1" ht="15">
      <c r="A114" s="60"/>
      <c r="B114" s="60"/>
      <c r="C114" s="60"/>
      <c r="D114" s="60"/>
      <c r="E114" s="60"/>
      <c r="F114" s="60"/>
      <c r="H114" s="60"/>
      <c r="J114" s="72"/>
      <c r="L114" s="72"/>
      <c r="N114" s="60"/>
      <c r="P114" s="72"/>
      <c r="R114" s="72"/>
      <c r="T114" s="60"/>
      <c r="V114" s="72"/>
      <c r="X114" s="72"/>
      <c r="Z114" s="60"/>
      <c r="AB114" s="72"/>
      <c r="AD114" s="72"/>
      <c r="AG114" s="60"/>
    </row>
    <row r="115" spans="1:33" s="119" customFormat="1" ht="15">
      <c r="A115" s="60"/>
      <c r="B115" s="60"/>
      <c r="C115" s="60"/>
      <c r="D115" s="60"/>
      <c r="E115" s="60"/>
      <c r="F115" s="60"/>
      <c r="H115" s="60"/>
      <c r="J115" s="72"/>
      <c r="L115" s="72"/>
      <c r="N115" s="60"/>
      <c r="P115" s="72"/>
      <c r="R115" s="72"/>
      <c r="T115" s="60"/>
      <c r="V115" s="72"/>
      <c r="X115" s="72"/>
      <c r="Z115" s="60"/>
      <c r="AB115" s="72"/>
      <c r="AD115" s="72"/>
      <c r="AG115" s="60"/>
    </row>
    <row r="116" spans="1:33" s="119" customFormat="1" ht="15">
      <c r="A116" s="60"/>
      <c r="B116" s="60"/>
      <c r="C116" s="60"/>
      <c r="D116" s="60"/>
      <c r="E116" s="60"/>
      <c r="F116" s="60"/>
      <c r="H116" s="60"/>
      <c r="J116" s="72"/>
      <c r="L116" s="72"/>
      <c r="N116" s="60"/>
      <c r="P116" s="72"/>
      <c r="R116" s="72"/>
      <c r="T116" s="60"/>
      <c r="V116" s="72"/>
      <c r="X116" s="72"/>
      <c r="Z116" s="60"/>
      <c r="AB116" s="72"/>
      <c r="AD116" s="72"/>
      <c r="AG116" s="60"/>
    </row>
    <row r="117" spans="1:33" s="119" customFormat="1" ht="15">
      <c r="A117" s="60"/>
      <c r="B117" s="60"/>
      <c r="C117" s="60"/>
      <c r="D117" s="60"/>
      <c r="E117" s="60"/>
      <c r="F117" s="60"/>
      <c r="H117" s="60"/>
      <c r="J117" s="72"/>
      <c r="L117" s="72"/>
      <c r="N117" s="60"/>
      <c r="P117" s="72"/>
      <c r="R117" s="72"/>
      <c r="T117" s="60"/>
      <c r="V117" s="72"/>
      <c r="X117" s="72"/>
      <c r="Z117" s="60"/>
      <c r="AB117" s="72"/>
      <c r="AD117" s="72"/>
      <c r="AG117" s="60"/>
    </row>
    <row r="118" spans="1:33" s="119" customFormat="1" ht="15">
      <c r="A118" s="60"/>
      <c r="B118" s="60"/>
      <c r="C118" s="60"/>
      <c r="D118" s="60"/>
      <c r="E118" s="60"/>
      <c r="F118" s="60"/>
      <c r="H118" s="60"/>
      <c r="J118" s="72"/>
      <c r="L118" s="72"/>
      <c r="N118" s="60"/>
      <c r="P118" s="72"/>
      <c r="R118" s="72"/>
      <c r="T118" s="60"/>
      <c r="V118" s="72"/>
      <c r="X118" s="72"/>
      <c r="Z118" s="60"/>
      <c r="AB118" s="72"/>
      <c r="AD118" s="72"/>
      <c r="AG118" s="60"/>
    </row>
    <row r="119" spans="1:33" s="119" customFormat="1" ht="15">
      <c r="A119" s="60"/>
      <c r="B119" s="60"/>
      <c r="C119" s="60"/>
      <c r="D119" s="60"/>
      <c r="E119" s="60"/>
      <c r="F119" s="60"/>
      <c r="H119" s="60"/>
      <c r="J119" s="72"/>
      <c r="L119" s="72"/>
      <c r="N119" s="60"/>
      <c r="P119" s="72"/>
      <c r="R119" s="72"/>
      <c r="T119" s="60"/>
      <c r="V119" s="72"/>
      <c r="X119" s="72"/>
      <c r="Z119" s="60"/>
      <c r="AB119" s="72"/>
      <c r="AD119" s="72"/>
      <c r="AG119" s="60"/>
    </row>
    <row r="120" spans="1:33" s="119" customFormat="1" ht="15">
      <c r="A120" s="60"/>
      <c r="B120" s="60"/>
      <c r="C120" s="60"/>
      <c r="D120" s="60"/>
      <c r="E120" s="60"/>
      <c r="F120" s="60"/>
      <c r="H120" s="60"/>
      <c r="J120" s="72"/>
      <c r="L120" s="72"/>
      <c r="N120" s="60"/>
      <c r="P120" s="72"/>
      <c r="R120" s="72"/>
      <c r="T120" s="60"/>
      <c r="V120" s="72"/>
      <c r="X120" s="72"/>
      <c r="Z120" s="60"/>
      <c r="AB120" s="72"/>
      <c r="AD120" s="72"/>
      <c r="AG120" s="60"/>
    </row>
    <row r="121" spans="1:33" s="119" customFormat="1" ht="15">
      <c r="A121" s="60"/>
      <c r="B121" s="60"/>
      <c r="C121" s="60"/>
      <c r="D121" s="60"/>
      <c r="E121" s="60"/>
      <c r="F121" s="60"/>
      <c r="H121" s="60"/>
      <c r="J121" s="72"/>
      <c r="L121" s="72"/>
      <c r="N121" s="60"/>
      <c r="P121" s="72"/>
      <c r="R121" s="72"/>
      <c r="T121" s="60"/>
      <c r="V121" s="72"/>
      <c r="X121" s="72"/>
      <c r="Z121" s="60"/>
      <c r="AB121" s="72"/>
      <c r="AD121" s="72"/>
      <c r="AG121" s="60"/>
    </row>
    <row r="122" spans="1:33" s="119" customFormat="1" ht="15">
      <c r="A122" s="60"/>
      <c r="B122" s="60"/>
      <c r="C122" s="60"/>
      <c r="D122" s="60"/>
      <c r="E122" s="60"/>
      <c r="F122" s="60"/>
      <c r="H122" s="60"/>
      <c r="J122" s="72"/>
      <c r="L122" s="72"/>
      <c r="N122" s="60"/>
      <c r="P122" s="72"/>
      <c r="R122" s="72"/>
      <c r="T122" s="60"/>
      <c r="V122" s="72"/>
      <c r="X122" s="72"/>
      <c r="Z122" s="60"/>
      <c r="AB122" s="72"/>
      <c r="AD122" s="72"/>
      <c r="AG122" s="60"/>
    </row>
    <row r="123" spans="1:33" s="119" customFormat="1" ht="15">
      <c r="A123" s="60"/>
      <c r="B123" s="60"/>
      <c r="C123" s="60"/>
      <c r="D123" s="60"/>
      <c r="E123" s="60"/>
      <c r="F123" s="60"/>
      <c r="H123" s="60"/>
      <c r="J123" s="72"/>
      <c r="L123" s="72"/>
      <c r="N123" s="60"/>
      <c r="P123" s="72"/>
      <c r="R123" s="72"/>
      <c r="T123" s="60"/>
      <c r="V123" s="72"/>
      <c r="X123" s="72"/>
      <c r="Z123" s="60"/>
      <c r="AB123" s="72"/>
      <c r="AD123" s="72"/>
      <c r="AG123" s="60"/>
    </row>
    <row r="124" spans="1:33" s="119" customFormat="1" ht="15">
      <c r="A124" s="60"/>
      <c r="B124" s="60"/>
      <c r="C124" s="60"/>
      <c r="D124" s="60"/>
      <c r="E124" s="60"/>
      <c r="F124" s="60"/>
      <c r="H124" s="60"/>
      <c r="J124" s="72"/>
      <c r="L124" s="72"/>
      <c r="N124" s="60"/>
      <c r="P124" s="72"/>
      <c r="R124" s="72"/>
      <c r="T124" s="60"/>
      <c r="V124" s="72"/>
      <c r="X124" s="72"/>
      <c r="Z124" s="60"/>
      <c r="AB124" s="72"/>
      <c r="AD124" s="72"/>
      <c r="AG124" s="60"/>
    </row>
    <row r="125" spans="1:33" s="119" customFormat="1" ht="15">
      <c r="A125" s="60"/>
      <c r="B125" s="60"/>
      <c r="C125" s="60"/>
      <c r="D125" s="60"/>
      <c r="E125" s="60"/>
      <c r="F125" s="60"/>
      <c r="H125" s="60"/>
      <c r="J125" s="72"/>
      <c r="L125" s="72"/>
      <c r="N125" s="60"/>
      <c r="P125" s="72"/>
      <c r="R125" s="72"/>
      <c r="T125" s="60"/>
      <c r="V125" s="72"/>
      <c r="X125" s="72"/>
      <c r="Z125" s="60"/>
      <c r="AB125" s="72"/>
      <c r="AD125" s="72"/>
      <c r="AG125" s="60"/>
    </row>
    <row r="126" spans="1:33" s="119" customFormat="1" ht="15">
      <c r="A126" s="60"/>
      <c r="B126" s="60"/>
      <c r="C126" s="60"/>
      <c r="D126" s="60"/>
      <c r="E126" s="60"/>
      <c r="F126" s="60"/>
      <c r="H126" s="60"/>
      <c r="J126" s="72"/>
      <c r="L126" s="72"/>
      <c r="N126" s="60"/>
      <c r="P126" s="72"/>
      <c r="R126" s="72"/>
      <c r="T126" s="60"/>
      <c r="V126" s="72"/>
      <c r="X126" s="72"/>
      <c r="Z126" s="60"/>
      <c r="AB126" s="72"/>
      <c r="AD126" s="72"/>
      <c r="AG126" s="60"/>
    </row>
    <row r="127" spans="1:33" s="119" customFormat="1" ht="15">
      <c r="A127" s="60"/>
      <c r="B127" s="60"/>
      <c r="C127" s="60"/>
      <c r="D127" s="60"/>
      <c r="E127" s="60"/>
      <c r="F127" s="60"/>
      <c r="H127" s="60"/>
      <c r="J127" s="72"/>
      <c r="L127" s="72"/>
      <c r="N127" s="60"/>
      <c r="P127" s="72"/>
      <c r="R127" s="72"/>
      <c r="T127" s="60"/>
      <c r="V127" s="72"/>
      <c r="X127" s="72"/>
      <c r="Z127" s="60"/>
      <c r="AB127" s="72"/>
      <c r="AD127" s="72"/>
      <c r="AG127" s="60"/>
    </row>
    <row r="128" spans="1:33" s="119" customFormat="1" ht="15">
      <c r="A128" s="60"/>
      <c r="B128" s="60"/>
      <c r="C128" s="60"/>
      <c r="D128" s="60"/>
      <c r="E128" s="60"/>
      <c r="F128" s="60"/>
      <c r="H128" s="60"/>
      <c r="J128" s="72"/>
      <c r="L128" s="72"/>
      <c r="N128" s="60"/>
      <c r="P128" s="72"/>
      <c r="R128" s="72"/>
      <c r="T128" s="60"/>
      <c r="V128" s="72"/>
      <c r="X128" s="72"/>
      <c r="Z128" s="60"/>
      <c r="AB128" s="72"/>
      <c r="AD128" s="72"/>
      <c r="AG128" s="60"/>
    </row>
    <row r="129" spans="1:33" s="119" customFormat="1" ht="15">
      <c r="A129" s="60"/>
      <c r="B129" s="60"/>
      <c r="C129" s="60"/>
      <c r="D129" s="60"/>
      <c r="E129" s="60"/>
      <c r="F129" s="60"/>
      <c r="H129" s="60"/>
      <c r="J129" s="72"/>
      <c r="L129" s="72"/>
      <c r="N129" s="60"/>
      <c r="P129" s="72"/>
      <c r="R129" s="72"/>
      <c r="T129" s="60"/>
      <c r="V129" s="72"/>
      <c r="X129" s="72"/>
      <c r="Z129" s="60"/>
      <c r="AB129" s="72"/>
      <c r="AD129" s="72"/>
      <c r="AG129" s="60"/>
    </row>
    <row r="130" spans="1:33" s="119" customFormat="1" ht="15">
      <c r="A130" s="60"/>
      <c r="B130" s="60"/>
      <c r="C130" s="60"/>
      <c r="D130" s="60"/>
      <c r="E130" s="60"/>
      <c r="F130" s="60"/>
      <c r="H130" s="60"/>
      <c r="J130" s="72"/>
      <c r="L130" s="72"/>
      <c r="N130" s="60"/>
      <c r="P130" s="72"/>
      <c r="R130" s="72"/>
      <c r="T130" s="60"/>
      <c r="V130" s="72"/>
      <c r="X130" s="72"/>
      <c r="Z130" s="60"/>
      <c r="AB130" s="72"/>
      <c r="AD130" s="72"/>
      <c r="AG130" s="60"/>
    </row>
    <row r="131" spans="1:33" s="119" customFormat="1" ht="15">
      <c r="A131" s="60"/>
      <c r="B131" s="60"/>
      <c r="C131" s="60"/>
      <c r="D131" s="60"/>
      <c r="E131" s="60"/>
      <c r="F131" s="60"/>
      <c r="H131" s="60"/>
      <c r="J131" s="72"/>
      <c r="L131" s="72"/>
      <c r="N131" s="60"/>
      <c r="P131" s="72"/>
      <c r="R131" s="72"/>
      <c r="T131" s="60"/>
      <c r="V131" s="72"/>
      <c r="X131" s="72"/>
      <c r="Z131" s="60"/>
      <c r="AB131" s="72"/>
      <c r="AD131" s="72"/>
      <c r="AG131" s="60"/>
    </row>
    <row r="132" spans="1:33" s="119" customFormat="1" ht="15">
      <c r="A132" s="60"/>
      <c r="B132" s="60"/>
      <c r="C132" s="60"/>
      <c r="D132" s="60"/>
      <c r="E132" s="60"/>
      <c r="F132" s="60"/>
      <c r="H132" s="60"/>
      <c r="J132" s="72"/>
      <c r="L132" s="72"/>
      <c r="N132" s="60"/>
      <c r="P132" s="72"/>
      <c r="R132" s="72"/>
      <c r="T132" s="60"/>
      <c r="V132" s="72"/>
      <c r="X132" s="72"/>
      <c r="Z132" s="60"/>
      <c r="AB132" s="72"/>
      <c r="AD132" s="72"/>
      <c r="AG132" s="60"/>
    </row>
    <row r="133" spans="1:33" s="119" customFormat="1" ht="15">
      <c r="A133" s="60"/>
      <c r="B133" s="60"/>
      <c r="C133" s="60"/>
      <c r="D133" s="60"/>
      <c r="E133" s="60"/>
      <c r="F133" s="60"/>
      <c r="H133" s="60"/>
      <c r="J133" s="72"/>
      <c r="L133" s="72"/>
      <c r="N133" s="60"/>
      <c r="P133" s="72"/>
      <c r="R133" s="72"/>
      <c r="T133" s="60"/>
      <c r="V133" s="72"/>
      <c r="X133" s="72"/>
      <c r="Z133" s="60"/>
      <c r="AB133" s="72"/>
      <c r="AD133" s="72"/>
      <c r="AG133" s="60"/>
    </row>
    <row r="134" spans="1:33" s="119" customFormat="1" ht="15">
      <c r="A134" s="60"/>
      <c r="B134" s="60"/>
      <c r="C134" s="60"/>
      <c r="D134" s="60"/>
      <c r="E134" s="60"/>
      <c r="F134" s="60"/>
      <c r="H134" s="60"/>
      <c r="J134" s="72"/>
      <c r="L134" s="72"/>
      <c r="N134" s="60"/>
      <c r="P134" s="72"/>
      <c r="R134" s="72"/>
      <c r="T134" s="60"/>
      <c r="V134" s="72"/>
      <c r="X134" s="72"/>
      <c r="Z134" s="60"/>
      <c r="AB134" s="72"/>
      <c r="AD134" s="72"/>
      <c r="AG134" s="60"/>
    </row>
    <row r="135" spans="1:33" s="119" customFormat="1" ht="15">
      <c r="A135" s="60"/>
      <c r="B135" s="60"/>
      <c r="C135" s="60"/>
      <c r="D135" s="60"/>
      <c r="E135" s="60"/>
      <c r="F135" s="60"/>
      <c r="H135" s="60"/>
      <c r="J135" s="72"/>
      <c r="L135" s="72"/>
      <c r="N135" s="60"/>
      <c r="P135" s="72"/>
      <c r="R135" s="72"/>
      <c r="T135" s="60"/>
      <c r="V135" s="72"/>
      <c r="X135" s="72"/>
      <c r="Z135" s="60"/>
      <c r="AB135" s="72"/>
      <c r="AD135" s="72"/>
      <c r="AG135" s="60"/>
    </row>
    <row r="136" spans="1:33" s="119" customFormat="1" ht="15">
      <c r="A136" s="60"/>
      <c r="B136" s="60"/>
      <c r="C136" s="60"/>
      <c r="D136" s="60"/>
      <c r="E136" s="60"/>
      <c r="F136" s="60"/>
      <c r="H136" s="60"/>
      <c r="J136" s="72"/>
      <c r="L136" s="72"/>
      <c r="N136" s="60"/>
      <c r="P136" s="72"/>
      <c r="R136" s="72"/>
      <c r="T136" s="60"/>
      <c r="V136" s="72"/>
      <c r="X136" s="72"/>
      <c r="Z136" s="60"/>
      <c r="AB136" s="72"/>
      <c r="AD136" s="72"/>
      <c r="AG136" s="60"/>
    </row>
    <row r="137" spans="1:33" s="119" customFormat="1" ht="15">
      <c r="A137" s="60"/>
      <c r="B137" s="60"/>
      <c r="C137" s="60"/>
      <c r="D137" s="60"/>
      <c r="E137" s="60"/>
      <c r="F137" s="60"/>
      <c r="H137" s="60"/>
      <c r="J137" s="72"/>
      <c r="L137" s="72"/>
      <c r="N137" s="60"/>
      <c r="P137" s="72"/>
      <c r="R137" s="72"/>
      <c r="T137" s="60"/>
      <c r="V137" s="72"/>
      <c r="X137" s="72"/>
      <c r="Z137" s="60"/>
      <c r="AB137" s="72"/>
      <c r="AD137" s="72"/>
      <c r="AG137" s="60"/>
    </row>
    <row r="138" spans="1:33" s="119" customFormat="1" ht="15">
      <c r="A138" s="60"/>
      <c r="B138" s="60"/>
      <c r="C138" s="60"/>
      <c r="D138" s="60"/>
      <c r="E138" s="60"/>
      <c r="F138" s="60"/>
      <c r="H138" s="60"/>
      <c r="J138" s="72"/>
      <c r="L138" s="72"/>
      <c r="N138" s="60"/>
      <c r="P138" s="72"/>
      <c r="R138" s="72"/>
      <c r="T138" s="60"/>
      <c r="V138" s="72"/>
      <c r="X138" s="72"/>
      <c r="Z138" s="60"/>
      <c r="AB138" s="72"/>
      <c r="AD138" s="72"/>
      <c r="AG138" s="60"/>
    </row>
    <row r="139" spans="1:33" s="119" customFormat="1" ht="15">
      <c r="A139" s="60"/>
      <c r="B139" s="60"/>
      <c r="C139" s="60"/>
      <c r="D139" s="60"/>
      <c r="E139" s="60"/>
      <c r="F139" s="60"/>
      <c r="H139" s="60"/>
      <c r="J139" s="72"/>
      <c r="L139" s="72"/>
      <c r="N139" s="60"/>
      <c r="P139" s="72"/>
      <c r="R139" s="72"/>
      <c r="T139" s="60"/>
      <c r="V139" s="72"/>
      <c r="X139" s="72"/>
      <c r="Z139" s="60"/>
      <c r="AB139" s="72"/>
      <c r="AD139" s="72"/>
      <c r="AG139" s="60"/>
    </row>
    <row r="140" spans="1:33" s="119" customFormat="1" ht="15">
      <c r="A140" s="60"/>
      <c r="B140" s="60"/>
      <c r="C140" s="60"/>
      <c r="D140" s="60"/>
      <c r="E140" s="60"/>
      <c r="F140" s="60"/>
      <c r="H140" s="60"/>
      <c r="J140" s="72"/>
      <c r="L140" s="72"/>
      <c r="N140" s="60"/>
      <c r="P140" s="72"/>
      <c r="R140" s="72"/>
      <c r="T140" s="60"/>
      <c r="V140" s="72"/>
      <c r="X140" s="72"/>
      <c r="Z140" s="60"/>
      <c r="AB140" s="72"/>
      <c r="AD140" s="72"/>
      <c r="AG140" s="60"/>
    </row>
    <row r="141" spans="1:33" s="119" customFormat="1" ht="15">
      <c r="A141" s="60"/>
      <c r="B141" s="60"/>
      <c r="C141" s="60"/>
      <c r="D141" s="60"/>
      <c r="E141" s="60"/>
      <c r="F141" s="60"/>
      <c r="H141" s="60"/>
      <c r="J141" s="72"/>
      <c r="L141" s="72"/>
      <c r="N141" s="60"/>
      <c r="P141" s="72"/>
      <c r="R141" s="72"/>
      <c r="T141" s="60"/>
      <c r="V141" s="72"/>
      <c r="X141" s="72"/>
      <c r="Z141" s="60"/>
      <c r="AB141" s="72"/>
      <c r="AD141" s="72"/>
      <c r="AG141" s="60"/>
    </row>
    <row r="142" spans="1:33" s="119" customFormat="1" ht="15">
      <c r="A142" s="60"/>
      <c r="B142" s="60"/>
      <c r="C142" s="60"/>
      <c r="D142" s="60"/>
      <c r="E142" s="60"/>
      <c r="F142" s="60"/>
      <c r="H142" s="60"/>
      <c r="J142" s="72"/>
      <c r="L142" s="72"/>
      <c r="N142" s="60"/>
      <c r="P142" s="72"/>
      <c r="R142" s="72"/>
      <c r="T142" s="60"/>
      <c r="V142" s="72"/>
      <c r="X142" s="72"/>
      <c r="Z142" s="60"/>
      <c r="AB142" s="72"/>
      <c r="AD142" s="72"/>
      <c r="AG142" s="60"/>
    </row>
    <row r="143" spans="1:33" s="119" customFormat="1" ht="15">
      <c r="A143" s="60"/>
      <c r="B143" s="60"/>
      <c r="C143" s="60"/>
      <c r="D143" s="60"/>
      <c r="E143" s="60"/>
      <c r="F143" s="60"/>
      <c r="H143" s="60"/>
      <c r="J143" s="72"/>
      <c r="L143" s="72"/>
      <c r="N143" s="60"/>
      <c r="P143" s="72"/>
      <c r="R143" s="72"/>
      <c r="T143" s="60"/>
      <c r="V143" s="72"/>
      <c r="X143" s="72"/>
      <c r="Z143" s="60"/>
      <c r="AB143" s="72"/>
      <c r="AD143" s="72"/>
      <c r="AG143" s="60"/>
    </row>
    <row r="144" spans="1:33" s="119" customFormat="1" ht="15">
      <c r="A144" s="60"/>
      <c r="B144" s="60"/>
      <c r="C144" s="60"/>
      <c r="D144" s="60"/>
      <c r="E144" s="60"/>
      <c r="F144" s="60"/>
      <c r="H144" s="60"/>
      <c r="J144" s="72"/>
      <c r="L144" s="72"/>
      <c r="N144" s="60"/>
      <c r="P144" s="72"/>
      <c r="R144" s="72"/>
      <c r="T144" s="60"/>
      <c r="V144" s="72"/>
      <c r="X144" s="72"/>
      <c r="Z144" s="60"/>
      <c r="AB144" s="72"/>
      <c r="AD144" s="72"/>
      <c r="AG144" s="60"/>
    </row>
    <row r="145" spans="1:33" s="119" customFormat="1" ht="15">
      <c r="A145" s="60"/>
      <c r="B145" s="60"/>
      <c r="C145" s="60"/>
      <c r="D145" s="60"/>
      <c r="E145" s="60"/>
      <c r="F145" s="60"/>
      <c r="H145" s="60"/>
      <c r="J145" s="72"/>
      <c r="L145" s="72"/>
      <c r="N145" s="60"/>
      <c r="P145" s="72"/>
      <c r="R145" s="72"/>
      <c r="T145" s="60"/>
      <c r="V145" s="72"/>
      <c r="X145" s="72"/>
      <c r="Z145" s="60"/>
      <c r="AB145" s="72"/>
      <c r="AD145" s="72"/>
      <c r="AG145" s="60"/>
    </row>
    <row r="146" spans="1:33" s="119" customFormat="1" ht="15">
      <c r="A146" s="60"/>
      <c r="B146" s="60"/>
      <c r="C146" s="60"/>
      <c r="D146" s="60"/>
      <c r="E146" s="60"/>
      <c r="F146" s="60"/>
      <c r="H146" s="60"/>
      <c r="J146" s="72"/>
      <c r="L146" s="72"/>
      <c r="N146" s="60"/>
      <c r="P146" s="72"/>
      <c r="R146" s="72"/>
      <c r="T146" s="60"/>
      <c r="V146" s="72"/>
      <c r="X146" s="72"/>
      <c r="Z146" s="60"/>
      <c r="AB146" s="72"/>
      <c r="AD146" s="72"/>
      <c r="AG146" s="60"/>
    </row>
    <row r="147" spans="1:33" s="119" customFormat="1" ht="15">
      <c r="A147" s="60"/>
      <c r="B147" s="60"/>
      <c r="C147" s="60"/>
      <c r="D147" s="60"/>
      <c r="E147" s="60"/>
      <c r="F147" s="60"/>
      <c r="H147" s="60"/>
      <c r="J147" s="72"/>
      <c r="L147" s="72"/>
      <c r="N147" s="60"/>
      <c r="P147" s="72"/>
      <c r="R147" s="72"/>
      <c r="T147" s="60"/>
      <c r="V147" s="72"/>
      <c r="X147" s="72"/>
      <c r="Z147" s="60"/>
      <c r="AB147" s="72"/>
      <c r="AD147" s="72"/>
      <c r="AG147" s="60"/>
    </row>
    <row r="148" spans="1:33" s="119" customFormat="1" ht="15">
      <c r="A148" s="60"/>
      <c r="B148" s="60"/>
      <c r="C148" s="60"/>
      <c r="D148" s="60"/>
      <c r="E148" s="60"/>
      <c r="F148" s="60"/>
      <c r="H148" s="60"/>
      <c r="J148" s="72"/>
      <c r="L148" s="72"/>
      <c r="N148" s="60"/>
      <c r="P148" s="72"/>
      <c r="R148" s="72"/>
      <c r="T148" s="60"/>
      <c r="V148" s="72"/>
      <c r="X148" s="72"/>
      <c r="Z148" s="60"/>
      <c r="AB148" s="72"/>
      <c r="AD148" s="72"/>
      <c r="AG148" s="60"/>
    </row>
    <row r="149" spans="1:33" s="119" customFormat="1" ht="15">
      <c r="A149" s="60"/>
      <c r="B149" s="60"/>
      <c r="C149" s="60"/>
      <c r="D149" s="60"/>
      <c r="E149" s="60"/>
      <c r="F149" s="60"/>
      <c r="H149" s="60"/>
      <c r="J149" s="72"/>
      <c r="L149" s="72"/>
      <c r="N149" s="60"/>
      <c r="P149" s="72"/>
      <c r="R149" s="72"/>
      <c r="T149" s="60"/>
      <c r="V149" s="72"/>
      <c r="X149" s="72"/>
      <c r="Z149" s="60"/>
      <c r="AB149" s="72"/>
      <c r="AD149" s="72"/>
      <c r="AG149" s="60"/>
    </row>
    <row r="150" spans="1:33" s="119" customFormat="1" ht="15">
      <c r="A150" s="60"/>
      <c r="B150" s="60"/>
      <c r="C150" s="60"/>
      <c r="D150" s="60"/>
      <c r="E150" s="60"/>
      <c r="F150" s="60"/>
      <c r="H150" s="60"/>
      <c r="J150" s="72"/>
      <c r="L150" s="72"/>
      <c r="N150" s="60"/>
      <c r="P150" s="72"/>
      <c r="R150" s="72"/>
      <c r="T150" s="60"/>
      <c r="V150" s="72"/>
      <c r="X150" s="72"/>
      <c r="Z150" s="60"/>
      <c r="AB150" s="72"/>
      <c r="AD150" s="72"/>
      <c r="AG150" s="60"/>
    </row>
    <row r="151" spans="1:33" s="119" customFormat="1" ht="15">
      <c r="A151" s="60"/>
      <c r="B151" s="60"/>
      <c r="C151" s="60"/>
      <c r="D151" s="60"/>
      <c r="E151" s="60"/>
      <c r="F151" s="60"/>
      <c r="H151" s="60"/>
      <c r="J151" s="72"/>
      <c r="L151" s="72"/>
      <c r="N151" s="60"/>
      <c r="P151" s="72"/>
      <c r="R151" s="72"/>
      <c r="T151" s="60"/>
      <c r="V151" s="72"/>
      <c r="X151" s="72"/>
      <c r="Z151" s="60"/>
      <c r="AB151" s="72"/>
      <c r="AD151" s="72"/>
      <c r="AG151" s="60"/>
    </row>
    <row r="152" spans="1:33" s="119" customFormat="1" ht="15">
      <c r="A152" s="60"/>
      <c r="B152" s="60"/>
      <c r="C152" s="60"/>
      <c r="D152" s="60"/>
      <c r="E152" s="60"/>
      <c r="F152" s="60"/>
      <c r="H152" s="60"/>
      <c r="J152" s="72"/>
      <c r="L152" s="72"/>
      <c r="N152" s="60"/>
      <c r="P152" s="72"/>
      <c r="R152" s="72"/>
      <c r="T152" s="60"/>
      <c r="V152" s="72"/>
      <c r="X152" s="72"/>
      <c r="Z152" s="60"/>
      <c r="AB152" s="72"/>
      <c r="AD152" s="72"/>
      <c r="AG152" s="60"/>
    </row>
    <row r="153" spans="1:33" s="119" customFormat="1" ht="15">
      <c r="A153" s="60"/>
      <c r="B153" s="60"/>
      <c r="C153" s="60"/>
      <c r="D153" s="60"/>
      <c r="E153" s="60"/>
      <c r="F153" s="60"/>
      <c r="H153" s="60"/>
      <c r="J153" s="72"/>
      <c r="L153" s="72"/>
      <c r="N153" s="60"/>
      <c r="P153" s="72"/>
      <c r="R153" s="72"/>
      <c r="T153" s="60"/>
      <c r="V153" s="72"/>
      <c r="X153" s="72"/>
      <c r="Z153" s="60"/>
      <c r="AB153" s="72"/>
      <c r="AD153" s="72"/>
      <c r="AG153" s="60"/>
    </row>
    <row r="154" spans="1:33" s="119" customFormat="1" ht="15">
      <c r="A154" s="60"/>
      <c r="B154" s="60"/>
      <c r="C154" s="60"/>
      <c r="D154" s="60"/>
      <c r="E154" s="60"/>
      <c r="F154" s="60"/>
      <c r="H154" s="60"/>
      <c r="J154" s="72"/>
      <c r="L154" s="72"/>
      <c r="N154" s="60"/>
      <c r="P154" s="72"/>
      <c r="R154" s="72"/>
      <c r="T154" s="60"/>
      <c r="V154" s="72"/>
      <c r="X154" s="72"/>
      <c r="Z154" s="60"/>
      <c r="AB154" s="72"/>
      <c r="AD154" s="72"/>
      <c r="AG154" s="60"/>
    </row>
    <row r="155" spans="1:33" s="119" customFormat="1" ht="15">
      <c r="A155" s="60"/>
      <c r="B155" s="60"/>
      <c r="C155" s="60"/>
      <c r="D155" s="60"/>
      <c r="E155" s="60"/>
      <c r="F155" s="60"/>
      <c r="H155" s="60"/>
      <c r="J155" s="72"/>
      <c r="L155" s="72"/>
      <c r="N155" s="60"/>
      <c r="P155" s="72"/>
      <c r="R155" s="72"/>
      <c r="T155" s="60"/>
      <c r="V155" s="72"/>
      <c r="X155" s="72"/>
      <c r="Z155" s="60"/>
      <c r="AB155" s="72"/>
      <c r="AD155" s="72"/>
      <c r="AG155" s="60"/>
    </row>
    <row r="156" spans="1:33" s="119" customFormat="1" ht="15">
      <c r="A156" s="60"/>
      <c r="B156" s="60"/>
      <c r="C156" s="60"/>
      <c r="D156" s="60"/>
      <c r="E156" s="60"/>
      <c r="F156" s="60"/>
      <c r="H156" s="60"/>
      <c r="J156" s="72"/>
      <c r="L156" s="72"/>
      <c r="N156" s="60"/>
      <c r="P156" s="72"/>
      <c r="R156" s="72"/>
      <c r="T156" s="60"/>
      <c r="V156" s="72"/>
      <c r="X156" s="72"/>
      <c r="Z156" s="60"/>
      <c r="AB156" s="72"/>
      <c r="AD156" s="72"/>
      <c r="AG156" s="60"/>
    </row>
    <row r="157" spans="1:33" s="119" customFormat="1" ht="15">
      <c r="A157" s="60"/>
      <c r="B157" s="60"/>
      <c r="C157" s="60"/>
      <c r="D157" s="60"/>
      <c r="E157" s="60"/>
      <c r="F157" s="60"/>
      <c r="H157" s="60"/>
      <c r="J157" s="72"/>
      <c r="L157" s="72"/>
      <c r="N157" s="60"/>
      <c r="P157" s="72"/>
      <c r="R157" s="72"/>
      <c r="T157" s="60"/>
      <c r="V157" s="72"/>
      <c r="X157" s="72"/>
      <c r="Z157" s="60"/>
      <c r="AB157" s="72"/>
      <c r="AD157" s="72"/>
      <c r="AG157" s="60"/>
    </row>
    <row r="158" spans="1:33" s="119" customFormat="1" ht="15">
      <c r="A158" s="60"/>
      <c r="B158" s="60"/>
      <c r="C158" s="60"/>
      <c r="D158" s="60"/>
      <c r="E158" s="60"/>
      <c r="F158" s="60"/>
      <c r="H158" s="60"/>
      <c r="J158" s="72"/>
      <c r="L158" s="72"/>
      <c r="N158" s="60"/>
      <c r="P158" s="72"/>
      <c r="R158" s="72"/>
      <c r="T158" s="60"/>
      <c r="V158" s="72"/>
      <c r="X158" s="72"/>
      <c r="Z158" s="60"/>
      <c r="AB158" s="72"/>
      <c r="AD158" s="72"/>
      <c r="AG158" s="60"/>
    </row>
    <row r="159" spans="1:33" s="119" customFormat="1" ht="15">
      <c r="A159" s="60"/>
      <c r="B159" s="60"/>
      <c r="C159" s="60"/>
      <c r="D159" s="60"/>
      <c r="E159" s="60"/>
      <c r="F159" s="60"/>
      <c r="H159" s="60"/>
      <c r="J159" s="72"/>
      <c r="L159" s="72"/>
      <c r="N159" s="60"/>
      <c r="P159" s="72"/>
      <c r="R159" s="72"/>
      <c r="T159" s="60"/>
      <c r="V159" s="72"/>
      <c r="X159" s="72"/>
      <c r="Z159" s="60"/>
      <c r="AB159" s="72"/>
      <c r="AD159" s="72"/>
      <c r="AG159" s="60"/>
    </row>
    <row r="160" spans="1:33" s="119" customFormat="1" ht="15">
      <c r="A160" s="60"/>
      <c r="B160" s="60"/>
      <c r="C160" s="60"/>
      <c r="D160" s="60"/>
      <c r="E160" s="60"/>
      <c r="F160" s="60"/>
      <c r="H160" s="60"/>
      <c r="J160" s="72"/>
      <c r="L160" s="72"/>
      <c r="N160" s="60"/>
      <c r="P160" s="72"/>
      <c r="R160" s="72"/>
      <c r="T160" s="60"/>
      <c r="V160" s="72"/>
      <c r="X160" s="72"/>
      <c r="Z160" s="60"/>
      <c r="AB160" s="72"/>
      <c r="AD160" s="72"/>
      <c r="AG160" s="60"/>
    </row>
    <row r="161" spans="1:33" s="119" customFormat="1" ht="15">
      <c r="A161" s="60"/>
      <c r="B161" s="60"/>
      <c r="C161" s="60"/>
      <c r="D161" s="60"/>
      <c r="E161" s="60"/>
      <c r="F161" s="60"/>
      <c r="H161" s="60"/>
      <c r="J161" s="72"/>
      <c r="L161" s="72"/>
      <c r="N161" s="60"/>
      <c r="P161" s="72"/>
      <c r="R161" s="72"/>
      <c r="T161" s="60"/>
      <c r="V161" s="72"/>
      <c r="X161" s="72"/>
      <c r="Z161" s="60"/>
      <c r="AB161" s="72"/>
      <c r="AD161" s="72"/>
      <c r="AG161" s="60"/>
    </row>
    <row r="162" spans="1:33" s="119" customFormat="1" ht="15">
      <c r="A162" s="60"/>
      <c r="B162" s="60"/>
      <c r="C162" s="60"/>
      <c r="D162" s="60"/>
      <c r="E162" s="60"/>
      <c r="F162" s="60"/>
      <c r="H162" s="60"/>
      <c r="J162" s="72"/>
      <c r="L162" s="72"/>
      <c r="N162" s="60"/>
      <c r="P162" s="72"/>
      <c r="R162" s="72"/>
      <c r="T162" s="60"/>
      <c r="V162" s="72"/>
      <c r="X162" s="72"/>
      <c r="Z162" s="60"/>
      <c r="AB162" s="72"/>
      <c r="AD162" s="72"/>
      <c r="AG162" s="60"/>
    </row>
    <row r="163" spans="1:33" s="119" customFormat="1" ht="15">
      <c r="A163" s="60"/>
      <c r="B163" s="60"/>
      <c r="C163" s="60"/>
      <c r="D163" s="60"/>
      <c r="E163" s="60"/>
      <c r="F163" s="60"/>
      <c r="H163" s="60"/>
      <c r="J163" s="72"/>
      <c r="L163" s="72"/>
      <c r="N163" s="60"/>
      <c r="P163" s="72"/>
      <c r="R163" s="72"/>
      <c r="T163" s="60"/>
      <c r="V163" s="72"/>
      <c r="X163" s="72"/>
      <c r="Z163" s="60"/>
      <c r="AB163" s="72"/>
      <c r="AD163" s="72"/>
      <c r="AG163" s="60"/>
    </row>
    <row r="164" spans="1:33" s="119" customFormat="1" ht="15">
      <c r="A164" s="60"/>
      <c r="B164" s="60"/>
      <c r="C164" s="60"/>
      <c r="D164" s="60"/>
      <c r="E164" s="60"/>
      <c r="F164" s="60"/>
      <c r="H164" s="60"/>
      <c r="J164" s="72"/>
      <c r="L164" s="72"/>
      <c r="N164" s="60"/>
      <c r="P164" s="72"/>
      <c r="R164" s="72"/>
      <c r="T164" s="60"/>
      <c r="V164" s="72"/>
      <c r="X164" s="72"/>
      <c r="Z164" s="60"/>
      <c r="AB164" s="72"/>
      <c r="AD164" s="72"/>
      <c r="AG164" s="60"/>
    </row>
    <row r="165" spans="1:33" s="119" customFormat="1" ht="15">
      <c r="A165" s="60"/>
      <c r="B165" s="60"/>
      <c r="C165" s="60"/>
      <c r="D165" s="60"/>
      <c r="E165" s="60"/>
      <c r="F165" s="60"/>
      <c r="H165" s="60"/>
      <c r="J165" s="72"/>
      <c r="L165" s="72"/>
      <c r="N165" s="60"/>
      <c r="P165" s="72"/>
      <c r="R165" s="72"/>
      <c r="T165" s="60"/>
      <c r="V165" s="72"/>
      <c r="X165" s="72"/>
      <c r="Z165" s="60"/>
      <c r="AB165" s="72"/>
      <c r="AD165" s="72"/>
      <c r="AG165" s="60"/>
    </row>
    <row r="166" spans="1:33" s="119" customFormat="1" ht="15">
      <c r="A166" s="60"/>
      <c r="B166" s="60"/>
      <c r="C166" s="60"/>
      <c r="D166" s="60"/>
      <c r="E166" s="60"/>
      <c r="F166" s="60"/>
      <c r="H166" s="60"/>
      <c r="J166" s="72"/>
      <c r="L166" s="72"/>
      <c r="N166" s="60"/>
      <c r="P166" s="72"/>
      <c r="R166" s="72"/>
      <c r="T166" s="60"/>
      <c r="V166" s="72"/>
      <c r="X166" s="72"/>
      <c r="Z166" s="60"/>
      <c r="AB166" s="72"/>
      <c r="AD166" s="72"/>
      <c r="AG166" s="60"/>
    </row>
    <row r="167" spans="1:33" s="119" customFormat="1" ht="15">
      <c r="A167" s="60"/>
      <c r="B167" s="60"/>
      <c r="C167" s="60"/>
      <c r="D167" s="60"/>
      <c r="E167" s="60"/>
      <c r="F167" s="60"/>
      <c r="H167" s="60"/>
      <c r="J167" s="72"/>
      <c r="L167" s="72"/>
      <c r="N167" s="60"/>
      <c r="P167" s="72"/>
      <c r="R167" s="72"/>
      <c r="T167" s="60"/>
      <c r="V167" s="72"/>
      <c r="X167" s="72"/>
      <c r="Z167" s="60"/>
      <c r="AB167" s="72"/>
      <c r="AD167" s="72"/>
      <c r="AG167" s="60"/>
    </row>
    <row r="168" spans="1:33" s="119" customFormat="1" ht="15">
      <c r="A168" s="60"/>
      <c r="B168" s="60"/>
      <c r="C168" s="60"/>
      <c r="D168" s="60"/>
      <c r="E168" s="60"/>
      <c r="F168" s="60"/>
      <c r="H168" s="60"/>
      <c r="J168" s="72"/>
      <c r="L168" s="72"/>
      <c r="N168" s="60"/>
      <c r="P168" s="72"/>
      <c r="R168" s="72"/>
      <c r="T168" s="60"/>
      <c r="V168" s="72"/>
      <c r="X168" s="72"/>
      <c r="Z168" s="60"/>
      <c r="AB168" s="72"/>
      <c r="AD168" s="72"/>
      <c r="AG168" s="60"/>
    </row>
    <row r="169" spans="1:33" s="119" customFormat="1" ht="15">
      <c r="A169" s="60"/>
      <c r="B169" s="60"/>
      <c r="C169" s="60"/>
      <c r="D169" s="60"/>
      <c r="E169" s="60"/>
      <c r="F169" s="60"/>
      <c r="H169" s="60"/>
      <c r="J169" s="72"/>
      <c r="L169" s="72"/>
      <c r="N169" s="60"/>
      <c r="P169" s="72"/>
      <c r="R169" s="72"/>
      <c r="T169" s="60"/>
      <c r="V169" s="72"/>
      <c r="X169" s="72"/>
      <c r="Z169" s="60"/>
      <c r="AB169" s="72"/>
      <c r="AD169" s="72"/>
      <c r="AG169" s="60"/>
    </row>
    <row r="170" spans="1:33" s="119" customFormat="1" ht="15">
      <c r="A170" s="60"/>
      <c r="B170" s="60"/>
      <c r="C170" s="60"/>
      <c r="D170" s="60"/>
      <c r="E170" s="60"/>
      <c r="F170" s="60"/>
      <c r="H170" s="60"/>
      <c r="J170" s="72"/>
      <c r="L170" s="72"/>
      <c r="N170" s="60"/>
      <c r="P170" s="72"/>
      <c r="R170" s="72"/>
      <c r="T170" s="60"/>
      <c r="V170" s="72"/>
      <c r="X170" s="72"/>
      <c r="Z170" s="60"/>
      <c r="AB170" s="72"/>
      <c r="AD170" s="72"/>
      <c r="AG170" s="60"/>
    </row>
    <row r="171" spans="1:33" s="119" customFormat="1" ht="15">
      <c r="A171" s="60"/>
      <c r="B171" s="60"/>
      <c r="C171" s="60"/>
      <c r="D171" s="60"/>
      <c r="E171" s="60"/>
      <c r="F171" s="60"/>
      <c r="H171" s="60"/>
      <c r="J171" s="72"/>
      <c r="L171" s="72"/>
      <c r="N171" s="60"/>
      <c r="P171" s="72"/>
      <c r="R171" s="72"/>
      <c r="T171" s="60"/>
      <c r="V171" s="72"/>
      <c r="X171" s="72"/>
      <c r="Z171" s="60"/>
      <c r="AB171" s="72"/>
      <c r="AD171" s="72"/>
      <c r="AG171" s="60"/>
    </row>
    <row r="172" spans="1:33" s="119" customFormat="1" ht="15">
      <c r="A172" s="60"/>
      <c r="B172" s="60"/>
      <c r="C172" s="60"/>
      <c r="D172" s="60"/>
      <c r="E172" s="60"/>
      <c r="F172" s="60"/>
      <c r="H172" s="60"/>
      <c r="J172" s="72"/>
      <c r="L172" s="72"/>
      <c r="N172" s="60"/>
      <c r="P172" s="72"/>
      <c r="R172" s="72"/>
      <c r="T172" s="60"/>
      <c r="V172" s="72"/>
      <c r="X172" s="72"/>
      <c r="Z172" s="60"/>
      <c r="AB172" s="72"/>
      <c r="AD172" s="72"/>
      <c r="AG172" s="60"/>
    </row>
    <row r="173" spans="1:33" s="119" customFormat="1" ht="15">
      <c r="A173" s="60"/>
      <c r="B173" s="60"/>
      <c r="C173" s="60"/>
      <c r="D173" s="60"/>
      <c r="E173" s="60"/>
      <c r="F173" s="60"/>
      <c r="H173" s="60"/>
      <c r="J173" s="72"/>
      <c r="L173" s="72"/>
      <c r="N173" s="60"/>
      <c r="P173" s="72"/>
      <c r="R173" s="72"/>
      <c r="T173" s="60"/>
      <c r="V173" s="72"/>
      <c r="X173" s="72"/>
      <c r="Z173" s="60"/>
      <c r="AB173" s="72"/>
      <c r="AD173" s="72"/>
      <c r="AG173" s="60"/>
    </row>
    <row r="174" spans="1:33" s="119" customFormat="1" ht="15">
      <c r="A174" s="60"/>
      <c r="B174" s="60"/>
      <c r="C174" s="60"/>
      <c r="D174" s="60"/>
      <c r="E174" s="60"/>
      <c r="F174" s="60"/>
      <c r="H174" s="60"/>
      <c r="J174" s="72"/>
      <c r="L174" s="72"/>
      <c r="N174" s="60"/>
      <c r="P174" s="72"/>
      <c r="R174" s="72"/>
      <c r="T174" s="60"/>
      <c r="V174" s="72"/>
      <c r="X174" s="72"/>
      <c r="Z174" s="60"/>
      <c r="AB174" s="72"/>
      <c r="AD174" s="72"/>
      <c r="AG174" s="60"/>
    </row>
    <row r="175" spans="1:33" s="119" customFormat="1" ht="15">
      <c r="A175" s="60"/>
      <c r="B175" s="60"/>
      <c r="C175" s="60"/>
      <c r="D175" s="60"/>
      <c r="E175" s="60"/>
      <c r="F175" s="60"/>
      <c r="H175" s="60"/>
      <c r="J175" s="72"/>
      <c r="L175" s="72"/>
      <c r="N175" s="60"/>
      <c r="P175" s="72"/>
      <c r="R175" s="72"/>
      <c r="T175" s="60"/>
      <c r="V175" s="72"/>
      <c r="X175" s="72"/>
      <c r="Z175" s="60"/>
      <c r="AB175" s="72"/>
      <c r="AD175" s="72"/>
      <c r="AG175" s="60"/>
    </row>
    <row r="176" spans="1:33" s="119" customFormat="1" ht="15">
      <c r="A176" s="60"/>
      <c r="B176" s="60"/>
      <c r="C176" s="60"/>
      <c r="D176" s="60"/>
      <c r="E176" s="60"/>
      <c r="F176" s="60"/>
      <c r="H176" s="60"/>
      <c r="J176" s="72"/>
      <c r="L176" s="72"/>
      <c r="N176" s="60"/>
      <c r="P176" s="72"/>
      <c r="R176" s="72"/>
      <c r="T176" s="60"/>
      <c r="V176" s="72"/>
      <c r="X176" s="72"/>
      <c r="Z176" s="60"/>
      <c r="AB176" s="72"/>
      <c r="AD176" s="72"/>
      <c r="AG176" s="60"/>
    </row>
    <row r="177" spans="1:33" s="119" customFormat="1" ht="15">
      <c r="A177" s="60"/>
      <c r="B177" s="60"/>
      <c r="C177" s="60"/>
      <c r="D177" s="60"/>
      <c r="E177" s="60"/>
      <c r="F177" s="60"/>
      <c r="H177" s="60"/>
      <c r="J177" s="72"/>
      <c r="L177" s="72"/>
      <c r="N177" s="60"/>
      <c r="P177" s="72"/>
      <c r="R177" s="72"/>
      <c r="T177" s="60"/>
      <c r="V177" s="72"/>
      <c r="X177" s="72"/>
      <c r="Z177" s="60"/>
      <c r="AB177" s="72"/>
      <c r="AD177" s="72"/>
      <c r="AG177" s="60"/>
    </row>
    <row r="178" spans="1:33" s="119" customFormat="1" ht="15">
      <c r="A178" s="60"/>
      <c r="B178" s="60"/>
      <c r="C178" s="60"/>
      <c r="D178" s="60"/>
      <c r="E178" s="60"/>
      <c r="F178" s="60"/>
      <c r="H178" s="60"/>
      <c r="J178" s="72"/>
      <c r="L178" s="72"/>
      <c r="N178" s="60"/>
      <c r="P178" s="72"/>
      <c r="R178" s="72"/>
      <c r="T178" s="60"/>
      <c r="V178" s="72"/>
      <c r="X178" s="72"/>
      <c r="Z178" s="60"/>
      <c r="AB178" s="72"/>
      <c r="AD178" s="72"/>
      <c r="AG178" s="60"/>
    </row>
    <row r="179" spans="1:33" s="119" customFormat="1" ht="15">
      <c r="A179" s="60"/>
      <c r="B179" s="60"/>
      <c r="C179" s="60"/>
      <c r="D179" s="60"/>
      <c r="E179" s="60"/>
      <c r="F179" s="60"/>
      <c r="H179" s="60"/>
      <c r="J179" s="72"/>
      <c r="L179" s="72"/>
      <c r="N179" s="60"/>
      <c r="P179" s="72"/>
      <c r="R179" s="72"/>
      <c r="T179" s="60"/>
      <c r="V179" s="72"/>
      <c r="X179" s="72"/>
      <c r="Z179" s="60"/>
      <c r="AB179" s="72"/>
      <c r="AD179" s="72"/>
      <c r="AG179" s="60"/>
    </row>
    <row r="180" spans="1:33" s="119" customFormat="1" ht="15">
      <c r="A180" s="60"/>
      <c r="B180" s="60"/>
      <c r="C180" s="60"/>
      <c r="D180" s="60"/>
      <c r="E180" s="60"/>
      <c r="F180" s="60"/>
      <c r="H180" s="60"/>
      <c r="J180" s="72"/>
      <c r="L180" s="72"/>
      <c r="N180" s="60"/>
      <c r="P180" s="72"/>
      <c r="R180" s="72"/>
      <c r="T180" s="60"/>
      <c r="V180" s="72"/>
      <c r="X180" s="72"/>
      <c r="Z180" s="60"/>
      <c r="AB180" s="72"/>
      <c r="AD180" s="72"/>
      <c r="AG180" s="60"/>
    </row>
    <row r="181" spans="1:33" s="119" customFormat="1" ht="15">
      <c r="A181" s="60"/>
      <c r="B181" s="60"/>
      <c r="C181" s="60"/>
      <c r="D181" s="60"/>
      <c r="E181" s="60"/>
      <c r="F181" s="60"/>
      <c r="H181" s="60"/>
      <c r="J181" s="72"/>
      <c r="L181" s="72"/>
      <c r="N181" s="60"/>
      <c r="P181" s="72"/>
      <c r="R181" s="72"/>
      <c r="T181" s="60"/>
      <c r="V181" s="72"/>
      <c r="X181" s="72"/>
      <c r="Z181" s="60"/>
      <c r="AB181" s="72"/>
      <c r="AD181" s="72"/>
      <c r="AG181" s="60"/>
    </row>
    <row r="182" spans="1:33" s="119" customFormat="1" ht="15">
      <c r="A182" s="60"/>
      <c r="B182" s="60"/>
      <c r="C182" s="60"/>
      <c r="D182" s="60"/>
      <c r="E182" s="60"/>
      <c r="F182" s="60"/>
      <c r="H182" s="60"/>
      <c r="J182" s="72"/>
      <c r="L182" s="72"/>
      <c r="N182" s="60"/>
      <c r="P182" s="72"/>
      <c r="R182" s="72"/>
      <c r="T182" s="60"/>
      <c r="V182" s="72"/>
      <c r="X182" s="72"/>
      <c r="Z182" s="60"/>
      <c r="AB182" s="72"/>
      <c r="AD182" s="72"/>
      <c r="AG182" s="60"/>
    </row>
    <row r="183" spans="1:33" s="119" customFormat="1" ht="15">
      <c r="A183" s="60"/>
      <c r="B183" s="60"/>
      <c r="C183" s="60"/>
      <c r="D183" s="60"/>
      <c r="E183" s="60"/>
      <c r="F183" s="60"/>
      <c r="H183" s="60"/>
      <c r="J183" s="72"/>
      <c r="L183" s="72"/>
      <c r="N183" s="60"/>
      <c r="P183" s="72"/>
      <c r="R183" s="72"/>
      <c r="T183" s="60"/>
      <c r="V183" s="72"/>
      <c r="X183" s="72"/>
      <c r="Z183" s="60"/>
      <c r="AB183" s="72"/>
      <c r="AD183" s="72"/>
      <c r="AG183" s="60"/>
    </row>
    <row r="184" spans="1:33" s="119" customFormat="1" ht="15">
      <c r="A184" s="60"/>
      <c r="B184" s="60"/>
      <c r="C184" s="60"/>
      <c r="D184" s="60"/>
      <c r="E184" s="60"/>
      <c r="F184" s="60"/>
      <c r="H184" s="60"/>
      <c r="J184" s="72"/>
      <c r="L184" s="72"/>
      <c r="N184" s="60"/>
      <c r="P184" s="72"/>
      <c r="R184" s="72"/>
      <c r="T184" s="60"/>
      <c r="V184" s="72"/>
      <c r="X184" s="72"/>
      <c r="Z184" s="60"/>
      <c r="AB184" s="72"/>
      <c r="AD184" s="72"/>
      <c r="AG184" s="60"/>
    </row>
    <row r="185" spans="1:33" s="119" customFormat="1" ht="15">
      <c r="A185" s="60"/>
      <c r="B185" s="60"/>
      <c r="C185" s="60"/>
      <c r="D185" s="60"/>
      <c r="E185" s="60"/>
      <c r="F185" s="60"/>
      <c r="H185" s="60"/>
      <c r="J185" s="72"/>
      <c r="L185" s="72"/>
      <c r="N185" s="60"/>
      <c r="P185" s="72"/>
      <c r="R185" s="72"/>
      <c r="T185" s="60"/>
      <c r="V185" s="72"/>
      <c r="X185" s="72"/>
      <c r="Z185" s="60"/>
      <c r="AB185" s="72"/>
      <c r="AD185" s="72"/>
      <c r="AG185" s="60"/>
    </row>
    <row r="186" spans="1:33" s="119" customFormat="1" ht="15">
      <c r="A186" s="60"/>
      <c r="B186" s="60"/>
      <c r="C186" s="60"/>
      <c r="D186" s="60"/>
      <c r="E186" s="60"/>
      <c r="F186" s="60"/>
      <c r="H186" s="60"/>
      <c r="J186" s="72"/>
      <c r="L186" s="72"/>
      <c r="N186" s="60"/>
      <c r="P186" s="72"/>
      <c r="R186" s="72"/>
      <c r="T186" s="60"/>
      <c r="V186" s="72"/>
      <c r="X186" s="72"/>
      <c r="Z186" s="60"/>
      <c r="AB186" s="72"/>
      <c r="AD186" s="72"/>
      <c r="AG186" s="60"/>
    </row>
    <row r="187" spans="1:33" s="119" customFormat="1" ht="15">
      <c r="A187" s="60"/>
      <c r="B187" s="60"/>
      <c r="C187" s="60"/>
      <c r="D187" s="60"/>
      <c r="E187" s="60"/>
      <c r="F187" s="60"/>
      <c r="H187" s="60"/>
      <c r="J187" s="72"/>
      <c r="L187" s="72"/>
      <c r="N187" s="60"/>
      <c r="P187" s="72"/>
      <c r="R187" s="72"/>
      <c r="T187" s="60"/>
      <c r="V187" s="72"/>
      <c r="X187" s="72"/>
      <c r="Z187" s="60"/>
      <c r="AB187" s="72"/>
      <c r="AD187" s="72"/>
      <c r="AG187" s="60"/>
    </row>
    <row r="188" spans="1:33" s="119" customFormat="1" ht="15">
      <c r="A188" s="60"/>
      <c r="B188" s="60"/>
      <c r="C188" s="60"/>
      <c r="D188" s="60"/>
      <c r="E188" s="60"/>
      <c r="F188" s="60"/>
      <c r="H188" s="60"/>
      <c r="J188" s="72"/>
      <c r="L188" s="72"/>
      <c r="N188" s="60"/>
      <c r="P188" s="72"/>
      <c r="R188" s="72"/>
      <c r="T188" s="60"/>
      <c r="V188" s="72"/>
      <c r="X188" s="72"/>
      <c r="Z188" s="60"/>
      <c r="AB188" s="72"/>
      <c r="AD188" s="72"/>
      <c r="AG188" s="60"/>
    </row>
    <row r="189" spans="1:33" s="119" customFormat="1" ht="15">
      <c r="A189" s="60"/>
      <c r="B189" s="60"/>
      <c r="C189" s="60"/>
      <c r="D189" s="60"/>
      <c r="E189" s="60"/>
      <c r="F189" s="60"/>
      <c r="H189" s="60"/>
      <c r="J189" s="72"/>
      <c r="L189" s="72"/>
      <c r="N189" s="60"/>
      <c r="P189" s="72"/>
      <c r="R189" s="72"/>
      <c r="T189" s="60"/>
      <c r="V189" s="72"/>
      <c r="X189" s="72"/>
      <c r="Z189" s="60"/>
      <c r="AB189" s="72"/>
      <c r="AD189" s="72"/>
      <c r="AG189" s="60"/>
    </row>
    <row r="190" spans="1:33" s="119" customFormat="1" ht="15">
      <c r="A190" s="60"/>
      <c r="B190" s="60"/>
      <c r="C190" s="60"/>
      <c r="D190" s="60"/>
      <c r="E190" s="60"/>
      <c r="F190" s="60"/>
      <c r="H190" s="60"/>
      <c r="J190" s="72"/>
      <c r="L190" s="72"/>
      <c r="N190" s="60"/>
      <c r="P190" s="72"/>
      <c r="R190" s="72"/>
      <c r="T190" s="60"/>
      <c r="V190" s="72"/>
      <c r="X190" s="72"/>
      <c r="Z190" s="60"/>
      <c r="AB190" s="72"/>
      <c r="AD190" s="72"/>
      <c r="AG190" s="60"/>
    </row>
    <row r="191" spans="1:33" s="119" customFormat="1" ht="15">
      <c r="A191" s="60"/>
      <c r="B191" s="60"/>
      <c r="C191" s="60"/>
      <c r="D191" s="60"/>
      <c r="E191" s="60"/>
      <c r="F191" s="60"/>
      <c r="H191" s="60"/>
      <c r="J191" s="72"/>
      <c r="L191" s="72"/>
      <c r="N191" s="60"/>
      <c r="P191" s="72"/>
      <c r="R191" s="72"/>
      <c r="T191" s="60"/>
      <c r="V191" s="72"/>
      <c r="X191" s="72"/>
      <c r="Z191" s="60"/>
      <c r="AB191" s="72"/>
      <c r="AD191" s="72"/>
      <c r="AG191" s="60"/>
    </row>
    <row r="192" spans="1:33" s="119" customFormat="1" ht="15">
      <c r="A192" s="60"/>
      <c r="B192" s="60"/>
      <c r="C192" s="60"/>
      <c r="D192" s="60"/>
      <c r="E192" s="60"/>
      <c r="F192" s="60"/>
      <c r="H192" s="60"/>
      <c r="J192" s="72"/>
      <c r="L192" s="72"/>
      <c r="N192" s="60"/>
      <c r="P192" s="72"/>
      <c r="R192" s="72"/>
      <c r="T192" s="60"/>
      <c r="V192" s="72"/>
      <c r="X192" s="72"/>
      <c r="Z192" s="60"/>
      <c r="AB192" s="72"/>
      <c r="AD192" s="72"/>
      <c r="AG192" s="60"/>
    </row>
    <row r="193" spans="1:33" s="119" customFormat="1" ht="15">
      <c r="A193" s="60"/>
      <c r="B193" s="60"/>
      <c r="C193" s="60"/>
      <c r="D193" s="60"/>
      <c r="E193" s="60"/>
      <c r="F193" s="60"/>
      <c r="H193" s="60"/>
      <c r="J193" s="72"/>
      <c r="L193" s="72"/>
      <c r="N193" s="60"/>
      <c r="P193" s="72"/>
      <c r="R193" s="72"/>
      <c r="T193" s="60"/>
      <c r="V193" s="72"/>
      <c r="X193" s="72"/>
      <c r="Z193" s="60"/>
      <c r="AB193" s="72"/>
      <c r="AD193" s="72"/>
      <c r="AG193" s="60"/>
    </row>
    <row r="194" spans="1:33" s="119" customFormat="1" ht="15">
      <c r="A194" s="60"/>
      <c r="B194" s="60"/>
      <c r="C194" s="60"/>
      <c r="D194" s="60"/>
      <c r="E194" s="60"/>
      <c r="F194" s="60"/>
      <c r="H194" s="60"/>
      <c r="J194" s="72"/>
      <c r="L194" s="72"/>
      <c r="N194" s="60"/>
      <c r="P194" s="72"/>
      <c r="R194" s="72"/>
      <c r="T194" s="60"/>
      <c r="V194" s="72"/>
      <c r="X194" s="72"/>
      <c r="Z194" s="60"/>
      <c r="AB194" s="72"/>
      <c r="AD194" s="72"/>
      <c r="AG194" s="60"/>
    </row>
    <row r="195" spans="1:33" s="119" customFormat="1" ht="15">
      <c r="A195" s="60"/>
      <c r="B195" s="60"/>
      <c r="C195" s="60"/>
      <c r="D195" s="60"/>
      <c r="E195" s="60"/>
      <c r="F195" s="60"/>
      <c r="H195" s="60"/>
      <c r="J195" s="72"/>
      <c r="L195" s="72"/>
      <c r="N195" s="60"/>
      <c r="P195" s="72"/>
      <c r="R195" s="72"/>
      <c r="T195" s="60"/>
      <c r="V195" s="72"/>
      <c r="X195" s="72"/>
      <c r="Z195" s="60"/>
      <c r="AB195" s="72"/>
      <c r="AD195" s="72"/>
      <c r="AG195" s="60"/>
    </row>
    <row r="196" spans="1:33" s="119" customFormat="1" ht="15">
      <c r="A196" s="60"/>
      <c r="B196" s="60"/>
      <c r="C196" s="60"/>
      <c r="D196" s="60"/>
      <c r="E196" s="60"/>
      <c r="F196" s="60"/>
      <c r="H196" s="60"/>
      <c r="J196" s="72"/>
      <c r="L196" s="72"/>
      <c r="N196" s="60"/>
      <c r="P196" s="72"/>
      <c r="R196" s="72"/>
      <c r="T196" s="60"/>
      <c r="V196" s="72"/>
      <c r="X196" s="72"/>
      <c r="Z196" s="60"/>
      <c r="AB196" s="72"/>
      <c r="AD196" s="72"/>
      <c r="AG196" s="60"/>
    </row>
    <row r="197" spans="1:33" s="119" customFormat="1" ht="15">
      <c r="A197" s="60"/>
      <c r="B197" s="60"/>
      <c r="C197" s="60"/>
      <c r="D197" s="60"/>
      <c r="E197" s="60"/>
      <c r="F197" s="60"/>
      <c r="H197" s="60"/>
      <c r="J197" s="72"/>
      <c r="L197" s="72"/>
      <c r="N197" s="60"/>
      <c r="P197" s="72"/>
      <c r="R197" s="72"/>
      <c r="T197" s="60"/>
      <c r="V197" s="72"/>
      <c r="X197" s="72"/>
      <c r="Z197" s="60"/>
      <c r="AB197" s="72"/>
      <c r="AD197" s="72"/>
      <c r="AG197" s="60"/>
    </row>
    <row r="198" spans="1:33" s="119" customFormat="1" ht="15">
      <c r="A198" s="60"/>
      <c r="B198" s="60"/>
      <c r="C198" s="60"/>
      <c r="D198" s="60"/>
      <c r="E198" s="60"/>
      <c r="F198" s="60"/>
      <c r="H198" s="60"/>
      <c r="J198" s="72"/>
      <c r="L198" s="72"/>
      <c r="N198" s="60"/>
      <c r="P198" s="72"/>
      <c r="R198" s="72"/>
      <c r="T198" s="60"/>
      <c r="V198" s="72"/>
      <c r="X198" s="72"/>
      <c r="Z198" s="60"/>
      <c r="AB198" s="72"/>
      <c r="AD198" s="72"/>
      <c r="AG198" s="60"/>
    </row>
    <row r="199" spans="1:33" s="119" customFormat="1" ht="15">
      <c r="A199" s="60"/>
      <c r="B199" s="60"/>
      <c r="C199" s="60"/>
      <c r="D199" s="60"/>
      <c r="E199" s="60"/>
      <c r="F199" s="60"/>
      <c r="H199" s="60"/>
      <c r="J199" s="72"/>
      <c r="L199" s="72"/>
      <c r="N199" s="60"/>
      <c r="P199" s="72"/>
      <c r="R199" s="72"/>
      <c r="T199" s="60"/>
      <c r="V199" s="72"/>
      <c r="X199" s="72"/>
      <c r="Z199" s="60"/>
      <c r="AB199" s="72"/>
      <c r="AD199" s="72"/>
      <c r="AG199" s="60"/>
    </row>
    <row r="200" spans="1:33" s="119" customFormat="1" ht="15">
      <c r="A200" s="60"/>
      <c r="B200" s="60"/>
      <c r="C200" s="60"/>
      <c r="D200" s="60"/>
      <c r="E200" s="60"/>
      <c r="F200" s="60"/>
      <c r="H200" s="60"/>
      <c r="J200" s="72"/>
      <c r="L200" s="72"/>
      <c r="N200" s="60"/>
      <c r="P200" s="72"/>
      <c r="R200" s="72"/>
      <c r="T200" s="60"/>
      <c r="V200" s="72"/>
      <c r="X200" s="72"/>
      <c r="Z200" s="60"/>
      <c r="AB200" s="72"/>
      <c r="AD200" s="72"/>
      <c r="AG200" s="60"/>
    </row>
    <row r="201" spans="1:33" s="119" customFormat="1" ht="15">
      <c r="A201" s="60"/>
      <c r="B201" s="60"/>
      <c r="C201" s="60"/>
      <c r="D201" s="60"/>
      <c r="E201" s="60"/>
      <c r="F201" s="60"/>
      <c r="H201" s="60"/>
      <c r="J201" s="72"/>
      <c r="L201" s="72"/>
      <c r="N201" s="60"/>
      <c r="P201" s="72"/>
      <c r="R201" s="72"/>
      <c r="T201" s="60"/>
      <c r="V201" s="72"/>
      <c r="X201" s="72"/>
      <c r="Z201" s="60"/>
      <c r="AB201" s="72"/>
      <c r="AD201" s="72"/>
      <c r="AG201" s="60"/>
    </row>
    <row r="202" spans="1:33" s="119" customFormat="1" ht="15">
      <c r="A202" s="60"/>
      <c r="B202" s="60"/>
      <c r="C202" s="60"/>
      <c r="D202" s="60"/>
      <c r="E202" s="60"/>
      <c r="F202" s="60"/>
      <c r="H202" s="60"/>
      <c r="J202" s="72"/>
      <c r="L202" s="72"/>
      <c r="N202" s="60"/>
      <c r="P202" s="72"/>
      <c r="R202" s="72"/>
      <c r="T202" s="60"/>
      <c r="V202" s="72"/>
      <c r="X202" s="72"/>
      <c r="Z202" s="60"/>
      <c r="AB202" s="72"/>
      <c r="AD202" s="72"/>
      <c r="AG202" s="60"/>
    </row>
    <row r="203" spans="1:33" s="119" customFormat="1" ht="15">
      <c r="A203" s="60"/>
      <c r="B203" s="60"/>
      <c r="C203" s="60"/>
      <c r="D203" s="60"/>
      <c r="E203" s="60"/>
      <c r="F203" s="60"/>
      <c r="H203" s="60"/>
      <c r="J203" s="72"/>
      <c r="L203" s="72"/>
      <c r="N203" s="60"/>
      <c r="P203" s="72"/>
      <c r="R203" s="72"/>
      <c r="T203" s="60"/>
      <c r="V203" s="72"/>
      <c r="X203" s="72"/>
      <c r="Z203" s="60"/>
      <c r="AB203" s="72"/>
      <c r="AD203" s="72"/>
      <c r="AG203" s="60"/>
    </row>
    <row r="204" spans="1:33" s="119" customFormat="1" ht="15">
      <c r="A204" s="60"/>
      <c r="B204" s="60"/>
      <c r="C204" s="60"/>
      <c r="D204" s="60"/>
      <c r="E204" s="60"/>
      <c r="F204" s="60"/>
      <c r="H204" s="60"/>
      <c r="J204" s="72"/>
      <c r="L204" s="72"/>
      <c r="N204" s="60"/>
      <c r="P204" s="72"/>
      <c r="R204" s="72"/>
      <c r="T204" s="60"/>
      <c r="V204" s="72"/>
      <c r="X204" s="72"/>
      <c r="Z204" s="60"/>
      <c r="AB204" s="72"/>
      <c r="AD204" s="72"/>
      <c r="AG204" s="60"/>
    </row>
    <row r="205" spans="1:33" s="119" customFormat="1" ht="15">
      <c r="A205" s="60"/>
      <c r="B205" s="60"/>
      <c r="C205" s="60"/>
      <c r="D205" s="60"/>
      <c r="E205" s="60"/>
      <c r="F205" s="60"/>
      <c r="H205" s="60"/>
      <c r="J205" s="72"/>
      <c r="L205" s="72"/>
      <c r="N205" s="60"/>
      <c r="P205" s="72"/>
      <c r="R205" s="72"/>
      <c r="T205" s="60"/>
      <c r="V205" s="72"/>
      <c r="X205" s="72"/>
      <c r="Z205" s="60"/>
      <c r="AB205" s="72"/>
      <c r="AD205" s="72"/>
      <c r="AG205" s="60"/>
    </row>
    <row r="206" spans="1:33" s="119" customFormat="1" ht="15">
      <c r="A206" s="60"/>
      <c r="B206" s="60"/>
      <c r="C206" s="60"/>
      <c r="D206" s="60"/>
      <c r="E206" s="60"/>
      <c r="F206" s="60"/>
      <c r="H206" s="60"/>
      <c r="J206" s="72"/>
      <c r="L206" s="72"/>
      <c r="N206" s="60"/>
      <c r="P206" s="72"/>
      <c r="R206" s="72"/>
      <c r="T206" s="60"/>
      <c r="V206" s="72"/>
      <c r="X206" s="72"/>
      <c r="Z206" s="60"/>
      <c r="AB206" s="72"/>
      <c r="AD206" s="72"/>
      <c r="AG206" s="60"/>
    </row>
    <row r="207" spans="1:33" s="119" customFormat="1" ht="15">
      <c r="A207" s="60"/>
      <c r="B207" s="60"/>
      <c r="C207" s="60"/>
      <c r="D207" s="60"/>
      <c r="E207" s="60"/>
      <c r="F207" s="60"/>
      <c r="H207" s="60"/>
      <c r="J207" s="72"/>
      <c r="L207" s="72"/>
      <c r="N207" s="60"/>
      <c r="P207" s="72"/>
      <c r="R207" s="72"/>
      <c r="T207" s="60"/>
      <c r="V207" s="72"/>
      <c r="X207" s="72"/>
      <c r="Z207" s="60"/>
      <c r="AB207" s="72"/>
      <c r="AD207" s="72"/>
      <c r="AG207" s="60"/>
    </row>
    <row r="208" spans="1:33" s="119" customFormat="1" ht="15">
      <c r="A208" s="60"/>
      <c r="B208" s="60"/>
      <c r="C208" s="60"/>
      <c r="D208" s="60"/>
      <c r="E208" s="60"/>
      <c r="F208" s="60"/>
      <c r="H208" s="60"/>
      <c r="J208" s="72"/>
      <c r="L208" s="72"/>
      <c r="N208" s="60"/>
      <c r="P208" s="72"/>
      <c r="R208" s="72"/>
      <c r="T208" s="60"/>
      <c r="V208" s="72"/>
      <c r="X208" s="72"/>
      <c r="Z208" s="60"/>
      <c r="AB208" s="72"/>
      <c r="AD208" s="72"/>
      <c r="AG208" s="60"/>
    </row>
    <row r="209" spans="1:33" s="119" customFormat="1" ht="15">
      <c r="A209" s="60"/>
      <c r="B209" s="60"/>
      <c r="C209" s="60"/>
      <c r="D209" s="60"/>
      <c r="E209" s="60"/>
      <c r="F209" s="60"/>
      <c r="H209" s="60"/>
      <c r="J209" s="72"/>
      <c r="L209" s="72"/>
      <c r="N209" s="60"/>
      <c r="P209" s="72"/>
      <c r="R209" s="72"/>
      <c r="T209" s="60"/>
      <c r="V209" s="72"/>
      <c r="X209" s="72"/>
      <c r="Z209" s="60"/>
      <c r="AB209" s="72"/>
      <c r="AD209" s="72"/>
      <c r="AG209" s="60"/>
    </row>
    <row r="210" spans="1:33" s="119" customFormat="1" ht="15">
      <c r="A210" s="60"/>
      <c r="B210" s="60"/>
      <c r="C210" s="60"/>
      <c r="D210" s="60"/>
      <c r="E210" s="60"/>
      <c r="F210" s="60"/>
      <c r="H210" s="60"/>
      <c r="J210" s="72"/>
      <c r="L210" s="72"/>
      <c r="N210" s="60"/>
      <c r="P210" s="72"/>
      <c r="R210" s="72"/>
      <c r="T210" s="60"/>
      <c r="V210" s="72"/>
      <c r="X210" s="72"/>
      <c r="Z210" s="60"/>
      <c r="AB210" s="72"/>
      <c r="AD210" s="72"/>
      <c r="AG210" s="60"/>
    </row>
    <row r="211" spans="1:33" s="119" customFormat="1" ht="15">
      <c r="A211" s="60"/>
      <c r="B211" s="60"/>
      <c r="C211" s="60"/>
      <c r="D211" s="60"/>
      <c r="E211" s="60"/>
      <c r="F211" s="60"/>
      <c r="H211" s="60"/>
      <c r="J211" s="72"/>
      <c r="L211" s="72"/>
      <c r="N211" s="60"/>
      <c r="P211" s="72"/>
      <c r="R211" s="72"/>
      <c r="T211" s="60"/>
      <c r="V211" s="72"/>
      <c r="X211" s="72"/>
      <c r="Z211" s="60"/>
      <c r="AB211" s="72"/>
      <c r="AD211" s="72"/>
      <c r="AG211" s="60"/>
    </row>
    <row r="212" spans="1:33" s="119" customFormat="1" ht="15">
      <c r="A212" s="60"/>
      <c r="B212" s="60"/>
      <c r="C212" s="60"/>
      <c r="D212" s="60"/>
      <c r="E212" s="60"/>
      <c r="F212" s="60"/>
      <c r="H212" s="60"/>
      <c r="J212" s="72"/>
      <c r="L212" s="72"/>
      <c r="N212" s="60"/>
      <c r="P212" s="72"/>
      <c r="R212" s="72"/>
      <c r="T212" s="60"/>
      <c r="V212" s="72"/>
      <c r="X212" s="72"/>
      <c r="Z212" s="60"/>
      <c r="AB212" s="72"/>
      <c r="AD212" s="72"/>
      <c r="AG212" s="60"/>
    </row>
    <row r="213" spans="1:33" s="119" customFormat="1" ht="15">
      <c r="A213" s="60"/>
      <c r="B213" s="60"/>
      <c r="C213" s="60"/>
      <c r="D213" s="60"/>
      <c r="E213" s="60"/>
      <c r="F213" s="60"/>
      <c r="H213" s="60"/>
      <c r="J213" s="72"/>
      <c r="L213" s="72"/>
      <c r="N213" s="60"/>
      <c r="P213" s="72"/>
      <c r="R213" s="72"/>
      <c r="T213" s="60"/>
      <c r="V213" s="72"/>
      <c r="X213" s="72"/>
      <c r="Z213" s="60"/>
      <c r="AB213" s="72"/>
      <c r="AD213" s="72"/>
      <c r="AG213" s="60"/>
    </row>
    <row r="214" spans="1:33" s="119" customFormat="1" ht="15">
      <c r="A214" s="60"/>
      <c r="B214" s="60"/>
      <c r="C214" s="60"/>
      <c r="D214" s="60"/>
      <c r="E214" s="60"/>
      <c r="F214" s="60"/>
      <c r="H214" s="60"/>
      <c r="J214" s="72"/>
      <c r="L214" s="72"/>
      <c r="N214" s="60"/>
      <c r="P214" s="72"/>
      <c r="R214" s="72"/>
      <c r="T214" s="60"/>
      <c r="V214" s="72"/>
      <c r="X214" s="72"/>
      <c r="Z214" s="60"/>
      <c r="AB214" s="72"/>
      <c r="AD214" s="72"/>
      <c r="AG214" s="60"/>
    </row>
    <row r="215" spans="1:33" s="119" customFormat="1" ht="15">
      <c r="A215" s="60"/>
      <c r="B215" s="60"/>
      <c r="C215" s="60"/>
      <c r="D215" s="60"/>
      <c r="E215" s="60"/>
      <c r="F215" s="60"/>
      <c r="H215" s="60"/>
      <c r="J215" s="72"/>
      <c r="L215" s="72"/>
      <c r="N215" s="60"/>
      <c r="P215" s="72"/>
      <c r="R215" s="72"/>
      <c r="T215" s="60"/>
      <c r="V215" s="72"/>
      <c r="X215" s="72"/>
      <c r="Z215" s="60"/>
      <c r="AB215" s="72"/>
      <c r="AD215" s="72"/>
      <c r="AG215" s="60"/>
    </row>
    <row r="216" spans="1:33" s="119" customFormat="1" ht="15">
      <c r="A216" s="60"/>
      <c r="B216" s="60"/>
      <c r="C216" s="60"/>
      <c r="D216" s="60"/>
      <c r="E216" s="60"/>
      <c r="F216" s="60"/>
      <c r="H216" s="60"/>
      <c r="J216" s="72"/>
      <c r="L216" s="72"/>
      <c r="N216" s="60"/>
      <c r="P216" s="72"/>
      <c r="R216" s="72"/>
      <c r="T216" s="60"/>
      <c r="V216" s="72"/>
      <c r="X216" s="72"/>
      <c r="Z216" s="60"/>
      <c r="AB216" s="72"/>
      <c r="AD216" s="72"/>
      <c r="AG216" s="60"/>
    </row>
    <row r="217" spans="1:33" s="119" customFormat="1" ht="15">
      <c r="A217" s="60"/>
      <c r="B217" s="60"/>
      <c r="C217" s="60"/>
      <c r="D217" s="60"/>
      <c r="E217" s="60"/>
      <c r="F217" s="60"/>
      <c r="H217" s="60"/>
      <c r="J217" s="72"/>
      <c r="L217" s="72"/>
      <c r="N217" s="60"/>
      <c r="P217" s="72"/>
      <c r="R217" s="72"/>
      <c r="T217" s="60"/>
      <c r="V217" s="72"/>
      <c r="X217" s="72"/>
      <c r="Z217" s="60"/>
      <c r="AB217" s="72"/>
      <c r="AD217" s="72"/>
      <c r="AG217" s="60"/>
    </row>
    <row r="218" spans="1:33" s="119" customFormat="1" ht="15">
      <c r="A218" s="60"/>
      <c r="B218" s="60"/>
      <c r="C218" s="60"/>
      <c r="D218" s="60"/>
      <c r="E218" s="60"/>
      <c r="F218" s="60"/>
      <c r="H218" s="60"/>
      <c r="J218" s="72"/>
      <c r="L218" s="72"/>
      <c r="N218" s="60"/>
      <c r="P218" s="72"/>
      <c r="R218" s="72"/>
      <c r="T218" s="60"/>
      <c r="V218" s="72"/>
      <c r="X218" s="72"/>
      <c r="Z218" s="60"/>
      <c r="AB218" s="72"/>
      <c r="AD218" s="72"/>
      <c r="AG218" s="60"/>
    </row>
    <row r="219" spans="1:33" s="119" customFormat="1" ht="15">
      <c r="A219" s="60"/>
      <c r="B219" s="60"/>
      <c r="C219" s="60"/>
      <c r="D219" s="60"/>
      <c r="E219" s="60"/>
      <c r="F219" s="60"/>
      <c r="H219" s="60"/>
      <c r="J219" s="72"/>
      <c r="L219" s="72"/>
      <c r="N219" s="60"/>
      <c r="P219" s="72"/>
      <c r="R219" s="72"/>
      <c r="T219" s="60"/>
      <c r="V219" s="72"/>
      <c r="X219" s="72"/>
      <c r="Z219" s="60"/>
      <c r="AB219" s="72"/>
      <c r="AD219" s="72"/>
      <c r="AG219" s="60"/>
    </row>
    <row r="220" spans="1:33" s="119" customFormat="1" ht="15">
      <c r="A220" s="60"/>
      <c r="B220" s="60"/>
      <c r="C220" s="60"/>
      <c r="D220" s="60"/>
      <c r="E220" s="60"/>
      <c r="F220" s="60"/>
      <c r="H220" s="60"/>
      <c r="J220" s="72"/>
      <c r="L220" s="72"/>
      <c r="N220" s="60"/>
      <c r="P220" s="72"/>
      <c r="R220" s="72"/>
      <c r="T220" s="60"/>
      <c r="V220" s="72"/>
      <c r="X220" s="72"/>
      <c r="Z220" s="60"/>
      <c r="AB220" s="72"/>
      <c r="AD220" s="72"/>
      <c r="AG220" s="60"/>
    </row>
    <row r="221" spans="1:33" s="119" customFormat="1" ht="15">
      <c r="A221" s="60"/>
      <c r="B221" s="60"/>
      <c r="C221" s="60"/>
      <c r="D221" s="60"/>
      <c r="E221" s="60"/>
      <c r="F221" s="60"/>
      <c r="H221" s="60"/>
      <c r="J221" s="72"/>
      <c r="L221" s="72"/>
      <c r="N221" s="60"/>
      <c r="P221" s="72"/>
      <c r="R221" s="72"/>
      <c r="T221" s="60"/>
      <c r="V221" s="72"/>
      <c r="X221" s="72"/>
      <c r="Z221" s="60"/>
      <c r="AB221" s="72"/>
      <c r="AD221" s="72"/>
      <c r="AG221" s="60"/>
    </row>
    <row r="222" spans="1:33" s="119" customFormat="1" ht="15">
      <c r="A222" s="60"/>
      <c r="B222" s="60"/>
      <c r="C222" s="60"/>
      <c r="D222" s="60"/>
      <c r="E222" s="60"/>
      <c r="F222" s="60"/>
      <c r="H222" s="60"/>
      <c r="J222" s="72"/>
      <c r="L222" s="72"/>
      <c r="N222" s="60"/>
      <c r="P222" s="72"/>
      <c r="R222" s="72"/>
      <c r="T222" s="60"/>
      <c r="V222" s="72"/>
      <c r="X222" s="72"/>
      <c r="Z222" s="60"/>
      <c r="AB222" s="72"/>
      <c r="AD222" s="72"/>
      <c r="AG222" s="60"/>
    </row>
    <row r="223" spans="1:33" s="119" customFormat="1" ht="15">
      <c r="A223" s="60"/>
      <c r="B223" s="60"/>
      <c r="C223" s="60"/>
      <c r="D223" s="60"/>
      <c r="E223" s="60"/>
      <c r="F223" s="60"/>
      <c r="H223" s="60"/>
      <c r="J223" s="72"/>
      <c r="L223" s="72"/>
      <c r="N223" s="60"/>
      <c r="P223" s="72"/>
      <c r="R223" s="72"/>
      <c r="T223" s="60"/>
      <c r="V223" s="72"/>
      <c r="X223" s="72"/>
      <c r="Z223" s="60"/>
      <c r="AB223" s="72"/>
      <c r="AD223" s="72"/>
      <c r="AG223" s="60"/>
    </row>
    <row r="224" spans="1:33" s="119" customFormat="1" ht="15">
      <c r="A224" s="60"/>
      <c r="B224" s="60"/>
      <c r="C224" s="60"/>
      <c r="D224" s="60"/>
      <c r="E224" s="60"/>
      <c r="F224" s="60"/>
      <c r="H224" s="60"/>
      <c r="J224" s="72"/>
      <c r="L224" s="72"/>
      <c r="N224" s="60"/>
      <c r="P224" s="72"/>
      <c r="R224" s="72"/>
      <c r="T224" s="60"/>
      <c r="V224" s="72"/>
      <c r="X224" s="72"/>
      <c r="Z224" s="60"/>
      <c r="AB224" s="72"/>
      <c r="AD224" s="72"/>
      <c r="AG224" s="60"/>
    </row>
    <row r="225" spans="1:33" s="119" customFormat="1" ht="15">
      <c r="A225" s="60"/>
      <c r="B225" s="60"/>
      <c r="C225" s="60"/>
      <c r="D225" s="60"/>
      <c r="E225" s="60"/>
      <c r="F225" s="60"/>
      <c r="H225" s="60"/>
      <c r="J225" s="72"/>
      <c r="L225" s="72"/>
      <c r="N225" s="60"/>
      <c r="P225" s="72"/>
      <c r="R225" s="72"/>
      <c r="T225" s="60"/>
      <c r="V225" s="72"/>
      <c r="X225" s="72"/>
      <c r="Z225" s="60"/>
      <c r="AB225" s="72"/>
      <c r="AD225" s="72"/>
      <c r="AG225" s="60"/>
    </row>
    <row r="226" spans="1:33" s="119" customFormat="1" ht="15">
      <c r="A226" s="60"/>
      <c r="B226" s="60"/>
      <c r="C226" s="60"/>
      <c r="D226" s="60"/>
      <c r="E226" s="60"/>
      <c r="F226" s="60"/>
      <c r="H226" s="60"/>
      <c r="J226" s="72"/>
      <c r="L226" s="72"/>
      <c r="N226" s="60"/>
      <c r="P226" s="72"/>
      <c r="R226" s="72"/>
      <c r="T226" s="60"/>
      <c r="V226" s="72"/>
      <c r="X226" s="72"/>
      <c r="Z226" s="60"/>
      <c r="AB226" s="72"/>
      <c r="AD226" s="72"/>
      <c r="AG226" s="60"/>
    </row>
    <row r="227" spans="1:33" s="119" customFormat="1" ht="15">
      <c r="A227" s="60"/>
      <c r="B227" s="60"/>
      <c r="C227" s="60"/>
      <c r="D227" s="60"/>
      <c r="E227" s="60"/>
      <c r="F227" s="60"/>
      <c r="H227" s="60"/>
      <c r="J227" s="72"/>
      <c r="L227" s="72"/>
      <c r="N227" s="60"/>
      <c r="P227" s="72"/>
      <c r="R227" s="72"/>
      <c r="T227" s="60"/>
      <c r="V227" s="72"/>
      <c r="X227" s="72"/>
      <c r="Z227" s="60"/>
      <c r="AB227" s="72"/>
      <c r="AD227" s="72"/>
      <c r="AG227" s="60"/>
    </row>
    <row r="228" spans="1:33" s="119" customFormat="1" ht="15">
      <c r="A228" s="60"/>
      <c r="B228" s="60"/>
      <c r="C228" s="60"/>
      <c r="D228" s="60"/>
      <c r="E228" s="60"/>
      <c r="F228" s="60"/>
      <c r="H228" s="60"/>
      <c r="J228" s="72"/>
      <c r="L228" s="72"/>
      <c r="N228" s="60"/>
      <c r="P228" s="72"/>
      <c r="R228" s="72"/>
      <c r="T228" s="60"/>
      <c r="V228" s="72"/>
      <c r="X228" s="72"/>
      <c r="Z228" s="60"/>
      <c r="AB228" s="72"/>
      <c r="AD228" s="72"/>
      <c r="AG228" s="60"/>
    </row>
    <row r="229" spans="1:33" s="119" customFormat="1" ht="15">
      <c r="A229" s="60"/>
      <c r="B229" s="60"/>
      <c r="C229" s="60"/>
      <c r="D229" s="60"/>
      <c r="E229" s="60"/>
      <c r="F229" s="60"/>
      <c r="H229" s="60"/>
      <c r="J229" s="72"/>
      <c r="L229" s="72"/>
      <c r="N229" s="60"/>
      <c r="P229" s="72"/>
      <c r="R229" s="72"/>
      <c r="T229" s="60"/>
      <c r="V229" s="72"/>
      <c r="X229" s="72"/>
      <c r="Z229" s="60"/>
      <c r="AB229" s="72"/>
      <c r="AD229" s="72"/>
      <c r="AG229" s="60"/>
    </row>
    <row r="230" spans="1:33" s="119" customFormat="1" ht="15">
      <c r="A230" s="60"/>
      <c r="B230" s="60"/>
      <c r="C230" s="60"/>
      <c r="D230" s="60"/>
      <c r="E230" s="60"/>
      <c r="F230" s="60"/>
      <c r="H230" s="60"/>
      <c r="J230" s="72"/>
      <c r="L230" s="72"/>
      <c r="N230" s="60"/>
      <c r="P230" s="72"/>
      <c r="R230" s="72"/>
      <c r="T230" s="60"/>
      <c r="V230" s="72"/>
      <c r="X230" s="72"/>
      <c r="Z230" s="60"/>
      <c r="AB230" s="72"/>
      <c r="AD230" s="72"/>
      <c r="AG230" s="60"/>
    </row>
    <row r="231" spans="1:33" s="119" customFormat="1" ht="15">
      <c r="A231" s="60"/>
      <c r="B231" s="60"/>
      <c r="C231" s="60"/>
      <c r="D231" s="60"/>
      <c r="E231" s="60"/>
      <c r="F231" s="60"/>
      <c r="H231" s="60"/>
      <c r="J231" s="72"/>
      <c r="L231" s="72"/>
      <c r="N231" s="60"/>
      <c r="P231" s="72"/>
      <c r="R231" s="72"/>
      <c r="T231" s="60"/>
      <c r="V231" s="72"/>
      <c r="X231" s="72"/>
      <c r="Z231" s="60"/>
      <c r="AB231" s="72"/>
      <c r="AD231" s="72"/>
      <c r="AG231" s="60"/>
    </row>
    <row r="232" spans="1:33" s="119" customFormat="1" ht="15">
      <c r="A232" s="60"/>
      <c r="B232" s="60"/>
      <c r="C232" s="60"/>
      <c r="D232" s="60"/>
      <c r="E232" s="60"/>
      <c r="F232" s="60"/>
      <c r="H232" s="60"/>
      <c r="J232" s="72"/>
      <c r="L232" s="72"/>
      <c r="N232" s="60"/>
      <c r="P232" s="72"/>
      <c r="R232" s="72"/>
      <c r="T232" s="60"/>
      <c r="V232" s="72"/>
      <c r="X232" s="72"/>
      <c r="Z232" s="60"/>
      <c r="AB232" s="72"/>
      <c r="AD232" s="72"/>
      <c r="AG232" s="60"/>
    </row>
    <row r="233" spans="1:33" s="119" customFormat="1" ht="15">
      <c r="A233" s="60"/>
      <c r="B233" s="60"/>
      <c r="C233" s="60"/>
      <c r="D233" s="60"/>
      <c r="E233" s="60"/>
      <c r="F233" s="60"/>
      <c r="H233" s="60"/>
      <c r="J233" s="72"/>
      <c r="L233" s="72"/>
      <c r="N233" s="60"/>
      <c r="P233" s="72"/>
      <c r="R233" s="72"/>
      <c r="T233" s="60"/>
      <c r="V233" s="72"/>
      <c r="X233" s="72"/>
      <c r="Z233" s="60"/>
      <c r="AB233" s="72"/>
      <c r="AD233" s="72"/>
      <c r="AG233" s="60"/>
    </row>
    <row r="234" spans="1:33" s="119" customFormat="1">
      <c r="A234" s="60"/>
      <c r="B234" s="60"/>
      <c r="C234" s="60"/>
      <c r="D234" s="60"/>
      <c r="E234" s="60"/>
      <c r="F234" s="60"/>
      <c r="H234" s="60"/>
      <c r="J234" s="60"/>
      <c r="L234" s="60"/>
      <c r="N234" s="60"/>
      <c r="P234" s="60"/>
      <c r="R234" s="60"/>
      <c r="T234" s="60"/>
      <c r="V234" s="60"/>
      <c r="X234" s="60"/>
      <c r="Z234" s="60"/>
      <c r="AB234" s="60"/>
      <c r="AD234" s="60"/>
      <c r="AF234" s="60"/>
      <c r="AG234" s="60"/>
    </row>
    <row r="235" spans="1:33" s="119" customFormat="1">
      <c r="A235" s="60"/>
      <c r="B235" s="60"/>
      <c r="C235" s="60"/>
      <c r="D235" s="60"/>
      <c r="E235" s="60"/>
      <c r="F235" s="60"/>
      <c r="H235" s="60"/>
      <c r="J235" s="60"/>
      <c r="L235" s="60"/>
      <c r="N235" s="60"/>
      <c r="P235" s="60"/>
      <c r="R235" s="60"/>
      <c r="T235" s="60"/>
      <c r="V235" s="60"/>
      <c r="X235" s="60"/>
      <c r="Z235" s="60"/>
      <c r="AB235" s="60"/>
      <c r="AD235" s="60"/>
      <c r="AF235" s="60"/>
      <c r="AG235" s="60"/>
    </row>
    <row r="236" spans="1:33" s="119" customFormat="1">
      <c r="A236" s="60"/>
      <c r="B236" s="60"/>
      <c r="C236" s="60"/>
      <c r="D236" s="60"/>
      <c r="E236" s="60"/>
      <c r="F236" s="60"/>
      <c r="H236" s="60"/>
      <c r="J236" s="60"/>
      <c r="L236" s="60"/>
      <c r="N236" s="60"/>
      <c r="P236" s="60"/>
      <c r="R236" s="60"/>
      <c r="T236" s="60"/>
      <c r="V236" s="60"/>
      <c r="X236" s="60"/>
      <c r="Z236" s="60"/>
      <c r="AB236" s="60"/>
      <c r="AD236" s="60"/>
      <c r="AF236" s="60"/>
      <c r="AG236" s="60"/>
    </row>
    <row r="237" spans="1:33" s="119" customFormat="1">
      <c r="A237" s="60"/>
      <c r="B237" s="60"/>
      <c r="C237" s="60"/>
      <c r="D237" s="60"/>
      <c r="E237" s="60"/>
      <c r="F237" s="60"/>
      <c r="H237" s="60"/>
      <c r="J237" s="60"/>
      <c r="L237" s="60"/>
      <c r="N237" s="60"/>
      <c r="P237" s="60"/>
      <c r="R237" s="60"/>
      <c r="T237" s="60"/>
      <c r="V237" s="60"/>
      <c r="X237" s="60"/>
      <c r="Z237" s="60"/>
      <c r="AB237" s="60"/>
      <c r="AD237" s="60"/>
      <c r="AF237" s="60"/>
      <c r="AG237" s="60"/>
    </row>
    <row r="238" spans="1:33" s="119" customFormat="1">
      <c r="A238" s="60"/>
      <c r="B238" s="60"/>
      <c r="C238" s="60"/>
      <c r="D238" s="60"/>
      <c r="E238" s="60"/>
      <c r="F238" s="60"/>
      <c r="H238" s="60"/>
      <c r="J238" s="60"/>
      <c r="L238" s="60"/>
      <c r="N238" s="60"/>
      <c r="P238" s="60"/>
      <c r="R238" s="60"/>
      <c r="T238" s="60"/>
      <c r="V238" s="60"/>
      <c r="X238" s="60"/>
      <c r="Z238" s="60"/>
      <c r="AB238" s="60"/>
      <c r="AD238" s="60"/>
      <c r="AF238" s="60"/>
      <c r="AG238" s="60"/>
    </row>
    <row r="239" spans="1:33" s="119" customFormat="1">
      <c r="A239" s="60"/>
      <c r="B239" s="60"/>
      <c r="C239" s="60"/>
      <c r="D239" s="60"/>
      <c r="E239" s="60"/>
      <c r="F239" s="60"/>
      <c r="H239" s="60"/>
      <c r="J239" s="60"/>
      <c r="L239" s="60"/>
      <c r="N239" s="60"/>
      <c r="P239" s="60"/>
      <c r="R239" s="60"/>
      <c r="T239" s="60"/>
      <c r="V239" s="60"/>
      <c r="X239" s="60"/>
      <c r="Z239" s="60"/>
      <c r="AB239" s="60"/>
      <c r="AD239" s="60"/>
      <c r="AF239" s="60"/>
      <c r="AG239" s="60"/>
    </row>
    <row r="240" spans="1:33" s="119" customFormat="1">
      <c r="A240" s="60"/>
      <c r="B240" s="60"/>
      <c r="C240" s="60"/>
      <c r="D240" s="60"/>
      <c r="E240" s="60"/>
      <c r="F240" s="60"/>
      <c r="H240" s="60"/>
      <c r="J240" s="60"/>
      <c r="L240" s="60"/>
      <c r="N240" s="60"/>
      <c r="P240" s="60"/>
      <c r="R240" s="60"/>
      <c r="T240" s="60"/>
      <c r="V240" s="60"/>
      <c r="X240" s="60"/>
      <c r="Z240" s="60"/>
      <c r="AB240" s="60"/>
      <c r="AD240" s="60"/>
      <c r="AF240" s="60"/>
      <c r="AG240" s="60"/>
    </row>
    <row r="241" spans="1:38" s="119" customFormat="1">
      <c r="A241" s="60"/>
      <c r="B241" s="60"/>
      <c r="C241" s="60"/>
      <c r="D241" s="60"/>
      <c r="E241" s="60"/>
      <c r="F241" s="60"/>
      <c r="H241" s="60"/>
      <c r="J241" s="60"/>
      <c r="L241" s="60"/>
      <c r="N241" s="60"/>
      <c r="P241" s="60"/>
      <c r="R241" s="60"/>
      <c r="T241" s="60"/>
      <c r="V241" s="60"/>
      <c r="X241" s="60"/>
      <c r="Z241" s="60"/>
      <c r="AB241" s="60"/>
      <c r="AD241" s="60"/>
      <c r="AF241" s="60"/>
      <c r="AG241" s="60"/>
    </row>
    <row r="242" spans="1:38" s="119" customFormat="1">
      <c r="A242" s="60"/>
      <c r="B242" s="60"/>
      <c r="C242" s="60"/>
      <c r="D242" s="60"/>
      <c r="E242" s="60"/>
      <c r="F242" s="60"/>
      <c r="H242" s="60"/>
      <c r="J242" s="60"/>
      <c r="L242" s="60"/>
      <c r="N242" s="60"/>
      <c r="P242" s="60"/>
      <c r="R242" s="60"/>
      <c r="T242" s="60"/>
      <c r="V242" s="60"/>
      <c r="X242" s="60"/>
      <c r="Z242" s="60"/>
      <c r="AB242" s="60"/>
      <c r="AD242" s="60"/>
      <c r="AF242" s="60"/>
      <c r="AG242" s="60"/>
    </row>
    <row r="243" spans="1:38" s="119" customFormat="1">
      <c r="A243" s="60"/>
      <c r="B243" s="60"/>
      <c r="C243" s="60"/>
      <c r="D243" s="60"/>
      <c r="E243" s="60"/>
      <c r="F243" s="60"/>
      <c r="H243" s="60"/>
      <c r="J243" s="60"/>
      <c r="L243" s="60"/>
      <c r="N243" s="60"/>
      <c r="P243" s="60"/>
      <c r="R243" s="60"/>
      <c r="T243" s="60"/>
      <c r="V243" s="60"/>
      <c r="X243" s="60"/>
      <c r="Z243" s="60"/>
      <c r="AB243" s="60"/>
      <c r="AD243" s="60"/>
      <c r="AF243" s="60"/>
      <c r="AG243" s="60"/>
    </row>
    <row r="244" spans="1:38" s="119" customFormat="1">
      <c r="A244" s="60"/>
      <c r="B244" s="60"/>
      <c r="C244" s="60"/>
      <c r="D244" s="60"/>
      <c r="E244" s="60"/>
      <c r="F244" s="60"/>
      <c r="H244" s="60"/>
      <c r="J244" s="60"/>
      <c r="L244" s="60"/>
      <c r="N244" s="60"/>
      <c r="P244" s="60"/>
      <c r="R244" s="60"/>
      <c r="T244" s="60"/>
      <c r="V244" s="60"/>
      <c r="X244" s="60"/>
      <c r="Z244" s="60"/>
      <c r="AB244" s="60"/>
      <c r="AD244" s="60"/>
      <c r="AF244" s="60"/>
      <c r="AG244" s="60"/>
    </row>
    <row r="245" spans="1:38" s="119" customFormat="1">
      <c r="A245" s="60"/>
      <c r="B245" s="60"/>
      <c r="C245" s="60"/>
      <c r="D245" s="60"/>
      <c r="E245" s="60"/>
      <c r="F245" s="60"/>
      <c r="H245" s="60"/>
      <c r="J245" s="60"/>
      <c r="L245" s="60"/>
      <c r="N245" s="60"/>
      <c r="P245" s="60"/>
      <c r="R245" s="60"/>
      <c r="T245" s="60"/>
      <c r="V245" s="60"/>
      <c r="X245" s="60"/>
      <c r="Z245" s="60"/>
      <c r="AB245" s="60"/>
      <c r="AD245" s="60"/>
      <c r="AF245" s="60"/>
      <c r="AG245" s="60"/>
    </row>
    <row r="246" spans="1:38" s="119" customFormat="1">
      <c r="A246" s="60"/>
      <c r="B246" s="60"/>
      <c r="C246" s="60"/>
      <c r="D246" s="60"/>
      <c r="E246" s="60"/>
      <c r="F246" s="60"/>
      <c r="H246" s="60"/>
      <c r="J246" s="60"/>
      <c r="L246" s="60"/>
      <c r="N246" s="60"/>
      <c r="P246" s="60"/>
      <c r="R246" s="60"/>
      <c r="T246" s="60"/>
      <c r="V246" s="60"/>
      <c r="X246" s="60"/>
      <c r="Z246" s="60"/>
      <c r="AB246" s="60"/>
      <c r="AD246" s="60"/>
      <c r="AF246" s="60"/>
      <c r="AG246" s="60"/>
    </row>
    <row r="247" spans="1:38" s="119" customFormat="1">
      <c r="A247" s="60"/>
      <c r="B247" s="60"/>
      <c r="C247" s="60"/>
      <c r="D247" s="60"/>
      <c r="E247" s="60"/>
      <c r="F247" s="60"/>
      <c r="H247" s="60"/>
      <c r="J247" s="60"/>
      <c r="L247" s="60"/>
      <c r="N247" s="60"/>
      <c r="P247" s="60"/>
      <c r="R247" s="60"/>
      <c r="T247" s="60"/>
      <c r="V247" s="60"/>
      <c r="X247" s="60"/>
      <c r="Z247" s="60"/>
      <c r="AB247" s="60"/>
      <c r="AD247" s="60"/>
      <c r="AF247" s="60"/>
      <c r="AG247" s="60"/>
    </row>
    <row r="248" spans="1:38" s="119" customFormat="1">
      <c r="A248" s="60"/>
      <c r="B248" s="60"/>
      <c r="C248" s="60"/>
      <c r="D248" s="60"/>
      <c r="E248" s="60"/>
      <c r="F248" s="60"/>
      <c r="H248" s="60"/>
      <c r="J248" s="60"/>
      <c r="L248" s="60"/>
      <c r="N248" s="60"/>
      <c r="P248" s="60"/>
      <c r="R248" s="60"/>
      <c r="T248" s="60"/>
      <c r="V248" s="60"/>
      <c r="X248" s="60"/>
      <c r="Z248" s="60"/>
      <c r="AB248" s="60"/>
      <c r="AD248" s="60"/>
      <c r="AF248" s="60"/>
      <c r="AG248" s="60"/>
    </row>
    <row r="249" spans="1:38" s="119" customFormat="1">
      <c r="A249" s="60"/>
      <c r="B249" s="60"/>
      <c r="C249" s="60"/>
      <c r="D249" s="60"/>
      <c r="E249" s="60"/>
      <c r="F249" s="60"/>
      <c r="H249" s="60"/>
      <c r="J249" s="60"/>
      <c r="L249" s="60"/>
      <c r="N249" s="60"/>
      <c r="P249" s="60"/>
      <c r="R249" s="60"/>
      <c r="T249" s="60"/>
      <c r="V249" s="60"/>
      <c r="X249" s="60"/>
      <c r="Z249" s="60"/>
      <c r="AB249" s="60"/>
      <c r="AD249" s="60"/>
      <c r="AF249" s="60"/>
      <c r="AG249" s="60"/>
      <c r="AH249" s="60"/>
      <c r="AI249" s="60"/>
      <c r="AJ249" s="60"/>
      <c r="AK249" s="60"/>
      <c r="AL249" s="60"/>
    </row>
    <row r="250" spans="1:38" s="119" customFormat="1">
      <c r="A250" s="60"/>
      <c r="B250" s="60"/>
      <c r="C250" s="60"/>
      <c r="D250" s="60"/>
      <c r="E250" s="60"/>
      <c r="F250" s="60"/>
      <c r="H250" s="60"/>
      <c r="J250" s="60"/>
      <c r="L250" s="60"/>
      <c r="N250" s="60"/>
      <c r="P250" s="60"/>
      <c r="R250" s="60"/>
      <c r="T250" s="60"/>
      <c r="V250" s="60"/>
      <c r="X250" s="60"/>
      <c r="Z250" s="60"/>
      <c r="AB250" s="60"/>
      <c r="AD250" s="60"/>
      <c r="AF250" s="60"/>
      <c r="AG250" s="60"/>
      <c r="AH250" s="60"/>
      <c r="AI250" s="60"/>
      <c r="AJ250" s="60"/>
      <c r="AK250" s="60"/>
      <c r="AL250" s="60"/>
    </row>
  </sheetData>
  <pageMargins left="0.25" right="0.25" top="0.27" bottom="0.4" header="0.18" footer="0.25"/>
  <pageSetup scale="50" fitToHeight="4" orientation="landscape" errors="blank" horizontalDpi="4294967292" r:id="rId1"/>
  <headerFooter alignWithMargins="0">
    <oddFooter>&amp;L&amp;F - &amp;A&amp;CPrinted &amp;D - &amp;T&amp;RPage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8"/>
  <sheetViews>
    <sheetView workbookViewId="0">
      <pane xSplit="2" ySplit="11" topLeftCell="C12" activePane="bottomRight" state="frozen"/>
      <selection activeCell="K58" sqref="K58"/>
      <selection pane="topRight" activeCell="K58" sqref="K58"/>
      <selection pane="bottomLeft" activeCell="K58" sqref="K58"/>
      <selection pane="bottomRight" activeCell="L50" sqref="L50"/>
    </sheetView>
  </sheetViews>
  <sheetFormatPr defaultRowHeight="15" outlineLevelRow="1" outlineLevelCol="1"/>
  <cols>
    <col min="1" max="1" width="20.140625" style="887" hidden="1" customWidth="1" outlineLevel="1"/>
    <col min="2" max="2" width="36.85546875" style="887" bestFit="1" customWidth="1" collapsed="1"/>
    <col min="3" max="3" width="20.42578125" style="887" customWidth="1"/>
    <col min="4" max="4" width="9.140625" style="887"/>
    <col min="5" max="5" width="4.5703125" style="887" customWidth="1"/>
    <col min="6" max="7" width="10.85546875" style="887" bestFit="1" customWidth="1"/>
    <col min="8" max="16384" width="9.140625" style="887"/>
  </cols>
  <sheetData>
    <row r="1" spans="1:7" hidden="1" outlineLevel="1">
      <c r="B1" s="268" t="s">
        <v>1670</v>
      </c>
      <c r="C1" s="888" t="s">
        <v>592</v>
      </c>
      <c r="D1" s="401"/>
      <c r="E1" s="401"/>
    </row>
    <row r="2" spans="1:7" hidden="1" outlineLevel="1">
      <c r="B2" s="268" t="s">
        <v>1054</v>
      </c>
      <c r="C2" s="888" t="s">
        <v>592</v>
      </c>
      <c r="D2" s="401"/>
      <c r="E2" s="401"/>
    </row>
    <row r="3" spans="1:7" hidden="1" outlineLevel="1">
      <c r="B3" s="268" t="s">
        <v>1056</v>
      </c>
      <c r="C3" s="888" t="s">
        <v>592</v>
      </c>
      <c r="D3" s="401"/>
      <c r="E3" s="401"/>
    </row>
    <row r="4" spans="1:7" hidden="1" outlineLevel="1">
      <c r="B4" s="268" t="s">
        <v>1671</v>
      </c>
      <c r="C4" s="888" t="s">
        <v>593</v>
      </c>
      <c r="D4" s="401"/>
      <c r="E4" s="401"/>
    </row>
    <row r="5" spans="1:7" hidden="1" outlineLevel="1">
      <c r="B5" s="268" t="s">
        <v>1672</v>
      </c>
      <c r="C5" s="888" t="s">
        <v>13</v>
      </c>
      <c r="D5" s="401"/>
      <c r="E5" s="401"/>
    </row>
    <row r="6" spans="1:7" hidden="1" outlineLevel="1"/>
    <row r="7" spans="1:7" collapsed="1">
      <c r="B7" s="232" t="s">
        <v>594</v>
      </c>
      <c r="C7" s="266"/>
    </row>
    <row r="8" spans="1:7">
      <c r="B8" s="232" t="s">
        <v>1673</v>
      </c>
    </row>
    <row r="9" spans="1:7" ht="15" customHeight="1">
      <c r="B9" s="889"/>
      <c r="C9" s="890"/>
      <c r="E9" s="401"/>
      <c r="F9" s="401"/>
      <c r="G9" s="401"/>
    </row>
    <row r="10" spans="1:7">
      <c r="B10" s="889"/>
      <c r="C10" s="241">
        <v>12</v>
      </c>
    </row>
    <row r="11" spans="1:7" ht="15.75" thickBot="1">
      <c r="B11" s="891"/>
      <c r="C11" s="892" t="s">
        <v>1546</v>
      </c>
    </row>
    <row r="12" spans="1:7" ht="15.75" thickBot="1">
      <c r="B12" s="893" t="s">
        <v>1674</v>
      </c>
      <c r="C12" s="889"/>
    </row>
    <row r="13" spans="1:7">
      <c r="B13" s="889"/>
      <c r="C13" s="889"/>
    </row>
    <row r="14" spans="1:7">
      <c r="B14" s="889" t="s">
        <v>1675</v>
      </c>
      <c r="C14" s="889"/>
    </row>
    <row r="15" spans="1:7">
      <c r="A15" s="268" t="s">
        <v>1676</v>
      </c>
      <c r="B15" s="894" t="s">
        <v>1677</v>
      </c>
      <c r="C15" s="257">
        <v>10974106.310000001</v>
      </c>
    </row>
    <row r="16" spans="1:7" ht="15" customHeight="1">
      <c r="A16" s="268" t="s">
        <v>1678</v>
      </c>
      <c r="B16" s="894" t="s">
        <v>1679</v>
      </c>
      <c r="C16" s="276">
        <v>255191351.03</v>
      </c>
    </row>
    <row r="17" spans="1:3">
      <c r="A17" s="268" t="s">
        <v>1680</v>
      </c>
      <c r="B17" s="894" t="s">
        <v>1681</v>
      </c>
      <c r="C17" s="276">
        <v>49727332</v>
      </c>
    </row>
    <row r="18" spans="1:3">
      <c r="A18" s="268" t="s">
        <v>1682</v>
      </c>
      <c r="B18" s="894" t="s">
        <v>1683</v>
      </c>
      <c r="C18" s="276">
        <v>14254562.17</v>
      </c>
    </row>
    <row r="19" spans="1:3">
      <c r="A19" s="268" t="s">
        <v>1684</v>
      </c>
      <c r="B19" s="894" t="s">
        <v>1685</v>
      </c>
      <c r="C19" s="260">
        <v>32279428.09</v>
      </c>
    </row>
    <row r="20" spans="1:3">
      <c r="B20" s="895" t="s">
        <v>1686</v>
      </c>
      <c r="C20" s="891">
        <f>SUM(C15:C19)</f>
        <v>362426779.60000002</v>
      </c>
    </row>
    <row r="21" spans="1:3">
      <c r="A21" s="268"/>
      <c r="B21" s="889"/>
      <c r="C21" s="896"/>
    </row>
    <row r="22" spans="1:3">
      <c r="A22" s="268" t="s">
        <v>1687</v>
      </c>
      <c r="B22" s="897" t="s">
        <v>1688</v>
      </c>
      <c r="C22" s="276">
        <v>2738288106.0999999</v>
      </c>
    </row>
    <row r="23" spans="1:3">
      <c r="A23" s="268" t="s">
        <v>1689</v>
      </c>
      <c r="B23" s="897" t="s">
        <v>1690</v>
      </c>
      <c r="C23" s="276">
        <v>1422824824.1500001</v>
      </c>
    </row>
    <row r="24" spans="1:3">
      <c r="A24" s="268" t="s">
        <v>1691</v>
      </c>
      <c r="B24" s="897" t="s">
        <v>1692</v>
      </c>
      <c r="C24" s="276">
        <v>511293737.24000001</v>
      </c>
    </row>
    <row r="25" spans="1:3">
      <c r="A25" s="898" t="s">
        <v>1693</v>
      </c>
      <c r="B25" s="897" t="s">
        <v>1694</v>
      </c>
      <c r="C25" s="276">
        <v>46232146.509999998</v>
      </c>
    </row>
    <row r="26" spans="1:3">
      <c r="A26" s="898" t="s">
        <v>1695</v>
      </c>
      <c r="B26" s="897" t="s">
        <v>1696</v>
      </c>
      <c r="C26" s="276">
        <v>40732870.640000001</v>
      </c>
    </row>
    <row r="27" spans="1:3">
      <c r="A27" s="898" t="s">
        <v>1697</v>
      </c>
      <c r="B27" s="897" t="s">
        <v>1698</v>
      </c>
      <c r="C27" s="260">
        <v>-0.1</v>
      </c>
    </row>
    <row r="28" spans="1:3">
      <c r="A28" s="268"/>
      <c r="B28" s="891"/>
      <c r="C28" s="896"/>
    </row>
    <row r="29" spans="1:3" ht="15.75" thickBot="1">
      <c r="A29" s="268"/>
      <c r="B29" s="894"/>
      <c r="C29" s="899">
        <f>SUM(C20:C27)</f>
        <v>5121798464.1400003</v>
      </c>
    </row>
    <row r="30" spans="1:3" ht="15.75" thickBot="1">
      <c r="A30" s="268"/>
      <c r="B30" s="889"/>
      <c r="C30" s="896"/>
    </row>
    <row r="31" spans="1:3" ht="15.75" thickBot="1">
      <c r="A31" s="898"/>
      <c r="B31" s="893" t="s">
        <v>1699</v>
      </c>
      <c r="C31" s="889"/>
    </row>
    <row r="32" spans="1:3">
      <c r="A32" s="898"/>
      <c r="B32" s="889"/>
      <c r="C32" s="889"/>
    </row>
    <row r="33" spans="1:5">
      <c r="A33" s="898"/>
      <c r="B33" s="897" t="s">
        <v>1700</v>
      </c>
      <c r="C33" s="889"/>
    </row>
    <row r="34" spans="1:5">
      <c r="A34" s="898" t="s">
        <v>1701</v>
      </c>
      <c r="B34" s="895" t="s">
        <v>1702</v>
      </c>
      <c r="C34" s="257">
        <v>115205798.68000001</v>
      </c>
    </row>
    <row r="35" spans="1:5">
      <c r="A35" s="900" t="s">
        <v>1703</v>
      </c>
      <c r="B35" s="895" t="s">
        <v>1704</v>
      </c>
      <c r="C35" s="276">
        <v>12357170.84</v>
      </c>
      <c r="E35" s="901"/>
    </row>
    <row r="36" spans="1:5">
      <c r="A36" s="898" t="s">
        <v>1705</v>
      </c>
      <c r="B36" s="895" t="s">
        <v>1706</v>
      </c>
      <c r="C36" s="276">
        <v>136018269.84999999</v>
      </c>
      <c r="E36" s="901"/>
    </row>
    <row r="37" spans="1:5">
      <c r="A37" s="901" t="s">
        <v>1707</v>
      </c>
      <c r="B37" s="895" t="s">
        <v>1708</v>
      </c>
      <c r="C37" s="276">
        <v>22216601.629999999</v>
      </c>
      <c r="E37" s="901"/>
    </row>
    <row r="38" spans="1:5">
      <c r="A38" s="900" t="s">
        <v>1709</v>
      </c>
      <c r="B38" s="895" t="s">
        <v>1710</v>
      </c>
      <c r="C38" s="276">
        <v>90348688.359999999</v>
      </c>
    </row>
    <row r="39" spans="1:5">
      <c r="A39" s="900" t="s">
        <v>1711</v>
      </c>
      <c r="B39" s="895" t="s">
        <v>1712</v>
      </c>
      <c r="C39" s="260">
        <v>2127513.0299999998</v>
      </c>
    </row>
    <row r="40" spans="1:5">
      <c r="A40" s="900"/>
      <c r="B40" s="902" t="s">
        <v>1713</v>
      </c>
      <c r="C40" s="891">
        <f>SUM(C34:C39)</f>
        <v>378274042.38999999</v>
      </c>
    </row>
    <row r="41" spans="1:5">
      <c r="A41" s="900"/>
      <c r="B41" s="897"/>
      <c r="C41" s="903"/>
    </row>
    <row r="42" spans="1:5">
      <c r="A42" s="898" t="s">
        <v>1714</v>
      </c>
      <c r="B42" s="897" t="s">
        <v>1715</v>
      </c>
      <c r="C42" s="276">
        <v>2147126720.4000001</v>
      </c>
      <c r="E42" s="904"/>
    </row>
    <row r="43" spans="1:5">
      <c r="A43" s="901" t="s">
        <v>1716</v>
      </c>
      <c r="B43" s="897" t="s">
        <v>1717</v>
      </c>
      <c r="C43" s="276">
        <v>27177194.129999999</v>
      </c>
    </row>
    <row r="44" spans="1:5">
      <c r="A44" s="900" t="s">
        <v>1718</v>
      </c>
      <c r="B44" s="897" t="s">
        <v>1719</v>
      </c>
      <c r="C44" s="276">
        <v>452493423.77999997</v>
      </c>
    </row>
    <row r="45" spans="1:5">
      <c r="A45" s="900" t="s">
        <v>1720</v>
      </c>
      <c r="B45" s="897" t="s">
        <v>1721</v>
      </c>
      <c r="C45" s="260">
        <v>124942887.29000001</v>
      </c>
    </row>
    <row r="46" spans="1:5">
      <c r="A46" s="898"/>
      <c r="B46" s="894" t="s">
        <v>1722</v>
      </c>
      <c r="C46" s="905">
        <f>SUM(C40:C45)</f>
        <v>3130014267.9899998</v>
      </c>
    </row>
    <row r="47" spans="1:5">
      <c r="A47" s="898"/>
      <c r="B47" s="889"/>
      <c r="C47" s="889"/>
    </row>
    <row r="48" spans="1:5">
      <c r="A48" s="900"/>
      <c r="B48" s="906" t="s">
        <v>1723</v>
      </c>
      <c r="C48" s="889"/>
    </row>
    <row r="49" spans="1:4">
      <c r="A49" s="900" t="s">
        <v>1724</v>
      </c>
      <c r="B49" s="894" t="s">
        <v>1725</v>
      </c>
      <c r="C49" s="276">
        <v>1223759.5900000001</v>
      </c>
    </row>
    <row r="50" spans="1:4">
      <c r="A50" s="900" t="s">
        <v>1726</v>
      </c>
      <c r="B50" s="894" t="s">
        <v>1727</v>
      </c>
      <c r="C50" s="276">
        <v>736651941.75</v>
      </c>
    </row>
    <row r="51" spans="1:4">
      <c r="A51" s="900" t="s">
        <v>1728</v>
      </c>
      <c r="B51" s="894" t="s">
        <v>1729</v>
      </c>
      <c r="C51" s="276">
        <v>0</v>
      </c>
    </row>
    <row r="52" spans="1:4">
      <c r="A52" s="900" t="s">
        <v>1730</v>
      </c>
      <c r="B52" s="894" t="s">
        <v>1731</v>
      </c>
      <c r="C52" s="276">
        <v>0</v>
      </c>
    </row>
    <row r="53" spans="1:4">
      <c r="A53" s="907" t="s">
        <v>1732</v>
      </c>
      <c r="B53" s="894" t="s">
        <v>1733</v>
      </c>
      <c r="C53" s="276">
        <v>0</v>
      </c>
    </row>
    <row r="54" spans="1:4">
      <c r="A54" s="907" t="s">
        <v>1734</v>
      </c>
      <c r="B54" s="894" t="s">
        <v>1735</v>
      </c>
      <c r="C54" s="276">
        <v>1259494937.95</v>
      </c>
    </row>
    <row r="55" spans="1:4">
      <c r="A55" s="907" t="s">
        <v>1736</v>
      </c>
      <c r="B55" s="894" t="s">
        <v>1737</v>
      </c>
      <c r="C55" s="260">
        <v>-12170789.68</v>
      </c>
    </row>
    <row r="56" spans="1:4">
      <c r="A56" s="898"/>
      <c r="B56" s="895" t="s">
        <v>1738</v>
      </c>
      <c r="C56" s="891">
        <f>SUM(C49:C55)</f>
        <v>1985199849.6099999</v>
      </c>
    </row>
    <row r="57" spans="1:4">
      <c r="A57" s="907" t="s">
        <v>1739</v>
      </c>
      <c r="B57" s="897" t="s">
        <v>1740</v>
      </c>
      <c r="C57" s="260">
        <v>6584347.7300000004</v>
      </c>
    </row>
    <row r="58" spans="1:4">
      <c r="A58" s="900"/>
      <c r="B58" s="895" t="s">
        <v>1741</v>
      </c>
      <c r="C58" s="908">
        <f>SUM(C56:C57)</f>
        <v>1991784197.3399999</v>
      </c>
    </row>
    <row r="59" spans="1:4">
      <c r="B59" s="895"/>
      <c r="C59" s="889"/>
    </row>
    <row r="60" spans="1:4" ht="15.75" thickBot="1">
      <c r="A60" s="900"/>
      <c r="B60" s="894"/>
      <c r="C60" s="899">
        <f>+C58+C46</f>
        <v>5121798465.3299999</v>
      </c>
    </row>
    <row r="61" spans="1:4">
      <c r="B61" s="889"/>
      <c r="C61" s="896"/>
    </row>
    <row r="62" spans="1:4">
      <c r="A62" s="900"/>
      <c r="B62" s="894"/>
      <c r="C62" s="909">
        <f>+C60-C29</f>
        <v>1.1899995803833008</v>
      </c>
    </row>
    <row r="63" spans="1:4" ht="15.75" thickBot="1">
      <c r="B63" s="910"/>
    </row>
    <row r="64" spans="1:4">
      <c r="B64" s="911"/>
      <c r="C64" s="912" t="s">
        <v>1742</v>
      </c>
      <c r="D64" s="913"/>
    </row>
    <row r="65" spans="2:7">
      <c r="B65" s="914" t="s">
        <v>1743</v>
      </c>
      <c r="C65" s="915">
        <f>C39+C42</f>
        <v>2149254233.4300003</v>
      </c>
      <c r="D65" s="916">
        <f>C65/C67</f>
        <v>0.51901335120677927</v>
      </c>
      <c r="E65" s="917"/>
      <c r="F65" s="918"/>
      <c r="G65" s="918"/>
    </row>
    <row r="66" spans="2:7">
      <c r="B66" s="914" t="s">
        <v>1744</v>
      </c>
      <c r="C66" s="915">
        <f>C58</f>
        <v>1991784197.3399999</v>
      </c>
      <c r="D66" s="916">
        <f>C66/C67</f>
        <v>0.48098664879322067</v>
      </c>
      <c r="E66" s="917"/>
      <c r="F66" s="918"/>
      <c r="G66" s="918"/>
    </row>
    <row r="67" spans="2:7">
      <c r="B67" s="914" t="s">
        <v>1745</v>
      </c>
      <c r="C67" s="919">
        <f>SUM(C65:C66)</f>
        <v>4141038430.7700005</v>
      </c>
      <c r="D67" s="920"/>
      <c r="E67" s="917"/>
      <c r="F67" s="917"/>
      <c r="G67" s="917"/>
    </row>
    <row r="68" spans="2:7" ht="15.75" thickBot="1">
      <c r="B68" s="921"/>
      <c r="C68" s="922"/>
      <c r="D68" s="923"/>
      <c r="E68" s="917"/>
      <c r="F68" s="917"/>
      <c r="G68" s="917"/>
    </row>
    <row r="69" spans="2:7" ht="15.75" thickBot="1">
      <c r="B69" s="917"/>
      <c r="C69" s="917"/>
      <c r="D69" s="917"/>
      <c r="E69" s="917"/>
      <c r="F69" s="917"/>
      <c r="G69" s="917"/>
    </row>
    <row r="70" spans="2:7">
      <c r="B70" s="911"/>
      <c r="C70" s="924"/>
      <c r="D70" s="925"/>
      <c r="E70" s="917"/>
      <c r="F70" s="917"/>
      <c r="G70" s="917"/>
    </row>
    <row r="71" spans="2:7">
      <c r="B71" s="926"/>
      <c r="C71" s="927" t="s">
        <v>1746</v>
      </c>
      <c r="D71" s="920"/>
      <c r="E71" s="917"/>
      <c r="F71" s="917"/>
      <c r="G71" s="917"/>
    </row>
    <row r="72" spans="2:7">
      <c r="B72" s="914" t="s">
        <v>1747</v>
      </c>
      <c r="C72" s="928">
        <f>-'Corp-IS'!D28</f>
        <v>64235764.969999999</v>
      </c>
      <c r="D72" s="929"/>
      <c r="E72" s="917"/>
      <c r="F72" s="917"/>
      <c r="G72" s="917"/>
    </row>
    <row r="73" spans="2:7">
      <c r="B73" s="914" t="s">
        <v>1743</v>
      </c>
      <c r="C73" s="930">
        <f>C65</f>
        <v>2149254233.4300003</v>
      </c>
      <c r="D73" s="929"/>
      <c r="E73" s="917"/>
      <c r="F73" s="917"/>
      <c r="G73" s="917"/>
    </row>
    <row r="74" spans="2:7">
      <c r="B74" s="926"/>
      <c r="C74" s="917"/>
      <c r="D74" s="920"/>
      <c r="E74" s="917"/>
      <c r="F74" s="917"/>
      <c r="G74" s="917"/>
    </row>
    <row r="75" spans="2:7">
      <c r="B75" s="914" t="s">
        <v>1748</v>
      </c>
      <c r="C75" s="931">
        <f>C72/C73</f>
        <v>2.9887466997092278E-2</v>
      </c>
      <c r="D75" s="932"/>
      <c r="E75" s="917"/>
      <c r="F75" s="917"/>
      <c r="G75" s="917"/>
    </row>
    <row r="76" spans="2:7" ht="15.75" thickBot="1">
      <c r="B76" s="921"/>
      <c r="C76" s="922"/>
      <c r="D76" s="923"/>
      <c r="E76" s="917"/>
      <c r="F76" s="917"/>
      <c r="G76" s="917"/>
    </row>
    <row r="77" spans="2:7">
      <c r="B77" s="910"/>
    </row>
    <row r="78" spans="2:7">
      <c r="B78" s="910"/>
    </row>
    <row r="79" spans="2:7">
      <c r="B79" s="910"/>
    </row>
    <row r="80" spans="2:7">
      <c r="B80" s="910"/>
    </row>
    <row r="81" spans="2:2">
      <c r="B81" s="910"/>
    </row>
    <row r="82" spans="2:2">
      <c r="B82" s="910"/>
    </row>
    <row r="83" spans="2:2">
      <c r="B83" s="910"/>
    </row>
    <row r="84" spans="2:2">
      <c r="B84" s="910"/>
    </row>
    <row r="85" spans="2:2">
      <c r="B85" s="910"/>
    </row>
    <row r="86" spans="2:2">
      <c r="B86" s="910"/>
    </row>
    <row r="87" spans="2:2">
      <c r="B87" s="910"/>
    </row>
    <row r="88" spans="2:2">
      <c r="B88" s="910"/>
    </row>
    <row r="89" spans="2:2">
      <c r="B89" s="910"/>
    </row>
    <row r="90" spans="2:2">
      <c r="B90" s="910"/>
    </row>
    <row r="91" spans="2:2">
      <c r="B91" s="910"/>
    </row>
    <row r="92" spans="2:2">
      <c r="B92" s="910"/>
    </row>
    <row r="93" spans="2:2">
      <c r="B93" s="910"/>
    </row>
    <row r="94" spans="2:2">
      <c r="B94" s="910"/>
    </row>
    <row r="95" spans="2:2">
      <c r="B95" s="910"/>
    </row>
    <row r="96" spans="2:2">
      <c r="B96" s="910"/>
    </row>
    <row r="97" spans="2:2">
      <c r="B97" s="910"/>
    </row>
    <row r="98" spans="2:2">
      <c r="B98" s="910"/>
    </row>
    <row r="99" spans="2:2">
      <c r="B99" s="910"/>
    </row>
    <row r="100" spans="2:2">
      <c r="B100" s="910"/>
    </row>
    <row r="101" spans="2:2">
      <c r="B101" s="910"/>
    </row>
    <row r="102" spans="2:2">
      <c r="B102" s="910"/>
    </row>
    <row r="103" spans="2:2">
      <c r="B103" s="910"/>
    </row>
    <row r="104" spans="2:2">
      <c r="B104" s="910"/>
    </row>
    <row r="105" spans="2:2">
      <c r="B105" s="910"/>
    </row>
    <row r="106" spans="2:2">
      <c r="B106" s="910"/>
    </row>
    <row r="107" spans="2:2">
      <c r="B107" s="910"/>
    </row>
    <row r="108" spans="2:2">
      <c r="B108" s="910"/>
    </row>
    <row r="109" spans="2:2">
      <c r="B109" s="910"/>
    </row>
    <row r="110" spans="2:2">
      <c r="B110" s="910"/>
    </row>
    <row r="111" spans="2:2">
      <c r="B111" s="910"/>
    </row>
    <row r="112" spans="2:2">
      <c r="B112" s="910"/>
    </row>
    <row r="113" spans="2:2">
      <c r="B113" s="910"/>
    </row>
    <row r="114" spans="2:2">
      <c r="B114" s="910"/>
    </row>
    <row r="115" spans="2:2">
      <c r="B115" s="910"/>
    </row>
    <row r="116" spans="2:2">
      <c r="B116" s="910"/>
    </row>
    <row r="117" spans="2:2">
      <c r="B117" s="910"/>
    </row>
    <row r="118" spans="2:2">
      <c r="B118" s="910"/>
    </row>
    <row r="119" spans="2:2">
      <c r="B119" s="910"/>
    </row>
    <row r="120" spans="2:2">
      <c r="B120" s="910"/>
    </row>
    <row r="121" spans="2:2">
      <c r="B121" s="910"/>
    </row>
    <row r="122" spans="2:2">
      <c r="B122" s="910"/>
    </row>
    <row r="123" spans="2:2">
      <c r="B123" s="910"/>
    </row>
    <row r="124" spans="2:2">
      <c r="B124" s="910"/>
    </row>
    <row r="125" spans="2:2">
      <c r="B125" s="910"/>
    </row>
    <row r="126" spans="2:2">
      <c r="B126" s="910"/>
    </row>
    <row r="127" spans="2:2">
      <c r="B127" s="910"/>
    </row>
    <row r="128" spans="2:2">
      <c r="B128" s="910"/>
    </row>
    <row r="129" spans="2:2">
      <c r="B129" s="910"/>
    </row>
    <row r="130" spans="2:2">
      <c r="B130" s="910"/>
    </row>
    <row r="131" spans="2:2">
      <c r="B131" s="910"/>
    </row>
    <row r="132" spans="2:2">
      <c r="B132" s="910"/>
    </row>
    <row r="133" spans="2:2">
      <c r="B133" s="910"/>
    </row>
    <row r="134" spans="2:2">
      <c r="B134" s="910"/>
    </row>
    <row r="135" spans="2:2">
      <c r="B135" s="910"/>
    </row>
    <row r="136" spans="2:2">
      <c r="B136" s="910"/>
    </row>
    <row r="137" spans="2:2">
      <c r="B137" s="910"/>
    </row>
    <row r="138" spans="2:2">
      <c r="B138" s="910"/>
    </row>
    <row r="139" spans="2:2">
      <c r="B139" s="910"/>
    </row>
    <row r="140" spans="2:2">
      <c r="B140" s="910"/>
    </row>
    <row r="141" spans="2:2">
      <c r="B141" s="910"/>
    </row>
    <row r="142" spans="2:2">
      <c r="B142" s="910"/>
    </row>
    <row r="143" spans="2:2">
      <c r="B143" s="910"/>
    </row>
    <row r="144" spans="2:2">
      <c r="B144" s="910"/>
    </row>
    <row r="145" spans="2:2">
      <c r="B145" s="910"/>
    </row>
    <row r="146" spans="2:2">
      <c r="B146" s="910"/>
    </row>
    <row r="147" spans="2:2">
      <c r="B147" s="910"/>
    </row>
    <row r="148" spans="2:2">
      <c r="B148" s="910"/>
    </row>
    <row r="149" spans="2:2">
      <c r="B149" s="910"/>
    </row>
    <row r="150" spans="2:2">
      <c r="B150" s="910"/>
    </row>
    <row r="151" spans="2:2">
      <c r="B151" s="910"/>
    </row>
    <row r="152" spans="2:2">
      <c r="B152" s="910"/>
    </row>
    <row r="153" spans="2:2">
      <c r="B153" s="910"/>
    </row>
    <row r="154" spans="2:2">
      <c r="B154" s="910"/>
    </row>
    <row r="155" spans="2:2">
      <c r="B155" s="910"/>
    </row>
    <row r="156" spans="2:2">
      <c r="B156" s="910"/>
    </row>
    <row r="157" spans="2:2">
      <c r="B157" s="910"/>
    </row>
    <row r="158" spans="2:2">
      <c r="B158" s="910"/>
    </row>
    <row r="159" spans="2:2">
      <c r="B159" s="910"/>
    </row>
    <row r="160" spans="2:2">
      <c r="B160" s="910"/>
    </row>
    <row r="161" spans="2:2">
      <c r="B161" s="910"/>
    </row>
    <row r="162" spans="2:2">
      <c r="B162" s="910"/>
    </row>
    <row r="163" spans="2:2">
      <c r="B163" s="910"/>
    </row>
    <row r="164" spans="2:2">
      <c r="B164" s="910"/>
    </row>
    <row r="165" spans="2:2">
      <c r="B165" s="910"/>
    </row>
    <row r="166" spans="2:2">
      <c r="B166" s="910"/>
    </row>
    <row r="167" spans="2:2">
      <c r="B167" s="910"/>
    </row>
    <row r="168" spans="2:2">
      <c r="B168" s="910"/>
    </row>
    <row r="169" spans="2:2">
      <c r="B169" s="910"/>
    </row>
    <row r="170" spans="2:2">
      <c r="B170" s="910"/>
    </row>
    <row r="171" spans="2:2">
      <c r="B171" s="910"/>
    </row>
    <row r="172" spans="2:2">
      <c r="B172" s="910"/>
    </row>
    <row r="173" spans="2:2">
      <c r="B173" s="910"/>
    </row>
    <row r="174" spans="2:2">
      <c r="B174" s="910"/>
    </row>
    <row r="175" spans="2:2">
      <c r="B175" s="910"/>
    </row>
    <row r="176" spans="2:2">
      <c r="B176" s="910"/>
    </row>
    <row r="177" spans="2:2">
      <c r="B177" s="910"/>
    </row>
    <row r="178" spans="2:2">
      <c r="B178" s="910"/>
    </row>
    <row r="179" spans="2:2">
      <c r="B179" s="910"/>
    </row>
    <row r="180" spans="2:2">
      <c r="B180" s="910"/>
    </row>
    <row r="181" spans="2:2">
      <c r="B181" s="910"/>
    </row>
    <row r="182" spans="2:2">
      <c r="B182" s="910"/>
    </row>
    <row r="183" spans="2:2">
      <c r="B183" s="910"/>
    </row>
    <row r="184" spans="2:2">
      <c r="B184" s="910"/>
    </row>
    <row r="185" spans="2:2">
      <c r="B185" s="910"/>
    </row>
    <row r="186" spans="2:2">
      <c r="B186" s="910"/>
    </row>
    <row r="187" spans="2:2">
      <c r="B187" s="910"/>
    </row>
    <row r="188" spans="2:2">
      <c r="B188" s="910"/>
    </row>
    <row r="189" spans="2:2">
      <c r="B189" s="910"/>
    </row>
    <row r="190" spans="2:2">
      <c r="B190" s="910"/>
    </row>
    <row r="191" spans="2:2">
      <c r="B191" s="910"/>
    </row>
    <row r="192" spans="2:2">
      <c r="B192" s="910"/>
    </row>
    <row r="193" spans="2:2">
      <c r="B193" s="910"/>
    </row>
    <row r="194" spans="2:2">
      <c r="B194" s="910"/>
    </row>
    <row r="195" spans="2:2">
      <c r="B195" s="910"/>
    </row>
    <row r="196" spans="2:2">
      <c r="B196" s="910"/>
    </row>
    <row r="197" spans="2:2">
      <c r="B197" s="910"/>
    </row>
    <row r="198" spans="2:2">
      <c r="B198" s="910"/>
    </row>
    <row r="199" spans="2:2">
      <c r="B199" s="910"/>
    </row>
    <row r="200" spans="2:2">
      <c r="B200" s="910"/>
    </row>
    <row r="201" spans="2:2">
      <c r="B201" s="910"/>
    </row>
    <row r="202" spans="2:2">
      <c r="B202" s="910"/>
    </row>
    <row r="203" spans="2:2">
      <c r="B203" s="910"/>
    </row>
    <row r="204" spans="2:2">
      <c r="B204" s="910"/>
    </row>
    <row r="205" spans="2:2">
      <c r="B205" s="910"/>
    </row>
    <row r="206" spans="2:2">
      <c r="B206" s="910"/>
    </row>
    <row r="207" spans="2:2">
      <c r="B207" s="910"/>
    </row>
    <row r="208" spans="2:2">
      <c r="B208" s="910"/>
    </row>
    <row r="209" spans="2:2">
      <c r="B209" s="910"/>
    </row>
    <row r="210" spans="2:2">
      <c r="B210" s="910"/>
    </row>
    <row r="211" spans="2:2">
      <c r="B211" s="910"/>
    </row>
    <row r="212" spans="2:2">
      <c r="B212" s="910"/>
    </row>
    <row r="213" spans="2:2">
      <c r="B213" s="910"/>
    </row>
    <row r="214" spans="2:2">
      <c r="B214" s="910"/>
    </row>
    <row r="215" spans="2:2">
      <c r="B215" s="910"/>
    </row>
    <row r="216" spans="2:2">
      <c r="B216" s="910"/>
    </row>
    <row r="217" spans="2:2">
      <c r="B217" s="910"/>
    </row>
    <row r="218" spans="2:2">
      <c r="B218" s="910"/>
    </row>
    <row r="219" spans="2:2">
      <c r="B219" s="910"/>
    </row>
    <row r="220" spans="2:2">
      <c r="B220" s="910"/>
    </row>
    <row r="221" spans="2:2">
      <c r="B221" s="910"/>
    </row>
    <row r="222" spans="2:2">
      <c r="B222" s="910"/>
    </row>
    <row r="223" spans="2:2">
      <c r="B223" s="910"/>
    </row>
    <row r="224" spans="2:2">
      <c r="B224" s="910"/>
    </row>
    <row r="225" spans="2:2">
      <c r="B225" s="910"/>
    </row>
    <row r="226" spans="2:2">
      <c r="B226" s="910"/>
    </row>
    <row r="227" spans="2:2">
      <c r="B227" s="910"/>
    </row>
    <row r="228" spans="2:2">
      <c r="B228" s="910"/>
    </row>
    <row r="229" spans="2:2">
      <c r="B229" s="910"/>
    </row>
    <row r="230" spans="2:2">
      <c r="B230" s="910"/>
    </row>
    <row r="231" spans="2:2">
      <c r="B231" s="910"/>
    </row>
    <row r="232" spans="2:2">
      <c r="B232" s="910"/>
    </row>
    <row r="233" spans="2:2">
      <c r="B233" s="910"/>
    </row>
    <row r="234" spans="2:2">
      <c r="B234" s="910"/>
    </row>
    <row r="235" spans="2:2">
      <c r="B235" s="910"/>
    </row>
    <row r="236" spans="2:2">
      <c r="B236" s="910"/>
    </row>
    <row r="237" spans="2:2">
      <c r="B237" s="910"/>
    </row>
    <row r="238" spans="2:2">
      <c r="B238" s="910"/>
    </row>
  </sheetData>
  <pageMargins left="0.7" right="0.7" top="0.75" bottom="0.75" header="0.3" footer="0.3"/>
  <pageSetup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topLeftCell="B11" workbookViewId="0">
      <selection activeCell="K58" sqref="K58"/>
    </sheetView>
  </sheetViews>
  <sheetFormatPr defaultRowHeight="15" outlineLevelRow="1" outlineLevelCol="1"/>
  <cols>
    <col min="1" max="1" width="27.5703125" style="268" hidden="1" customWidth="1" outlineLevel="1"/>
    <col min="2" max="2" width="32.28515625" style="268" customWidth="1" collapsed="1"/>
    <col min="3" max="3" width="1.140625" style="268" customWidth="1"/>
    <col min="4" max="4" width="16.7109375" style="268" customWidth="1"/>
    <col min="5" max="5" width="0.7109375" style="268" customWidth="1"/>
    <col min="6" max="256" width="9.140625" style="268"/>
    <col min="257" max="257" width="0" style="268" hidden="1" customWidth="1"/>
    <col min="258" max="258" width="32.28515625" style="268" customWidth="1"/>
    <col min="259" max="259" width="1.140625" style="268" customWidth="1"/>
    <col min="260" max="260" width="16.7109375" style="268" customWidth="1"/>
    <col min="261" max="261" width="0.7109375" style="268" customWidth="1"/>
    <col min="262" max="512" width="9.140625" style="268"/>
    <col min="513" max="513" width="0" style="268" hidden="1" customWidth="1"/>
    <col min="514" max="514" width="32.28515625" style="268" customWidth="1"/>
    <col min="515" max="515" width="1.140625" style="268" customWidth="1"/>
    <col min="516" max="516" width="16.7109375" style="268" customWidth="1"/>
    <col min="517" max="517" width="0.7109375" style="268" customWidth="1"/>
    <col min="518" max="768" width="9.140625" style="268"/>
    <col min="769" max="769" width="0" style="268" hidden="1" customWidth="1"/>
    <col min="770" max="770" width="32.28515625" style="268" customWidth="1"/>
    <col min="771" max="771" width="1.140625" style="268" customWidth="1"/>
    <col min="772" max="772" width="16.7109375" style="268" customWidth="1"/>
    <col min="773" max="773" width="0.7109375" style="268" customWidth="1"/>
    <col min="774" max="1024" width="9.140625" style="268"/>
    <col min="1025" max="1025" width="0" style="268" hidden="1" customWidth="1"/>
    <col min="1026" max="1026" width="32.28515625" style="268" customWidth="1"/>
    <col min="1027" max="1027" width="1.140625" style="268" customWidth="1"/>
    <col min="1028" max="1028" width="16.7109375" style="268" customWidth="1"/>
    <col min="1029" max="1029" width="0.7109375" style="268" customWidth="1"/>
    <col min="1030" max="1280" width="9.140625" style="268"/>
    <col min="1281" max="1281" width="0" style="268" hidden="1" customWidth="1"/>
    <col min="1282" max="1282" width="32.28515625" style="268" customWidth="1"/>
    <col min="1283" max="1283" width="1.140625" style="268" customWidth="1"/>
    <col min="1284" max="1284" width="16.7109375" style="268" customWidth="1"/>
    <col min="1285" max="1285" width="0.7109375" style="268" customWidth="1"/>
    <col min="1286" max="1536" width="9.140625" style="268"/>
    <col min="1537" max="1537" width="0" style="268" hidden="1" customWidth="1"/>
    <col min="1538" max="1538" width="32.28515625" style="268" customWidth="1"/>
    <col min="1539" max="1539" width="1.140625" style="268" customWidth="1"/>
    <col min="1540" max="1540" width="16.7109375" style="268" customWidth="1"/>
    <col min="1541" max="1541" width="0.7109375" style="268" customWidth="1"/>
    <col min="1542" max="1792" width="9.140625" style="268"/>
    <col min="1793" max="1793" width="0" style="268" hidden="1" customWidth="1"/>
    <col min="1794" max="1794" width="32.28515625" style="268" customWidth="1"/>
    <col min="1795" max="1795" width="1.140625" style="268" customWidth="1"/>
    <col min="1796" max="1796" width="16.7109375" style="268" customWidth="1"/>
    <col min="1797" max="1797" width="0.7109375" style="268" customWidth="1"/>
    <col min="1798" max="2048" width="9.140625" style="268"/>
    <col min="2049" max="2049" width="0" style="268" hidden="1" customWidth="1"/>
    <col min="2050" max="2050" width="32.28515625" style="268" customWidth="1"/>
    <col min="2051" max="2051" width="1.140625" style="268" customWidth="1"/>
    <col min="2052" max="2052" width="16.7109375" style="268" customWidth="1"/>
    <col min="2053" max="2053" width="0.7109375" style="268" customWidth="1"/>
    <col min="2054" max="2304" width="9.140625" style="268"/>
    <col min="2305" max="2305" width="0" style="268" hidden="1" customWidth="1"/>
    <col min="2306" max="2306" width="32.28515625" style="268" customWidth="1"/>
    <col min="2307" max="2307" width="1.140625" style="268" customWidth="1"/>
    <col min="2308" max="2308" width="16.7109375" style="268" customWidth="1"/>
    <col min="2309" max="2309" width="0.7109375" style="268" customWidth="1"/>
    <col min="2310" max="2560" width="9.140625" style="268"/>
    <col min="2561" max="2561" width="0" style="268" hidden="1" customWidth="1"/>
    <col min="2562" max="2562" width="32.28515625" style="268" customWidth="1"/>
    <col min="2563" max="2563" width="1.140625" style="268" customWidth="1"/>
    <col min="2564" max="2564" width="16.7109375" style="268" customWidth="1"/>
    <col min="2565" max="2565" width="0.7109375" style="268" customWidth="1"/>
    <col min="2566" max="2816" width="9.140625" style="268"/>
    <col min="2817" max="2817" width="0" style="268" hidden="1" customWidth="1"/>
    <col min="2818" max="2818" width="32.28515625" style="268" customWidth="1"/>
    <col min="2819" max="2819" width="1.140625" style="268" customWidth="1"/>
    <col min="2820" max="2820" width="16.7109375" style="268" customWidth="1"/>
    <col min="2821" max="2821" width="0.7109375" style="268" customWidth="1"/>
    <col min="2822" max="3072" width="9.140625" style="268"/>
    <col min="3073" max="3073" width="0" style="268" hidden="1" customWidth="1"/>
    <col min="3074" max="3074" width="32.28515625" style="268" customWidth="1"/>
    <col min="3075" max="3075" width="1.140625" style="268" customWidth="1"/>
    <col min="3076" max="3076" width="16.7109375" style="268" customWidth="1"/>
    <col min="3077" max="3077" width="0.7109375" style="268" customWidth="1"/>
    <col min="3078" max="3328" width="9.140625" style="268"/>
    <col min="3329" max="3329" width="0" style="268" hidden="1" customWidth="1"/>
    <col min="3330" max="3330" width="32.28515625" style="268" customWidth="1"/>
    <col min="3331" max="3331" width="1.140625" style="268" customWidth="1"/>
    <col min="3332" max="3332" width="16.7109375" style="268" customWidth="1"/>
    <col min="3333" max="3333" width="0.7109375" style="268" customWidth="1"/>
    <col min="3334" max="3584" width="9.140625" style="268"/>
    <col min="3585" max="3585" width="0" style="268" hidden="1" customWidth="1"/>
    <col min="3586" max="3586" width="32.28515625" style="268" customWidth="1"/>
    <col min="3587" max="3587" width="1.140625" style="268" customWidth="1"/>
    <col min="3588" max="3588" width="16.7109375" style="268" customWidth="1"/>
    <col min="3589" max="3589" width="0.7109375" style="268" customWidth="1"/>
    <col min="3590" max="3840" width="9.140625" style="268"/>
    <col min="3841" max="3841" width="0" style="268" hidden="1" customWidth="1"/>
    <col min="3842" max="3842" width="32.28515625" style="268" customWidth="1"/>
    <col min="3843" max="3843" width="1.140625" style="268" customWidth="1"/>
    <col min="3844" max="3844" width="16.7109375" style="268" customWidth="1"/>
    <col min="3845" max="3845" width="0.7109375" style="268" customWidth="1"/>
    <col min="3846" max="4096" width="9.140625" style="268"/>
    <col min="4097" max="4097" width="0" style="268" hidden="1" customWidth="1"/>
    <col min="4098" max="4098" width="32.28515625" style="268" customWidth="1"/>
    <col min="4099" max="4099" width="1.140625" style="268" customWidth="1"/>
    <col min="4100" max="4100" width="16.7109375" style="268" customWidth="1"/>
    <col min="4101" max="4101" width="0.7109375" style="268" customWidth="1"/>
    <col min="4102" max="4352" width="9.140625" style="268"/>
    <col min="4353" max="4353" width="0" style="268" hidden="1" customWidth="1"/>
    <col min="4354" max="4354" width="32.28515625" style="268" customWidth="1"/>
    <col min="4355" max="4355" width="1.140625" style="268" customWidth="1"/>
    <col min="4356" max="4356" width="16.7109375" style="268" customWidth="1"/>
    <col min="4357" max="4357" width="0.7109375" style="268" customWidth="1"/>
    <col min="4358" max="4608" width="9.140625" style="268"/>
    <col min="4609" max="4609" width="0" style="268" hidden="1" customWidth="1"/>
    <col min="4610" max="4610" width="32.28515625" style="268" customWidth="1"/>
    <col min="4611" max="4611" width="1.140625" style="268" customWidth="1"/>
    <col min="4612" max="4612" width="16.7109375" style="268" customWidth="1"/>
    <col min="4613" max="4613" width="0.7109375" style="268" customWidth="1"/>
    <col min="4614" max="4864" width="9.140625" style="268"/>
    <col min="4865" max="4865" width="0" style="268" hidden="1" customWidth="1"/>
    <col min="4866" max="4866" width="32.28515625" style="268" customWidth="1"/>
    <col min="4867" max="4867" width="1.140625" style="268" customWidth="1"/>
    <col min="4868" max="4868" width="16.7109375" style="268" customWidth="1"/>
    <col min="4869" max="4869" width="0.7109375" style="268" customWidth="1"/>
    <col min="4870" max="5120" width="9.140625" style="268"/>
    <col min="5121" max="5121" width="0" style="268" hidden="1" customWidth="1"/>
    <col min="5122" max="5122" width="32.28515625" style="268" customWidth="1"/>
    <col min="5123" max="5123" width="1.140625" style="268" customWidth="1"/>
    <col min="5124" max="5124" width="16.7109375" style="268" customWidth="1"/>
    <col min="5125" max="5125" width="0.7109375" style="268" customWidth="1"/>
    <col min="5126" max="5376" width="9.140625" style="268"/>
    <col min="5377" max="5377" width="0" style="268" hidden="1" customWidth="1"/>
    <col min="5378" max="5378" width="32.28515625" style="268" customWidth="1"/>
    <col min="5379" max="5379" width="1.140625" style="268" customWidth="1"/>
    <col min="5380" max="5380" width="16.7109375" style="268" customWidth="1"/>
    <col min="5381" max="5381" width="0.7109375" style="268" customWidth="1"/>
    <col min="5382" max="5632" width="9.140625" style="268"/>
    <col min="5633" max="5633" width="0" style="268" hidden="1" customWidth="1"/>
    <col min="5634" max="5634" width="32.28515625" style="268" customWidth="1"/>
    <col min="5635" max="5635" width="1.140625" style="268" customWidth="1"/>
    <col min="5636" max="5636" width="16.7109375" style="268" customWidth="1"/>
    <col min="5637" max="5637" width="0.7109375" style="268" customWidth="1"/>
    <col min="5638" max="5888" width="9.140625" style="268"/>
    <col min="5889" max="5889" width="0" style="268" hidden="1" customWidth="1"/>
    <col min="5890" max="5890" width="32.28515625" style="268" customWidth="1"/>
    <col min="5891" max="5891" width="1.140625" style="268" customWidth="1"/>
    <col min="5892" max="5892" width="16.7109375" style="268" customWidth="1"/>
    <col min="5893" max="5893" width="0.7109375" style="268" customWidth="1"/>
    <col min="5894" max="6144" width="9.140625" style="268"/>
    <col min="6145" max="6145" width="0" style="268" hidden="1" customWidth="1"/>
    <col min="6146" max="6146" width="32.28515625" style="268" customWidth="1"/>
    <col min="6147" max="6147" width="1.140625" style="268" customWidth="1"/>
    <col min="6148" max="6148" width="16.7109375" style="268" customWidth="1"/>
    <col min="6149" max="6149" width="0.7109375" style="268" customWidth="1"/>
    <col min="6150" max="6400" width="9.140625" style="268"/>
    <col min="6401" max="6401" width="0" style="268" hidden="1" customWidth="1"/>
    <col min="6402" max="6402" width="32.28515625" style="268" customWidth="1"/>
    <col min="6403" max="6403" width="1.140625" style="268" customWidth="1"/>
    <col min="6404" max="6404" width="16.7109375" style="268" customWidth="1"/>
    <col min="6405" max="6405" width="0.7109375" style="268" customWidth="1"/>
    <col min="6406" max="6656" width="9.140625" style="268"/>
    <col min="6657" max="6657" width="0" style="268" hidden="1" customWidth="1"/>
    <col min="6658" max="6658" width="32.28515625" style="268" customWidth="1"/>
    <col min="6659" max="6659" width="1.140625" style="268" customWidth="1"/>
    <col min="6660" max="6660" width="16.7109375" style="268" customWidth="1"/>
    <col min="6661" max="6661" width="0.7109375" style="268" customWidth="1"/>
    <col min="6662" max="6912" width="9.140625" style="268"/>
    <col min="6913" max="6913" width="0" style="268" hidden="1" customWidth="1"/>
    <col min="6914" max="6914" width="32.28515625" style="268" customWidth="1"/>
    <col min="6915" max="6915" width="1.140625" style="268" customWidth="1"/>
    <col min="6916" max="6916" width="16.7109375" style="268" customWidth="1"/>
    <col min="6917" max="6917" width="0.7109375" style="268" customWidth="1"/>
    <col min="6918" max="7168" width="9.140625" style="268"/>
    <col min="7169" max="7169" width="0" style="268" hidden="1" customWidth="1"/>
    <col min="7170" max="7170" width="32.28515625" style="268" customWidth="1"/>
    <col min="7171" max="7171" width="1.140625" style="268" customWidth="1"/>
    <col min="7172" max="7172" width="16.7109375" style="268" customWidth="1"/>
    <col min="7173" max="7173" width="0.7109375" style="268" customWidth="1"/>
    <col min="7174" max="7424" width="9.140625" style="268"/>
    <col min="7425" max="7425" width="0" style="268" hidden="1" customWidth="1"/>
    <col min="7426" max="7426" width="32.28515625" style="268" customWidth="1"/>
    <col min="7427" max="7427" width="1.140625" style="268" customWidth="1"/>
    <col min="7428" max="7428" width="16.7109375" style="268" customWidth="1"/>
    <col min="7429" max="7429" width="0.7109375" style="268" customWidth="1"/>
    <col min="7430" max="7680" width="9.140625" style="268"/>
    <col min="7681" max="7681" width="0" style="268" hidden="1" customWidth="1"/>
    <col min="7682" max="7682" width="32.28515625" style="268" customWidth="1"/>
    <col min="7683" max="7683" width="1.140625" style="268" customWidth="1"/>
    <col min="7684" max="7684" width="16.7109375" style="268" customWidth="1"/>
    <col min="7685" max="7685" width="0.7109375" style="268" customWidth="1"/>
    <col min="7686" max="7936" width="9.140625" style="268"/>
    <col min="7937" max="7937" width="0" style="268" hidden="1" customWidth="1"/>
    <col min="7938" max="7938" width="32.28515625" style="268" customWidth="1"/>
    <col min="7939" max="7939" width="1.140625" style="268" customWidth="1"/>
    <col min="7940" max="7940" width="16.7109375" style="268" customWidth="1"/>
    <col min="7941" max="7941" width="0.7109375" style="268" customWidth="1"/>
    <col min="7942" max="8192" width="9.140625" style="268"/>
    <col min="8193" max="8193" width="0" style="268" hidden="1" customWidth="1"/>
    <col min="8194" max="8194" width="32.28515625" style="268" customWidth="1"/>
    <col min="8195" max="8195" width="1.140625" style="268" customWidth="1"/>
    <col min="8196" max="8196" width="16.7109375" style="268" customWidth="1"/>
    <col min="8197" max="8197" width="0.7109375" style="268" customWidth="1"/>
    <col min="8198" max="8448" width="9.140625" style="268"/>
    <col min="8449" max="8449" width="0" style="268" hidden="1" customWidth="1"/>
    <col min="8450" max="8450" width="32.28515625" style="268" customWidth="1"/>
    <col min="8451" max="8451" width="1.140625" style="268" customWidth="1"/>
    <col min="8452" max="8452" width="16.7109375" style="268" customWidth="1"/>
    <col min="8453" max="8453" width="0.7109375" style="268" customWidth="1"/>
    <col min="8454" max="8704" width="9.140625" style="268"/>
    <col min="8705" max="8705" width="0" style="268" hidden="1" customWidth="1"/>
    <col min="8706" max="8706" width="32.28515625" style="268" customWidth="1"/>
    <col min="8707" max="8707" width="1.140625" style="268" customWidth="1"/>
    <col min="8708" max="8708" width="16.7109375" style="268" customWidth="1"/>
    <col min="8709" max="8709" width="0.7109375" style="268" customWidth="1"/>
    <col min="8710" max="8960" width="9.140625" style="268"/>
    <col min="8961" max="8961" width="0" style="268" hidden="1" customWidth="1"/>
    <col min="8962" max="8962" width="32.28515625" style="268" customWidth="1"/>
    <col min="8963" max="8963" width="1.140625" style="268" customWidth="1"/>
    <col min="8964" max="8964" width="16.7109375" style="268" customWidth="1"/>
    <col min="8965" max="8965" width="0.7109375" style="268" customWidth="1"/>
    <col min="8966" max="9216" width="9.140625" style="268"/>
    <col min="9217" max="9217" width="0" style="268" hidden="1" customWidth="1"/>
    <col min="9218" max="9218" width="32.28515625" style="268" customWidth="1"/>
    <col min="9219" max="9219" width="1.140625" style="268" customWidth="1"/>
    <col min="9220" max="9220" width="16.7109375" style="268" customWidth="1"/>
    <col min="9221" max="9221" width="0.7109375" style="268" customWidth="1"/>
    <col min="9222" max="9472" width="9.140625" style="268"/>
    <col min="9473" max="9473" width="0" style="268" hidden="1" customWidth="1"/>
    <col min="9474" max="9474" width="32.28515625" style="268" customWidth="1"/>
    <col min="9475" max="9475" width="1.140625" style="268" customWidth="1"/>
    <col min="9476" max="9476" width="16.7109375" style="268" customWidth="1"/>
    <col min="9477" max="9477" width="0.7109375" style="268" customWidth="1"/>
    <col min="9478" max="9728" width="9.140625" style="268"/>
    <col min="9729" max="9729" width="0" style="268" hidden="1" customWidth="1"/>
    <col min="9730" max="9730" width="32.28515625" style="268" customWidth="1"/>
    <col min="9731" max="9731" width="1.140625" style="268" customWidth="1"/>
    <col min="9732" max="9732" width="16.7109375" style="268" customWidth="1"/>
    <col min="9733" max="9733" width="0.7109375" style="268" customWidth="1"/>
    <col min="9734" max="9984" width="9.140625" style="268"/>
    <col min="9985" max="9985" width="0" style="268" hidden="1" customWidth="1"/>
    <col min="9986" max="9986" width="32.28515625" style="268" customWidth="1"/>
    <col min="9987" max="9987" width="1.140625" style="268" customWidth="1"/>
    <col min="9988" max="9988" width="16.7109375" style="268" customWidth="1"/>
    <col min="9989" max="9989" width="0.7109375" style="268" customWidth="1"/>
    <col min="9990" max="10240" width="9.140625" style="268"/>
    <col min="10241" max="10241" width="0" style="268" hidden="1" customWidth="1"/>
    <col min="10242" max="10242" width="32.28515625" style="268" customWidth="1"/>
    <col min="10243" max="10243" width="1.140625" style="268" customWidth="1"/>
    <col min="10244" max="10244" width="16.7109375" style="268" customWidth="1"/>
    <col min="10245" max="10245" width="0.7109375" style="268" customWidth="1"/>
    <col min="10246" max="10496" width="9.140625" style="268"/>
    <col min="10497" max="10497" width="0" style="268" hidden="1" customWidth="1"/>
    <col min="10498" max="10498" width="32.28515625" style="268" customWidth="1"/>
    <col min="10499" max="10499" width="1.140625" style="268" customWidth="1"/>
    <col min="10500" max="10500" width="16.7109375" style="268" customWidth="1"/>
    <col min="10501" max="10501" width="0.7109375" style="268" customWidth="1"/>
    <col min="10502" max="10752" width="9.140625" style="268"/>
    <col min="10753" max="10753" width="0" style="268" hidden="1" customWidth="1"/>
    <col min="10754" max="10754" width="32.28515625" style="268" customWidth="1"/>
    <col min="10755" max="10755" width="1.140625" style="268" customWidth="1"/>
    <col min="10756" max="10756" width="16.7109375" style="268" customWidth="1"/>
    <col min="10757" max="10757" width="0.7109375" style="268" customWidth="1"/>
    <col min="10758" max="11008" width="9.140625" style="268"/>
    <col min="11009" max="11009" width="0" style="268" hidden="1" customWidth="1"/>
    <col min="11010" max="11010" width="32.28515625" style="268" customWidth="1"/>
    <col min="11011" max="11011" width="1.140625" style="268" customWidth="1"/>
    <col min="11012" max="11012" width="16.7109375" style="268" customWidth="1"/>
    <col min="11013" max="11013" width="0.7109375" style="268" customWidth="1"/>
    <col min="11014" max="11264" width="9.140625" style="268"/>
    <col min="11265" max="11265" width="0" style="268" hidden="1" customWidth="1"/>
    <col min="11266" max="11266" width="32.28515625" style="268" customWidth="1"/>
    <col min="11267" max="11267" width="1.140625" style="268" customWidth="1"/>
    <col min="11268" max="11268" width="16.7109375" style="268" customWidth="1"/>
    <col min="11269" max="11269" width="0.7109375" style="268" customWidth="1"/>
    <col min="11270" max="11520" width="9.140625" style="268"/>
    <col min="11521" max="11521" width="0" style="268" hidden="1" customWidth="1"/>
    <col min="11522" max="11522" width="32.28515625" style="268" customWidth="1"/>
    <col min="11523" max="11523" width="1.140625" style="268" customWidth="1"/>
    <col min="11524" max="11524" width="16.7109375" style="268" customWidth="1"/>
    <col min="11525" max="11525" width="0.7109375" style="268" customWidth="1"/>
    <col min="11526" max="11776" width="9.140625" style="268"/>
    <col min="11777" max="11777" width="0" style="268" hidden="1" customWidth="1"/>
    <col min="11778" max="11778" width="32.28515625" style="268" customWidth="1"/>
    <col min="11779" max="11779" width="1.140625" style="268" customWidth="1"/>
    <col min="11780" max="11780" width="16.7109375" style="268" customWidth="1"/>
    <col min="11781" max="11781" width="0.7109375" style="268" customWidth="1"/>
    <col min="11782" max="12032" width="9.140625" style="268"/>
    <col min="12033" max="12033" width="0" style="268" hidden="1" customWidth="1"/>
    <col min="12034" max="12034" width="32.28515625" style="268" customWidth="1"/>
    <col min="12035" max="12035" width="1.140625" style="268" customWidth="1"/>
    <col min="12036" max="12036" width="16.7109375" style="268" customWidth="1"/>
    <col min="12037" max="12037" width="0.7109375" style="268" customWidth="1"/>
    <col min="12038" max="12288" width="9.140625" style="268"/>
    <col min="12289" max="12289" width="0" style="268" hidden="1" customWidth="1"/>
    <col min="12290" max="12290" width="32.28515625" style="268" customWidth="1"/>
    <col min="12291" max="12291" width="1.140625" style="268" customWidth="1"/>
    <col min="12292" max="12292" width="16.7109375" style="268" customWidth="1"/>
    <col min="12293" max="12293" width="0.7109375" style="268" customWidth="1"/>
    <col min="12294" max="12544" width="9.140625" style="268"/>
    <col min="12545" max="12545" width="0" style="268" hidden="1" customWidth="1"/>
    <col min="12546" max="12546" width="32.28515625" style="268" customWidth="1"/>
    <col min="12547" max="12547" width="1.140625" style="268" customWidth="1"/>
    <col min="12548" max="12548" width="16.7109375" style="268" customWidth="1"/>
    <col min="12549" max="12549" width="0.7109375" style="268" customWidth="1"/>
    <col min="12550" max="12800" width="9.140625" style="268"/>
    <col min="12801" max="12801" width="0" style="268" hidden="1" customWidth="1"/>
    <col min="12802" max="12802" width="32.28515625" style="268" customWidth="1"/>
    <col min="12803" max="12803" width="1.140625" style="268" customWidth="1"/>
    <col min="12804" max="12804" width="16.7109375" style="268" customWidth="1"/>
    <col min="12805" max="12805" width="0.7109375" style="268" customWidth="1"/>
    <col min="12806" max="13056" width="9.140625" style="268"/>
    <col min="13057" max="13057" width="0" style="268" hidden="1" customWidth="1"/>
    <col min="13058" max="13058" width="32.28515625" style="268" customWidth="1"/>
    <col min="13059" max="13059" width="1.140625" style="268" customWidth="1"/>
    <col min="13060" max="13060" width="16.7109375" style="268" customWidth="1"/>
    <col min="13061" max="13061" width="0.7109375" style="268" customWidth="1"/>
    <col min="13062" max="13312" width="9.140625" style="268"/>
    <col min="13313" max="13313" width="0" style="268" hidden="1" customWidth="1"/>
    <col min="13314" max="13314" width="32.28515625" style="268" customWidth="1"/>
    <col min="13315" max="13315" width="1.140625" style="268" customWidth="1"/>
    <col min="13316" max="13316" width="16.7109375" style="268" customWidth="1"/>
    <col min="13317" max="13317" width="0.7109375" style="268" customWidth="1"/>
    <col min="13318" max="13568" width="9.140625" style="268"/>
    <col min="13569" max="13569" width="0" style="268" hidden="1" customWidth="1"/>
    <col min="13570" max="13570" width="32.28515625" style="268" customWidth="1"/>
    <col min="13571" max="13571" width="1.140625" style="268" customWidth="1"/>
    <col min="13572" max="13572" width="16.7109375" style="268" customWidth="1"/>
    <col min="13573" max="13573" width="0.7109375" style="268" customWidth="1"/>
    <col min="13574" max="13824" width="9.140625" style="268"/>
    <col min="13825" max="13825" width="0" style="268" hidden="1" customWidth="1"/>
    <col min="13826" max="13826" width="32.28515625" style="268" customWidth="1"/>
    <col min="13827" max="13827" width="1.140625" style="268" customWidth="1"/>
    <col min="13828" max="13828" width="16.7109375" style="268" customWidth="1"/>
    <col min="13829" max="13829" width="0.7109375" style="268" customWidth="1"/>
    <col min="13830" max="14080" width="9.140625" style="268"/>
    <col min="14081" max="14081" width="0" style="268" hidden="1" customWidth="1"/>
    <col min="14082" max="14082" width="32.28515625" style="268" customWidth="1"/>
    <col min="14083" max="14083" width="1.140625" style="268" customWidth="1"/>
    <col min="14084" max="14084" width="16.7109375" style="268" customWidth="1"/>
    <col min="14085" max="14085" width="0.7109375" style="268" customWidth="1"/>
    <col min="14086" max="14336" width="9.140625" style="268"/>
    <col min="14337" max="14337" width="0" style="268" hidden="1" customWidth="1"/>
    <col min="14338" max="14338" width="32.28515625" style="268" customWidth="1"/>
    <col min="14339" max="14339" width="1.140625" style="268" customWidth="1"/>
    <col min="14340" max="14340" width="16.7109375" style="268" customWidth="1"/>
    <col min="14341" max="14341" width="0.7109375" style="268" customWidth="1"/>
    <col min="14342" max="14592" width="9.140625" style="268"/>
    <col min="14593" max="14593" width="0" style="268" hidden="1" customWidth="1"/>
    <col min="14594" max="14594" width="32.28515625" style="268" customWidth="1"/>
    <col min="14595" max="14595" width="1.140625" style="268" customWidth="1"/>
    <col min="14596" max="14596" width="16.7109375" style="268" customWidth="1"/>
    <col min="14597" max="14597" width="0.7109375" style="268" customWidth="1"/>
    <col min="14598" max="14848" width="9.140625" style="268"/>
    <col min="14849" max="14849" width="0" style="268" hidden="1" customWidth="1"/>
    <col min="14850" max="14850" width="32.28515625" style="268" customWidth="1"/>
    <col min="14851" max="14851" width="1.140625" style="268" customWidth="1"/>
    <col min="14852" max="14852" width="16.7109375" style="268" customWidth="1"/>
    <col min="14853" max="14853" width="0.7109375" style="268" customWidth="1"/>
    <col min="14854" max="15104" width="9.140625" style="268"/>
    <col min="15105" max="15105" width="0" style="268" hidden="1" customWidth="1"/>
    <col min="15106" max="15106" width="32.28515625" style="268" customWidth="1"/>
    <col min="15107" max="15107" width="1.140625" style="268" customWidth="1"/>
    <col min="15108" max="15108" width="16.7109375" style="268" customWidth="1"/>
    <col min="15109" max="15109" width="0.7109375" style="268" customWidth="1"/>
    <col min="15110" max="15360" width="9.140625" style="268"/>
    <col min="15361" max="15361" width="0" style="268" hidden="1" customWidth="1"/>
    <col min="15362" max="15362" width="32.28515625" style="268" customWidth="1"/>
    <col min="15363" max="15363" width="1.140625" style="268" customWidth="1"/>
    <col min="15364" max="15364" width="16.7109375" style="268" customWidth="1"/>
    <col min="15365" max="15365" width="0.7109375" style="268" customWidth="1"/>
    <col min="15366" max="15616" width="9.140625" style="268"/>
    <col min="15617" max="15617" width="0" style="268" hidden="1" customWidth="1"/>
    <col min="15618" max="15618" width="32.28515625" style="268" customWidth="1"/>
    <col min="15619" max="15619" width="1.140625" style="268" customWidth="1"/>
    <col min="15620" max="15620" width="16.7109375" style="268" customWidth="1"/>
    <col min="15621" max="15621" width="0.7109375" style="268" customWidth="1"/>
    <col min="15622" max="15872" width="9.140625" style="268"/>
    <col min="15873" max="15873" width="0" style="268" hidden="1" customWidth="1"/>
    <col min="15874" max="15874" width="32.28515625" style="268" customWidth="1"/>
    <col min="15875" max="15875" width="1.140625" style="268" customWidth="1"/>
    <col min="15876" max="15876" width="16.7109375" style="268" customWidth="1"/>
    <col min="15877" max="15877" width="0.7109375" style="268" customWidth="1"/>
    <col min="15878" max="16128" width="9.140625" style="268"/>
    <col min="16129" max="16129" width="0" style="268" hidden="1" customWidth="1"/>
    <col min="16130" max="16130" width="32.28515625" style="268" customWidth="1"/>
    <col min="16131" max="16131" width="1.140625" style="268" customWidth="1"/>
    <col min="16132" max="16132" width="16.7109375" style="268" customWidth="1"/>
    <col min="16133" max="16133" width="0.7109375" style="268" customWidth="1"/>
    <col min="16134" max="16384" width="9.140625" style="268"/>
  </cols>
  <sheetData>
    <row r="1" spans="2:5" hidden="1" outlineLevel="1">
      <c r="B1" s="268" t="s">
        <v>1749</v>
      </c>
      <c r="D1" s="268" t="s">
        <v>592</v>
      </c>
    </row>
    <row r="2" spans="2:5" hidden="1" outlineLevel="1">
      <c r="B2" s="268" t="s">
        <v>1054</v>
      </c>
      <c r="D2" s="268" t="s">
        <v>592</v>
      </c>
    </row>
    <row r="3" spans="2:5" hidden="1" outlineLevel="1">
      <c r="B3" s="268" t="s">
        <v>1056</v>
      </c>
      <c r="D3" s="268" t="s">
        <v>592</v>
      </c>
    </row>
    <row r="4" spans="2:5" hidden="1" outlineLevel="1">
      <c r="B4" s="268" t="s">
        <v>1671</v>
      </c>
      <c r="D4" s="268" t="s">
        <v>593</v>
      </c>
    </row>
    <row r="5" spans="2:5" hidden="1" outlineLevel="1">
      <c r="B5" s="268" t="s">
        <v>1672</v>
      </c>
      <c r="D5" s="268" t="s">
        <v>13</v>
      </c>
    </row>
    <row r="6" spans="2:5" hidden="1" outlineLevel="1">
      <c r="B6" s="268" t="s">
        <v>1750</v>
      </c>
      <c r="D6" s="268" t="s">
        <v>598</v>
      </c>
    </row>
    <row r="7" spans="2:5" hidden="1" outlineLevel="1">
      <c r="B7" s="268" t="s">
        <v>1751</v>
      </c>
      <c r="D7" s="933"/>
    </row>
    <row r="8" spans="2:5" hidden="1" outlineLevel="1">
      <c r="B8" s="268" t="s">
        <v>1752</v>
      </c>
      <c r="D8" s="934">
        <v>2015</v>
      </c>
    </row>
    <row r="9" spans="2:5" hidden="1" outlineLevel="1">
      <c r="B9" s="268" t="s">
        <v>1753</v>
      </c>
      <c r="D9" s="934"/>
    </row>
    <row r="10" spans="2:5" hidden="1" outlineLevel="1"/>
    <row r="11" spans="2:5" collapsed="1">
      <c r="B11" s="232" t="s">
        <v>594</v>
      </c>
      <c r="C11" s="232"/>
      <c r="E11" s="232"/>
    </row>
    <row r="12" spans="2:5">
      <c r="B12" s="232" t="s">
        <v>0</v>
      </c>
      <c r="C12" s="232"/>
      <c r="E12" s="232"/>
    </row>
    <row r="13" spans="2:5">
      <c r="B13" s="232"/>
      <c r="C13" s="232"/>
      <c r="E13" s="232"/>
    </row>
    <row r="14" spans="2:5">
      <c r="D14" s="935" t="s">
        <v>599</v>
      </c>
    </row>
    <row r="15" spans="2:5">
      <c r="D15" s="935" t="s">
        <v>600</v>
      </c>
    </row>
    <row r="16" spans="2:5">
      <c r="D16" s="936" t="s">
        <v>601</v>
      </c>
    </row>
    <row r="17" spans="1:5">
      <c r="D17" s="937"/>
    </row>
    <row r="18" spans="1:5">
      <c r="A18" s="401" t="s">
        <v>1754</v>
      </c>
      <c r="B18" s="268" t="s">
        <v>935</v>
      </c>
      <c r="D18" s="257">
        <v>2117286754.3199999</v>
      </c>
    </row>
    <row r="19" spans="1:5">
      <c r="B19" s="268" t="s">
        <v>1755</v>
      </c>
      <c r="D19" s="257"/>
    </row>
    <row r="20" spans="1:5">
      <c r="A20" s="401" t="s">
        <v>1756</v>
      </c>
      <c r="B20" s="268" t="s">
        <v>1757</v>
      </c>
      <c r="D20" s="276">
        <v>1177408590.8900001</v>
      </c>
      <c r="E20" s="938"/>
    </row>
    <row r="21" spans="1:5">
      <c r="A21" s="401" t="s">
        <v>1758</v>
      </c>
      <c r="B21" s="268" t="s">
        <v>1759</v>
      </c>
      <c r="D21" s="276">
        <v>237483678.37</v>
      </c>
      <c r="E21" s="938"/>
    </row>
    <row r="22" spans="1:5">
      <c r="A22" s="59" t="s">
        <v>1760</v>
      </c>
      <c r="B22" s="268" t="s">
        <v>1761</v>
      </c>
      <c r="D22" s="276">
        <v>240356943.09999999</v>
      </c>
      <c r="E22" s="938"/>
    </row>
    <row r="23" spans="1:5">
      <c r="A23" s="939" t="s">
        <v>1762</v>
      </c>
      <c r="B23" s="268" t="s">
        <v>1763</v>
      </c>
      <c r="D23" s="276">
        <v>29077304.18</v>
      </c>
      <c r="E23" s="938"/>
    </row>
    <row r="24" spans="1:5">
      <c r="A24" s="940" t="s">
        <v>1764</v>
      </c>
      <c r="B24" s="268" t="s">
        <v>1765</v>
      </c>
      <c r="D24" s="941">
        <v>494492321.06</v>
      </c>
      <c r="E24" s="938"/>
    </row>
    <row r="25" spans="1:5">
      <c r="A25" s="942">
        <v>91005</v>
      </c>
      <c r="B25" s="268" t="s">
        <v>1766</v>
      </c>
      <c r="D25" s="260">
        <v>-1984575.24</v>
      </c>
      <c r="E25" s="938"/>
    </row>
    <row r="26" spans="1:5">
      <c r="B26" s="268" t="s">
        <v>1767</v>
      </c>
      <c r="D26" s="938">
        <f>D18-SUM(D20:D25)</f>
        <v>-59547508.040000677</v>
      </c>
      <c r="E26" s="938"/>
    </row>
    <row r="27" spans="1:5">
      <c r="D27" s="938"/>
      <c r="E27" s="938"/>
    </row>
    <row r="28" spans="1:5">
      <c r="A28" s="940" t="s">
        <v>1768</v>
      </c>
      <c r="B28" s="268" t="s">
        <v>1769</v>
      </c>
      <c r="D28" s="276">
        <v>-64235764.969999999</v>
      </c>
      <c r="E28" s="938"/>
    </row>
    <row r="29" spans="1:5">
      <c r="A29" s="940" t="s">
        <v>1770</v>
      </c>
      <c r="B29" s="268" t="s">
        <v>1771</v>
      </c>
      <c r="D29" s="276">
        <v>486618.03</v>
      </c>
      <c r="E29" s="938"/>
    </row>
    <row r="30" spans="1:5">
      <c r="A30" s="401" t="s">
        <v>1772</v>
      </c>
      <c r="B30" s="268" t="s">
        <v>1773</v>
      </c>
      <c r="D30" s="260">
        <v>-2989588.4299999997</v>
      </c>
      <c r="E30" s="938"/>
    </row>
    <row r="31" spans="1:5">
      <c r="D31" s="938"/>
      <c r="E31" s="938"/>
    </row>
    <row r="32" spans="1:5">
      <c r="B32" s="268" t="s">
        <v>1774</v>
      </c>
      <c r="D32" s="938">
        <f>SUM(D26:D30)</f>
        <v>-126286243.41000068</v>
      </c>
      <c r="E32" s="938"/>
    </row>
    <row r="33" spans="1:5">
      <c r="D33" s="938"/>
      <c r="E33" s="938"/>
    </row>
    <row r="34" spans="1:5">
      <c r="A34" s="940" t="s">
        <v>1775</v>
      </c>
      <c r="B34" s="268" t="s">
        <v>1776</v>
      </c>
      <c r="D34" s="260">
        <v>31592603</v>
      </c>
      <c r="E34" s="938"/>
    </row>
    <row r="35" spans="1:5">
      <c r="D35" s="938"/>
      <c r="E35" s="938"/>
    </row>
    <row r="36" spans="1:5">
      <c r="B36" s="268" t="s">
        <v>1777</v>
      </c>
      <c r="D36" s="938">
        <f>SUM(D32:D34)</f>
        <v>-94693640.410000682</v>
      </c>
      <c r="E36" s="938"/>
    </row>
    <row r="37" spans="1:5">
      <c r="B37" s="268" t="s">
        <v>1778</v>
      </c>
      <c r="D37" s="938"/>
      <c r="E37" s="938"/>
    </row>
    <row r="38" spans="1:5">
      <c r="A38" s="940" t="s">
        <v>1779</v>
      </c>
      <c r="B38" s="268" t="s">
        <v>1780</v>
      </c>
      <c r="D38" s="260">
        <v>-1070657.3500000001</v>
      </c>
      <c r="E38" s="938"/>
    </row>
    <row r="39" spans="1:5">
      <c r="D39" s="943"/>
    </row>
    <row r="40" spans="1:5" ht="15.75" thickBot="1">
      <c r="B40" s="268" t="s">
        <v>1781</v>
      </c>
      <c r="D40" s="944">
        <f>SUM(D36:D38)</f>
        <v>-95764297.760000676</v>
      </c>
    </row>
    <row r="41" spans="1:5">
      <c r="D41" s="943"/>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83"/>
  <sheetViews>
    <sheetView showGridLines="0" topLeftCell="A9" zoomScale="80" zoomScaleNormal="80" workbookViewId="0">
      <selection activeCell="N9" sqref="N1:N1048576"/>
    </sheetView>
  </sheetViews>
  <sheetFormatPr defaultRowHeight="12.75" outlineLevelRow="1"/>
  <cols>
    <col min="1" max="1" width="2.7109375" style="484" customWidth="1"/>
    <col min="2" max="2" width="18" style="484" customWidth="1"/>
    <col min="3" max="3" width="12.42578125" style="484" customWidth="1"/>
    <col min="4" max="5" width="18.7109375" style="484" customWidth="1"/>
    <col min="6" max="6" width="12.28515625" style="484" customWidth="1"/>
    <col min="7" max="7" width="19" style="484" customWidth="1"/>
    <col min="8" max="8" width="7.85546875" style="484" customWidth="1"/>
    <col min="9" max="9" width="30.28515625" style="484" customWidth="1"/>
    <col min="10" max="10" width="10.28515625" style="484" customWidth="1"/>
    <col min="11" max="11" width="13.5703125" style="484" customWidth="1"/>
    <col min="12" max="12" width="15.140625" style="484" customWidth="1"/>
    <col min="13" max="13" width="29.85546875" style="484" customWidth="1"/>
    <col min="14" max="14" width="31.42578125" style="484" customWidth="1"/>
    <col min="15" max="15" width="11.42578125" style="484" customWidth="1"/>
    <col min="16" max="16" width="35.140625" style="484" customWidth="1"/>
    <col min="17" max="17" width="18" style="484" customWidth="1"/>
    <col min="18" max="18" width="14.140625" style="484" customWidth="1"/>
    <col min="19" max="19" width="17.7109375" style="484" customWidth="1"/>
    <col min="20" max="20" width="12.7109375" style="484" customWidth="1"/>
    <col min="21" max="21" width="15.85546875" style="484" customWidth="1"/>
    <col min="22" max="22" width="13.7109375" style="484" bestFit="1" customWidth="1"/>
    <col min="23" max="23" width="13.28515625" style="484" customWidth="1"/>
    <col min="24" max="24" width="12.28515625" style="484" customWidth="1"/>
    <col min="25" max="25" width="11.5703125" style="484" customWidth="1"/>
    <col min="26" max="26" width="9.85546875" style="484" customWidth="1"/>
    <col min="27" max="27" width="11.42578125" style="484" customWidth="1"/>
    <col min="28" max="28" width="11" style="484" customWidth="1"/>
    <col min="29" max="29" width="11.5703125" style="484" customWidth="1"/>
    <col min="30" max="30" width="7" style="484" customWidth="1"/>
    <col min="31" max="31" width="11.140625" style="484" customWidth="1"/>
    <col min="32" max="32" width="11" style="484" customWidth="1"/>
    <col min="33" max="33" width="8.5703125" style="484" customWidth="1"/>
    <col min="34" max="34" width="8.42578125" style="484" customWidth="1"/>
    <col min="35" max="36" width="10.28515625" style="484" customWidth="1"/>
    <col min="37" max="37" width="10.140625" style="484" customWidth="1"/>
    <col min="38" max="38" width="10.42578125" style="484" customWidth="1"/>
    <col min="39" max="39" width="21.140625" style="484" customWidth="1"/>
    <col min="40" max="42" width="18.85546875" style="484" customWidth="1"/>
    <col min="43" max="43" width="20.42578125" style="484" customWidth="1"/>
    <col min="44" max="46" width="9.140625" style="484" customWidth="1"/>
    <col min="47" max="16384" width="9.140625" style="484"/>
  </cols>
  <sheetData>
    <row r="1" spans="1:43" hidden="1" outlineLevel="1">
      <c r="A1" s="483" t="b">
        <v>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row>
    <row r="2" spans="1:43" hidden="1" outlineLevel="1">
      <c r="B2" s="484" t="s">
        <v>992</v>
      </c>
      <c r="C2" s="484" t="s">
        <v>993</v>
      </c>
      <c r="D2" s="485" t="s">
        <v>994</v>
      </c>
      <c r="E2" s="485" t="s">
        <v>995</v>
      </c>
      <c r="F2" s="485" t="s">
        <v>996</v>
      </c>
      <c r="G2" s="484" t="s">
        <v>997</v>
      </c>
      <c r="H2" s="484" t="s">
        <v>998</v>
      </c>
      <c r="I2" s="484" t="s">
        <v>999</v>
      </c>
      <c r="J2" s="484" t="s">
        <v>1000</v>
      </c>
      <c r="K2" s="484" t="s">
        <v>1001</v>
      </c>
      <c r="L2" s="484" t="s">
        <v>1002</v>
      </c>
      <c r="M2" s="484" t="s">
        <v>1003</v>
      </c>
      <c r="N2" s="484" t="s">
        <v>1004</v>
      </c>
      <c r="O2" s="484" t="s">
        <v>1005</v>
      </c>
      <c r="P2" s="484" t="s">
        <v>1006</v>
      </c>
      <c r="Q2" s="484" t="s">
        <v>1007</v>
      </c>
      <c r="R2" s="484" t="s">
        <v>1008</v>
      </c>
      <c r="S2" s="484" t="s">
        <v>1009</v>
      </c>
      <c r="T2" s="484" t="s">
        <v>1010</v>
      </c>
      <c r="U2" s="484" t="s">
        <v>1011</v>
      </c>
      <c r="V2" s="484" t="s">
        <v>1012</v>
      </c>
      <c r="W2" s="484" t="s">
        <v>1013</v>
      </c>
      <c r="X2" s="484" t="s">
        <v>1014</v>
      </c>
      <c r="Y2" s="484" t="s">
        <v>1015</v>
      </c>
      <c r="Z2" s="484" t="s">
        <v>1016</v>
      </c>
      <c r="AA2" s="484" t="s">
        <v>1017</v>
      </c>
      <c r="AB2" s="484" t="s">
        <v>1018</v>
      </c>
      <c r="AC2" s="484" t="s">
        <v>1019</v>
      </c>
      <c r="AD2" s="484" t="s">
        <v>1020</v>
      </c>
      <c r="AE2" s="484" t="s">
        <v>1021</v>
      </c>
      <c r="AF2" s="484" t="s">
        <v>1022</v>
      </c>
      <c r="AG2" s="484" t="s">
        <v>1023</v>
      </c>
      <c r="AH2" s="484" t="s">
        <v>1024</v>
      </c>
      <c r="AI2" s="484" t="s">
        <v>1025</v>
      </c>
      <c r="AJ2" s="484" t="s">
        <v>1026</v>
      </c>
      <c r="AK2" s="484" t="s">
        <v>1027</v>
      </c>
      <c r="AL2" s="484" t="s">
        <v>1028</v>
      </c>
      <c r="AM2" s="484" t="s">
        <v>1029</v>
      </c>
      <c r="AN2" s="484" t="s">
        <v>1030</v>
      </c>
      <c r="AO2" s="484" t="s">
        <v>1031</v>
      </c>
      <c r="AP2" s="484" t="s">
        <v>1032</v>
      </c>
      <c r="AQ2" s="485"/>
    </row>
    <row r="3" spans="1:43" hidden="1" outlineLevel="1">
      <c r="A3" s="483" t="s">
        <v>1033</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row>
    <row r="4" spans="1:43" hidden="1" outlineLevel="1">
      <c r="Q4" s="484" t="str">
        <f ca="1">_xll.ReportDrill('[38]JE Lookup'!B1,,_xll.PairGroup(_xll.Pair(G20:G65,'[38]JE Lookup'!N8),_xll.Pair(AB20:AB65,'[38]JE Lookup'!N7)),"JE Lookup")</f>
        <v>OK!: ReportDrill 'JE Lookup' Formula OK [jAction{}]</v>
      </c>
      <c r="U4" s="484" t="str">
        <f ca="1">_xll.ReportDrill(,"APDrill",_xll.PairGroup(_xll.PairExt(AQ20:AQ65,"H8")),"AP Detail")</f>
        <v>OK!: ReportDrill 'AP Detail' Formula OK [jAction{}]</v>
      </c>
      <c r="Y4" s="484" t="str">
        <f ca="1">_xll.ReportDrill(,"JEStaged_DrillToDetail",_xll.PairGroup(_xll.PairExt(Q19:Q65,"dControlNum",TRUE),_xll.PairExt(AP19:AP65,"dDistrict",TRUE),_xll.PairExt(AO19:AO65,"dApplyMonth",TRUE)),"JE Staged Details")</f>
        <v>OK!: ReportDrill 'JE Staged Details' Formula OK [jAction{}]</v>
      </c>
    </row>
    <row r="5" spans="1:43" hidden="1" outlineLevel="1">
      <c r="B5" s="484" t="str">
        <f ca="1">_xll.ReportRange("JEQuery_WithStaged",B20:AR64,B2:AR2,,_xll.Param(I12,DateTo,IF(M12="","all",M12),M13,M14,M15,P12,P13,P14,P15,EntrieShownLimit,DateFrom,DateTo),TRUE)</f>
        <v>OK!: ReportRange Formula OK [jAction{}]</v>
      </c>
    </row>
    <row r="6" spans="1:43" hidden="1" outlineLevel="1">
      <c r="B6" s="486" t="s">
        <v>1034</v>
      </c>
      <c r="D6" s="484">
        <v>10000</v>
      </c>
    </row>
    <row r="7" spans="1:43" hidden="1" outlineLevel="1">
      <c r="A7" s="483" t="s">
        <v>1035</v>
      </c>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row>
    <row r="8" spans="1:43" hidden="1" outlineLevel="1">
      <c r="B8" s="487" t="s">
        <v>1036</v>
      </c>
      <c r="C8" s="484" t="str">
        <f>IF(DateFrom="",CurrentMonth,DateFrom)</f>
        <v>2015-07</v>
      </c>
      <c r="E8" s="487" t="s">
        <v>1037</v>
      </c>
      <c r="G8" s="484" t="str">
        <f>IF(DateTo="",CurrentMonth,DateTo)</f>
        <v>2016-06</v>
      </c>
      <c r="I8" s="487" t="s">
        <v>1038</v>
      </c>
      <c r="J8" s="488" t="str">
        <f ca="1">TEXT(NOW() - 15,"yyyy-mm")</f>
        <v>2016-07</v>
      </c>
    </row>
    <row r="9" spans="1:43" ht="18" collapsed="1">
      <c r="B9" s="489" t="s">
        <v>1039</v>
      </c>
      <c r="G9" s="490" t="s">
        <v>1040</v>
      </c>
      <c r="P9" s="491"/>
      <c r="U9" s="486"/>
    </row>
    <row r="10" spans="1:43" ht="14.25">
      <c r="B10" s="485" t="s">
        <v>1041</v>
      </c>
      <c r="G10" s="492"/>
      <c r="P10" s="491"/>
      <c r="U10" s="486"/>
    </row>
    <row r="11" spans="1:43">
      <c r="G11" s="493" t="s">
        <v>1042</v>
      </c>
      <c r="H11" s="494"/>
      <c r="I11" s="495"/>
      <c r="L11" s="494" t="s">
        <v>1043</v>
      </c>
      <c r="M11" s="494"/>
      <c r="N11" s="494"/>
      <c r="O11" s="494"/>
      <c r="P11" s="494"/>
      <c r="U11" s="485"/>
    </row>
    <row r="12" spans="1:43" s="486" customFormat="1">
      <c r="H12" s="496" t="s">
        <v>1044</v>
      </c>
      <c r="I12" s="497" t="s">
        <v>1405</v>
      </c>
      <c r="K12" s="498"/>
      <c r="L12" s="486" t="s">
        <v>1046</v>
      </c>
      <c r="M12" s="497" t="s">
        <v>1047</v>
      </c>
      <c r="O12" s="496" t="s">
        <v>1048</v>
      </c>
      <c r="P12" s="499"/>
      <c r="Z12" s="484"/>
      <c r="AA12" s="484"/>
      <c r="AB12" s="484"/>
      <c r="AH12" s="484"/>
      <c r="AI12" s="484"/>
      <c r="AJ12" s="484"/>
      <c r="AK12" s="484"/>
      <c r="AL12" s="484"/>
    </row>
    <row r="13" spans="1:43" s="486" customFormat="1">
      <c r="H13" s="496" t="s">
        <v>1049</v>
      </c>
      <c r="I13" s="497" t="s">
        <v>1406</v>
      </c>
      <c r="K13" s="498"/>
      <c r="L13" s="486" t="s">
        <v>1051</v>
      </c>
      <c r="M13" s="497" t="s">
        <v>2141</v>
      </c>
      <c r="N13" s="484"/>
      <c r="O13" s="496" t="s">
        <v>1053</v>
      </c>
      <c r="P13" s="500"/>
      <c r="Q13" s="501"/>
      <c r="Z13" s="484"/>
      <c r="AA13" s="484"/>
      <c r="AB13" s="484"/>
      <c r="AH13" s="484"/>
      <c r="AI13" s="484"/>
      <c r="AJ13" s="484"/>
      <c r="AK13" s="484"/>
      <c r="AL13" s="484"/>
    </row>
    <row r="14" spans="1:43">
      <c r="L14" s="486" t="s">
        <v>1054</v>
      </c>
      <c r="M14" s="497" t="s">
        <v>114</v>
      </c>
      <c r="O14" s="496" t="s">
        <v>1055</v>
      </c>
      <c r="P14" s="500"/>
      <c r="Q14" s="501"/>
    </row>
    <row r="15" spans="1:43">
      <c r="L15" s="486" t="s">
        <v>1056</v>
      </c>
      <c r="M15" s="497" t="s">
        <v>114</v>
      </c>
      <c r="O15" s="496" t="s">
        <v>1057</v>
      </c>
      <c r="P15" s="502" t="s">
        <v>1058</v>
      </c>
    </row>
    <row r="16" spans="1:43">
      <c r="B16" s="503" t="s">
        <v>1059</v>
      </c>
      <c r="C16" s="504"/>
      <c r="D16" s="505">
        <f>SUM(D19:D65)</f>
        <v>47028.340000000018</v>
      </c>
      <c r="E16" s="505">
        <f>SUM(E19:E65)</f>
        <v>0</v>
      </c>
      <c r="F16" s="484" t="s">
        <v>1060</v>
      </c>
      <c r="N16" s="506"/>
      <c r="O16" s="506"/>
      <c r="P16" s="506"/>
      <c r="Q16" s="506"/>
    </row>
    <row r="17" spans="2:43">
      <c r="B17" s="503" t="s">
        <v>1061</v>
      </c>
      <c r="C17" s="504"/>
      <c r="D17" s="507">
        <f>COUNT(D20:D66)</f>
        <v>44</v>
      </c>
      <c r="E17" s="507">
        <f>COUNT(E20:E66)</f>
        <v>44</v>
      </c>
      <c r="F17" s="485" t="s">
        <v>1062</v>
      </c>
      <c r="G17" s="508" t="str">
        <f>""&amp;EntrieShownLimit</f>
        <v>10000</v>
      </c>
    </row>
    <row r="18" spans="2:43">
      <c r="O18" s="509"/>
      <c r="R18" s="510" t="s">
        <v>1063</v>
      </c>
      <c r="S18" s="511"/>
      <c r="T18" s="511"/>
      <c r="U18" s="511"/>
      <c r="V18" s="511"/>
      <c r="W18" s="511"/>
      <c r="X18" s="511"/>
      <c r="Y18" s="511"/>
      <c r="Z18" s="512"/>
      <c r="AA18" s="512"/>
      <c r="AB18" s="512"/>
      <c r="AC18" s="512"/>
      <c r="AD18" s="512"/>
      <c r="AE18" s="512"/>
      <c r="AF18" s="512"/>
      <c r="AG18" s="512"/>
      <c r="AH18" s="512"/>
      <c r="AI18" s="512"/>
      <c r="AJ18" s="512"/>
      <c r="AK18" s="512"/>
      <c r="AL18" s="512"/>
      <c r="AM18" s="512"/>
      <c r="AN18" s="512"/>
      <c r="AO18" s="512"/>
      <c r="AP18" s="512"/>
      <c r="AQ18" s="512"/>
    </row>
    <row r="19" spans="2:43" s="513" customFormat="1" ht="29.25" customHeight="1" thickBot="1">
      <c r="B19" s="514" t="s">
        <v>1064</v>
      </c>
      <c r="C19" s="515" t="s">
        <v>1065</v>
      </c>
      <c r="D19" s="516" t="s">
        <v>1066</v>
      </c>
      <c r="E19" s="516" t="s">
        <v>1067</v>
      </c>
      <c r="F19" s="516" t="s">
        <v>1068</v>
      </c>
      <c r="G19" s="517" t="s">
        <v>1069</v>
      </c>
      <c r="H19" s="514" t="s">
        <v>1070</v>
      </c>
      <c r="I19" s="514" t="s">
        <v>1071</v>
      </c>
      <c r="J19" s="514" t="s">
        <v>1000</v>
      </c>
      <c r="K19" s="514" t="s">
        <v>1072</v>
      </c>
      <c r="L19" s="514" t="s">
        <v>1073</v>
      </c>
      <c r="M19" s="514" t="s">
        <v>1074</v>
      </c>
      <c r="N19" s="514" t="s">
        <v>1075</v>
      </c>
      <c r="O19" s="518" t="s">
        <v>1076</v>
      </c>
      <c r="P19" s="514" t="s">
        <v>1077</v>
      </c>
      <c r="Q19" s="514" t="s">
        <v>1078</v>
      </c>
      <c r="R19" s="514" t="s">
        <v>1079</v>
      </c>
      <c r="S19" s="514" t="s">
        <v>1080</v>
      </c>
      <c r="T19" s="514" t="s">
        <v>1081</v>
      </c>
      <c r="U19" s="514" t="s">
        <v>1082</v>
      </c>
      <c r="V19" s="514" t="s">
        <v>1083</v>
      </c>
      <c r="W19" s="514" t="s">
        <v>1084</v>
      </c>
      <c r="X19" s="514" t="s">
        <v>1085</v>
      </c>
      <c r="Y19" s="514" t="s">
        <v>1086</v>
      </c>
      <c r="Z19" s="514" t="s">
        <v>1087</v>
      </c>
      <c r="AA19" s="514" t="s">
        <v>1088</v>
      </c>
      <c r="AB19" s="514" t="s">
        <v>1089</v>
      </c>
      <c r="AC19" s="519" t="s">
        <v>1090</v>
      </c>
      <c r="AD19" s="519" t="s">
        <v>1091</v>
      </c>
      <c r="AE19" s="519" t="s">
        <v>1092</v>
      </c>
      <c r="AF19" s="519" t="s">
        <v>1093</v>
      </c>
      <c r="AG19" s="519" t="s">
        <v>1094</v>
      </c>
      <c r="AH19" s="519" t="s">
        <v>1095</v>
      </c>
      <c r="AI19" s="515" t="s">
        <v>1096</v>
      </c>
      <c r="AJ19" s="515" t="s">
        <v>1097</v>
      </c>
      <c r="AK19" s="515" t="s">
        <v>1098</v>
      </c>
      <c r="AL19" s="515" t="s">
        <v>1099</v>
      </c>
      <c r="AM19" s="515" t="s">
        <v>1100</v>
      </c>
      <c r="AN19" s="515" t="s">
        <v>1030</v>
      </c>
      <c r="AO19" s="520" t="s">
        <v>1101</v>
      </c>
      <c r="AP19" s="520" t="s">
        <v>1102</v>
      </c>
      <c r="AQ19" s="520" t="s">
        <v>1103</v>
      </c>
    </row>
    <row r="20" spans="2:43">
      <c r="B20" s="484" t="s">
        <v>2142</v>
      </c>
      <c r="C20" s="521">
        <v>42216</v>
      </c>
      <c r="D20" s="522">
        <v>3758.82</v>
      </c>
      <c r="E20" s="522">
        <v>0</v>
      </c>
      <c r="F20" s="523" t="s">
        <v>1105</v>
      </c>
      <c r="G20" s="484" t="s">
        <v>2143</v>
      </c>
      <c r="H20" s="524" t="s">
        <v>1107</v>
      </c>
      <c r="I20" s="484" t="s">
        <v>2144</v>
      </c>
      <c r="J20" s="484" t="s">
        <v>1121</v>
      </c>
      <c r="K20" s="484" t="s">
        <v>1110</v>
      </c>
      <c r="L20" s="488"/>
      <c r="M20" s="488"/>
      <c r="N20" s="488" t="s">
        <v>2145</v>
      </c>
      <c r="O20" s="509"/>
      <c r="P20" s="488"/>
      <c r="Q20" s="488"/>
      <c r="U20" s="484" t="s">
        <v>2146</v>
      </c>
      <c r="V20" s="484" t="s">
        <v>2146</v>
      </c>
      <c r="X20" s="521">
        <v>42222</v>
      </c>
      <c r="Y20" s="521">
        <v>42222</v>
      </c>
      <c r="AA20" s="521"/>
      <c r="AB20" s="484" t="s">
        <v>1113</v>
      </c>
      <c r="AC20" s="484">
        <v>0</v>
      </c>
      <c r="AD20" s="484">
        <v>0</v>
      </c>
      <c r="AE20" s="484">
        <v>0</v>
      </c>
      <c r="AF20" s="484">
        <v>0</v>
      </c>
      <c r="AG20" s="484">
        <v>0</v>
      </c>
      <c r="AH20" s="484">
        <v>1</v>
      </c>
      <c r="AI20" s="484">
        <v>43001</v>
      </c>
      <c r="AJ20" s="484">
        <v>2120</v>
      </c>
      <c r="AK20" s="484">
        <v>0</v>
      </c>
      <c r="AL20" s="484">
        <v>0</v>
      </c>
      <c r="AO20" s="524"/>
      <c r="AP20" s="524"/>
      <c r="AQ20" s="484" t="str">
        <f>IF(LEFT(U20,2)="VO",U20,"")</f>
        <v/>
      </c>
    </row>
    <row r="21" spans="2:43">
      <c r="B21" s="484" t="s">
        <v>2142</v>
      </c>
      <c r="C21" s="521">
        <v>42247</v>
      </c>
      <c r="D21" s="522">
        <v>3809.03</v>
      </c>
      <c r="E21" s="522">
        <v>0</v>
      </c>
      <c r="F21" s="523" t="s">
        <v>1105</v>
      </c>
      <c r="G21" s="484" t="s">
        <v>2147</v>
      </c>
      <c r="H21" s="524" t="s">
        <v>1107</v>
      </c>
      <c r="I21" s="484" t="s">
        <v>2144</v>
      </c>
      <c r="J21" s="484" t="s">
        <v>1109</v>
      </c>
      <c r="K21" s="484" t="s">
        <v>1110</v>
      </c>
      <c r="L21" s="488"/>
      <c r="M21" s="488"/>
      <c r="N21" s="488" t="s">
        <v>2145</v>
      </c>
      <c r="O21" s="509"/>
      <c r="P21" s="488"/>
      <c r="Q21" s="488"/>
      <c r="U21" s="484" t="s">
        <v>2148</v>
      </c>
      <c r="V21" s="484" t="s">
        <v>2148</v>
      </c>
      <c r="X21" s="521">
        <v>42222</v>
      </c>
      <c r="Y21" s="521">
        <v>42222</v>
      </c>
      <c r="AA21" s="521"/>
      <c r="AB21" s="484" t="s">
        <v>1113</v>
      </c>
      <c r="AC21" s="484">
        <v>0</v>
      </c>
      <c r="AD21" s="484">
        <v>0</v>
      </c>
      <c r="AE21" s="484">
        <v>0</v>
      </c>
      <c r="AF21" s="484">
        <v>0</v>
      </c>
      <c r="AG21" s="484">
        <v>0</v>
      </c>
      <c r="AH21" s="484">
        <v>1</v>
      </c>
      <c r="AI21" s="484">
        <v>43001</v>
      </c>
      <c r="AJ21" s="484">
        <v>2120</v>
      </c>
      <c r="AK21" s="484">
        <v>0</v>
      </c>
      <c r="AL21" s="484">
        <v>99</v>
      </c>
      <c r="AO21" s="524"/>
      <c r="AP21" s="524"/>
      <c r="AQ21" s="484" t="str">
        <f t="shared" ref="AQ21:AQ63" si="0">IF(LEFT(U21,2)="VO",U21,"")</f>
        <v/>
      </c>
    </row>
    <row r="22" spans="2:43">
      <c r="B22" s="484" t="s">
        <v>2142</v>
      </c>
      <c r="C22" s="521">
        <v>42277</v>
      </c>
      <c r="D22" s="522">
        <v>3716.61</v>
      </c>
      <c r="E22" s="522">
        <v>0</v>
      </c>
      <c r="F22" s="523" t="s">
        <v>1105</v>
      </c>
      <c r="G22" s="484" t="s">
        <v>2149</v>
      </c>
      <c r="H22" s="524" t="s">
        <v>1107</v>
      </c>
      <c r="I22" s="484" t="s">
        <v>2144</v>
      </c>
      <c r="J22" s="484" t="s">
        <v>1109</v>
      </c>
      <c r="K22" s="484" t="s">
        <v>1110</v>
      </c>
      <c r="L22" s="488"/>
      <c r="M22" s="488"/>
      <c r="N22" s="488" t="s">
        <v>2145</v>
      </c>
      <c r="O22" s="509"/>
      <c r="P22" s="488"/>
      <c r="Q22" s="488"/>
      <c r="U22" s="484" t="s">
        <v>2150</v>
      </c>
      <c r="V22" s="484" t="s">
        <v>2150</v>
      </c>
      <c r="X22" s="521">
        <v>42222</v>
      </c>
      <c r="Y22" s="521">
        <v>42222</v>
      </c>
      <c r="AA22" s="521"/>
      <c r="AB22" s="484" t="s">
        <v>1113</v>
      </c>
      <c r="AC22" s="484">
        <v>0</v>
      </c>
      <c r="AD22" s="484">
        <v>0</v>
      </c>
      <c r="AE22" s="484">
        <v>0</v>
      </c>
      <c r="AF22" s="484">
        <v>0</v>
      </c>
      <c r="AG22" s="484">
        <v>0</v>
      </c>
      <c r="AH22" s="484">
        <v>1</v>
      </c>
      <c r="AI22" s="484">
        <v>43001</v>
      </c>
      <c r="AJ22" s="484">
        <v>2120</v>
      </c>
      <c r="AK22" s="484">
        <v>0</v>
      </c>
      <c r="AL22" s="484">
        <v>99</v>
      </c>
      <c r="AO22" s="524"/>
      <c r="AP22" s="524"/>
      <c r="AQ22" s="484" t="str">
        <f t="shared" si="0"/>
        <v/>
      </c>
    </row>
    <row r="23" spans="2:43">
      <c r="B23" s="484" t="s">
        <v>2142</v>
      </c>
      <c r="C23" s="521">
        <v>42308</v>
      </c>
      <c r="D23" s="522">
        <v>3700.94</v>
      </c>
      <c r="E23" s="522">
        <v>0</v>
      </c>
      <c r="F23" s="523" t="s">
        <v>1105</v>
      </c>
      <c r="G23" s="484" t="s">
        <v>2151</v>
      </c>
      <c r="H23" s="524" t="s">
        <v>1107</v>
      </c>
      <c r="I23" s="484" t="s">
        <v>2144</v>
      </c>
      <c r="J23" s="484" t="s">
        <v>1109</v>
      </c>
      <c r="K23" s="484" t="s">
        <v>1110</v>
      </c>
      <c r="L23" s="488"/>
      <c r="M23" s="488"/>
      <c r="N23" s="488" t="s">
        <v>2145</v>
      </c>
      <c r="O23" s="509"/>
      <c r="P23" s="488"/>
      <c r="Q23" s="488"/>
      <c r="U23" s="484" t="s">
        <v>2150</v>
      </c>
      <c r="V23" s="484" t="s">
        <v>2152</v>
      </c>
      <c r="X23" s="521">
        <v>42222</v>
      </c>
      <c r="Y23" s="521">
        <v>42222</v>
      </c>
      <c r="AA23" s="521"/>
      <c r="AB23" s="484" t="s">
        <v>1113</v>
      </c>
      <c r="AC23" s="484">
        <v>0</v>
      </c>
      <c r="AD23" s="484">
        <v>0</v>
      </c>
      <c r="AE23" s="484">
        <v>0</v>
      </c>
      <c r="AF23" s="484">
        <v>0</v>
      </c>
      <c r="AG23" s="484">
        <v>5</v>
      </c>
      <c r="AH23" s="484">
        <v>1</v>
      </c>
      <c r="AI23" s="484">
        <v>43001</v>
      </c>
      <c r="AJ23" s="484">
        <v>2120</v>
      </c>
      <c r="AK23" s="484">
        <v>0</v>
      </c>
      <c r="AL23" s="484">
        <v>99</v>
      </c>
      <c r="AO23" s="524"/>
      <c r="AP23" s="524"/>
      <c r="AQ23" s="484" t="str">
        <f t="shared" si="0"/>
        <v/>
      </c>
    </row>
    <row r="24" spans="2:43">
      <c r="B24" s="484" t="s">
        <v>2142</v>
      </c>
      <c r="C24" s="521">
        <v>42338</v>
      </c>
      <c r="D24" s="522">
        <v>3721.84</v>
      </c>
      <c r="E24" s="522">
        <v>0</v>
      </c>
      <c r="F24" s="523" t="s">
        <v>1105</v>
      </c>
      <c r="G24" s="484" t="s">
        <v>2153</v>
      </c>
      <c r="H24" s="524" t="s">
        <v>1107</v>
      </c>
      <c r="I24" s="484" t="s">
        <v>2144</v>
      </c>
      <c r="J24" s="484" t="s">
        <v>1109</v>
      </c>
      <c r="K24" s="484" t="s">
        <v>1110</v>
      </c>
      <c r="L24" s="488"/>
      <c r="M24" s="488"/>
      <c r="N24" s="488" t="s">
        <v>2145</v>
      </c>
      <c r="O24" s="509"/>
      <c r="P24" s="488"/>
      <c r="Q24" s="488"/>
      <c r="U24" s="484" t="s">
        <v>2154</v>
      </c>
      <c r="V24" s="484" t="s">
        <v>2154</v>
      </c>
      <c r="X24" s="521">
        <v>42250</v>
      </c>
      <c r="Y24" s="521">
        <v>42250</v>
      </c>
      <c r="AA24" s="521"/>
      <c r="AB24" s="484" t="s">
        <v>1113</v>
      </c>
      <c r="AC24" s="484">
        <v>0</v>
      </c>
      <c r="AD24" s="484">
        <v>0</v>
      </c>
      <c r="AE24" s="484">
        <v>0</v>
      </c>
      <c r="AF24" s="484">
        <v>0</v>
      </c>
      <c r="AG24" s="484">
        <v>0</v>
      </c>
      <c r="AH24" s="484">
        <v>1</v>
      </c>
      <c r="AI24" s="484">
        <v>43001</v>
      </c>
      <c r="AJ24" s="484">
        <v>2120</v>
      </c>
      <c r="AK24" s="484">
        <v>0</v>
      </c>
      <c r="AL24" s="484">
        <v>0</v>
      </c>
      <c r="AO24" s="524"/>
      <c r="AP24" s="524"/>
      <c r="AQ24" s="484" t="str">
        <f t="shared" si="0"/>
        <v/>
      </c>
    </row>
    <row r="25" spans="2:43">
      <c r="B25" s="484" t="s">
        <v>2142</v>
      </c>
      <c r="C25" s="521">
        <v>42369</v>
      </c>
      <c r="D25" s="522">
        <v>3532.06</v>
      </c>
      <c r="E25" s="522">
        <v>0</v>
      </c>
      <c r="F25" s="523" t="s">
        <v>1105</v>
      </c>
      <c r="G25" s="484" t="s">
        <v>2155</v>
      </c>
      <c r="H25" s="524" t="s">
        <v>1107</v>
      </c>
      <c r="I25" s="484" t="s">
        <v>2144</v>
      </c>
      <c r="J25" s="484" t="s">
        <v>1109</v>
      </c>
      <c r="K25" s="484" t="s">
        <v>1110</v>
      </c>
      <c r="L25" s="488"/>
      <c r="M25" s="488"/>
      <c r="N25" s="488" t="s">
        <v>2145</v>
      </c>
      <c r="O25" s="509"/>
      <c r="P25" s="488"/>
      <c r="Q25" s="488"/>
      <c r="U25" s="484" t="s">
        <v>2156</v>
      </c>
      <c r="V25" s="484" t="s">
        <v>2156</v>
      </c>
      <c r="X25" s="521">
        <v>42250</v>
      </c>
      <c r="Y25" s="521">
        <v>42250</v>
      </c>
      <c r="AA25" s="521"/>
      <c r="AB25" s="484" t="s">
        <v>1113</v>
      </c>
      <c r="AC25" s="484">
        <v>0</v>
      </c>
      <c r="AD25" s="484">
        <v>0</v>
      </c>
      <c r="AE25" s="484">
        <v>0</v>
      </c>
      <c r="AF25" s="484">
        <v>0</v>
      </c>
      <c r="AG25" s="484">
        <v>0</v>
      </c>
      <c r="AH25" s="484">
        <v>1</v>
      </c>
      <c r="AI25" s="484">
        <v>43001</v>
      </c>
      <c r="AJ25" s="484">
        <v>2120</v>
      </c>
      <c r="AK25" s="484">
        <v>0</v>
      </c>
      <c r="AL25" s="484">
        <v>99</v>
      </c>
      <c r="AO25" s="524"/>
      <c r="AP25" s="524"/>
      <c r="AQ25" s="484" t="str">
        <f t="shared" si="0"/>
        <v/>
      </c>
    </row>
    <row r="26" spans="2:43">
      <c r="B26" s="484" t="s">
        <v>2142</v>
      </c>
      <c r="C26" s="521">
        <v>42400</v>
      </c>
      <c r="D26" s="522">
        <v>3543.61</v>
      </c>
      <c r="E26" s="522">
        <v>0</v>
      </c>
      <c r="F26" s="523" t="s">
        <v>1105</v>
      </c>
      <c r="G26" s="484" t="s">
        <v>2157</v>
      </c>
      <c r="H26" s="524" t="s">
        <v>1107</v>
      </c>
      <c r="I26" s="484" t="s">
        <v>2144</v>
      </c>
      <c r="J26" s="484" t="s">
        <v>1116</v>
      </c>
      <c r="K26" s="484" t="s">
        <v>1110</v>
      </c>
      <c r="L26" s="488"/>
      <c r="M26" s="488"/>
      <c r="N26" s="488" t="s">
        <v>2145</v>
      </c>
      <c r="O26" s="509"/>
      <c r="P26" s="488"/>
      <c r="Q26" s="488"/>
      <c r="U26" s="484" t="s">
        <v>2158</v>
      </c>
      <c r="V26" s="484" t="s">
        <v>2158</v>
      </c>
      <c r="X26" s="521">
        <v>42251</v>
      </c>
      <c r="Y26" s="521">
        <v>42251</v>
      </c>
      <c r="AA26" s="521"/>
      <c r="AB26" s="484" t="s">
        <v>1113</v>
      </c>
      <c r="AC26" s="484">
        <v>0</v>
      </c>
      <c r="AD26" s="484">
        <v>0</v>
      </c>
      <c r="AE26" s="484">
        <v>0</v>
      </c>
      <c r="AF26" s="484">
        <v>0</v>
      </c>
      <c r="AG26" s="484">
        <v>0</v>
      </c>
      <c r="AH26" s="484">
        <v>1</v>
      </c>
      <c r="AI26" s="484">
        <v>43001</v>
      </c>
      <c r="AJ26" s="484">
        <v>2120</v>
      </c>
      <c r="AK26" s="484">
        <v>0</v>
      </c>
      <c r="AL26" s="484">
        <v>99</v>
      </c>
      <c r="AO26" s="524"/>
      <c r="AP26" s="524"/>
      <c r="AQ26" s="484" t="str">
        <f t="shared" si="0"/>
        <v/>
      </c>
    </row>
    <row r="27" spans="2:43">
      <c r="B27" s="484" t="s">
        <v>2142</v>
      </c>
      <c r="C27" s="521">
        <v>42429</v>
      </c>
      <c r="D27" s="522">
        <v>3519.45</v>
      </c>
      <c r="E27" s="522">
        <v>0</v>
      </c>
      <c r="F27" s="523" t="s">
        <v>1105</v>
      </c>
      <c r="G27" s="484" t="s">
        <v>2159</v>
      </c>
      <c r="H27" s="524" t="s">
        <v>1107</v>
      </c>
      <c r="I27" s="484" t="s">
        <v>2144</v>
      </c>
      <c r="J27" s="484" t="s">
        <v>1109</v>
      </c>
      <c r="K27" s="484" t="s">
        <v>1110</v>
      </c>
      <c r="L27" s="488"/>
      <c r="M27" s="488"/>
      <c r="N27" s="488" t="s">
        <v>2145</v>
      </c>
      <c r="O27" s="509"/>
      <c r="P27" s="488"/>
      <c r="Q27" s="488"/>
      <c r="U27" s="484" t="s">
        <v>2158</v>
      </c>
      <c r="V27" s="484" t="s">
        <v>2160</v>
      </c>
      <c r="X27" s="521">
        <v>42251</v>
      </c>
      <c r="Y27" s="521">
        <v>42251</v>
      </c>
      <c r="AA27" s="521"/>
      <c r="AB27" s="484" t="s">
        <v>1113</v>
      </c>
      <c r="AC27" s="484">
        <v>0</v>
      </c>
      <c r="AD27" s="484">
        <v>0</v>
      </c>
      <c r="AE27" s="484">
        <v>0</v>
      </c>
      <c r="AF27" s="484">
        <v>0</v>
      </c>
      <c r="AG27" s="484">
        <v>5</v>
      </c>
      <c r="AH27" s="484">
        <v>1</v>
      </c>
      <c r="AI27" s="484">
        <v>43001</v>
      </c>
      <c r="AJ27" s="484">
        <v>2120</v>
      </c>
      <c r="AK27" s="484">
        <v>0</v>
      </c>
      <c r="AL27" s="484">
        <v>99</v>
      </c>
      <c r="AO27" s="524"/>
      <c r="AP27" s="524"/>
      <c r="AQ27" s="484" t="str">
        <f t="shared" si="0"/>
        <v/>
      </c>
    </row>
    <row r="28" spans="2:43">
      <c r="B28" s="484" t="s">
        <v>2142</v>
      </c>
      <c r="C28" s="521">
        <v>42460</v>
      </c>
      <c r="D28" s="522">
        <v>3693.57</v>
      </c>
      <c r="E28" s="522">
        <v>0</v>
      </c>
      <c r="F28" s="523" t="s">
        <v>1105</v>
      </c>
      <c r="G28" s="484" t="s">
        <v>2161</v>
      </c>
      <c r="H28" s="524" t="s">
        <v>1107</v>
      </c>
      <c r="I28" s="484" t="s">
        <v>2144</v>
      </c>
      <c r="J28" s="484" t="s">
        <v>1116</v>
      </c>
      <c r="K28" s="484" t="s">
        <v>1110</v>
      </c>
      <c r="L28" s="488"/>
      <c r="M28" s="488"/>
      <c r="N28" s="488" t="s">
        <v>2145</v>
      </c>
      <c r="O28" s="509"/>
      <c r="P28" s="488"/>
      <c r="Q28" s="488"/>
      <c r="U28" s="484" t="s">
        <v>2162</v>
      </c>
      <c r="V28" s="484" t="s">
        <v>2162</v>
      </c>
      <c r="X28" s="521">
        <v>42282</v>
      </c>
      <c r="Y28" s="521">
        <v>42282</v>
      </c>
      <c r="AA28" s="521"/>
      <c r="AB28" s="484" t="s">
        <v>1113</v>
      </c>
      <c r="AC28" s="484">
        <v>0</v>
      </c>
      <c r="AD28" s="484">
        <v>0</v>
      </c>
      <c r="AE28" s="484">
        <v>0</v>
      </c>
      <c r="AF28" s="484">
        <v>0</v>
      </c>
      <c r="AG28" s="484">
        <v>0</v>
      </c>
      <c r="AH28" s="484">
        <v>1</v>
      </c>
      <c r="AI28" s="484">
        <v>43001</v>
      </c>
      <c r="AJ28" s="484">
        <v>2120</v>
      </c>
      <c r="AK28" s="484">
        <v>0</v>
      </c>
      <c r="AL28" s="484">
        <v>0</v>
      </c>
      <c r="AO28" s="524"/>
      <c r="AP28" s="524"/>
      <c r="AQ28" s="484" t="str">
        <f t="shared" si="0"/>
        <v/>
      </c>
    </row>
    <row r="29" spans="2:43">
      <c r="B29" s="484" t="s">
        <v>2142</v>
      </c>
      <c r="C29" s="521">
        <v>42490</v>
      </c>
      <c r="D29" s="522">
        <v>3815.6</v>
      </c>
      <c r="E29" s="522">
        <v>0</v>
      </c>
      <c r="F29" s="523" t="s">
        <v>1105</v>
      </c>
      <c r="G29" s="484" t="s">
        <v>2163</v>
      </c>
      <c r="H29" s="524" t="s">
        <v>1107</v>
      </c>
      <c r="I29" s="484" t="s">
        <v>2144</v>
      </c>
      <c r="J29" s="484" t="s">
        <v>1116</v>
      </c>
      <c r="K29" s="484" t="s">
        <v>1110</v>
      </c>
      <c r="L29" s="488"/>
      <c r="M29" s="488"/>
      <c r="N29" s="488" t="s">
        <v>2145</v>
      </c>
      <c r="O29" s="509"/>
      <c r="P29" s="488"/>
      <c r="Q29" s="488"/>
      <c r="U29" s="484" t="s">
        <v>2164</v>
      </c>
      <c r="V29" s="484" t="s">
        <v>2164</v>
      </c>
      <c r="X29" s="521">
        <v>42283</v>
      </c>
      <c r="Y29" s="521">
        <v>42283</v>
      </c>
      <c r="AA29" s="521"/>
      <c r="AB29" s="484" t="s">
        <v>1113</v>
      </c>
      <c r="AC29" s="484">
        <v>0</v>
      </c>
      <c r="AD29" s="484">
        <v>0</v>
      </c>
      <c r="AE29" s="484">
        <v>0</v>
      </c>
      <c r="AF29" s="484">
        <v>0</v>
      </c>
      <c r="AG29" s="484">
        <v>0</v>
      </c>
      <c r="AH29" s="484">
        <v>1</v>
      </c>
      <c r="AI29" s="484">
        <v>43001</v>
      </c>
      <c r="AJ29" s="484">
        <v>2120</v>
      </c>
      <c r="AK29" s="484">
        <v>0</v>
      </c>
      <c r="AL29" s="484">
        <v>99</v>
      </c>
      <c r="AO29" s="524"/>
      <c r="AP29" s="524"/>
      <c r="AQ29" s="484" t="str">
        <f t="shared" si="0"/>
        <v/>
      </c>
    </row>
    <row r="30" spans="2:43">
      <c r="B30" s="484" t="s">
        <v>2142</v>
      </c>
      <c r="C30" s="521">
        <v>42521</v>
      </c>
      <c r="D30" s="522">
        <v>3797.18</v>
      </c>
      <c r="E30" s="522">
        <v>0</v>
      </c>
      <c r="F30" s="523" t="s">
        <v>1105</v>
      </c>
      <c r="G30" s="484" t="s">
        <v>2165</v>
      </c>
      <c r="H30" s="524" t="s">
        <v>1107</v>
      </c>
      <c r="I30" s="484" t="s">
        <v>2144</v>
      </c>
      <c r="J30" s="484" t="s">
        <v>1116</v>
      </c>
      <c r="K30" s="484" t="s">
        <v>1110</v>
      </c>
      <c r="L30" s="488"/>
      <c r="M30" s="488"/>
      <c r="N30" s="488" t="s">
        <v>2145</v>
      </c>
      <c r="O30" s="509"/>
      <c r="P30" s="488"/>
      <c r="Q30" s="488"/>
      <c r="U30" s="484" t="s">
        <v>2166</v>
      </c>
      <c r="X30" s="521">
        <v>42307</v>
      </c>
      <c r="Y30" s="521">
        <v>42310</v>
      </c>
      <c r="AA30" s="521"/>
      <c r="AB30" s="484" t="s">
        <v>1113</v>
      </c>
      <c r="AC30" s="484">
        <v>1</v>
      </c>
      <c r="AD30" s="484">
        <v>0</v>
      </c>
      <c r="AE30" s="484">
        <v>0</v>
      </c>
      <c r="AF30" s="484">
        <v>0</v>
      </c>
      <c r="AG30" s="484">
        <v>0</v>
      </c>
      <c r="AH30" s="484">
        <v>1</v>
      </c>
      <c r="AI30" s="484">
        <v>43001</v>
      </c>
      <c r="AJ30" s="484">
        <v>2120</v>
      </c>
      <c r="AK30" s="484">
        <v>0</v>
      </c>
      <c r="AL30" s="484">
        <v>0</v>
      </c>
      <c r="AO30" s="524"/>
      <c r="AP30" s="524"/>
      <c r="AQ30" s="484" t="str">
        <f t="shared" si="0"/>
        <v/>
      </c>
    </row>
    <row r="31" spans="2:43">
      <c r="B31" s="484" t="s">
        <v>2142</v>
      </c>
      <c r="C31" s="521">
        <v>42551</v>
      </c>
      <c r="D31" s="522">
        <v>3949.14</v>
      </c>
      <c r="E31" s="522">
        <v>0</v>
      </c>
      <c r="F31" s="523" t="s">
        <v>1105</v>
      </c>
      <c r="G31" s="484" t="s">
        <v>2167</v>
      </c>
      <c r="H31" s="524" t="s">
        <v>1107</v>
      </c>
      <c r="I31" s="484" t="s">
        <v>2144</v>
      </c>
      <c r="J31" s="484" t="s">
        <v>1116</v>
      </c>
      <c r="K31" s="484" t="s">
        <v>1110</v>
      </c>
      <c r="L31" s="488"/>
      <c r="M31" s="488"/>
      <c r="N31" s="488" t="s">
        <v>2145</v>
      </c>
      <c r="O31" s="509"/>
      <c r="P31" s="488"/>
      <c r="Q31" s="488"/>
      <c r="U31" s="484" t="s">
        <v>2168</v>
      </c>
      <c r="V31" s="484" t="s">
        <v>2168</v>
      </c>
      <c r="X31" s="521">
        <v>42312</v>
      </c>
      <c r="Y31" s="521">
        <v>42313</v>
      </c>
      <c r="AA31" s="521"/>
      <c r="AB31" s="484" t="s">
        <v>1113</v>
      </c>
      <c r="AC31" s="484">
        <v>0</v>
      </c>
      <c r="AD31" s="484">
        <v>0</v>
      </c>
      <c r="AE31" s="484">
        <v>0</v>
      </c>
      <c r="AF31" s="484">
        <v>0</v>
      </c>
      <c r="AG31" s="484">
        <v>0</v>
      </c>
      <c r="AH31" s="484">
        <v>1</v>
      </c>
      <c r="AI31" s="484">
        <v>43001</v>
      </c>
      <c r="AJ31" s="484">
        <v>2120</v>
      </c>
      <c r="AK31" s="484">
        <v>0</v>
      </c>
      <c r="AL31" s="484">
        <v>0</v>
      </c>
      <c r="AO31" s="524"/>
      <c r="AP31" s="524"/>
      <c r="AQ31" s="484" t="str">
        <f t="shared" si="0"/>
        <v/>
      </c>
    </row>
    <row r="32" spans="2:43">
      <c r="B32" s="1111" t="s">
        <v>2142</v>
      </c>
      <c r="C32" s="1112">
        <v>42338</v>
      </c>
      <c r="D32" s="1113">
        <v>1765.05</v>
      </c>
      <c r="E32" s="1113">
        <v>0</v>
      </c>
      <c r="F32" s="1114" t="s">
        <v>1105</v>
      </c>
      <c r="G32" s="1111" t="s">
        <v>2169</v>
      </c>
      <c r="H32" s="1115" t="s">
        <v>1107</v>
      </c>
      <c r="I32" s="1111" t="s">
        <v>1356</v>
      </c>
      <c r="J32" s="1111" t="s">
        <v>1109</v>
      </c>
      <c r="K32" s="1111" t="s">
        <v>1110</v>
      </c>
      <c r="L32" s="1116"/>
      <c r="M32" s="1116"/>
      <c r="N32" s="1116" t="s">
        <v>2170</v>
      </c>
      <c r="O32" s="509"/>
      <c r="P32" s="488"/>
      <c r="Q32" s="488"/>
      <c r="U32" s="484" t="s">
        <v>2171</v>
      </c>
      <c r="V32" s="484" t="s">
        <v>2171</v>
      </c>
      <c r="X32" s="521">
        <v>42313</v>
      </c>
      <c r="Y32" s="521">
        <v>42313</v>
      </c>
      <c r="AA32" s="521"/>
      <c r="AB32" s="484" t="s">
        <v>1113</v>
      </c>
      <c r="AC32" s="484">
        <v>0</v>
      </c>
      <c r="AD32" s="484">
        <v>0</v>
      </c>
      <c r="AE32" s="484">
        <v>0</v>
      </c>
      <c r="AF32" s="484">
        <v>0</v>
      </c>
      <c r="AG32" s="484">
        <v>0</v>
      </c>
      <c r="AH32" s="484">
        <v>1</v>
      </c>
      <c r="AI32" s="484">
        <v>43001</v>
      </c>
      <c r="AJ32" s="484">
        <v>2120</v>
      </c>
      <c r="AK32" s="484">
        <v>0</v>
      </c>
      <c r="AL32" s="484">
        <v>99</v>
      </c>
      <c r="AO32" s="524"/>
      <c r="AP32" s="524"/>
      <c r="AQ32" s="484" t="str">
        <f t="shared" si="0"/>
        <v/>
      </c>
    </row>
    <row r="33" spans="2:43">
      <c r="B33" s="1111" t="s">
        <v>2142</v>
      </c>
      <c r="C33" s="1112">
        <v>42308</v>
      </c>
      <c r="D33" s="1113">
        <v>1765.05</v>
      </c>
      <c r="E33" s="1113">
        <v>0</v>
      </c>
      <c r="F33" s="1114" t="s">
        <v>1105</v>
      </c>
      <c r="G33" s="1111" t="s">
        <v>2166</v>
      </c>
      <c r="H33" s="1115" t="s">
        <v>1107</v>
      </c>
      <c r="I33" s="1111" t="s">
        <v>2172</v>
      </c>
      <c r="J33" s="1111" t="s">
        <v>2173</v>
      </c>
      <c r="K33" s="1111" t="s">
        <v>2174</v>
      </c>
      <c r="L33" s="1116"/>
      <c r="M33" s="1116"/>
      <c r="N33" s="1116" t="s">
        <v>2175</v>
      </c>
      <c r="O33" s="509"/>
      <c r="P33" s="488"/>
      <c r="Q33" s="488"/>
      <c r="U33" s="484" t="s">
        <v>2176</v>
      </c>
      <c r="V33" s="484" t="s">
        <v>2176</v>
      </c>
      <c r="X33" s="521">
        <v>42318</v>
      </c>
      <c r="Y33" s="521">
        <v>42318</v>
      </c>
      <c r="AA33" s="521"/>
      <c r="AB33" s="484" t="s">
        <v>1113</v>
      </c>
      <c r="AC33" s="484">
        <v>0</v>
      </c>
      <c r="AD33" s="484">
        <v>0</v>
      </c>
      <c r="AE33" s="484">
        <v>0</v>
      </c>
      <c r="AF33" s="484">
        <v>0</v>
      </c>
      <c r="AG33" s="484">
        <v>0</v>
      </c>
      <c r="AH33" s="484">
        <v>1</v>
      </c>
      <c r="AI33" s="484">
        <v>43001</v>
      </c>
      <c r="AJ33" s="484">
        <v>2120</v>
      </c>
      <c r="AK33" s="484">
        <v>0</v>
      </c>
      <c r="AL33" s="484">
        <v>99</v>
      </c>
      <c r="AO33" s="524"/>
      <c r="AP33" s="524"/>
      <c r="AQ33" s="484" t="str">
        <f t="shared" si="0"/>
        <v/>
      </c>
    </row>
    <row r="34" spans="2:43">
      <c r="B34" s="1111" t="s">
        <v>2142</v>
      </c>
      <c r="C34" s="1112">
        <v>42338</v>
      </c>
      <c r="D34" s="1113">
        <v>-1765.05</v>
      </c>
      <c r="E34" s="1113">
        <v>0</v>
      </c>
      <c r="F34" s="1114" t="s">
        <v>1105</v>
      </c>
      <c r="G34" s="1111" t="s">
        <v>2177</v>
      </c>
      <c r="H34" s="1115" t="s">
        <v>1107</v>
      </c>
      <c r="I34" s="1111" t="s">
        <v>2172</v>
      </c>
      <c r="J34" s="1111" t="s">
        <v>2173</v>
      </c>
      <c r="K34" s="1111" t="s">
        <v>2178</v>
      </c>
      <c r="L34" s="1116"/>
      <c r="M34" s="1116"/>
      <c r="N34" s="1116" t="s">
        <v>2175</v>
      </c>
      <c r="O34" s="509"/>
      <c r="P34" s="488"/>
      <c r="Q34" s="488"/>
      <c r="U34" s="484" t="s">
        <v>2166</v>
      </c>
      <c r="X34" s="521">
        <v>42310</v>
      </c>
      <c r="Y34" s="521">
        <v>42310</v>
      </c>
      <c r="AA34" s="521"/>
      <c r="AB34" s="484" t="s">
        <v>1113</v>
      </c>
      <c r="AC34" s="484">
        <v>0</v>
      </c>
      <c r="AD34" s="484">
        <v>0</v>
      </c>
      <c r="AE34" s="484">
        <v>0</v>
      </c>
      <c r="AF34" s="484">
        <v>0</v>
      </c>
      <c r="AG34" s="484">
        <v>5</v>
      </c>
      <c r="AH34" s="484">
        <v>1</v>
      </c>
      <c r="AI34" s="484">
        <v>43001</v>
      </c>
      <c r="AJ34" s="484">
        <v>2120</v>
      </c>
      <c r="AK34" s="484">
        <v>0</v>
      </c>
      <c r="AL34" s="484">
        <v>0</v>
      </c>
      <c r="AO34" s="524"/>
      <c r="AP34" s="524"/>
      <c r="AQ34" s="484" t="str">
        <f t="shared" si="0"/>
        <v/>
      </c>
    </row>
    <row r="35" spans="2:43">
      <c r="B35" s="484" t="s">
        <v>2179</v>
      </c>
      <c r="C35" s="521">
        <v>42400</v>
      </c>
      <c r="D35" s="522">
        <v>49.85</v>
      </c>
      <c r="E35" s="522">
        <v>0</v>
      </c>
      <c r="F35" s="523" t="s">
        <v>1105</v>
      </c>
      <c r="G35" s="484" t="s">
        <v>2180</v>
      </c>
      <c r="H35" s="524" t="s">
        <v>1107</v>
      </c>
      <c r="I35" s="484" t="s">
        <v>2181</v>
      </c>
      <c r="J35" s="484" t="s">
        <v>1116</v>
      </c>
      <c r="K35" s="484" t="s">
        <v>1110</v>
      </c>
      <c r="L35" s="488"/>
      <c r="M35" s="488"/>
      <c r="N35" s="488" t="s">
        <v>2181</v>
      </c>
      <c r="O35" s="509"/>
      <c r="P35" s="488"/>
      <c r="Q35" s="488"/>
      <c r="U35" s="484" t="s">
        <v>2176</v>
      </c>
      <c r="V35" s="484" t="s">
        <v>2182</v>
      </c>
      <c r="X35" s="521">
        <v>42318</v>
      </c>
      <c r="Y35" s="521">
        <v>42318</v>
      </c>
      <c r="AA35" s="521"/>
      <c r="AB35" s="484" t="s">
        <v>1113</v>
      </c>
      <c r="AC35" s="484">
        <v>0</v>
      </c>
      <c r="AD35" s="484">
        <v>0</v>
      </c>
      <c r="AE35" s="484">
        <v>0</v>
      </c>
      <c r="AF35" s="484">
        <v>0</v>
      </c>
      <c r="AG35" s="484">
        <v>5</v>
      </c>
      <c r="AH35" s="484">
        <v>1</v>
      </c>
      <c r="AI35" s="484">
        <v>43001</v>
      </c>
      <c r="AJ35" s="484">
        <v>2120</v>
      </c>
      <c r="AK35" s="484">
        <v>0</v>
      </c>
      <c r="AL35" s="484">
        <v>99</v>
      </c>
      <c r="AO35" s="524"/>
      <c r="AP35" s="524"/>
      <c r="AQ35" s="484" t="str">
        <f t="shared" si="0"/>
        <v/>
      </c>
    </row>
    <row r="36" spans="2:43">
      <c r="B36" s="484" t="s">
        <v>2179</v>
      </c>
      <c r="C36" s="521">
        <v>42429</v>
      </c>
      <c r="D36" s="522">
        <v>-49.85</v>
      </c>
      <c r="E36" s="522">
        <v>0</v>
      </c>
      <c r="F36" s="523" t="s">
        <v>1105</v>
      </c>
      <c r="G36" s="484" t="s">
        <v>2183</v>
      </c>
      <c r="H36" s="524" t="s">
        <v>1107</v>
      </c>
      <c r="I36" s="484" t="s">
        <v>2181</v>
      </c>
      <c r="J36" s="484" t="s">
        <v>1109</v>
      </c>
      <c r="K36" s="484" t="s">
        <v>1110</v>
      </c>
      <c r="L36" s="488"/>
      <c r="M36" s="488"/>
      <c r="N36" s="488" t="s">
        <v>2181</v>
      </c>
      <c r="O36" s="509"/>
      <c r="P36" s="488"/>
      <c r="Q36" s="488"/>
      <c r="U36" s="484" t="s">
        <v>2184</v>
      </c>
      <c r="V36" s="484" t="s">
        <v>2184</v>
      </c>
      <c r="X36" s="521">
        <v>42341</v>
      </c>
      <c r="Y36" s="521">
        <v>42341</v>
      </c>
      <c r="AA36" s="521"/>
      <c r="AB36" s="484" t="s">
        <v>1113</v>
      </c>
      <c r="AC36" s="484">
        <v>0</v>
      </c>
      <c r="AD36" s="484">
        <v>0</v>
      </c>
      <c r="AE36" s="484">
        <v>0</v>
      </c>
      <c r="AF36" s="484">
        <v>0</v>
      </c>
      <c r="AG36" s="484">
        <v>0</v>
      </c>
      <c r="AH36" s="484">
        <v>1</v>
      </c>
      <c r="AI36" s="484">
        <v>43001</v>
      </c>
      <c r="AJ36" s="484">
        <v>2120</v>
      </c>
      <c r="AK36" s="484">
        <v>0</v>
      </c>
      <c r="AL36" s="484">
        <v>0</v>
      </c>
      <c r="AO36" s="524"/>
      <c r="AP36" s="524"/>
      <c r="AQ36" s="484" t="str">
        <f t="shared" si="0"/>
        <v/>
      </c>
    </row>
    <row r="37" spans="2:43">
      <c r="B37" s="484" t="s">
        <v>2179</v>
      </c>
      <c r="C37" s="521">
        <v>42429</v>
      </c>
      <c r="D37" s="522">
        <v>59.61</v>
      </c>
      <c r="E37" s="522">
        <v>0</v>
      </c>
      <c r="F37" s="523" t="s">
        <v>1105</v>
      </c>
      <c r="G37" s="484" t="s">
        <v>2185</v>
      </c>
      <c r="H37" s="524" t="s">
        <v>1107</v>
      </c>
      <c r="I37" s="484" t="s">
        <v>2186</v>
      </c>
      <c r="J37" s="484" t="s">
        <v>1109</v>
      </c>
      <c r="K37" s="484" t="s">
        <v>1110</v>
      </c>
      <c r="L37" s="488"/>
      <c r="M37" s="488"/>
      <c r="N37" s="488" t="s">
        <v>2186</v>
      </c>
      <c r="O37" s="509"/>
      <c r="P37" s="488"/>
      <c r="Q37" s="488"/>
      <c r="U37" s="484" t="s">
        <v>2187</v>
      </c>
      <c r="V37" s="484" t="s">
        <v>2187</v>
      </c>
      <c r="X37" s="521">
        <v>42342</v>
      </c>
      <c r="Y37" s="521">
        <v>42342</v>
      </c>
      <c r="AA37" s="521"/>
      <c r="AB37" s="484" t="s">
        <v>1113</v>
      </c>
      <c r="AC37" s="484">
        <v>0</v>
      </c>
      <c r="AD37" s="484">
        <v>0</v>
      </c>
      <c r="AE37" s="484">
        <v>0</v>
      </c>
      <c r="AF37" s="484">
        <v>0</v>
      </c>
      <c r="AG37" s="484">
        <v>0</v>
      </c>
      <c r="AH37" s="484">
        <v>1</v>
      </c>
      <c r="AI37" s="484">
        <v>43001</v>
      </c>
      <c r="AJ37" s="484">
        <v>2120</v>
      </c>
      <c r="AK37" s="484">
        <v>0</v>
      </c>
      <c r="AL37" s="484">
        <v>99</v>
      </c>
      <c r="AO37" s="524"/>
      <c r="AP37" s="524"/>
      <c r="AQ37" s="484" t="str">
        <f t="shared" si="0"/>
        <v/>
      </c>
    </row>
    <row r="38" spans="2:43">
      <c r="B38" s="484" t="s">
        <v>2179</v>
      </c>
      <c r="C38" s="521">
        <v>42460</v>
      </c>
      <c r="D38" s="522">
        <v>-59.61</v>
      </c>
      <c r="E38" s="522">
        <v>0</v>
      </c>
      <c r="F38" s="523" t="s">
        <v>1105</v>
      </c>
      <c r="G38" s="484" t="s">
        <v>2188</v>
      </c>
      <c r="H38" s="524" t="s">
        <v>1107</v>
      </c>
      <c r="I38" s="484" t="s">
        <v>2186</v>
      </c>
      <c r="J38" s="484" t="s">
        <v>1116</v>
      </c>
      <c r="K38" s="484" t="s">
        <v>1110</v>
      </c>
      <c r="L38" s="488"/>
      <c r="M38" s="488"/>
      <c r="N38" s="488" t="s">
        <v>2186</v>
      </c>
      <c r="O38" s="509"/>
      <c r="P38" s="488"/>
      <c r="Q38" s="488"/>
      <c r="U38" s="484" t="s">
        <v>2189</v>
      </c>
      <c r="V38" s="484" t="s">
        <v>2189</v>
      </c>
      <c r="X38" s="521">
        <v>42342</v>
      </c>
      <c r="Y38" s="521">
        <v>42345</v>
      </c>
      <c r="AA38" s="521"/>
      <c r="AB38" s="484" t="s">
        <v>1113</v>
      </c>
      <c r="AC38" s="484">
        <v>0</v>
      </c>
      <c r="AD38" s="484">
        <v>0</v>
      </c>
      <c r="AE38" s="484">
        <v>0</v>
      </c>
      <c r="AF38" s="484">
        <v>0</v>
      </c>
      <c r="AG38" s="484">
        <v>0</v>
      </c>
      <c r="AH38" s="484">
        <v>1</v>
      </c>
      <c r="AI38" s="484">
        <v>43001</v>
      </c>
      <c r="AJ38" s="484">
        <v>2120</v>
      </c>
      <c r="AK38" s="484">
        <v>0</v>
      </c>
      <c r="AL38" s="484">
        <v>99</v>
      </c>
      <c r="AO38" s="524"/>
      <c r="AP38" s="524"/>
      <c r="AQ38" s="484" t="str">
        <f t="shared" si="0"/>
        <v/>
      </c>
    </row>
    <row r="39" spans="2:43">
      <c r="B39" s="484" t="s">
        <v>2179</v>
      </c>
      <c r="C39" s="521">
        <v>42460</v>
      </c>
      <c r="D39" s="522">
        <v>55.9</v>
      </c>
      <c r="E39" s="522">
        <v>0</v>
      </c>
      <c r="F39" s="523" t="s">
        <v>1105</v>
      </c>
      <c r="G39" s="484" t="s">
        <v>2190</v>
      </c>
      <c r="H39" s="524" t="s">
        <v>1107</v>
      </c>
      <c r="I39" s="484" t="s">
        <v>2191</v>
      </c>
      <c r="J39" s="484" t="s">
        <v>1109</v>
      </c>
      <c r="K39" s="484" t="s">
        <v>1110</v>
      </c>
      <c r="L39" s="488"/>
      <c r="M39" s="488"/>
      <c r="N39" s="488" t="s">
        <v>2192</v>
      </c>
      <c r="O39" s="509"/>
      <c r="P39" s="488"/>
      <c r="Q39" s="488"/>
      <c r="U39" s="484" t="s">
        <v>2193</v>
      </c>
      <c r="V39" s="484" t="s">
        <v>2193</v>
      </c>
      <c r="X39" s="521">
        <v>42345</v>
      </c>
      <c r="Y39" s="521">
        <v>42345</v>
      </c>
      <c r="AA39" s="521"/>
      <c r="AB39" s="484" t="s">
        <v>1113</v>
      </c>
      <c r="AC39" s="484">
        <v>0</v>
      </c>
      <c r="AD39" s="484">
        <v>0</v>
      </c>
      <c r="AE39" s="484">
        <v>0</v>
      </c>
      <c r="AF39" s="484">
        <v>0</v>
      </c>
      <c r="AG39" s="484">
        <v>0</v>
      </c>
      <c r="AH39" s="484">
        <v>1</v>
      </c>
      <c r="AI39" s="484">
        <v>43001</v>
      </c>
      <c r="AJ39" s="484">
        <v>2120</v>
      </c>
      <c r="AK39" s="484">
        <v>0</v>
      </c>
      <c r="AL39" s="484">
        <v>0</v>
      </c>
      <c r="AO39" s="524"/>
      <c r="AP39" s="524"/>
      <c r="AQ39" s="484" t="str">
        <f t="shared" si="0"/>
        <v/>
      </c>
    </row>
    <row r="40" spans="2:43">
      <c r="B40" s="484" t="s">
        <v>2179</v>
      </c>
      <c r="C40" s="521">
        <v>42490</v>
      </c>
      <c r="D40" s="522">
        <v>-55.9</v>
      </c>
      <c r="E40" s="522">
        <v>0</v>
      </c>
      <c r="F40" s="523" t="s">
        <v>1105</v>
      </c>
      <c r="G40" s="484" t="s">
        <v>2194</v>
      </c>
      <c r="H40" s="524" t="s">
        <v>1107</v>
      </c>
      <c r="I40" s="484" t="s">
        <v>2191</v>
      </c>
      <c r="J40" s="484" t="s">
        <v>1116</v>
      </c>
      <c r="K40" s="484" t="s">
        <v>1110</v>
      </c>
      <c r="L40" s="488"/>
      <c r="M40" s="488"/>
      <c r="N40" s="488" t="s">
        <v>2192</v>
      </c>
      <c r="O40" s="509"/>
      <c r="P40" s="488"/>
      <c r="Q40" s="488"/>
      <c r="U40" s="484" t="s">
        <v>2189</v>
      </c>
      <c r="V40" s="484" t="s">
        <v>2195</v>
      </c>
      <c r="X40" s="521">
        <v>42345</v>
      </c>
      <c r="Y40" s="521">
        <v>42345</v>
      </c>
      <c r="AA40" s="521"/>
      <c r="AB40" s="484" t="s">
        <v>1113</v>
      </c>
      <c r="AC40" s="484">
        <v>0</v>
      </c>
      <c r="AD40" s="484">
        <v>0</v>
      </c>
      <c r="AE40" s="484">
        <v>0</v>
      </c>
      <c r="AF40" s="484">
        <v>0</v>
      </c>
      <c r="AG40" s="484">
        <v>5</v>
      </c>
      <c r="AH40" s="484">
        <v>1</v>
      </c>
      <c r="AI40" s="484">
        <v>43001</v>
      </c>
      <c r="AJ40" s="484">
        <v>2120</v>
      </c>
      <c r="AK40" s="484">
        <v>0</v>
      </c>
      <c r="AL40" s="484">
        <v>99</v>
      </c>
      <c r="AO40" s="524"/>
      <c r="AP40" s="524"/>
      <c r="AQ40" s="484" t="str">
        <f t="shared" si="0"/>
        <v/>
      </c>
    </row>
    <row r="41" spans="2:43">
      <c r="B41" s="484" t="s">
        <v>2179</v>
      </c>
      <c r="C41" s="521">
        <v>42521</v>
      </c>
      <c r="D41" s="522">
        <v>64.47</v>
      </c>
      <c r="E41" s="522">
        <v>0</v>
      </c>
      <c r="F41" s="523" t="s">
        <v>1105</v>
      </c>
      <c r="G41" s="484" t="s">
        <v>2196</v>
      </c>
      <c r="H41" s="524" t="s">
        <v>1107</v>
      </c>
      <c r="I41" s="484" t="s">
        <v>2191</v>
      </c>
      <c r="J41" s="484" t="s">
        <v>1109</v>
      </c>
      <c r="K41" s="484" t="s">
        <v>1110</v>
      </c>
      <c r="L41" s="488"/>
      <c r="M41" s="488"/>
      <c r="N41" s="488" t="s">
        <v>2197</v>
      </c>
      <c r="O41" s="509"/>
      <c r="P41" s="488"/>
      <c r="Q41" s="488"/>
      <c r="U41" s="484" t="s">
        <v>2198</v>
      </c>
      <c r="V41" s="484" t="s">
        <v>2198</v>
      </c>
      <c r="X41" s="521">
        <v>42375</v>
      </c>
      <c r="Y41" s="521">
        <v>42375</v>
      </c>
      <c r="AA41" s="521"/>
      <c r="AB41" s="484" t="s">
        <v>1113</v>
      </c>
      <c r="AC41" s="484">
        <v>0</v>
      </c>
      <c r="AD41" s="484">
        <v>0</v>
      </c>
      <c r="AE41" s="484">
        <v>0</v>
      </c>
      <c r="AF41" s="484">
        <v>0</v>
      </c>
      <c r="AG41" s="484">
        <v>0</v>
      </c>
      <c r="AH41" s="484">
        <v>1</v>
      </c>
      <c r="AI41" s="484">
        <v>43001</v>
      </c>
      <c r="AJ41" s="484">
        <v>2120</v>
      </c>
      <c r="AK41" s="484">
        <v>0</v>
      </c>
      <c r="AL41" s="484">
        <v>99</v>
      </c>
      <c r="AO41" s="524"/>
      <c r="AP41" s="524"/>
      <c r="AQ41" s="484" t="str">
        <f t="shared" si="0"/>
        <v/>
      </c>
    </row>
    <row r="42" spans="2:43">
      <c r="B42" s="484" t="s">
        <v>2179</v>
      </c>
      <c r="C42" s="521">
        <v>42551</v>
      </c>
      <c r="D42" s="522">
        <v>-64.47</v>
      </c>
      <c r="E42" s="522">
        <v>0</v>
      </c>
      <c r="F42" s="523" t="s">
        <v>1105</v>
      </c>
      <c r="G42" s="484" t="s">
        <v>2199</v>
      </c>
      <c r="H42" s="524" t="s">
        <v>1107</v>
      </c>
      <c r="I42" s="484" t="s">
        <v>2191</v>
      </c>
      <c r="J42" s="484" t="s">
        <v>1109</v>
      </c>
      <c r="K42" s="484" t="s">
        <v>1110</v>
      </c>
      <c r="L42" s="488"/>
      <c r="M42" s="488"/>
      <c r="N42" s="488" t="s">
        <v>2197</v>
      </c>
      <c r="O42" s="509"/>
      <c r="P42" s="488"/>
      <c r="Q42" s="488"/>
      <c r="U42" s="484" t="s">
        <v>2200</v>
      </c>
      <c r="V42" s="484" t="s">
        <v>2200</v>
      </c>
      <c r="X42" s="521">
        <v>42375</v>
      </c>
      <c r="Y42" s="521">
        <v>42375</v>
      </c>
      <c r="AA42" s="521"/>
      <c r="AB42" s="484" t="s">
        <v>1113</v>
      </c>
      <c r="AC42" s="484">
        <v>0</v>
      </c>
      <c r="AD42" s="484">
        <v>0</v>
      </c>
      <c r="AE42" s="484">
        <v>0</v>
      </c>
      <c r="AF42" s="484">
        <v>0</v>
      </c>
      <c r="AG42" s="484">
        <v>0</v>
      </c>
      <c r="AH42" s="484">
        <v>1</v>
      </c>
      <c r="AI42" s="484">
        <v>43001</v>
      </c>
      <c r="AJ42" s="484">
        <v>2120</v>
      </c>
      <c r="AK42" s="484">
        <v>0</v>
      </c>
      <c r="AL42" s="484">
        <v>0</v>
      </c>
      <c r="AO42" s="524"/>
      <c r="AP42" s="524"/>
      <c r="AQ42" s="484" t="str">
        <f t="shared" si="0"/>
        <v/>
      </c>
    </row>
    <row r="43" spans="2:43">
      <c r="B43" s="484" t="s">
        <v>2179</v>
      </c>
      <c r="C43" s="521">
        <v>42551</v>
      </c>
      <c r="D43" s="522">
        <v>64.760000000000005</v>
      </c>
      <c r="E43" s="522">
        <v>0</v>
      </c>
      <c r="F43" s="523" t="s">
        <v>1105</v>
      </c>
      <c r="G43" s="484" t="s">
        <v>2201</v>
      </c>
      <c r="H43" s="524" t="s">
        <v>1107</v>
      </c>
      <c r="I43" s="484" t="s">
        <v>2191</v>
      </c>
      <c r="J43" s="484" t="s">
        <v>1116</v>
      </c>
      <c r="K43" s="484" t="s">
        <v>1110</v>
      </c>
      <c r="L43" s="488"/>
      <c r="M43" s="488"/>
      <c r="N43" s="488" t="s">
        <v>2202</v>
      </c>
      <c r="O43" s="509"/>
      <c r="P43" s="488"/>
      <c r="Q43" s="488"/>
      <c r="U43" s="484" t="s">
        <v>2203</v>
      </c>
      <c r="V43" s="484" t="s">
        <v>2203</v>
      </c>
      <c r="X43" s="521">
        <v>42402</v>
      </c>
      <c r="Y43" s="521">
        <v>42403</v>
      </c>
      <c r="AA43" s="521"/>
      <c r="AB43" s="484" t="s">
        <v>1113</v>
      </c>
      <c r="AC43" s="484">
        <v>0</v>
      </c>
      <c r="AD43" s="484">
        <v>0</v>
      </c>
      <c r="AE43" s="484">
        <v>0</v>
      </c>
      <c r="AF43" s="484">
        <v>0</v>
      </c>
      <c r="AG43" s="484">
        <v>0</v>
      </c>
      <c r="AH43" s="484">
        <v>1</v>
      </c>
      <c r="AI43" s="484">
        <v>43001</v>
      </c>
      <c r="AJ43" s="484">
        <v>2120</v>
      </c>
      <c r="AK43" s="484">
        <v>0</v>
      </c>
      <c r="AL43" s="484">
        <v>99</v>
      </c>
      <c r="AO43" s="524"/>
      <c r="AP43" s="524"/>
      <c r="AQ43" s="484" t="str">
        <f t="shared" si="0"/>
        <v/>
      </c>
    </row>
    <row r="44" spans="2:43">
      <c r="B44" s="484" t="s">
        <v>2179</v>
      </c>
      <c r="C44" s="521">
        <v>42308</v>
      </c>
      <c r="D44" s="522">
        <v>49.22</v>
      </c>
      <c r="E44" s="522">
        <v>0</v>
      </c>
      <c r="F44" s="523" t="s">
        <v>1105</v>
      </c>
      <c r="G44" s="484" t="s">
        <v>2204</v>
      </c>
      <c r="H44" s="524" t="s">
        <v>1107</v>
      </c>
      <c r="I44" s="484" t="s">
        <v>2205</v>
      </c>
      <c r="J44" s="484" t="s">
        <v>1116</v>
      </c>
      <c r="K44" s="484" t="s">
        <v>1110</v>
      </c>
      <c r="L44" s="488"/>
      <c r="M44" s="488"/>
      <c r="N44" s="488" t="s">
        <v>2205</v>
      </c>
      <c r="O44" s="509"/>
      <c r="P44" s="488"/>
      <c r="Q44" s="488"/>
      <c r="U44" s="484" t="s">
        <v>2206</v>
      </c>
      <c r="V44" s="484" t="s">
        <v>2206</v>
      </c>
      <c r="X44" s="521">
        <v>42404</v>
      </c>
      <c r="Y44" s="521">
        <v>42404</v>
      </c>
      <c r="AA44" s="521"/>
      <c r="AB44" s="484" t="s">
        <v>1113</v>
      </c>
      <c r="AC44" s="484">
        <v>0</v>
      </c>
      <c r="AD44" s="484">
        <v>0</v>
      </c>
      <c r="AE44" s="484">
        <v>0</v>
      </c>
      <c r="AF44" s="484">
        <v>0</v>
      </c>
      <c r="AG44" s="484">
        <v>0</v>
      </c>
      <c r="AH44" s="484">
        <v>1</v>
      </c>
      <c r="AI44" s="484">
        <v>43001</v>
      </c>
      <c r="AJ44" s="484">
        <v>2120</v>
      </c>
      <c r="AK44" s="484">
        <v>0</v>
      </c>
      <c r="AL44" s="484">
        <v>0</v>
      </c>
      <c r="AO44" s="524"/>
      <c r="AP44" s="524"/>
      <c r="AQ44" s="484" t="str">
        <f t="shared" si="0"/>
        <v/>
      </c>
    </row>
    <row r="45" spans="2:43">
      <c r="B45" s="484" t="s">
        <v>2179</v>
      </c>
      <c r="C45" s="521">
        <v>42338</v>
      </c>
      <c r="D45" s="522">
        <v>-49.22</v>
      </c>
      <c r="E45" s="522">
        <v>0</v>
      </c>
      <c r="F45" s="523" t="s">
        <v>1105</v>
      </c>
      <c r="G45" s="484" t="s">
        <v>2207</v>
      </c>
      <c r="H45" s="524" t="s">
        <v>1107</v>
      </c>
      <c r="I45" s="484" t="s">
        <v>2205</v>
      </c>
      <c r="J45" s="484" t="s">
        <v>1116</v>
      </c>
      <c r="K45" s="484" t="s">
        <v>1110</v>
      </c>
      <c r="L45" s="488"/>
      <c r="M45" s="488"/>
      <c r="N45" s="488" t="s">
        <v>2205</v>
      </c>
      <c r="O45" s="509"/>
      <c r="P45" s="488"/>
      <c r="Q45" s="488"/>
      <c r="U45" s="484" t="s">
        <v>2208</v>
      </c>
      <c r="V45" s="484" t="s">
        <v>2208</v>
      </c>
      <c r="X45" s="521">
        <v>42405</v>
      </c>
      <c r="Y45" s="521">
        <v>42405</v>
      </c>
      <c r="AA45" s="521"/>
      <c r="AB45" s="484" t="s">
        <v>1113</v>
      </c>
      <c r="AC45" s="484">
        <v>0</v>
      </c>
      <c r="AD45" s="484">
        <v>0</v>
      </c>
      <c r="AE45" s="484">
        <v>0</v>
      </c>
      <c r="AF45" s="484">
        <v>0</v>
      </c>
      <c r="AG45" s="484">
        <v>0</v>
      </c>
      <c r="AH45" s="484">
        <v>1</v>
      </c>
      <c r="AI45" s="484">
        <v>43001</v>
      </c>
      <c r="AJ45" s="484">
        <v>2120</v>
      </c>
      <c r="AK45" s="484">
        <v>0</v>
      </c>
      <c r="AL45" s="484">
        <v>99</v>
      </c>
      <c r="AO45" s="524"/>
      <c r="AP45" s="524"/>
      <c r="AQ45" s="484" t="str">
        <f t="shared" si="0"/>
        <v/>
      </c>
    </row>
    <row r="46" spans="2:43">
      <c r="B46" s="484" t="s">
        <v>2179</v>
      </c>
      <c r="C46" s="521">
        <v>42338</v>
      </c>
      <c r="D46" s="522">
        <v>45.78</v>
      </c>
      <c r="E46" s="522">
        <v>0</v>
      </c>
      <c r="F46" s="523" t="s">
        <v>1105</v>
      </c>
      <c r="G46" s="484" t="s">
        <v>2209</v>
      </c>
      <c r="H46" s="524" t="s">
        <v>1107</v>
      </c>
      <c r="I46" s="484" t="s">
        <v>2210</v>
      </c>
      <c r="J46" s="484" t="s">
        <v>1109</v>
      </c>
      <c r="K46" s="484" t="s">
        <v>1110</v>
      </c>
      <c r="L46" s="488"/>
      <c r="M46" s="488"/>
      <c r="N46" s="488" t="s">
        <v>2210</v>
      </c>
      <c r="O46" s="509"/>
      <c r="P46" s="488"/>
      <c r="Q46" s="488"/>
      <c r="U46" s="484" t="s">
        <v>2208</v>
      </c>
      <c r="V46" s="484" t="s">
        <v>2211</v>
      </c>
      <c r="X46" s="521">
        <v>42405</v>
      </c>
      <c r="Y46" s="521">
        <v>42405</v>
      </c>
      <c r="AA46" s="521"/>
      <c r="AB46" s="484" t="s">
        <v>1113</v>
      </c>
      <c r="AC46" s="484">
        <v>0</v>
      </c>
      <c r="AD46" s="484">
        <v>0</v>
      </c>
      <c r="AE46" s="484">
        <v>0</v>
      </c>
      <c r="AF46" s="484">
        <v>0</v>
      </c>
      <c r="AG46" s="484">
        <v>5</v>
      </c>
      <c r="AH46" s="484">
        <v>1</v>
      </c>
      <c r="AI46" s="484">
        <v>43001</v>
      </c>
      <c r="AJ46" s="484">
        <v>2120</v>
      </c>
      <c r="AK46" s="484">
        <v>0</v>
      </c>
      <c r="AL46" s="484">
        <v>99</v>
      </c>
      <c r="AO46" s="524"/>
      <c r="AP46" s="524"/>
      <c r="AQ46" s="484" t="str">
        <f t="shared" si="0"/>
        <v/>
      </c>
    </row>
    <row r="47" spans="2:43">
      <c r="B47" s="484" t="s">
        <v>2179</v>
      </c>
      <c r="C47" s="521">
        <v>42369</v>
      </c>
      <c r="D47" s="522">
        <v>-45.78</v>
      </c>
      <c r="E47" s="522">
        <v>0</v>
      </c>
      <c r="F47" s="523" t="s">
        <v>1105</v>
      </c>
      <c r="G47" s="484" t="s">
        <v>2212</v>
      </c>
      <c r="H47" s="524" t="s">
        <v>1107</v>
      </c>
      <c r="I47" s="484" t="s">
        <v>2210</v>
      </c>
      <c r="J47" s="484" t="s">
        <v>1116</v>
      </c>
      <c r="K47" s="484" t="s">
        <v>1110</v>
      </c>
      <c r="L47" s="488"/>
      <c r="M47" s="488"/>
      <c r="N47" s="488" t="s">
        <v>2210</v>
      </c>
      <c r="O47" s="509"/>
      <c r="P47" s="488"/>
      <c r="Q47" s="488"/>
      <c r="U47" s="484" t="s">
        <v>2213</v>
      </c>
      <c r="V47" s="484" t="s">
        <v>2213</v>
      </c>
      <c r="X47" s="521">
        <v>42432</v>
      </c>
      <c r="Y47" s="521">
        <v>42432</v>
      </c>
      <c r="AA47" s="521"/>
      <c r="AB47" s="484" t="s">
        <v>1113</v>
      </c>
      <c r="AC47" s="484">
        <v>0</v>
      </c>
      <c r="AD47" s="484">
        <v>0</v>
      </c>
      <c r="AE47" s="484">
        <v>0</v>
      </c>
      <c r="AF47" s="484">
        <v>0</v>
      </c>
      <c r="AG47" s="484">
        <v>0</v>
      </c>
      <c r="AH47" s="484">
        <v>1</v>
      </c>
      <c r="AI47" s="484">
        <v>43001</v>
      </c>
      <c r="AJ47" s="484">
        <v>2120</v>
      </c>
      <c r="AK47" s="484">
        <v>0</v>
      </c>
      <c r="AL47" s="484">
        <v>0</v>
      </c>
      <c r="AO47" s="524"/>
      <c r="AP47" s="524"/>
      <c r="AQ47" s="484" t="str">
        <f t="shared" si="0"/>
        <v/>
      </c>
    </row>
    <row r="48" spans="2:43">
      <c r="B48" s="484" t="s">
        <v>2179</v>
      </c>
      <c r="C48" s="521">
        <v>42216</v>
      </c>
      <c r="D48" s="522">
        <v>92.35</v>
      </c>
      <c r="E48" s="522">
        <v>0</v>
      </c>
      <c r="F48" s="523" t="s">
        <v>1105</v>
      </c>
      <c r="G48" s="484" t="s">
        <v>2214</v>
      </c>
      <c r="H48" s="524" t="s">
        <v>1107</v>
      </c>
      <c r="I48" s="484" t="s">
        <v>2215</v>
      </c>
      <c r="J48" s="484" t="s">
        <v>1121</v>
      </c>
      <c r="K48" s="484" t="s">
        <v>1110</v>
      </c>
      <c r="L48" s="488"/>
      <c r="M48" s="488"/>
      <c r="N48" s="488" t="s">
        <v>2215</v>
      </c>
      <c r="O48" s="509"/>
      <c r="P48" s="488"/>
      <c r="Q48" s="488"/>
      <c r="U48" s="484" t="s">
        <v>2216</v>
      </c>
      <c r="V48" s="484" t="s">
        <v>2216</v>
      </c>
      <c r="X48" s="521">
        <v>42432</v>
      </c>
      <c r="Y48" s="521">
        <v>42433</v>
      </c>
      <c r="AA48" s="521"/>
      <c r="AB48" s="484" t="s">
        <v>1113</v>
      </c>
      <c r="AC48" s="484">
        <v>0</v>
      </c>
      <c r="AD48" s="484">
        <v>0</v>
      </c>
      <c r="AE48" s="484">
        <v>0</v>
      </c>
      <c r="AF48" s="484">
        <v>0</v>
      </c>
      <c r="AG48" s="484">
        <v>0</v>
      </c>
      <c r="AH48" s="484">
        <v>1</v>
      </c>
      <c r="AI48" s="484">
        <v>43001</v>
      </c>
      <c r="AJ48" s="484">
        <v>2120</v>
      </c>
      <c r="AK48" s="484">
        <v>0</v>
      </c>
      <c r="AL48" s="484">
        <v>99</v>
      </c>
      <c r="AO48" s="524"/>
      <c r="AP48" s="524"/>
      <c r="AQ48" s="484" t="str">
        <f t="shared" si="0"/>
        <v/>
      </c>
    </row>
    <row r="49" spans="2:43">
      <c r="B49" s="484" t="s">
        <v>2179</v>
      </c>
      <c r="C49" s="521">
        <v>42247</v>
      </c>
      <c r="D49" s="522">
        <v>-92.35</v>
      </c>
      <c r="E49" s="522">
        <v>0</v>
      </c>
      <c r="F49" s="523" t="s">
        <v>1105</v>
      </c>
      <c r="G49" s="484" t="s">
        <v>2217</v>
      </c>
      <c r="H49" s="524" t="s">
        <v>1107</v>
      </c>
      <c r="I49" s="484" t="s">
        <v>2215</v>
      </c>
      <c r="J49" s="484" t="s">
        <v>1121</v>
      </c>
      <c r="K49" s="484" t="s">
        <v>1110</v>
      </c>
      <c r="L49" s="488"/>
      <c r="M49" s="488"/>
      <c r="N49" s="488" t="s">
        <v>2215</v>
      </c>
      <c r="O49" s="509"/>
      <c r="P49" s="488"/>
      <c r="Q49" s="488"/>
      <c r="U49" s="484" t="s">
        <v>2218</v>
      </c>
      <c r="V49" s="484" t="s">
        <v>2218</v>
      </c>
      <c r="X49" s="521">
        <v>42433</v>
      </c>
      <c r="Y49" s="521">
        <v>42436</v>
      </c>
      <c r="AA49" s="521"/>
      <c r="AB49" s="484" t="s">
        <v>1113</v>
      </c>
      <c r="AC49" s="484">
        <v>0</v>
      </c>
      <c r="AD49" s="484">
        <v>0</v>
      </c>
      <c r="AE49" s="484">
        <v>0</v>
      </c>
      <c r="AF49" s="484">
        <v>0</v>
      </c>
      <c r="AG49" s="484">
        <v>0</v>
      </c>
      <c r="AH49" s="484">
        <v>1</v>
      </c>
      <c r="AI49" s="484">
        <v>43001</v>
      </c>
      <c r="AJ49" s="484">
        <v>2120</v>
      </c>
      <c r="AK49" s="484">
        <v>0</v>
      </c>
      <c r="AL49" s="484">
        <v>99</v>
      </c>
      <c r="AO49" s="524"/>
      <c r="AP49" s="524"/>
      <c r="AQ49" s="484" t="str">
        <f t="shared" si="0"/>
        <v/>
      </c>
    </row>
    <row r="50" spans="2:43">
      <c r="B50" s="484" t="s">
        <v>2179</v>
      </c>
      <c r="C50" s="521">
        <v>42247</v>
      </c>
      <c r="D50" s="522">
        <v>58.88</v>
      </c>
      <c r="E50" s="522">
        <v>0</v>
      </c>
      <c r="F50" s="523" t="s">
        <v>1105</v>
      </c>
      <c r="G50" s="484" t="s">
        <v>2219</v>
      </c>
      <c r="H50" s="524" t="s">
        <v>1107</v>
      </c>
      <c r="I50" s="484" t="s">
        <v>2220</v>
      </c>
      <c r="J50" s="484" t="s">
        <v>1109</v>
      </c>
      <c r="K50" s="484" t="s">
        <v>1110</v>
      </c>
      <c r="L50" s="488"/>
      <c r="M50" s="488"/>
      <c r="N50" s="488" t="s">
        <v>2220</v>
      </c>
      <c r="O50" s="509"/>
      <c r="P50" s="488"/>
      <c r="Q50" s="488"/>
      <c r="U50" s="484" t="s">
        <v>2218</v>
      </c>
      <c r="V50" s="484" t="s">
        <v>2221</v>
      </c>
      <c r="X50" s="521">
        <v>42436</v>
      </c>
      <c r="Y50" s="521">
        <v>42436</v>
      </c>
      <c r="AA50" s="521"/>
      <c r="AB50" s="484" t="s">
        <v>1113</v>
      </c>
      <c r="AC50" s="484">
        <v>0</v>
      </c>
      <c r="AD50" s="484">
        <v>0</v>
      </c>
      <c r="AE50" s="484">
        <v>0</v>
      </c>
      <c r="AF50" s="484">
        <v>0</v>
      </c>
      <c r="AG50" s="484">
        <v>5</v>
      </c>
      <c r="AH50" s="484">
        <v>1</v>
      </c>
      <c r="AI50" s="484">
        <v>43001</v>
      </c>
      <c r="AJ50" s="484">
        <v>2120</v>
      </c>
      <c r="AK50" s="484">
        <v>0</v>
      </c>
      <c r="AL50" s="484">
        <v>99</v>
      </c>
      <c r="AO50" s="524"/>
      <c r="AP50" s="524"/>
      <c r="AQ50" s="484" t="str">
        <f t="shared" si="0"/>
        <v/>
      </c>
    </row>
    <row r="51" spans="2:43">
      <c r="B51" s="484" t="s">
        <v>2179</v>
      </c>
      <c r="C51" s="521">
        <v>42277</v>
      </c>
      <c r="D51" s="522">
        <v>-58.88</v>
      </c>
      <c r="E51" s="522">
        <v>0</v>
      </c>
      <c r="F51" s="523" t="s">
        <v>1105</v>
      </c>
      <c r="G51" s="484" t="s">
        <v>2222</v>
      </c>
      <c r="H51" s="524" t="s">
        <v>1107</v>
      </c>
      <c r="I51" s="484" t="s">
        <v>2220</v>
      </c>
      <c r="J51" s="484" t="s">
        <v>1116</v>
      </c>
      <c r="K51" s="484" t="s">
        <v>1110</v>
      </c>
      <c r="L51" s="488"/>
      <c r="M51" s="488"/>
      <c r="N51" s="488" t="s">
        <v>2220</v>
      </c>
      <c r="O51" s="509"/>
      <c r="P51" s="488"/>
      <c r="Q51" s="488"/>
      <c r="U51" s="484" t="s">
        <v>2223</v>
      </c>
      <c r="V51" s="484" t="s">
        <v>2223</v>
      </c>
      <c r="X51" s="521">
        <v>42465</v>
      </c>
      <c r="Y51" s="521">
        <v>42465</v>
      </c>
      <c r="AA51" s="521"/>
      <c r="AB51" s="484" t="s">
        <v>1113</v>
      </c>
      <c r="AC51" s="484">
        <v>0</v>
      </c>
      <c r="AD51" s="484">
        <v>0</v>
      </c>
      <c r="AE51" s="484">
        <v>0</v>
      </c>
      <c r="AF51" s="484">
        <v>0</v>
      </c>
      <c r="AG51" s="484">
        <v>0</v>
      </c>
      <c r="AH51" s="484">
        <v>1</v>
      </c>
      <c r="AI51" s="484">
        <v>43001</v>
      </c>
      <c r="AJ51" s="484">
        <v>2120</v>
      </c>
      <c r="AK51" s="484">
        <v>0</v>
      </c>
      <c r="AL51" s="484">
        <v>0</v>
      </c>
      <c r="AO51" s="524"/>
      <c r="AP51" s="524"/>
      <c r="AQ51" s="484" t="str">
        <f t="shared" si="0"/>
        <v/>
      </c>
    </row>
    <row r="52" spans="2:43">
      <c r="B52" s="1111" t="s">
        <v>2179</v>
      </c>
      <c r="C52" s="1112">
        <v>42216</v>
      </c>
      <c r="D52" s="1113">
        <v>73.73</v>
      </c>
      <c r="E52" s="1113">
        <v>0</v>
      </c>
      <c r="F52" s="1114" t="s">
        <v>1105</v>
      </c>
      <c r="G52" s="1111" t="s">
        <v>2224</v>
      </c>
      <c r="H52" s="1115" t="s">
        <v>1107</v>
      </c>
      <c r="I52" s="1111" t="s">
        <v>2225</v>
      </c>
      <c r="J52" s="1111" t="s">
        <v>1121</v>
      </c>
      <c r="K52" s="1111" t="s">
        <v>1110</v>
      </c>
      <c r="L52" s="1116"/>
      <c r="M52" s="1116"/>
      <c r="N52" s="1116" t="s">
        <v>2225</v>
      </c>
      <c r="O52" s="509"/>
      <c r="P52" s="488"/>
      <c r="Q52" s="488"/>
      <c r="U52" s="484" t="s">
        <v>2226</v>
      </c>
      <c r="V52" s="484" t="s">
        <v>2226</v>
      </c>
      <c r="X52" s="521">
        <v>42466</v>
      </c>
      <c r="Y52" s="521">
        <v>42466</v>
      </c>
      <c r="AA52" s="521"/>
      <c r="AB52" s="484" t="s">
        <v>1113</v>
      </c>
      <c r="AC52" s="484">
        <v>0</v>
      </c>
      <c r="AD52" s="484">
        <v>0</v>
      </c>
      <c r="AE52" s="484">
        <v>0</v>
      </c>
      <c r="AF52" s="484">
        <v>0</v>
      </c>
      <c r="AG52" s="484">
        <v>0</v>
      </c>
      <c r="AH52" s="484">
        <v>1</v>
      </c>
      <c r="AI52" s="484">
        <v>43001</v>
      </c>
      <c r="AJ52" s="484">
        <v>2120</v>
      </c>
      <c r="AK52" s="484">
        <v>0</v>
      </c>
      <c r="AL52" s="484">
        <v>99</v>
      </c>
      <c r="AO52" s="524"/>
      <c r="AP52" s="524"/>
      <c r="AQ52" s="484" t="str">
        <f t="shared" si="0"/>
        <v/>
      </c>
    </row>
    <row r="53" spans="2:43">
      <c r="B53" s="1111" t="s">
        <v>2179</v>
      </c>
      <c r="C53" s="1112">
        <v>42247</v>
      </c>
      <c r="D53" s="1113">
        <v>89.18</v>
      </c>
      <c r="E53" s="1113">
        <v>0</v>
      </c>
      <c r="F53" s="1114" t="s">
        <v>1105</v>
      </c>
      <c r="G53" s="1111" t="s">
        <v>2227</v>
      </c>
      <c r="H53" s="1115" t="s">
        <v>1107</v>
      </c>
      <c r="I53" s="1111" t="s">
        <v>2225</v>
      </c>
      <c r="J53" s="1111" t="s">
        <v>1116</v>
      </c>
      <c r="K53" s="1111" t="s">
        <v>1110</v>
      </c>
      <c r="L53" s="1116"/>
      <c r="M53" s="1116"/>
      <c r="N53" s="1116" t="s">
        <v>2225</v>
      </c>
      <c r="O53" s="509"/>
      <c r="P53" s="488"/>
      <c r="Q53" s="488"/>
      <c r="U53" s="484" t="s">
        <v>2228</v>
      </c>
      <c r="V53" s="484" t="s">
        <v>2228</v>
      </c>
      <c r="X53" s="521">
        <v>42466</v>
      </c>
      <c r="Y53" s="521">
        <v>42466</v>
      </c>
      <c r="AA53" s="521"/>
      <c r="AB53" s="484" t="s">
        <v>1113</v>
      </c>
      <c r="AC53" s="484">
        <v>0</v>
      </c>
      <c r="AD53" s="484">
        <v>0</v>
      </c>
      <c r="AE53" s="484">
        <v>0</v>
      </c>
      <c r="AF53" s="484">
        <v>0</v>
      </c>
      <c r="AG53" s="484">
        <v>0</v>
      </c>
      <c r="AH53" s="484">
        <v>1</v>
      </c>
      <c r="AI53" s="484">
        <v>43001</v>
      </c>
      <c r="AJ53" s="484">
        <v>2120</v>
      </c>
      <c r="AK53" s="484">
        <v>0</v>
      </c>
      <c r="AL53" s="484">
        <v>99</v>
      </c>
      <c r="AO53" s="524"/>
      <c r="AP53" s="524"/>
      <c r="AQ53" s="484" t="str">
        <f t="shared" si="0"/>
        <v/>
      </c>
    </row>
    <row r="54" spans="2:43">
      <c r="B54" s="1111" t="s">
        <v>2179</v>
      </c>
      <c r="C54" s="1112">
        <v>42277</v>
      </c>
      <c r="D54" s="1113">
        <v>57.53</v>
      </c>
      <c r="E54" s="1113">
        <v>0</v>
      </c>
      <c r="F54" s="1114" t="s">
        <v>1105</v>
      </c>
      <c r="G54" s="1111" t="s">
        <v>2229</v>
      </c>
      <c r="H54" s="1115" t="s">
        <v>1107</v>
      </c>
      <c r="I54" s="1111" t="s">
        <v>2225</v>
      </c>
      <c r="J54" s="1111" t="s">
        <v>1109</v>
      </c>
      <c r="K54" s="1111" t="s">
        <v>1110</v>
      </c>
      <c r="L54" s="1116"/>
      <c r="M54" s="1116"/>
      <c r="N54" s="1116" t="s">
        <v>2225</v>
      </c>
      <c r="O54" s="509"/>
      <c r="P54" s="488"/>
      <c r="Q54" s="488"/>
      <c r="U54" s="484" t="s">
        <v>2228</v>
      </c>
      <c r="V54" s="484" t="s">
        <v>2230</v>
      </c>
      <c r="X54" s="521">
        <v>42466</v>
      </c>
      <c r="Y54" s="521">
        <v>42466</v>
      </c>
      <c r="AA54" s="521"/>
      <c r="AB54" s="484" t="s">
        <v>1113</v>
      </c>
      <c r="AC54" s="484">
        <v>0</v>
      </c>
      <c r="AD54" s="484">
        <v>0</v>
      </c>
      <c r="AE54" s="484">
        <v>0</v>
      </c>
      <c r="AF54" s="484">
        <v>0</v>
      </c>
      <c r="AG54" s="484">
        <v>5</v>
      </c>
      <c r="AH54" s="484">
        <v>1</v>
      </c>
      <c r="AI54" s="484">
        <v>43001</v>
      </c>
      <c r="AJ54" s="484">
        <v>2120</v>
      </c>
      <c r="AK54" s="484">
        <v>0</v>
      </c>
      <c r="AL54" s="484">
        <v>99</v>
      </c>
      <c r="AO54" s="524"/>
      <c r="AP54" s="524"/>
      <c r="AQ54" s="484" t="str">
        <f t="shared" si="0"/>
        <v/>
      </c>
    </row>
    <row r="55" spans="2:43">
      <c r="B55" s="1111" t="s">
        <v>2179</v>
      </c>
      <c r="C55" s="1112">
        <v>42308</v>
      </c>
      <c r="D55" s="1113">
        <v>44.92</v>
      </c>
      <c r="E55" s="1113">
        <v>0</v>
      </c>
      <c r="F55" s="1114" t="s">
        <v>1105</v>
      </c>
      <c r="G55" s="1111" t="s">
        <v>2231</v>
      </c>
      <c r="H55" s="1115" t="s">
        <v>1107</v>
      </c>
      <c r="I55" s="1111" t="s">
        <v>2225</v>
      </c>
      <c r="J55" s="1111" t="s">
        <v>1109</v>
      </c>
      <c r="K55" s="1111" t="s">
        <v>1110</v>
      </c>
      <c r="L55" s="1116"/>
      <c r="M55" s="1116"/>
      <c r="N55" s="1116" t="s">
        <v>2225</v>
      </c>
      <c r="O55" s="509"/>
      <c r="P55" s="488"/>
      <c r="Q55" s="488"/>
      <c r="U55" s="484" t="s">
        <v>2232</v>
      </c>
      <c r="V55" s="484" t="s">
        <v>2232</v>
      </c>
      <c r="X55" s="521">
        <v>42494</v>
      </c>
      <c r="Y55" s="521">
        <v>42495</v>
      </c>
      <c r="AA55" s="521"/>
      <c r="AB55" s="484" t="s">
        <v>1113</v>
      </c>
      <c r="AC55" s="484">
        <v>0</v>
      </c>
      <c r="AD55" s="484">
        <v>0</v>
      </c>
      <c r="AE55" s="484">
        <v>0</v>
      </c>
      <c r="AF55" s="484">
        <v>0</v>
      </c>
      <c r="AG55" s="484">
        <v>0</v>
      </c>
      <c r="AH55" s="484">
        <v>1</v>
      </c>
      <c r="AI55" s="484">
        <v>43001</v>
      </c>
      <c r="AJ55" s="484">
        <v>2120</v>
      </c>
      <c r="AK55" s="484">
        <v>0</v>
      </c>
      <c r="AL55" s="484">
        <v>0</v>
      </c>
      <c r="AO55" s="524"/>
      <c r="AP55" s="524"/>
      <c r="AQ55" s="484" t="str">
        <f t="shared" si="0"/>
        <v/>
      </c>
    </row>
    <row r="56" spans="2:43">
      <c r="B56" s="1111" t="s">
        <v>2179</v>
      </c>
      <c r="C56" s="1112">
        <v>42338</v>
      </c>
      <c r="D56" s="1113">
        <v>48.1</v>
      </c>
      <c r="E56" s="1113">
        <v>0</v>
      </c>
      <c r="F56" s="1114" t="s">
        <v>1105</v>
      </c>
      <c r="G56" s="1111" t="s">
        <v>2233</v>
      </c>
      <c r="H56" s="1115" t="s">
        <v>1107</v>
      </c>
      <c r="I56" s="1111" t="s">
        <v>2225</v>
      </c>
      <c r="J56" s="1111" t="s">
        <v>1116</v>
      </c>
      <c r="K56" s="1111" t="s">
        <v>1110</v>
      </c>
      <c r="L56" s="1116"/>
      <c r="M56" s="1116"/>
      <c r="N56" s="1116" t="s">
        <v>2225</v>
      </c>
      <c r="O56" s="509"/>
      <c r="P56" s="488"/>
      <c r="Q56" s="488"/>
      <c r="U56" s="484" t="s">
        <v>2234</v>
      </c>
      <c r="V56" s="484" t="s">
        <v>2234</v>
      </c>
      <c r="X56" s="521">
        <v>42495</v>
      </c>
      <c r="Y56" s="521">
        <v>42495</v>
      </c>
      <c r="AA56" s="521"/>
      <c r="AB56" s="484" t="s">
        <v>1113</v>
      </c>
      <c r="AC56" s="484">
        <v>0</v>
      </c>
      <c r="AD56" s="484">
        <v>0</v>
      </c>
      <c r="AE56" s="484">
        <v>0</v>
      </c>
      <c r="AF56" s="484">
        <v>0</v>
      </c>
      <c r="AG56" s="484">
        <v>0</v>
      </c>
      <c r="AH56" s="484">
        <v>1</v>
      </c>
      <c r="AI56" s="484">
        <v>43001</v>
      </c>
      <c r="AJ56" s="484">
        <v>2120</v>
      </c>
      <c r="AK56" s="484">
        <v>0</v>
      </c>
      <c r="AL56" s="484">
        <v>99</v>
      </c>
      <c r="AO56" s="524"/>
      <c r="AP56" s="524"/>
      <c r="AQ56" s="484" t="str">
        <f t="shared" si="0"/>
        <v/>
      </c>
    </row>
    <row r="57" spans="2:43">
      <c r="B57" s="1111" t="s">
        <v>2179</v>
      </c>
      <c r="C57" s="1112">
        <v>42369</v>
      </c>
      <c r="D57" s="1113">
        <v>44.73</v>
      </c>
      <c r="E57" s="1113">
        <v>0</v>
      </c>
      <c r="F57" s="1114" t="s">
        <v>1105</v>
      </c>
      <c r="G57" s="1111" t="s">
        <v>2235</v>
      </c>
      <c r="H57" s="1115" t="s">
        <v>1107</v>
      </c>
      <c r="I57" s="1111" t="s">
        <v>2225</v>
      </c>
      <c r="J57" s="1111" t="s">
        <v>1109</v>
      </c>
      <c r="K57" s="1111" t="s">
        <v>1110</v>
      </c>
      <c r="L57" s="1116"/>
      <c r="M57" s="1116"/>
      <c r="N57" s="1116" t="s">
        <v>2225</v>
      </c>
      <c r="O57" s="509"/>
      <c r="P57" s="488"/>
      <c r="Q57" s="488"/>
      <c r="U57" s="484" t="s">
        <v>2236</v>
      </c>
      <c r="V57" s="484" t="s">
        <v>2236</v>
      </c>
      <c r="X57" s="521">
        <v>42524</v>
      </c>
      <c r="Y57" s="521">
        <v>42527</v>
      </c>
      <c r="AA57" s="521"/>
      <c r="AB57" s="484" t="s">
        <v>1113</v>
      </c>
      <c r="AC57" s="484">
        <v>0</v>
      </c>
      <c r="AD57" s="484">
        <v>0</v>
      </c>
      <c r="AE57" s="484">
        <v>0</v>
      </c>
      <c r="AF57" s="484">
        <v>0</v>
      </c>
      <c r="AG57" s="484">
        <v>0</v>
      </c>
      <c r="AH57" s="484">
        <v>1</v>
      </c>
      <c r="AI57" s="484">
        <v>43001</v>
      </c>
      <c r="AJ57" s="484">
        <v>2120</v>
      </c>
      <c r="AK57" s="484">
        <v>0</v>
      </c>
      <c r="AL57" s="484">
        <v>0</v>
      </c>
      <c r="AO57" s="524"/>
      <c r="AP57" s="524"/>
      <c r="AQ57" s="484" t="str">
        <f t="shared" si="0"/>
        <v/>
      </c>
    </row>
    <row r="58" spans="2:43">
      <c r="B58" s="1111" t="s">
        <v>2179</v>
      </c>
      <c r="C58" s="1112">
        <v>42400</v>
      </c>
      <c r="D58" s="1113">
        <v>48.55</v>
      </c>
      <c r="E58" s="1113">
        <v>0</v>
      </c>
      <c r="F58" s="1114" t="s">
        <v>1105</v>
      </c>
      <c r="G58" s="1111" t="s">
        <v>2237</v>
      </c>
      <c r="H58" s="1115" t="s">
        <v>1107</v>
      </c>
      <c r="I58" s="1111" t="s">
        <v>2225</v>
      </c>
      <c r="J58" s="1111" t="s">
        <v>1116</v>
      </c>
      <c r="K58" s="1111" t="s">
        <v>1110</v>
      </c>
      <c r="L58" s="1116"/>
      <c r="M58" s="1116"/>
      <c r="N58" s="1116" t="s">
        <v>2225</v>
      </c>
      <c r="O58" s="509"/>
      <c r="P58" s="488"/>
      <c r="Q58" s="488"/>
      <c r="U58" s="484" t="s">
        <v>2238</v>
      </c>
      <c r="V58" s="484" t="s">
        <v>2238</v>
      </c>
      <c r="X58" s="521">
        <v>42527</v>
      </c>
      <c r="Y58" s="521">
        <v>42527</v>
      </c>
      <c r="AA58" s="521"/>
      <c r="AB58" s="484" t="s">
        <v>1113</v>
      </c>
      <c r="AC58" s="484">
        <v>0</v>
      </c>
      <c r="AD58" s="484">
        <v>0</v>
      </c>
      <c r="AE58" s="484">
        <v>0</v>
      </c>
      <c r="AF58" s="484">
        <v>0</v>
      </c>
      <c r="AG58" s="484">
        <v>0</v>
      </c>
      <c r="AH58" s="484">
        <v>1</v>
      </c>
      <c r="AI58" s="484">
        <v>43001</v>
      </c>
      <c r="AJ58" s="484">
        <v>2120</v>
      </c>
      <c r="AK58" s="484">
        <v>0</v>
      </c>
      <c r="AL58" s="484">
        <v>99</v>
      </c>
      <c r="AO58" s="524"/>
      <c r="AP58" s="524"/>
      <c r="AQ58" s="484" t="str">
        <f t="shared" si="0"/>
        <v/>
      </c>
    </row>
    <row r="59" spans="2:43">
      <c r="B59" s="1111" t="s">
        <v>2179</v>
      </c>
      <c r="C59" s="1112">
        <v>42429</v>
      </c>
      <c r="D59" s="1113">
        <v>48.38</v>
      </c>
      <c r="E59" s="1113">
        <v>0</v>
      </c>
      <c r="F59" s="1114" t="s">
        <v>1105</v>
      </c>
      <c r="G59" s="1111" t="s">
        <v>2239</v>
      </c>
      <c r="H59" s="1115" t="s">
        <v>1107</v>
      </c>
      <c r="I59" s="1111" t="s">
        <v>2225</v>
      </c>
      <c r="J59" s="1111" t="s">
        <v>1116</v>
      </c>
      <c r="K59" s="1111" t="s">
        <v>1110</v>
      </c>
      <c r="L59" s="1116"/>
      <c r="M59" s="1116"/>
      <c r="N59" s="1116" t="s">
        <v>2225</v>
      </c>
      <c r="O59" s="509"/>
      <c r="P59" s="488"/>
      <c r="Q59" s="488"/>
      <c r="U59" s="484" t="s">
        <v>2240</v>
      </c>
      <c r="V59" s="484" t="s">
        <v>2240</v>
      </c>
      <c r="X59" s="521">
        <v>42528</v>
      </c>
      <c r="Y59" s="521">
        <v>42528</v>
      </c>
      <c r="AA59" s="521"/>
      <c r="AB59" s="484" t="s">
        <v>1113</v>
      </c>
      <c r="AC59" s="484">
        <v>0</v>
      </c>
      <c r="AD59" s="484">
        <v>0</v>
      </c>
      <c r="AE59" s="484">
        <v>0</v>
      </c>
      <c r="AF59" s="484">
        <v>0</v>
      </c>
      <c r="AG59" s="484">
        <v>0</v>
      </c>
      <c r="AH59" s="484">
        <v>1</v>
      </c>
      <c r="AI59" s="484">
        <v>43001</v>
      </c>
      <c r="AJ59" s="484">
        <v>2120</v>
      </c>
      <c r="AK59" s="484">
        <v>0</v>
      </c>
      <c r="AL59" s="484">
        <v>99</v>
      </c>
      <c r="AO59" s="524"/>
      <c r="AP59" s="524"/>
      <c r="AQ59" s="484" t="str">
        <f t="shared" si="0"/>
        <v/>
      </c>
    </row>
    <row r="60" spans="2:43">
      <c r="B60" s="1111" t="s">
        <v>2179</v>
      </c>
      <c r="C60" s="1112">
        <v>42460</v>
      </c>
      <c r="D60" s="1113">
        <v>57.87</v>
      </c>
      <c r="E60" s="1113">
        <v>0</v>
      </c>
      <c r="F60" s="1114" t="s">
        <v>1105</v>
      </c>
      <c r="G60" s="1111" t="s">
        <v>2241</v>
      </c>
      <c r="H60" s="1115" t="s">
        <v>1107</v>
      </c>
      <c r="I60" s="1111" t="s">
        <v>2225</v>
      </c>
      <c r="J60" s="1111" t="s">
        <v>1116</v>
      </c>
      <c r="K60" s="1111" t="s">
        <v>1110</v>
      </c>
      <c r="L60" s="1116"/>
      <c r="M60" s="1116"/>
      <c r="N60" s="1116" t="s">
        <v>2225</v>
      </c>
      <c r="O60" s="509"/>
      <c r="P60" s="488"/>
      <c r="Q60" s="488"/>
      <c r="U60" s="484" t="s">
        <v>2240</v>
      </c>
      <c r="V60" s="484" t="s">
        <v>2242</v>
      </c>
      <c r="X60" s="521">
        <v>42528</v>
      </c>
      <c r="Y60" s="521">
        <v>42528</v>
      </c>
      <c r="AA60" s="521"/>
      <c r="AB60" s="484" t="s">
        <v>1113</v>
      </c>
      <c r="AC60" s="484">
        <v>0</v>
      </c>
      <c r="AD60" s="484">
        <v>0</v>
      </c>
      <c r="AE60" s="484">
        <v>0</v>
      </c>
      <c r="AF60" s="484">
        <v>0</v>
      </c>
      <c r="AG60" s="484">
        <v>5</v>
      </c>
      <c r="AH60" s="484">
        <v>1</v>
      </c>
      <c r="AI60" s="484">
        <v>43001</v>
      </c>
      <c r="AJ60" s="484">
        <v>2120</v>
      </c>
      <c r="AK60" s="484">
        <v>0</v>
      </c>
      <c r="AL60" s="484">
        <v>99</v>
      </c>
      <c r="AO60" s="524"/>
      <c r="AP60" s="524"/>
      <c r="AQ60" s="484" t="str">
        <f t="shared" si="0"/>
        <v/>
      </c>
    </row>
    <row r="61" spans="2:43">
      <c r="B61" s="1111" t="s">
        <v>2179</v>
      </c>
      <c r="C61" s="1112">
        <v>42490</v>
      </c>
      <c r="D61" s="1113">
        <v>53.35</v>
      </c>
      <c r="E61" s="1113">
        <v>0</v>
      </c>
      <c r="F61" s="1114" t="s">
        <v>1105</v>
      </c>
      <c r="G61" s="1111" t="s">
        <v>2243</v>
      </c>
      <c r="H61" s="1115" t="s">
        <v>1107</v>
      </c>
      <c r="I61" s="1111" t="s">
        <v>2225</v>
      </c>
      <c r="J61" s="1111" t="s">
        <v>1109</v>
      </c>
      <c r="K61" s="1111" t="s">
        <v>1110</v>
      </c>
      <c r="L61" s="1116"/>
      <c r="M61" s="1116"/>
      <c r="N61" s="1116" t="s">
        <v>2225</v>
      </c>
      <c r="O61" s="509"/>
      <c r="P61" s="488"/>
      <c r="Q61" s="488"/>
      <c r="U61" s="484" t="s">
        <v>2244</v>
      </c>
      <c r="V61" s="484" t="s">
        <v>2244</v>
      </c>
      <c r="X61" s="521">
        <v>42557</v>
      </c>
      <c r="Y61" s="521">
        <v>42558</v>
      </c>
      <c r="AA61" s="521"/>
      <c r="AB61" s="484" t="s">
        <v>1113</v>
      </c>
      <c r="AC61" s="484">
        <v>0</v>
      </c>
      <c r="AD61" s="484">
        <v>0</v>
      </c>
      <c r="AE61" s="484">
        <v>0</v>
      </c>
      <c r="AF61" s="484">
        <v>0</v>
      </c>
      <c r="AG61" s="484">
        <v>0</v>
      </c>
      <c r="AH61" s="484">
        <v>1</v>
      </c>
      <c r="AI61" s="484">
        <v>43001</v>
      </c>
      <c r="AJ61" s="484">
        <v>2120</v>
      </c>
      <c r="AK61" s="484">
        <v>0</v>
      </c>
      <c r="AL61" s="484">
        <v>0</v>
      </c>
      <c r="AO61" s="524"/>
      <c r="AP61" s="524"/>
      <c r="AQ61" s="484" t="str">
        <f t="shared" si="0"/>
        <v/>
      </c>
    </row>
    <row r="62" spans="2:43">
      <c r="B62" s="1111" t="s">
        <v>2179</v>
      </c>
      <c r="C62" s="1112">
        <v>42521</v>
      </c>
      <c r="D62" s="1113">
        <v>11.79</v>
      </c>
      <c r="E62" s="1113">
        <v>0</v>
      </c>
      <c r="F62" s="1114" t="s">
        <v>1105</v>
      </c>
      <c r="G62" s="1111" t="s">
        <v>2245</v>
      </c>
      <c r="H62" s="1115" t="s">
        <v>1107</v>
      </c>
      <c r="I62" s="1111" t="s">
        <v>2225</v>
      </c>
      <c r="J62" s="1111" t="s">
        <v>1116</v>
      </c>
      <c r="K62" s="1111" t="s">
        <v>1110</v>
      </c>
      <c r="L62" s="1116"/>
      <c r="M62" s="1116"/>
      <c r="N62" s="1116" t="s">
        <v>2225</v>
      </c>
      <c r="O62" s="509"/>
      <c r="P62" s="488"/>
      <c r="Q62" s="488"/>
      <c r="U62" s="484" t="s">
        <v>2246</v>
      </c>
      <c r="V62" s="484" t="s">
        <v>2246</v>
      </c>
      <c r="X62" s="521">
        <v>42558</v>
      </c>
      <c r="Y62" s="521">
        <v>42558</v>
      </c>
      <c r="AA62" s="521"/>
      <c r="AB62" s="484" t="s">
        <v>1113</v>
      </c>
      <c r="AC62" s="484">
        <v>0</v>
      </c>
      <c r="AD62" s="484">
        <v>0</v>
      </c>
      <c r="AE62" s="484">
        <v>0</v>
      </c>
      <c r="AF62" s="484">
        <v>0</v>
      </c>
      <c r="AG62" s="484">
        <v>0</v>
      </c>
      <c r="AH62" s="484">
        <v>1</v>
      </c>
      <c r="AI62" s="484">
        <v>43001</v>
      </c>
      <c r="AJ62" s="484">
        <v>2120</v>
      </c>
      <c r="AK62" s="484">
        <v>0</v>
      </c>
      <c r="AL62" s="484">
        <v>99</v>
      </c>
      <c r="AO62" s="524"/>
      <c r="AP62" s="524"/>
      <c r="AQ62" s="484" t="str">
        <f t="shared" si="0"/>
        <v/>
      </c>
    </row>
    <row r="63" spans="2:43">
      <c r="B63" s="1111" t="s">
        <v>2179</v>
      </c>
      <c r="C63" s="1112">
        <v>42551</v>
      </c>
      <c r="D63" s="1113">
        <v>62.55</v>
      </c>
      <c r="E63" s="1113">
        <v>0</v>
      </c>
      <c r="F63" s="1114" t="s">
        <v>1105</v>
      </c>
      <c r="G63" s="1111" t="s">
        <v>2247</v>
      </c>
      <c r="H63" s="1115" t="s">
        <v>1107</v>
      </c>
      <c r="I63" s="1111" t="s">
        <v>2225</v>
      </c>
      <c r="J63" s="1111" t="s">
        <v>1116</v>
      </c>
      <c r="K63" s="1111" t="s">
        <v>1110</v>
      </c>
      <c r="L63" s="1116"/>
      <c r="M63" s="1116"/>
      <c r="N63" s="1116" t="s">
        <v>2225</v>
      </c>
      <c r="O63" s="509"/>
      <c r="P63" s="488"/>
      <c r="Q63" s="488"/>
      <c r="U63" s="484" t="s">
        <v>2248</v>
      </c>
      <c r="V63" s="484" t="s">
        <v>2248</v>
      </c>
      <c r="X63" s="521">
        <v>42559</v>
      </c>
      <c r="Y63" s="521">
        <v>42559</v>
      </c>
      <c r="AA63" s="521"/>
      <c r="AB63" s="484" t="s">
        <v>1113</v>
      </c>
      <c r="AC63" s="484">
        <v>0</v>
      </c>
      <c r="AD63" s="484">
        <v>0</v>
      </c>
      <c r="AE63" s="484">
        <v>0</v>
      </c>
      <c r="AF63" s="484">
        <v>0</v>
      </c>
      <c r="AG63" s="484">
        <v>0</v>
      </c>
      <c r="AH63" s="484">
        <v>1</v>
      </c>
      <c r="AI63" s="484">
        <v>43001</v>
      </c>
      <c r="AJ63" s="484">
        <v>2120</v>
      </c>
      <c r="AK63" s="484">
        <v>0</v>
      </c>
      <c r="AL63" s="484">
        <v>99</v>
      </c>
      <c r="AO63" s="524"/>
      <c r="AP63" s="524"/>
      <c r="AQ63" s="484" t="str">
        <f t="shared" si="0"/>
        <v/>
      </c>
    </row>
    <row r="64" spans="2:43">
      <c r="C64" s="521"/>
      <c r="D64" s="526"/>
      <c r="E64" s="526"/>
      <c r="F64" s="526"/>
      <c r="H64" s="487"/>
    </row>
    <row r="65" spans="2:42">
      <c r="B65" s="527" t="s">
        <v>1226</v>
      </c>
      <c r="C65" s="527"/>
      <c r="D65" s="528"/>
      <c r="E65" s="528"/>
      <c r="F65" s="528"/>
      <c r="G65" s="527"/>
      <c r="H65" s="529"/>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c r="AJ65" s="527"/>
      <c r="AK65" s="527"/>
      <c r="AL65" s="527"/>
      <c r="AM65" s="527"/>
      <c r="AN65" s="527"/>
      <c r="AO65" s="527"/>
      <c r="AP65" s="530"/>
    </row>
    <row r="66" spans="2:42">
      <c r="H66" s="487"/>
    </row>
    <row r="67" spans="2:42">
      <c r="H67" s="487"/>
    </row>
    <row r="68" spans="2:42">
      <c r="H68" s="487"/>
    </row>
    <row r="69" spans="2:42">
      <c r="H69" s="487"/>
    </row>
    <row r="70" spans="2:42">
      <c r="H70" s="487"/>
    </row>
    <row r="71" spans="2:42">
      <c r="H71" s="487"/>
    </row>
    <row r="72" spans="2:42">
      <c r="H72" s="487"/>
    </row>
    <row r="73" spans="2:42">
      <c r="H73" s="487"/>
    </row>
    <row r="74" spans="2:42">
      <c r="H74" s="487"/>
    </row>
    <row r="75" spans="2:42">
      <c r="H75" s="487"/>
    </row>
    <row r="76" spans="2:42">
      <c r="H76" s="487"/>
    </row>
    <row r="77" spans="2:42">
      <c r="H77" s="487"/>
    </row>
    <row r="78" spans="2:42">
      <c r="H78" s="487"/>
    </row>
    <row r="79" spans="2:42">
      <c r="H79" s="487"/>
    </row>
    <row r="80" spans="2:42">
      <c r="H80" s="487"/>
    </row>
    <row r="81" spans="2:8">
      <c r="H81" s="487"/>
    </row>
    <row r="82" spans="2:8">
      <c r="H82" s="487"/>
    </row>
    <row r="83" spans="2:8">
      <c r="B83" s="532"/>
      <c r="H83" s="487"/>
    </row>
  </sheetData>
  <dataValidations count="1">
    <dataValidation type="list" allowBlank="1" showInputMessage="1" showErrorMessage="1" sqref="P15">
      <formula1>"All,Posted/Unposted,Posted,Unposted,Staged"</formula1>
    </dataValidation>
  </dataValidations>
  <pageMargins left="0.27" right="0.28999999999999998" top="0.37" bottom="0.43" header="0.25" footer="0.25"/>
  <pageSetup scale="52" fitToHeight="0" orientation="landscape" r:id="rId1"/>
  <headerFooter alignWithMargins="0">
    <oddHeader>&amp;L&amp;"Arial"&amp;L&amp;08 &amp;R&amp;"Arial"&amp;R&amp;08 &amp;D-&amp;T-Jeff Honsowetz</oddHeader>
    <oddFooter>&amp;L&amp;"Arial"&amp;L&amp;08 Path:D:\Data_WCNX\Financials\MidMonths\BrentProject\\&amp;F-&amp;A&amp;R&amp;"Arial"&amp;R&amp;08  Page &amp;P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89"/>
  <sheetViews>
    <sheetView showGridLines="0" topLeftCell="A9" zoomScale="80" zoomScaleNormal="80" workbookViewId="0">
      <selection activeCell="B9" sqref="B9:M90"/>
    </sheetView>
  </sheetViews>
  <sheetFormatPr defaultRowHeight="12.75" outlineLevelRow="1"/>
  <cols>
    <col min="1" max="1" width="2.7109375" style="484" customWidth="1"/>
    <col min="2" max="2" width="18" style="484" customWidth="1"/>
    <col min="3" max="3" width="12.42578125" style="484" customWidth="1"/>
    <col min="4" max="4" width="18.7109375" style="484" customWidth="1"/>
    <col min="5" max="5" width="41.140625" style="484" customWidth="1"/>
    <col min="6" max="6" width="21.28515625" style="484" customWidth="1"/>
    <col min="7" max="7" width="7.85546875" style="484" customWidth="1"/>
    <col min="8" max="8" width="30.28515625" style="484" customWidth="1"/>
    <col min="9" max="9" width="10.28515625" style="484" customWidth="1"/>
    <col min="10" max="10" width="13.5703125" style="484" customWidth="1"/>
    <col min="11" max="11" width="15.140625" style="484" customWidth="1"/>
    <col min="12" max="12" width="16.42578125" style="484" bestFit="1" customWidth="1"/>
    <col min="13" max="13" width="38.5703125" style="484" customWidth="1"/>
    <col min="14" max="14" width="11.42578125" style="484" customWidth="1"/>
    <col min="15" max="15" width="35.140625" style="484" customWidth="1"/>
    <col min="16" max="16" width="18" style="484" customWidth="1"/>
    <col min="17" max="17" width="14.140625" style="484" customWidth="1"/>
    <col min="18" max="18" width="17.7109375" style="484" customWidth="1"/>
    <col min="19" max="19" width="12.7109375" style="484" customWidth="1"/>
    <col min="20" max="20" width="15.85546875" style="484" customWidth="1"/>
    <col min="21" max="21" width="13.7109375" style="484" bestFit="1" customWidth="1"/>
    <col min="22" max="22" width="13.28515625" style="484" customWidth="1"/>
    <col min="23" max="23" width="12.28515625" style="484" customWidth="1"/>
    <col min="24" max="24" width="11.5703125" style="484" customWidth="1"/>
    <col min="25" max="25" width="9.85546875" style="484" customWidth="1"/>
    <col min="26" max="26" width="11.42578125" style="484" customWidth="1"/>
    <col min="27" max="27" width="11" style="484" customWidth="1"/>
    <col min="28" max="28" width="11.5703125" style="484" customWidth="1"/>
    <col min="29" max="29" width="7" style="484" customWidth="1"/>
    <col min="30" max="30" width="11.140625" style="484" customWidth="1"/>
    <col min="31" max="31" width="11" style="484" customWidth="1"/>
    <col min="32" max="32" width="8.5703125" style="484" customWidth="1"/>
    <col min="33" max="33" width="8.42578125" style="484" customWidth="1"/>
    <col min="34" max="35" width="10.28515625" style="484" customWidth="1"/>
    <col min="36" max="36" width="10.140625" style="484" customWidth="1"/>
    <col min="37" max="37" width="10.42578125" style="484" customWidth="1"/>
    <col min="38" max="38" width="21.140625" style="484" customWidth="1"/>
    <col min="39" max="41" width="18.85546875" style="484" customWidth="1"/>
    <col min="42" max="42" width="20.42578125" style="484" customWidth="1"/>
    <col min="43" max="45" width="9.140625" style="484" customWidth="1"/>
    <col min="46" max="16384" width="9.140625" style="484"/>
  </cols>
  <sheetData>
    <row r="1" spans="1:42" hidden="1" outlineLevel="1">
      <c r="A1" s="483" t="b">
        <v>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2" hidden="1" outlineLevel="1">
      <c r="B2" s="484" t="s">
        <v>992</v>
      </c>
      <c r="C2" s="484" t="s">
        <v>993</v>
      </c>
      <c r="D2" s="485" t="s">
        <v>994</v>
      </c>
      <c r="E2" s="485" t="s">
        <v>996</v>
      </c>
      <c r="F2" s="484" t="s">
        <v>997</v>
      </c>
      <c r="G2" s="484" t="s">
        <v>998</v>
      </c>
      <c r="H2" s="484" t="s">
        <v>999</v>
      </c>
      <c r="I2" s="484" t="s">
        <v>1000</v>
      </c>
      <c r="J2" s="484" t="s">
        <v>1001</v>
      </c>
      <c r="K2" s="484" t="s">
        <v>1002</v>
      </c>
      <c r="L2" s="484" t="s">
        <v>1003</v>
      </c>
      <c r="M2" s="484" t="s">
        <v>1004</v>
      </c>
      <c r="N2" s="484" t="s">
        <v>1005</v>
      </c>
      <c r="O2" s="484" t="s">
        <v>1006</v>
      </c>
      <c r="P2" s="484" t="s">
        <v>1007</v>
      </c>
      <c r="Q2" s="484" t="s">
        <v>1008</v>
      </c>
      <c r="R2" s="484" t="s">
        <v>1009</v>
      </c>
      <c r="S2" s="484" t="s">
        <v>1010</v>
      </c>
      <c r="T2" s="484" t="s">
        <v>1011</v>
      </c>
      <c r="U2" s="484" t="s">
        <v>1012</v>
      </c>
      <c r="V2" s="484" t="s">
        <v>1013</v>
      </c>
      <c r="W2" s="484" t="s">
        <v>1014</v>
      </c>
      <c r="X2" s="484" t="s">
        <v>1015</v>
      </c>
      <c r="Y2" s="484" t="s">
        <v>1016</v>
      </c>
      <c r="Z2" s="484" t="s">
        <v>1017</v>
      </c>
      <c r="AA2" s="484" t="s">
        <v>1018</v>
      </c>
      <c r="AB2" s="484" t="s">
        <v>1019</v>
      </c>
      <c r="AC2" s="484" t="s">
        <v>1020</v>
      </c>
      <c r="AD2" s="484" t="s">
        <v>1021</v>
      </c>
      <c r="AE2" s="484" t="s">
        <v>1022</v>
      </c>
      <c r="AF2" s="484" t="s">
        <v>1023</v>
      </c>
      <c r="AG2" s="484" t="s">
        <v>1024</v>
      </c>
      <c r="AH2" s="484" t="s">
        <v>1025</v>
      </c>
      <c r="AI2" s="484" t="s">
        <v>1026</v>
      </c>
      <c r="AJ2" s="484" t="s">
        <v>1027</v>
      </c>
      <c r="AK2" s="484" t="s">
        <v>1028</v>
      </c>
      <c r="AL2" s="484" t="s">
        <v>1029</v>
      </c>
      <c r="AM2" s="484" t="s">
        <v>1030</v>
      </c>
      <c r="AN2" s="484" t="s">
        <v>1031</v>
      </c>
      <c r="AO2" s="484" t="s">
        <v>1032</v>
      </c>
      <c r="AP2" s="485"/>
    </row>
    <row r="3" spans="1:42" hidden="1" outlineLevel="1">
      <c r="A3" s="483" t="s">
        <v>1033</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row>
    <row r="4" spans="1:42" hidden="1" outlineLevel="1">
      <c r="P4" s="484" t="str">
        <f ca="1">_xll.ReportDrill('[39]JE Lookup'!B1,,_xll.PairGroup(_xll.Pair(F20:F61,'[39]JE Lookup'!N8),_xll.Pair(AA20:AA61,'[39]JE Lookup'!N7)),"JE Lookup")</f>
        <v>OK!: ReportDrill 'JE Lookup' Formula OK [jAction{}]</v>
      </c>
      <c r="T4" s="484" t="str">
        <f ca="1">_xll.ReportDrill(,"APDrill",_xll.PairGroup(_xll.PairExt(AP20:AP61,"H8")),"AP Detail")</f>
        <v>OK!: ReportDrill 'AP Detail' Formula OK [jAction{}]</v>
      </c>
      <c r="X4" s="484" t="str">
        <f ca="1">_xll.ReportDrill(,"JEStaged_DrillToDetail",_xll.PairGroup(_xll.PairExt(P19:P61,"dControlNum",TRUE),_xll.PairExt(AO19:AO61,"dDistrict",TRUE),_xll.PairExt(AN19:AN61,"dApplyMonth",TRUE)),"JE Staged Details")</f>
        <v>OK!: ReportDrill 'JE Staged Details' Formula OK [jAction{}]</v>
      </c>
    </row>
    <row r="5" spans="1:42" hidden="1" outlineLevel="1">
      <c r="B5" s="484" t="str">
        <f ca="1">_xll.ReportRange("JEQuery_WithStaged",B20:AQ60,B2:AQ2,,_xll.Param(H12,DateTo,IF(L12="","all",L12),L13,L14,L15,O12,O13,O14,O15,EntrieShownLimit,DateFrom,DateTo),TRUE)</f>
        <v>OK!: ReportRange Formula OK [jAction{}]</v>
      </c>
    </row>
    <row r="6" spans="1:42" hidden="1" outlineLevel="1">
      <c r="B6" s="486" t="s">
        <v>1034</v>
      </c>
      <c r="D6" s="484">
        <v>10000</v>
      </c>
    </row>
    <row r="7" spans="1:42" hidden="1" outlineLevel="1">
      <c r="A7" s="483" t="s">
        <v>1035</v>
      </c>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row>
    <row r="8" spans="1:42" hidden="1" outlineLevel="1">
      <c r="B8" s="487" t="s">
        <v>1036</v>
      </c>
      <c r="C8" s="484" t="str">
        <f>IF(DateFrom="",CurrentMonth,DateFrom)</f>
        <v>2015-06</v>
      </c>
      <c r="F8" s="484" t="str">
        <f>IF(DateTo="",CurrentMonth,DateTo)</f>
        <v>2016-07</v>
      </c>
      <c r="H8" s="487" t="s">
        <v>1038</v>
      </c>
      <c r="I8" s="488" t="str">
        <f ca="1">TEXT(NOW() - 15,"yyyy-mm")</f>
        <v>2016-07</v>
      </c>
    </row>
    <row r="9" spans="1:42" ht="18" collapsed="1">
      <c r="B9" s="489" t="s">
        <v>1039</v>
      </c>
      <c r="F9" s="490" t="s">
        <v>1040</v>
      </c>
      <c r="O9" s="491"/>
      <c r="T9" s="486"/>
    </row>
    <row r="10" spans="1:42" ht="14.25">
      <c r="B10" s="485" t="s">
        <v>1041</v>
      </c>
      <c r="F10" s="492"/>
      <c r="O10" s="491"/>
      <c r="T10" s="486"/>
    </row>
    <row r="11" spans="1:42">
      <c r="F11" s="493" t="s">
        <v>1042</v>
      </c>
      <c r="G11" s="494"/>
      <c r="H11" s="495"/>
      <c r="K11" s="494" t="s">
        <v>1043</v>
      </c>
      <c r="L11" s="494"/>
      <c r="M11" s="494"/>
      <c r="N11" s="494"/>
      <c r="O11" s="494"/>
      <c r="T11" s="485"/>
    </row>
    <row r="12" spans="1:42" s="486" customFormat="1">
      <c r="G12" s="496" t="s">
        <v>1044</v>
      </c>
      <c r="H12" s="497" t="s">
        <v>1045</v>
      </c>
      <c r="J12" s="498"/>
      <c r="K12" s="486" t="s">
        <v>1046</v>
      </c>
      <c r="L12" s="497" t="s">
        <v>1047</v>
      </c>
      <c r="N12" s="496" t="s">
        <v>1048</v>
      </c>
      <c r="O12" s="499"/>
      <c r="Y12" s="484"/>
      <c r="Z12" s="484"/>
      <c r="AA12" s="484"/>
      <c r="AG12" s="484"/>
      <c r="AH12" s="484"/>
      <c r="AI12" s="484"/>
      <c r="AJ12" s="484"/>
      <c r="AK12" s="484"/>
    </row>
    <row r="13" spans="1:42" s="486" customFormat="1">
      <c r="G13" s="496" t="s">
        <v>1049</v>
      </c>
      <c r="H13" s="497" t="s">
        <v>1050</v>
      </c>
      <c r="J13" s="498"/>
      <c r="K13" s="486" t="s">
        <v>1051</v>
      </c>
      <c r="L13" s="497" t="s">
        <v>1052</v>
      </c>
      <c r="M13" s="484"/>
      <c r="N13" s="496" t="s">
        <v>1053</v>
      </c>
      <c r="O13" s="500"/>
      <c r="P13" s="501"/>
      <c r="Y13" s="484"/>
      <c r="Z13" s="484"/>
      <c r="AA13" s="484"/>
      <c r="AG13" s="484"/>
      <c r="AH13" s="484"/>
      <c r="AI13" s="484"/>
      <c r="AJ13" s="484"/>
      <c r="AK13" s="484"/>
    </row>
    <row r="14" spans="1:42">
      <c r="K14" s="486" t="s">
        <v>1054</v>
      </c>
      <c r="L14" s="497" t="s">
        <v>114</v>
      </c>
      <c r="N14" s="496" t="s">
        <v>1055</v>
      </c>
      <c r="O14" s="500"/>
      <c r="P14" s="501"/>
    </row>
    <row r="15" spans="1:42">
      <c r="K15" s="486" t="s">
        <v>1056</v>
      </c>
      <c r="L15" s="497" t="s">
        <v>114</v>
      </c>
      <c r="N15" s="496" t="s">
        <v>1057</v>
      </c>
      <c r="O15" s="502" t="s">
        <v>1058</v>
      </c>
    </row>
    <row r="16" spans="1:42">
      <c r="B16" s="503" t="s">
        <v>1059</v>
      </c>
      <c r="C16" s="504"/>
      <c r="D16" s="505">
        <f>SUM(D19:D61)</f>
        <v>2927.9300000000003</v>
      </c>
      <c r="E16" s="484" t="s">
        <v>1060</v>
      </c>
      <c r="M16" s="506"/>
      <c r="N16" s="506"/>
      <c r="O16" s="506"/>
      <c r="P16" s="506"/>
    </row>
    <row r="17" spans="2:42">
      <c r="B17" s="503" t="s">
        <v>1061</v>
      </c>
      <c r="C17" s="504"/>
      <c r="D17" s="507">
        <f>COUNT(D20:D62)</f>
        <v>40</v>
      </c>
      <c r="E17" s="485" t="s">
        <v>1062</v>
      </c>
      <c r="F17" s="508" t="str">
        <f>""&amp;EntrieShownLimit</f>
        <v>10000</v>
      </c>
    </row>
    <row r="18" spans="2:42">
      <c r="N18" s="509"/>
      <c r="Q18" s="510" t="s">
        <v>1063</v>
      </c>
      <c r="R18" s="511"/>
      <c r="S18" s="511"/>
      <c r="T18" s="511"/>
      <c r="U18" s="511"/>
      <c r="V18" s="511"/>
      <c r="W18" s="511"/>
      <c r="X18" s="511"/>
      <c r="Y18" s="512"/>
      <c r="Z18" s="512"/>
      <c r="AA18" s="512"/>
      <c r="AB18" s="512"/>
      <c r="AC18" s="512"/>
      <c r="AD18" s="512"/>
      <c r="AE18" s="512"/>
      <c r="AF18" s="512"/>
      <c r="AG18" s="512"/>
      <c r="AH18" s="512"/>
      <c r="AI18" s="512"/>
      <c r="AJ18" s="512"/>
      <c r="AK18" s="512"/>
      <c r="AL18" s="512"/>
      <c r="AM18" s="512"/>
      <c r="AN18" s="512"/>
      <c r="AO18" s="512"/>
      <c r="AP18" s="512"/>
    </row>
    <row r="19" spans="2:42" s="513" customFormat="1" ht="29.25" customHeight="1" thickBot="1">
      <c r="B19" s="514" t="s">
        <v>1064</v>
      </c>
      <c r="C19" s="515" t="s">
        <v>1065</v>
      </c>
      <c r="D19" s="516" t="s">
        <v>1066</v>
      </c>
      <c r="E19" s="516" t="s">
        <v>1068</v>
      </c>
      <c r="F19" s="517" t="s">
        <v>1069</v>
      </c>
      <c r="G19" s="514" t="s">
        <v>1070</v>
      </c>
      <c r="H19" s="514" t="s">
        <v>1071</v>
      </c>
      <c r="I19" s="514" t="s">
        <v>1000</v>
      </c>
      <c r="J19" s="514" t="s">
        <v>1072</v>
      </c>
      <c r="K19" s="514" t="s">
        <v>1073</v>
      </c>
      <c r="L19" s="514" t="s">
        <v>1074</v>
      </c>
      <c r="M19" s="514" t="s">
        <v>1075</v>
      </c>
      <c r="N19" s="518" t="s">
        <v>1076</v>
      </c>
      <c r="O19" s="514" t="s">
        <v>1077</v>
      </c>
      <c r="P19" s="514" t="s">
        <v>1078</v>
      </c>
      <c r="Q19" s="514" t="s">
        <v>1079</v>
      </c>
      <c r="R19" s="514" t="s">
        <v>1080</v>
      </c>
      <c r="S19" s="514" t="s">
        <v>1081</v>
      </c>
      <c r="T19" s="514" t="s">
        <v>1082</v>
      </c>
      <c r="U19" s="514" t="s">
        <v>1083</v>
      </c>
      <c r="V19" s="514" t="s">
        <v>1084</v>
      </c>
      <c r="W19" s="514" t="s">
        <v>1085</v>
      </c>
      <c r="X19" s="514" t="s">
        <v>1086</v>
      </c>
      <c r="Y19" s="514" t="s">
        <v>1087</v>
      </c>
      <c r="Z19" s="514" t="s">
        <v>1088</v>
      </c>
      <c r="AA19" s="514" t="s">
        <v>1089</v>
      </c>
      <c r="AB19" s="519" t="s">
        <v>1090</v>
      </c>
      <c r="AC19" s="519" t="s">
        <v>1091</v>
      </c>
      <c r="AD19" s="519" t="s">
        <v>1092</v>
      </c>
      <c r="AE19" s="519" t="s">
        <v>1093</v>
      </c>
      <c r="AF19" s="519" t="s">
        <v>1094</v>
      </c>
      <c r="AG19" s="519" t="s">
        <v>1095</v>
      </c>
      <c r="AH19" s="515" t="s">
        <v>1096</v>
      </c>
      <c r="AI19" s="515" t="s">
        <v>1097</v>
      </c>
      <c r="AJ19" s="515" t="s">
        <v>1098</v>
      </c>
      <c r="AK19" s="515" t="s">
        <v>1099</v>
      </c>
      <c r="AL19" s="515" t="s">
        <v>1100</v>
      </c>
      <c r="AM19" s="515" t="s">
        <v>1030</v>
      </c>
      <c r="AN19" s="520" t="s">
        <v>1101</v>
      </c>
      <c r="AO19" s="520" t="s">
        <v>1102</v>
      </c>
      <c r="AP19" s="520" t="s">
        <v>1103</v>
      </c>
    </row>
    <row r="20" spans="2:42">
      <c r="B20" s="484" t="s">
        <v>1104</v>
      </c>
      <c r="C20" s="521">
        <v>42165</v>
      </c>
      <c r="D20" s="522">
        <v>6</v>
      </c>
      <c r="E20" s="523" t="s">
        <v>1105</v>
      </c>
      <c r="F20" s="484" t="s">
        <v>1106</v>
      </c>
      <c r="G20" s="524" t="s">
        <v>1107</v>
      </c>
      <c r="H20" s="484" t="s">
        <v>1108</v>
      </c>
      <c r="I20" s="484" t="s">
        <v>1109</v>
      </c>
      <c r="J20" s="484" t="s">
        <v>1110</v>
      </c>
      <c r="K20" s="488"/>
      <c r="L20" s="488"/>
      <c r="M20" s="488" t="s">
        <v>1111</v>
      </c>
      <c r="N20" s="509"/>
      <c r="O20" s="488"/>
      <c r="P20" s="488"/>
      <c r="T20" s="484" t="s">
        <v>1112</v>
      </c>
      <c r="U20" s="484" t="s">
        <v>1112</v>
      </c>
      <c r="W20" s="521">
        <v>42165</v>
      </c>
      <c r="X20" s="521">
        <v>42165</v>
      </c>
      <c r="Z20" s="521"/>
      <c r="AA20" s="484" t="s">
        <v>1113</v>
      </c>
      <c r="AB20" s="484">
        <v>0</v>
      </c>
      <c r="AC20" s="484">
        <v>0</v>
      </c>
      <c r="AD20" s="484">
        <v>0</v>
      </c>
      <c r="AE20" s="484">
        <v>0</v>
      </c>
      <c r="AF20" s="484">
        <v>0</v>
      </c>
      <c r="AG20" s="484">
        <v>1</v>
      </c>
      <c r="AH20" s="484">
        <v>70095</v>
      </c>
      <c r="AI20" s="484">
        <v>2120</v>
      </c>
      <c r="AJ20" s="484">
        <v>0</v>
      </c>
      <c r="AK20" s="484">
        <v>0</v>
      </c>
      <c r="AN20" s="524"/>
      <c r="AO20" s="524"/>
      <c r="AP20" s="484" t="str">
        <f>IF(LEFT(T20,2)="VO",T20,"")</f>
        <v/>
      </c>
    </row>
    <row r="21" spans="2:42">
      <c r="B21" s="484" t="s">
        <v>1104</v>
      </c>
      <c r="C21" s="521">
        <v>42195</v>
      </c>
      <c r="D21" s="522">
        <v>12</v>
      </c>
      <c r="E21" s="523" t="s">
        <v>1105</v>
      </c>
      <c r="F21" s="484" t="s">
        <v>1114</v>
      </c>
      <c r="G21" s="524" t="s">
        <v>1107</v>
      </c>
      <c r="H21" s="484" t="s">
        <v>1115</v>
      </c>
      <c r="I21" s="484" t="s">
        <v>1116</v>
      </c>
      <c r="J21" s="484" t="s">
        <v>1110</v>
      </c>
      <c r="K21" s="488"/>
      <c r="L21" s="488"/>
      <c r="M21" s="488" t="s">
        <v>1117</v>
      </c>
      <c r="N21" s="509"/>
      <c r="O21" s="488"/>
      <c r="P21" s="488"/>
      <c r="T21" s="484" t="s">
        <v>1118</v>
      </c>
      <c r="U21" s="484" t="s">
        <v>1118</v>
      </c>
      <c r="W21" s="521">
        <v>42195</v>
      </c>
      <c r="X21" s="521">
        <v>42195</v>
      </c>
      <c r="Z21" s="521"/>
      <c r="AA21" s="484" t="s">
        <v>1113</v>
      </c>
      <c r="AB21" s="484">
        <v>0</v>
      </c>
      <c r="AC21" s="484">
        <v>0</v>
      </c>
      <c r="AD21" s="484">
        <v>0</v>
      </c>
      <c r="AE21" s="484">
        <v>0</v>
      </c>
      <c r="AF21" s="484">
        <v>0</v>
      </c>
      <c r="AG21" s="484">
        <v>1</v>
      </c>
      <c r="AH21" s="484">
        <v>70095</v>
      </c>
      <c r="AI21" s="484">
        <v>2120</v>
      </c>
      <c r="AJ21" s="484">
        <v>0</v>
      </c>
      <c r="AK21" s="484">
        <v>0</v>
      </c>
      <c r="AN21" s="524"/>
      <c r="AO21" s="524"/>
      <c r="AP21" s="484" t="str">
        <f t="shared" ref="AP21:AP59" si="0">IF(LEFT(T21,2)="VO",T21,"")</f>
        <v/>
      </c>
    </row>
    <row r="22" spans="2:42">
      <c r="B22" s="484" t="s">
        <v>1104</v>
      </c>
      <c r="C22" s="521">
        <v>42200</v>
      </c>
      <c r="D22" s="522">
        <v>49.97</v>
      </c>
      <c r="E22" s="523" t="s">
        <v>1105</v>
      </c>
      <c r="F22" s="484" t="s">
        <v>1119</v>
      </c>
      <c r="G22" s="524" t="s">
        <v>1107</v>
      </c>
      <c r="H22" s="484" t="s">
        <v>1120</v>
      </c>
      <c r="I22" s="484" t="s">
        <v>1121</v>
      </c>
      <c r="J22" s="484" t="s">
        <v>1110</v>
      </c>
      <c r="K22" s="488" t="s">
        <v>1122</v>
      </c>
      <c r="L22" s="488"/>
      <c r="M22" s="488" t="s">
        <v>1123</v>
      </c>
      <c r="N22" s="509">
        <v>42184</v>
      </c>
      <c r="O22" s="488"/>
      <c r="P22" s="525">
        <v>42156</v>
      </c>
      <c r="T22" s="484" t="s">
        <v>1124</v>
      </c>
      <c r="U22" s="484" t="s">
        <v>1125</v>
      </c>
      <c r="V22" s="484">
        <v>2120</v>
      </c>
      <c r="W22" s="521">
        <v>42200</v>
      </c>
      <c r="X22" s="521">
        <v>42200</v>
      </c>
      <c r="Y22" s="484">
        <v>1256.7</v>
      </c>
      <c r="Z22" s="521">
        <v>42185</v>
      </c>
      <c r="AA22" s="484" t="s">
        <v>1113</v>
      </c>
      <c r="AB22" s="484">
        <v>0</v>
      </c>
      <c r="AC22" s="484">
        <v>0</v>
      </c>
      <c r="AD22" s="484">
        <v>0</v>
      </c>
      <c r="AE22" s="484">
        <v>0</v>
      </c>
      <c r="AF22" s="484">
        <v>0</v>
      </c>
      <c r="AG22" s="484">
        <v>1</v>
      </c>
      <c r="AH22" s="484">
        <v>70095</v>
      </c>
      <c r="AI22" s="484">
        <v>2120</v>
      </c>
      <c r="AJ22" s="484">
        <v>0</v>
      </c>
      <c r="AK22" s="484">
        <v>0</v>
      </c>
      <c r="AN22" s="524"/>
      <c r="AO22" s="524"/>
      <c r="AP22" s="484" t="str">
        <f t="shared" si="0"/>
        <v>VO03730436</v>
      </c>
    </row>
    <row r="23" spans="2:42">
      <c r="B23" s="484" t="s">
        <v>1104</v>
      </c>
      <c r="C23" s="521">
        <v>42216</v>
      </c>
      <c r="D23" s="522">
        <v>250</v>
      </c>
      <c r="E23" s="523" t="s">
        <v>1105</v>
      </c>
      <c r="F23" s="484" t="s">
        <v>1126</v>
      </c>
      <c r="G23" s="524" t="s">
        <v>1107</v>
      </c>
      <c r="H23" s="484" t="s">
        <v>1127</v>
      </c>
      <c r="I23" s="484" t="s">
        <v>1109</v>
      </c>
      <c r="J23" s="484" t="s">
        <v>1110</v>
      </c>
      <c r="K23" s="488"/>
      <c r="L23" s="488"/>
      <c r="M23" s="488" t="s">
        <v>1128</v>
      </c>
      <c r="N23" s="509"/>
      <c r="O23" s="488"/>
      <c r="P23" s="488"/>
      <c r="T23" s="484" t="s">
        <v>1129</v>
      </c>
      <c r="U23" s="484" t="s">
        <v>1129</v>
      </c>
      <c r="W23" s="521">
        <v>42220</v>
      </c>
      <c r="X23" s="521">
        <v>42220</v>
      </c>
      <c r="Z23" s="521"/>
      <c r="AA23" s="484" t="s">
        <v>1113</v>
      </c>
      <c r="AB23" s="484">
        <v>0</v>
      </c>
      <c r="AC23" s="484">
        <v>0</v>
      </c>
      <c r="AD23" s="484">
        <v>0</v>
      </c>
      <c r="AE23" s="484">
        <v>0</v>
      </c>
      <c r="AF23" s="484">
        <v>0</v>
      </c>
      <c r="AG23" s="484">
        <v>1</v>
      </c>
      <c r="AH23" s="484">
        <v>70095</v>
      </c>
      <c r="AI23" s="484">
        <v>2120</v>
      </c>
      <c r="AJ23" s="484">
        <v>0</v>
      </c>
      <c r="AK23" s="484">
        <v>0</v>
      </c>
      <c r="AN23" s="524"/>
      <c r="AO23" s="524"/>
      <c r="AP23" s="484" t="str">
        <f t="shared" si="0"/>
        <v/>
      </c>
    </row>
    <row r="24" spans="2:42">
      <c r="B24" s="484" t="s">
        <v>1104</v>
      </c>
      <c r="C24" s="521">
        <v>42216</v>
      </c>
      <c r="D24" s="522">
        <v>150</v>
      </c>
      <c r="E24" s="523" t="s">
        <v>1105</v>
      </c>
      <c r="F24" s="484" t="s">
        <v>1130</v>
      </c>
      <c r="G24" s="524" t="s">
        <v>1107</v>
      </c>
      <c r="H24" s="484" t="s">
        <v>1131</v>
      </c>
      <c r="I24" s="484" t="s">
        <v>1116</v>
      </c>
      <c r="J24" s="484" t="s">
        <v>1110</v>
      </c>
      <c r="K24" s="488"/>
      <c r="L24" s="488"/>
      <c r="M24" s="488" t="s">
        <v>1132</v>
      </c>
      <c r="N24" s="509"/>
      <c r="O24" s="488"/>
      <c r="P24" s="488"/>
      <c r="T24" s="484" t="s">
        <v>1133</v>
      </c>
      <c r="U24" s="484" t="s">
        <v>1133</v>
      </c>
      <c r="W24" s="521">
        <v>42221</v>
      </c>
      <c r="X24" s="521">
        <v>42221</v>
      </c>
      <c r="Z24" s="521"/>
      <c r="AA24" s="484" t="s">
        <v>1113</v>
      </c>
      <c r="AB24" s="484">
        <v>0</v>
      </c>
      <c r="AC24" s="484">
        <v>0</v>
      </c>
      <c r="AD24" s="484">
        <v>0</v>
      </c>
      <c r="AE24" s="484">
        <v>0</v>
      </c>
      <c r="AF24" s="484">
        <v>0</v>
      </c>
      <c r="AG24" s="484">
        <v>1</v>
      </c>
      <c r="AH24" s="484">
        <v>70095</v>
      </c>
      <c r="AI24" s="484">
        <v>2120</v>
      </c>
      <c r="AJ24" s="484">
        <v>0</v>
      </c>
      <c r="AK24" s="484">
        <v>0</v>
      </c>
      <c r="AN24" s="524"/>
      <c r="AO24" s="524"/>
      <c r="AP24" s="484" t="str">
        <f t="shared" si="0"/>
        <v/>
      </c>
    </row>
    <row r="25" spans="2:42">
      <c r="B25" s="484" t="s">
        <v>1104</v>
      </c>
      <c r="C25" s="521">
        <v>42216</v>
      </c>
      <c r="D25" s="522">
        <v>150</v>
      </c>
      <c r="E25" s="523" t="s">
        <v>1105</v>
      </c>
      <c r="F25" s="484" t="s">
        <v>1130</v>
      </c>
      <c r="G25" s="524" t="s">
        <v>1107</v>
      </c>
      <c r="H25" s="484" t="s">
        <v>1131</v>
      </c>
      <c r="I25" s="484" t="s">
        <v>1116</v>
      </c>
      <c r="J25" s="484" t="s">
        <v>1110</v>
      </c>
      <c r="K25" s="488"/>
      <c r="L25" s="488"/>
      <c r="M25" s="488" t="s">
        <v>1134</v>
      </c>
      <c r="N25" s="509"/>
      <c r="O25" s="488"/>
      <c r="P25" s="488"/>
      <c r="T25" s="484" t="s">
        <v>1133</v>
      </c>
      <c r="U25" s="484" t="s">
        <v>1133</v>
      </c>
      <c r="W25" s="521">
        <v>42221</v>
      </c>
      <c r="X25" s="521">
        <v>42221</v>
      </c>
      <c r="Z25" s="521"/>
      <c r="AA25" s="484" t="s">
        <v>1113</v>
      </c>
      <c r="AB25" s="484">
        <v>0</v>
      </c>
      <c r="AC25" s="484">
        <v>0</v>
      </c>
      <c r="AD25" s="484">
        <v>0</v>
      </c>
      <c r="AE25" s="484">
        <v>0</v>
      </c>
      <c r="AF25" s="484">
        <v>0</v>
      </c>
      <c r="AG25" s="484">
        <v>1</v>
      </c>
      <c r="AH25" s="484">
        <v>70095</v>
      </c>
      <c r="AI25" s="484">
        <v>2120</v>
      </c>
      <c r="AJ25" s="484">
        <v>0</v>
      </c>
      <c r="AK25" s="484">
        <v>0</v>
      </c>
      <c r="AN25" s="524"/>
      <c r="AO25" s="524"/>
      <c r="AP25" s="484" t="str">
        <f t="shared" si="0"/>
        <v/>
      </c>
    </row>
    <row r="26" spans="2:42">
      <c r="B26" s="484" t="s">
        <v>1104</v>
      </c>
      <c r="C26" s="521">
        <v>42216</v>
      </c>
      <c r="D26" s="522">
        <v>150</v>
      </c>
      <c r="E26" s="523" t="s">
        <v>1105</v>
      </c>
      <c r="F26" s="484" t="s">
        <v>1135</v>
      </c>
      <c r="G26" s="524" t="s">
        <v>1107</v>
      </c>
      <c r="H26" s="484" t="s">
        <v>1136</v>
      </c>
      <c r="I26" s="484" t="s">
        <v>1121</v>
      </c>
      <c r="J26" s="484" t="s">
        <v>1110</v>
      </c>
      <c r="K26" s="488"/>
      <c r="L26" s="488"/>
      <c r="M26" s="488" t="s">
        <v>1137</v>
      </c>
      <c r="N26" s="509"/>
      <c r="O26" s="488"/>
      <c r="P26" s="488"/>
      <c r="T26" s="484" t="s">
        <v>1138</v>
      </c>
      <c r="U26" s="484" t="s">
        <v>1138</v>
      </c>
      <c r="W26" s="521">
        <v>42222</v>
      </c>
      <c r="X26" s="521">
        <v>42222</v>
      </c>
      <c r="Z26" s="521"/>
      <c r="AA26" s="484" t="s">
        <v>1113</v>
      </c>
      <c r="AB26" s="484">
        <v>0</v>
      </c>
      <c r="AC26" s="484">
        <v>0</v>
      </c>
      <c r="AD26" s="484">
        <v>0</v>
      </c>
      <c r="AE26" s="484">
        <v>0</v>
      </c>
      <c r="AF26" s="484">
        <v>0</v>
      </c>
      <c r="AG26" s="484">
        <v>1</v>
      </c>
      <c r="AH26" s="484">
        <v>70095</v>
      </c>
      <c r="AI26" s="484">
        <v>2120</v>
      </c>
      <c r="AJ26" s="484">
        <v>0</v>
      </c>
      <c r="AK26" s="484">
        <v>0</v>
      </c>
      <c r="AN26" s="524"/>
      <c r="AO26" s="524"/>
      <c r="AP26" s="484" t="str">
        <f t="shared" si="0"/>
        <v/>
      </c>
    </row>
    <row r="27" spans="2:42">
      <c r="B27" s="484" t="s">
        <v>1104</v>
      </c>
      <c r="C27" s="521">
        <v>42216</v>
      </c>
      <c r="D27" s="522">
        <v>150</v>
      </c>
      <c r="E27" s="523" t="s">
        <v>1105</v>
      </c>
      <c r="F27" s="484" t="s">
        <v>1135</v>
      </c>
      <c r="G27" s="524" t="s">
        <v>1107</v>
      </c>
      <c r="H27" s="484" t="s">
        <v>1136</v>
      </c>
      <c r="I27" s="484" t="s">
        <v>1121</v>
      </c>
      <c r="J27" s="484" t="s">
        <v>1110</v>
      </c>
      <c r="K27" s="488"/>
      <c r="L27" s="488"/>
      <c r="M27" s="488" t="s">
        <v>1139</v>
      </c>
      <c r="N27" s="509"/>
      <c r="O27" s="488"/>
      <c r="P27" s="488"/>
      <c r="T27" s="484" t="s">
        <v>1138</v>
      </c>
      <c r="U27" s="484" t="s">
        <v>1138</v>
      </c>
      <c r="W27" s="521">
        <v>42222</v>
      </c>
      <c r="X27" s="521">
        <v>42222</v>
      </c>
      <c r="Z27" s="521"/>
      <c r="AA27" s="484" t="s">
        <v>1113</v>
      </c>
      <c r="AB27" s="484">
        <v>0</v>
      </c>
      <c r="AC27" s="484">
        <v>0</v>
      </c>
      <c r="AD27" s="484">
        <v>0</v>
      </c>
      <c r="AE27" s="484">
        <v>0</v>
      </c>
      <c r="AF27" s="484">
        <v>0</v>
      </c>
      <c r="AG27" s="484">
        <v>1</v>
      </c>
      <c r="AH27" s="484">
        <v>70095</v>
      </c>
      <c r="AI27" s="484">
        <v>2120</v>
      </c>
      <c r="AJ27" s="484">
        <v>0</v>
      </c>
      <c r="AK27" s="484">
        <v>0</v>
      </c>
      <c r="AN27" s="524"/>
      <c r="AO27" s="524"/>
      <c r="AP27" s="484" t="str">
        <f t="shared" si="0"/>
        <v/>
      </c>
    </row>
    <row r="28" spans="2:42">
      <c r="B28" s="484" t="s">
        <v>1104</v>
      </c>
      <c r="C28" s="521">
        <v>42221</v>
      </c>
      <c r="D28" s="522">
        <v>45.91</v>
      </c>
      <c r="E28" s="523" t="s">
        <v>1105</v>
      </c>
      <c r="F28" s="484" t="s">
        <v>1140</v>
      </c>
      <c r="G28" s="524" t="s">
        <v>1107</v>
      </c>
      <c r="H28" s="484" t="s">
        <v>1120</v>
      </c>
      <c r="I28" s="484" t="s">
        <v>1121</v>
      </c>
      <c r="J28" s="484" t="s">
        <v>1110</v>
      </c>
      <c r="K28" s="488" t="s">
        <v>1122</v>
      </c>
      <c r="L28" s="488"/>
      <c r="M28" s="488" t="s">
        <v>1123</v>
      </c>
      <c r="N28" s="509">
        <v>42215</v>
      </c>
      <c r="O28" s="488"/>
      <c r="P28" s="488" t="s">
        <v>1141</v>
      </c>
      <c r="T28" s="484" t="s">
        <v>1142</v>
      </c>
      <c r="U28" s="484" t="s">
        <v>1143</v>
      </c>
      <c r="V28" s="484">
        <v>2120</v>
      </c>
      <c r="W28" s="521">
        <v>42221</v>
      </c>
      <c r="X28" s="521">
        <v>42221</v>
      </c>
      <c r="Y28" s="484">
        <v>205.07</v>
      </c>
      <c r="Z28" s="521">
        <v>42216</v>
      </c>
      <c r="AA28" s="484" t="s">
        <v>1113</v>
      </c>
      <c r="AB28" s="484">
        <v>0</v>
      </c>
      <c r="AC28" s="484">
        <v>0</v>
      </c>
      <c r="AD28" s="484">
        <v>0</v>
      </c>
      <c r="AE28" s="484">
        <v>0</v>
      </c>
      <c r="AF28" s="484">
        <v>0</v>
      </c>
      <c r="AG28" s="484">
        <v>1</v>
      </c>
      <c r="AH28" s="484">
        <v>70095</v>
      </c>
      <c r="AI28" s="484">
        <v>2120</v>
      </c>
      <c r="AJ28" s="484">
        <v>0</v>
      </c>
      <c r="AK28" s="484">
        <v>0</v>
      </c>
      <c r="AN28" s="524"/>
      <c r="AO28" s="524"/>
      <c r="AP28" s="484" t="str">
        <f t="shared" si="0"/>
        <v>VO03746203</v>
      </c>
    </row>
    <row r="29" spans="2:42">
      <c r="B29" s="484" t="s">
        <v>1104</v>
      </c>
      <c r="C29" s="521">
        <v>42229</v>
      </c>
      <c r="D29" s="522">
        <v>24</v>
      </c>
      <c r="E29" s="523" t="s">
        <v>1105</v>
      </c>
      <c r="F29" s="484" t="s">
        <v>1144</v>
      </c>
      <c r="G29" s="524" t="s">
        <v>1107</v>
      </c>
      <c r="H29" s="484" t="s">
        <v>1145</v>
      </c>
      <c r="I29" s="484" t="s">
        <v>1109</v>
      </c>
      <c r="J29" s="484" t="s">
        <v>1110</v>
      </c>
      <c r="K29" s="488"/>
      <c r="L29" s="488"/>
      <c r="M29" s="488" t="s">
        <v>1146</v>
      </c>
      <c r="N29" s="509"/>
      <c r="O29" s="488"/>
      <c r="P29" s="488"/>
      <c r="T29" s="484" t="s">
        <v>1147</v>
      </c>
      <c r="U29" s="484" t="s">
        <v>1147</v>
      </c>
      <c r="W29" s="521">
        <v>42229</v>
      </c>
      <c r="X29" s="521">
        <v>42229</v>
      </c>
      <c r="Z29" s="521"/>
      <c r="AA29" s="484" t="s">
        <v>1113</v>
      </c>
      <c r="AB29" s="484">
        <v>0</v>
      </c>
      <c r="AC29" s="484">
        <v>0</v>
      </c>
      <c r="AD29" s="484">
        <v>0</v>
      </c>
      <c r="AE29" s="484">
        <v>0</v>
      </c>
      <c r="AF29" s="484">
        <v>0</v>
      </c>
      <c r="AG29" s="484">
        <v>1</v>
      </c>
      <c r="AH29" s="484">
        <v>70095</v>
      </c>
      <c r="AI29" s="484">
        <v>2120</v>
      </c>
      <c r="AJ29" s="484">
        <v>0</v>
      </c>
      <c r="AK29" s="484">
        <v>0</v>
      </c>
      <c r="AN29" s="524"/>
      <c r="AO29" s="524"/>
      <c r="AP29" s="484" t="str">
        <f t="shared" si="0"/>
        <v/>
      </c>
    </row>
    <row r="30" spans="2:42">
      <c r="B30" s="484" t="s">
        <v>1104</v>
      </c>
      <c r="C30" s="521">
        <v>42247</v>
      </c>
      <c r="D30" s="522">
        <v>-150</v>
      </c>
      <c r="E30" s="523" t="s">
        <v>1105</v>
      </c>
      <c r="F30" s="484" t="s">
        <v>1148</v>
      </c>
      <c r="G30" s="524" t="s">
        <v>1107</v>
      </c>
      <c r="H30" s="484" t="s">
        <v>1131</v>
      </c>
      <c r="I30" s="484" t="s">
        <v>1121</v>
      </c>
      <c r="J30" s="484" t="s">
        <v>1110</v>
      </c>
      <c r="K30" s="488"/>
      <c r="L30" s="488"/>
      <c r="M30" s="488" t="s">
        <v>1132</v>
      </c>
      <c r="N30" s="509"/>
      <c r="O30" s="488"/>
      <c r="P30" s="488"/>
      <c r="T30" s="484" t="s">
        <v>1133</v>
      </c>
      <c r="U30" s="484" t="s">
        <v>1149</v>
      </c>
      <c r="W30" s="521">
        <v>42221</v>
      </c>
      <c r="X30" s="521">
        <v>42221</v>
      </c>
      <c r="Z30" s="521"/>
      <c r="AA30" s="484" t="s">
        <v>1113</v>
      </c>
      <c r="AB30" s="484">
        <v>0</v>
      </c>
      <c r="AC30" s="484">
        <v>0</v>
      </c>
      <c r="AD30" s="484">
        <v>0</v>
      </c>
      <c r="AE30" s="484">
        <v>0</v>
      </c>
      <c r="AF30" s="484">
        <v>5</v>
      </c>
      <c r="AG30" s="484">
        <v>1</v>
      </c>
      <c r="AH30" s="484">
        <v>70095</v>
      </c>
      <c r="AI30" s="484">
        <v>2120</v>
      </c>
      <c r="AJ30" s="484">
        <v>0</v>
      </c>
      <c r="AK30" s="484">
        <v>0</v>
      </c>
      <c r="AN30" s="524"/>
      <c r="AO30" s="524"/>
      <c r="AP30" s="484" t="str">
        <f t="shared" si="0"/>
        <v/>
      </c>
    </row>
    <row r="31" spans="2:42">
      <c r="B31" s="484" t="s">
        <v>1104</v>
      </c>
      <c r="C31" s="521">
        <v>42247</v>
      </c>
      <c r="D31" s="522">
        <v>-150</v>
      </c>
      <c r="E31" s="523" t="s">
        <v>1105</v>
      </c>
      <c r="F31" s="484" t="s">
        <v>1148</v>
      </c>
      <c r="G31" s="524" t="s">
        <v>1107</v>
      </c>
      <c r="H31" s="484" t="s">
        <v>1131</v>
      </c>
      <c r="I31" s="484" t="s">
        <v>1121</v>
      </c>
      <c r="J31" s="484" t="s">
        <v>1110</v>
      </c>
      <c r="K31" s="488"/>
      <c r="L31" s="488"/>
      <c r="M31" s="488" t="s">
        <v>1134</v>
      </c>
      <c r="N31" s="509"/>
      <c r="O31" s="488"/>
      <c r="P31" s="488"/>
      <c r="T31" s="484" t="s">
        <v>1133</v>
      </c>
      <c r="U31" s="484" t="s">
        <v>1149</v>
      </c>
      <c r="W31" s="521">
        <v>42221</v>
      </c>
      <c r="X31" s="521">
        <v>42221</v>
      </c>
      <c r="Z31" s="521"/>
      <c r="AA31" s="484" t="s">
        <v>1113</v>
      </c>
      <c r="AB31" s="484">
        <v>0</v>
      </c>
      <c r="AC31" s="484">
        <v>0</v>
      </c>
      <c r="AD31" s="484">
        <v>0</v>
      </c>
      <c r="AE31" s="484">
        <v>0</v>
      </c>
      <c r="AF31" s="484">
        <v>5</v>
      </c>
      <c r="AG31" s="484">
        <v>1</v>
      </c>
      <c r="AH31" s="484">
        <v>70095</v>
      </c>
      <c r="AI31" s="484">
        <v>2120</v>
      </c>
      <c r="AJ31" s="484">
        <v>0</v>
      </c>
      <c r="AK31" s="484">
        <v>0</v>
      </c>
      <c r="AN31" s="524"/>
      <c r="AO31" s="524"/>
      <c r="AP31" s="484" t="str">
        <f t="shared" si="0"/>
        <v/>
      </c>
    </row>
    <row r="32" spans="2:42">
      <c r="B32" s="484" t="s">
        <v>1104</v>
      </c>
      <c r="C32" s="521">
        <v>42247</v>
      </c>
      <c r="D32" s="522">
        <v>-150</v>
      </c>
      <c r="E32" s="523" t="s">
        <v>1105</v>
      </c>
      <c r="F32" s="484" t="s">
        <v>1150</v>
      </c>
      <c r="G32" s="524" t="s">
        <v>1107</v>
      </c>
      <c r="H32" s="484" t="s">
        <v>1136</v>
      </c>
      <c r="I32" s="484" t="s">
        <v>1121</v>
      </c>
      <c r="J32" s="484" t="s">
        <v>1110</v>
      </c>
      <c r="K32" s="488"/>
      <c r="L32" s="488"/>
      <c r="M32" s="488" t="s">
        <v>1137</v>
      </c>
      <c r="N32" s="509"/>
      <c r="O32" s="488"/>
      <c r="P32" s="488"/>
      <c r="T32" s="484" t="s">
        <v>1138</v>
      </c>
      <c r="U32" s="484" t="s">
        <v>1151</v>
      </c>
      <c r="W32" s="521">
        <v>42222</v>
      </c>
      <c r="X32" s="521">
        <v>42222</v>
      </c>
      <c r="Z32" s="521"/>
      <c r="AA32" s="484" t="s">
        <v>1113</v>
      </c>
      <c r="AB32" s="484">
        <v>0</v>
      </c>
      <c r="AC32" s="484">
        <v>0</v>
      </c>
      <c r="AD32" s="484">
        <v>0</v>
      </c>
      <c r="AE32" s="484">
        <v>0</v>
      </c>
      <c r="AF32" s="484">
        <v>5</v>
      </c>
      <c r="AG32" s="484">
        <v>1</v>
      </c>
      <c r="AH32" s="484">
        <v>70095</v>
      </c>
      <c r="AI32" s="484">
        <v>2120</v>
      </c>
      <c r="AJ32" s="484">
        <v>0</v>
      </c>
      <c r="AK32" s="484">
        <v>0</v>
      </c>
      <c r="AN32" s="524"/>
      <c r="AO32" s="524"/>
      <c r="AP32" s="484" t="str">
        <f t="shared" si="0"/>
        <v/>
      </c>
    </row>
    <row r="33" spans="2:42">
      <c r="B33" s="484" t="s">
        <v>1104</v>
      </c>
      <c r="C33" s="521">
        <v>42247</v>
      </c>
      <c r="D33" s="522">
        <v>-150</v>
      </c>
      <c r="E33" s="523" t="s">
        <v>1105</v>
      </c>
      <c r="F33" s="484" t="s">
        <v>1150</v>
      </c>
      <c r="G33" s="524" t="s">
        <v>1107</v>
      </c>
      <c r="H33" s="484" t="s">
        <v>1136</v>
      </c>
      <c r="I33" s="484" t="s">
        <v>1121</v>
      </c>
      <c r="J33" s="484" t="s">
        <v>1110</v>
      </c>
      <c r="K33" s="488"/>
      <c r="L33" s="488"/>
      <c r="M33" s="488" t="s">
        <v>1139</v>
      </c>
      <c r="N33" s="509"/>
      <c r="O33" s="488"/>
      <c r="P33" s="488"/>
      <c r="T33" s="484" t="s">
        <v>1138</v>
      </c>
      <c r="U33" s="484" t="s">
        <v>1151</v>
      </c>
      <c r="W33" s="521">
        <v>42222</v>
      </c>
      <c r="X33" s="521">
        <v>42222</v>
      </c>
      <c r="Z33" s="521"/>
      <c r="AA33" s="484" t="s">
        <v>1113</v>
      </c>
      <c r="AB33" s="484">
        <v>0</v>
      </c>
      <c r="AC33" s="484">
        <v>0</v>
      </c>
      <c r="AD33" s="484">
        <v>0</v>
      </c>
      <c r="AE33" s="484">
        <v>0</v>
      </c>
      <c r="AF33" s="484">
        <v>5</v>
      </c>
      <c r="AG33" s="484">
        <v>1</v>
      </c>
      <c r="AH33" s="484">
        <v>70095</v>
      </c>
      <c r="AI33" s="484">
        <v>2120</v>
      </c>
      <c r="AJ33" s="484">
        <v>0</v>
      </c>
      <c r="AK33" s="484">
        <v>0</v>
      </c>
      <c r="AN33" s="524"/>
      <c r="AO33" s="524"/>
      <c r="AP33" s="484" t="str">
        <f t="shared" si="0"/>
        <v/>
      </c>
    </row>
    <row r="34" spans="2:42">
      <c r="B34" s="484" t="s">
        <v>1104</v>
      </c>
      <c r="C34" s="521">
        <v>42269</v>
      </c>
      <c r="D34" s="522">
        <v>6</v>
      </c>
      <c r="E34" s="523" t="s">
        <v>1105</v>
      </c>
      <c r="F34" s="484" t="s">
        <v>1152</v>
      </c>
      <c r="G34" s="524" t="s">
        <v>1107</v>
      </c>
      <c r="H34" s="484" t="s">
        <v>1153</v>
      </c>
      <c r="I34" s="484" t="s">
        <v>1109</v>
      </c>
      <c r="J34" s="484" t="s">
        <v>1110</v>
      </c>
      <c r="K34" s="488"/>
      <c r="L34" s="488"/>
      <c r="M34" s="488" t="s">
        <v>1154</v>
      </c>
      <c r="N34" s="509"/>
      <c r="O34" s="488"/>
      <c r="P34" s="488"/>
      <c r="T34" s="484" t="s">
        <v>1155</v>
      </c>
      <c r="U34" s="484" t="s">
        <v>1155</v>
      </c>
      <c r="W34" s="521">
        <v>42269</v>
      </c>
      <c r="X34" s="521">
        <v>42269</v>
      </c>
      <c r="Z34" s="521"/>
      <c r="AA34" s="484" t="s">
        <v>1113</v>
      </c>
      <c r="AB34" s="484">
        <v>0</v>
      </c>
      <c r="AC34" s="484">
        <v>0</v>
      </c>
      <c r="AD34" s="484">
        <v>0</v>
      </c>
      <c r="AE34" s="484">
        <v>0</v>
      </c>
      <c r="AF34" s="484">
        <v>0</v>
      </c>
      <c r="AG34" s="484">
        <v>1</v>
      </c>
      <c r="AH34" s="484">
        <v>70095</v>
      </c>
      <c r="AI34" s="484">
        <v>2120</v>
      </c>
      <c r="AJ34" s="484">
        <v>0</v>
      </c>
      <c r="AK34" s="484">
        <v>0</v>
      </c>
      <c r="AN34" s="524"/>
      <c r="AO34" s="524"/>
      <c r="AP34" s="484" t="str">
        <f t="shared" si="0"/>
        <v/>
      </c>
    </row>
    <row r="35" spans="2:42">
      <c r="B35" s="484" t="s">
        <v>1104</v>
      </c>
      <c r="C35" s="521">
        <v>42304</v>
      </c>
      <c r="D35" s="522">
        <v>12</v>
      </c>
      <c r="E35" s="523" t="s">
        <v>1105</v>
      </c>
      <c r="F35" s="484" t="s">
        <v>1156</v>
      </c>
      <c r="G35" s="524" t="s">
        <v>1107</v>
      </c>
      <c r="H35" s="484" t="s">
        <v>1157</v>
      </c>
      <c r="I35" s="484" t="s">
        <v>1109</v>
      </c>
      <c r="J35" s="484" t="s">
        <v>1110</v>
      </c>
      <c r="K35" s="488"/>
      <c r="L35" s="488"/>
      <c r="M35" s="488" t="s">
        <v>1158</v>
      </c>
      <c r="N35" s="509"/>
      <c r="O35" s="488"/>
      <c r="P35" s="488"/>
      <c r="T35" s="484" t="s">
        <v>1159</v>
      </c>
      <c r="U35" s="484" t="s">
        <v>1159</v>
      </c>
      <c r="W35" s="521">
        <v>42304</v>
      </c>
      <c r="X35" s="521">
        <v>42305</v>
      </c>
      <c r="Z35" s="521"/>
      <c r="AA35" s="484" t="s">
        <v>1113</v>
      </c>
      <c r="AB35" s="484">
        <v>0</v>
      </c>
      <c r="AC35" s="484">
        <v>0</v>
      </c>
      <c r="AD35" s="484">
        <v>0</v>
      </c>
      <c r="AE35" s="484">
        <v>0</v>
      </c>
      <c r="AF35" s="484">
        <v>0</v>
      </c>
      <c r="AG35" s="484">
        <v>1</v>
      </c>
      <c r="AH35" s="484">
        <v>70095</v>
      </c>
      <c r="AI35" s="484">
        <v>2120</v>
      </c>
      <c r="AJ35" s="484">
        <v>0</v>
      </c>
      <c r="AK35" s="484">
        <v>0</v>
      </c>
      <c r="AN35" s="524"/>
      <c r="AO35" s="524"/>
      <c r="AP35" s="484" t="str">
        <f t="shared" si="0"/>
        <v/>
      </c>
    </row>
    <row r="36" spans="2:42">
      <c r="B36" s="484" t="s">
        <v>1104</v>
      </c>
      <c r="C36" s="521">
        <v>42338</v>
      </c>
      <c r="D36" s="522">
        <v>449.96</v>
      </c>
      <c r="E36" s="523" t="s">
        <v>1105</v>
      </c>
      <c r="F36" s="484" t="s">
        <v>1160</v>
      </c>
      <c r="G36" s="524" t="s">
        <v>1107</v>
      </c>
      <c r="H36" s="484" t="s">
        <v>1161</v>
      </c>
      <c r="I36" s="484" t="s">
        <v>1116</v>
      </c>
      <c r="J36" s="484" t="s">
        <v>1110</v>
      </c>
      <c r="K36" s="488"/>
      <c r="L36" s="488"/>
      <c r="M36" s="488" t="s">
        <v>1162</v>
      </c>
      <c r="N36" s="509"/>
      <c r="O36" s="488"/>
      <c r="P36" s="488"/>
      <c r="T36" s="484" t="s">
        <v>1163</v>
      </c>
      <c r="U36" s="484" t="s">
        <v>1163</v>
      </c>
      <c r="W36" s="521">
        <v>42340</v>
      </c>
      <c r="X36" s="521">
        <v>42341</v>
      </c>
      <c r="Z36" s="521"/>
      <c r="AA36" s="484" t="s">
        <v>1113</v>
      </c>
      <c r="AB36" s="484">
        <v>0</v>
      </c>
      <c r="AC36" s="484">
        <v>0</v>
      </c>
      <c r="AD36" s="484">
        <v>0</v>
      </c>
      <c r="AE36" s="484">
        <v>0</v>
      </c>
      <c r="AF36" s="484">
        <v>0</v>
      </c>
      <c r="AG36" s="484">
        <v>1</v>
      </c>
      <c r="AH36" s="484">
        <v>70095</v>
      </c>
      <c r="AI36" s="484">
        <v>2120</v>
      </c>
      <c r="AJ36" s="484">
        <v>0</v>
      </c>
      <c r="AK36" s="484">
        <v>0</v>
      </c>
      <c r="AN36" s="524"/>
      <c r="AO36" s="524"/>
      <c r="AP36" s="484" t="str">
        <f t="shared" si="0"/>
        <v/>
      </c>
    </row>
    <row r="37" spans="2:42">
      <c r="B37" s="484" t="s">
        <v>1104</v>
      </c>
      <c r="C37" s="521">
        <v>42338</v>
      </c>
      <c r="D37" s="522">
        <v>23.54</v>
      </c>
      <c r="E37" s="523" t="s">
        <v>1105</v>
      </c>
      <c r="F37" s="484" t="s">
        <v>1164</v>
      </c>
      <c r="G37" s="524" t="s">
        <v>1107</v>
      </c>
      <c r="H37" s="484" t="s">
        <v>1165</v>
      </c>
      <c r="I37" s="484" t="s">
        <v>1109</v>
      </c>
      <c r="J37" s="484" t="s">
        <v>1110</v>
      </c>
      <c r="K37" s="488"/>
      <c r="L37" s="488"/>
      <c r="M37" s="488" t="s">
        <v>1166</v>
      </c>
      <c r="N37" s="509"/>
      <c r="O37" s="488"/>
      <c r="P37" s="488"/>
      <c r="T37" s="484" t="s">
        <v>1167</v>
      </c>
      <c r="U37" s="484" t="s">
        <v>1167</v>
      </c>
      <c r="W37" s="521">
        <v>42341</v>
      </c>
      <c r="X37" s="521">
        <v>42341</v>
      </c>
      <c r="Z37" s="521"/>
      <c r="AA37" s="484" t="s">
        <v>1113</v>
      </c>
      <c r="AB37" s="484">
        <v>0</v>
      </c>
      <c r="AC37" s="484">
        <v>0</v>
      </c>
      <c r="AD37" s="484">
        <v>0</v>
      </c>
      <c r="AE37" s="484">
        <v>0</v>
      </c>
      <c r="AF37" s="484">
        <v>0</v>
      </c>
      <c r="AG37" s="484">
        <v>1</v>
      </c>
      <c r="AH37" s="484">
        <v>70095</v>
      </c>
      <c r="AI37" s="484">
        <v>2120</v>
      </c>
      <c r="AJ37" s="484">
        <v>0</v>
      </c>
      <c r="AK37" s="484">
        <v>0</v>
      </c>
      <c r="AN37" s="524"/>
      <c r="AO37" s="524"/>
      <c r="AP37" s="484" t="str">
        <f t="shared" si="0"/>
        <v/>
      </c>
    </row>
    <row r="38" spans="2:42">
      <c r="B38" s="484" t="s">
        <v>1104</v>
      </c>
      <c r="C38" s="521">
        <v>42346</v>
      </c>
      <c r="D38" s="522">
        <v>35.799999999999997</v>
      </c>
      <c r="E38" s="523" t="s">
        <v>1105</v>
      </c>
      <c r="F38" s="484" t="s">
        <v>1168</v>
      </c>
      <c r="G38" s="524" t="s">
        <v>1107</v>
      </c>
      <c r="H38" s="484" t="s">
        <v>1120</v>
      </c>
      <c r="I38" s="484" t="s">
        <v>1109</v>
      </c>
      <c r="J38" s="484" t="s">
        <v>1110</v>
      </c>
      <c r="K38" s="488" t="s">
        <v>1122</v>
      </c>
      <c r="L38" s="488"/>
      <c r="M38" s="488" t="s">
        <v>1123</v>
      </c>
      <c r="N38" s="509">
        <v>42338</v>
      </c>
      <c r="O38" s="488"/>
      <c r="P38" s="525">
        <v>42309</v>
      </c>
      <c r="T38" s="484" t="s">
        <v>1169</v>
      </c>
      <c r="U38" s="484" t="s">
        <v>1170</v>
      </c>
      <c r="V38" s="484">
        <v>2120</v>
      </c>
      <c r="W38" s="521">
        <v>42346</v>
      </c>
      <c r="X38" s="521">
        <v>42349</v>
      </c>
      <c r="Y38" s="484">
        <v>59.34</v>
      </c>
      <c r="Z38" s="521">
        <v>42339</v>
      </c>
      <c r="AA38" s="484" t="s">
        <v>1113</v>
      </c>
      <c r="AB38" s="484">
        <v>0</v>
      </c>
      <c r="AC38" s="484">
        <v>0</v>
      </c>
      <c r="AD38" s="484">
        <v>0</v>
      </c>
      <c r="AE38" s="484">
        <v>0</v>
      </c>
      <c r="AF38" s="484">
        <v>0</v>
      </c>
      <c r="AG38" s="484">
        <v>1</v>
      </c>
      <c r="AH38" s="484">
        <v>70095</v>
      </c>
      <c r="AI38" s="484">
        <v>2120</v>
      </c>
      <c r="AJ38" s="484">
        <v>0</v>
      </c>
      <c r="AK38" s="484">
        <v>0</v>
      </c>
      <c r="AN38" s="524"/>
      <c r="AO38" s="524"/>
      <c r="AP38" s="484" t="str">
        <f t="shared" si="0"/>
        <v>VO03831825</v>
      </c>
    </row>
    <row r="39" spans="2:42">
      <c r="B39" s="484" t="s">
        <v>1104</v>
      </c>
      <c r="C39" s="521">
        <v>42349</v>
      </c>
      <c r="D39" s="522">
        <v>6</v>
      </c>
      <c r="E39" s="523" t="s">
        <v>1105</v>
      </c>
      <c r="F39" s="484" t="s">
        <v>1171</v>
      </c>
      <c r="G39" s="524" t="s">
        <v>1107</v>
      </c>
      <c r="H39" s="484" t="s">
        <v>1172</v>
      </c>
      <c r="I39" s="484" t="s">
        <v>1116</v>
      </c>
      <c r="J39" s="484" t="s">
        <v>1110</v>
      </c>
      <c r="K39" s="488"/>
      <c r="L39" s="488"/>
      <c r="M39" s="488" t="s">
        <v>1173</v>
      </c>
      <c r="N39" s="509"/>
      <c r="O39" s="488"/>
      <c r="P39" s="488"/>
      <c r="T39" s="484" t="s">
        <v>1174</v>
      </c>
      <c r="U39" s="484" t="s">
        <v>1174</v>
      </c>
      <c r="W39" s="521">
        <v>42349</v>
      </c>
      <c r="X39" s="521">
        <v>42352</v>
      </c>
      <c r="Z39" s="521"/>
      <c r="AA39" s="484" t="s">
        <v>1113</v>
      </c>
      <c r="AB39" s="484">
        <v>0</v>
      </c>
      <c r="AC39" s="484">
        <v>0</v>
      </c>
      <c r="AD39" s="484">
        <v>0</v>
      </c>
      <c r="AE39" s="484">
        <v>0</v>
      </c>
      <c r="AF39" s="484">
        <v>0</v>
      </c>
      <c r="AG39" s="484">
        <v>1</v>
      </c>
      <c r="AH39" s="484">
        <v>70095</v>
      </c>
      <c r="AI39" s="484">
        <v>2120</v>
      </c>
      <c r="AJ39" s="484">
        <v>0</v>
      </c>
      <c r="AK39" s="484">
        <v>0</v>
      </c>
      <c r="AN39" s="524"/>
      <c r="AO39" s="524"/>
      <c r="AP39" s="484" t="str">
        <f t="shared" si="0"/>
        <v/>
      </c>
    </row>
    <row r="40" spans="2:42">
      <c r="B40" s="484" t="s">
        <v>1104</v>
      </c>
      <c r="C40" s="521">
        <v>42369</v>
      </c>
      <c r="D40" s="522">
        <v>-23.54</v>
      </c>
      <c r="E40" s="523" t="s">
        <v>1105</v>
      </c>
      <c r="F40" s="484" t="s">
        <v>1175</v>
      </c>
      <c r="G40" s="524" t="s">
        <v>1107</v>
      </c>
      <c r="H40" s="484" t="s">
        <v>1165</v>
      </c>
      <c r="I40" s="484" t="s">
        <v>1109</v>
      </c>
      <c r="J40" s="484" t="s">
        <v>1110</v>
      </c>
      <c r="K40" s="488"/>
      <c r="L40" s="488"/>
      <c r="M40" s="488" t="s">
        <v>1166</v>
      </c>
      <c r="N40" s="509"/>
      <c r="O40" s="488"/>
      <c r="P40" s="488"/>
      <c r="T40" s="484" t="s">
        <v>1167</v>
      </c>
      <c r="U40" s="484" t="s">
        <v>1176</v>
      </c>
      <c r="W40" s="521">
        <v>42341</v>
      </c>
      <c r="X40" s="521">
        <v>42341</v>
      </c>
      <c r="Z40" s="521"/>
      <c r="AA40" s="484" t="s">
        <v>1113</v>
      </c>
      <c r="AB40" s="484">
        <v>0</v>
      </c>
      <c r="AC40" s="484">
        <v>0</v>
      </c>
      <c r="AD40" s="484">
        <v>0</v>
      </c>
      <c r="AE40" s="484">
        <v>0</v>
      </c>
      <c r="AF40" s="484">
        <v>5</v>
      </c>
      <c r="AG40" s="484">
        <v>1</v>
      </c>
      <c r="AH40" s="484">
        <v>70095</v>
      </c>
      <c r="AI40" s="484">
        <v>2120</v>
      </c>
      <c r="AJ40" s="484">
        <v>0</v>
      </c>
      <c r="AK40" s="484">
        <v>0</v>
      </c>
      <c r="AN40" s="524"/>
      <c r="AO40" s="524"/>
      <c r="AP40" s="484" t="str">
        <f t="shared" si="0"/>
        <v/>
      </c>
    </row>
    <row r="41" spans="2:42">
      <c r="B41" s="484" t="s">
        <v>1104</v>
      </c>
      <c r="C41" s="521">
        <v>42369</v>
      </c>
      <c r="D41" s="522">
        <v>700</v>
      </c>
      <c r="E41" s="523" t="s">
        <v>1105</v>
      </c>
      <c r="F41" s="484" t="s">
        <v>1177</v>
      </c>
      <c r="G41" s="524" t="s">
        <v>1107</v>
      </c>
      <c r="H41" s="484" t="s">
        <v>1178</v>
      </c>
      <c r="I41" s="484" t="s">
        <v>1109</v>
      </c>
      <c r="J41" s="484" t="s">
        <v>1110</v>
      </c>
      <c r="K41" s="488"/>
      <c r="L41" s="488"/>
      <c r="M41" s="488" t="s">
        <v>1179</v>
      </c>
      <c r="N41" s="509"/>
      <c r="O41" s="488"/>
      <c r="P41" s="488"/>
      <c r="T41" s="484" t="s">
        <v>1180</v>
      </c>
      <c r="U41" s="484" t="s">
        <v>1180</v>
      </c>
      <c r="W41" s="521">
        <v>42374</v>
      </c>
      <c r="X41" s="521">
        <v>42374</v>
      </c>
      <c r="Z41" s="521"/>
      <c r="AA41" s="484" t="s">
        <v>1113</v>
      </c>
      <c r="AB41" s="484">
        <v>0</v>
      </c>
      <c r="AC41" s="484">
        <v>0</v>
      </c>
      <c r="AD41" s="484">
        <v>0</v>
      </c>
      <c r="AE41" s="484">
        <v>0</v>
      </c>
      <c r="AF41" s="484">
        <v>0</v>
      </c>
      <c r="AG41" s="484">
        <v>1</v>
      </c>
      <c r="AH41" s="484">
        <v>70095</v>
      </c>
      <c r="AI41" s="484">
        <v>2120</v>
      </c>
      <c r="AJ41" s="484">
        <v>0</v>
      </c>
      <c r="AK41" s="484">
        <v>0</v>
      </c>
      <c r="AN41" s="524"/>
      <c r="AO41" s="524"/>
      <c r="AP41" s="484" t="str">
        <f t="shared" si="0"/>
        <v/>
      </c>
    </row>
    <row r="42" spans="2:42">
      <c r="B42" s="484" t="s">
        <v>1104</v>
      </c>
      <c r="C42" s="521">
        <v>42369</v>
      </c>
      <c r="D42" s="522">
        <v>26.54</v>
      </c>
      <c r="E42" s="523" t="s">
        <v>1105</v>
      </c>
      <c r="F42" s="484" t="s">
        <v>1177</v>
      </c>
      <c r="G42" s="524" t="s">
        <v>1107</v>
      </c>
      <c r="H42" s="484" t="s">
        <v>1178</v>
      </c>
      <c r="I42" s="484" t="s">
        <v>1109</v>
      </c>
      <c r="J42" s="484" t="s">
        <v>1110</v>
      </c>
      <c r="K42" s="488"/>
      <c r="L42" s="488"/>
      <c r="M42" s="488" t="s">
        <v>1181</v>
      </c>
      <c r="N42" s="509"/>
      <c r="O42" s="488"/>
      <c r="P42" s="488"/>
      <c r="T42" s="484" t="s">
        <v>1180</v>
      </c>
      <c r="U42" s="484" t="s">
        <v>1180</v>
      </c>
      <c r="W42" s="521">
        <v>42374</v>
      </c>
      <c r="X42" s="521">
        <v>42374</v>
      </c>
      <c r="Z42" s="521"/>
      <c r="AA42" s="484" t="s">
        <v>1113</v>
      </c>
      <c r="AB42" s="484">
        <v>0</v>
      </c>
      <c r="AC42" s="484">
        <v>0</v>
      </c>
      <c r="AD42" s="484">
        <v>0</v>
      </c>
      <c r="AE42" s="484">
        <v>0</v>
      </c>
      <c r="AF42" s="484">
        <v>0</v>
      </c>
      <c r="AG42" s="484">
        <v>1</v>
      </c>
      <c r="AH42" s="484">
        <v>70095</v>
      </c>
      <c r="AI42" s="484">
        <v>2120</v>
      </c>
      <c r="AJ42" s="484">
        <v>0</v>
      </c>
      <c r="AK42" s="484">
        <v>0</v>
      </c>
      <c r="AN42" s="524"/>
      <c r="AO42" s="524"/>
      <c r="AP42" s="484" t="str">
        <f t="shared" si="0"/>
        <v/>
      </c>
    </row>
    <row r="43" spans="2:42">
      <c r="B43" s="484" t="s">
        <v>1104</v>
      </c>
      <c r="C43" s="521">
        <v>42369</v>
      </c>
      <c r="D43" s="522">
        <v>2.0699999999999998</v>
      </c>
      <c r="E43" s="523" t="s">
        <v>1105</v>
      </c>
      <c r="F43" s="484" t="s">
        <v>1182</v>
      </c>
      <c r="G43" s="524" t="s">
        <v>1107</v>
      </c>
      <c r="H43" s="484" t="s">
        <v>1183</v>
      </c>
      <c r="I43" s="484" t="s">
        <v>1116</v>
      </c>
      <c r="J43" s="484" t="s">
        <v>1110</v>
      </c>
      <c r="K43" s="488"/>
      <c r="L43" s="488"/>
      <c r="M43" s="488" t="s">
        <v>1184</v>
      </c>
      <c r="N43" s="509"/>
      <c r="O43" s="488"/>
      <c r="P43" s="488"/>
      <c r="T43" s="484" t="s">
        <v>1185</v>
      </c>
      <c r="U43" s="484" t="s">
        <v>1185</v>
      </c>
      <c r="W43" s="521">
        <v>42376</v>
      </c>
      <c r="X43" s="521">
        <v>42376</v>
      </c>
      <c r="Z43" s="521"/>
      <c r="AA43" s="484" t="s">
        <v>1113</v>
      </c>
      <c r="AB43" s="484">
        <v>0</v>
      </c>
      <c r="AC43" s="484">
        <v>0</v>
      </c>
      <c r="AD43" s="484">
        <v>0</v>
      </c>
      <c r="AE43" s="484">
        <v>0</v>
      </c>
      <c r="AF43" s="484">
        <v>0</v>
      </c>
      <c r="AG43" s="484">
        <v>1</v>
      </c>
      <c r="AH43" s="484">
        <v>70095</v>
      </c>
      <c r="AI43" s="484">
        <v>2120</v>
      </c>
      <c r="AJ43" s="484">
        <v>0</v>
      </c>
      <c r="AK43" s="484">
        <v>0</v>
      </c>
      <c r="AN43" s="524"/>
      <c r="AO43" s="524"/>
      <c r="AP43" s="484" t="str">
        <f t="shared" si="0"/>
        <v/>
      </c>
    </row>
    <row r="44" spans="2:42">
      <c r="B44" s="484" t="s">
        <v>1104</v>
      </c>
      <c r="C44" s="521">
        <v>42400</v>
      </c>
      <c r="D44" s="522">
        <v>584.21</v>
      </c>
      <c r="E44" s="523" t="s">
        <v>1105</v>
      </c>
      <c r="F44" s="484" t="s">
        <v>1186</v>
      </c>
      <c r="G44" s="524" t="s">
        <v>1107</v>
      </c>
      <c r="H44" s="484" t="s">
        <v>1187</v>
      </c>
      <c r="I44" s="484" t="s">
        <v>1121</v>
      </c>
      <c r="J44" s="484" t="s">
        <v>1110</v>
      </c>
      <c r="K44" s="488"/>
      <c r="L44" s="488"/>
      <c r="M44" s="488" t="s">
        <v>1188</v>
      </c>
      <c r="N44" s="509"/>
      <c r="O44" s="488"/>
      <c r="P44" s="488"/>
      <c r="T44" s="484" t="s">
        <v>1189</v>
      </c>
      <c r="U44" s="484" t="s">
        <v>1189</v>
      </c>
      <c r="W44" s="521">
        <v>42402</v>
      </c>
      <c r="X44" s="521">
        <v>42402</v>
      </c>
      <c r="Z44" s="521"/>
      <c r="AA44" s="484" t="s">
        <v>1113</v>
      </c>
      <c r="AB44" s="484">
        <v>0</v>
      </c>
      <c r="AC44" s="484">
        <v>0</v>
      </c>
      <c r="AD44" s="484">
        <v>0</v>
      </c>
      <c r="AE44" s="484">
        <v>0</v>
      </c>
      <c r="AF44" s="484">
        <v>0</v>
      </c>
      <c r="AG44" s="484">
        <v>1</v>
      </c>
      <c r="AH44" s="484">
        <v>70095</v>
      </c>
      <c r="AI44" s="484">
        <v>2120</v>
      </c>
      <c r="AJ44" s="484">
        <v>0</v>
      </c>
      <c r="AK44" s="484">
        <v>0</v>
      </c>
      <c r="AN44" s="524"/>
      <c r="AO44" s="524"/>
      <c r="AP44" s="484" t="str">
        <f t="shared" si="0"/>
        <v/>
      </c>
    </row>
    <row r="45" spans="2:42">
      <c r="B45" s="484" t="s">
        <v>1104</v>
      </c>
      <c r="C45" s="521">
        <v>42400</v>
      </c>
      <c r="D45" s="522">
        <v>42</v>
      </c>
      <c r="E45" s="523" t="s">
        <v>1105</v>
      </c>
      <c r="F45" s="484" t="s">
        <v>1190</v>
      </c>
      <c r="G45" s="524" t="s">
        <v>1107</v>
      </c>
      <c r="H45" s="484" t="s">
        <v>1191</v>
      </c>
      <c r="I45" s="484" t="s">
        <v>1109</v>
      </c>
      <c r="J45" s="484" t="s">
        <v>1110</v>
      </c>
      <c r="K45" s="488"/>
      <c r="L45" s="488"/>
      <c r="M45" s="488" t="s">
        <v>1192</v>
      </c>
      <c r="N45" s="509"/>
      <c r="O45" s="488"/>
      <c r="P45" s="488"/>
      <c r="T45" s="484" t="s">
        <v>1193</v>
      </c>
      <c r="U45" s="484" t="s">
        <v>1193</v>
      </c>
      <c r="W45" s="521">
        <v>42404</v>
      </c>
      <c r="X45" s="521">
        <v>42404</v>
      </c>
      <c r="Z45" s="521"/>
      <c r="AA45" s="484" t="s">
        <v>1113</v>
      </c>
      <c r="AB45" s="484">
        <v>0</v>
      </c>
      <c r="AC45" s="484">
        <v>0</v>
      </c>
      <c r="AD45" s="484">
        <v>0</v>
      </c>
      <c r="AE45" s="484">
        <v>0</v>
      </c>
      <c r="AF45" s="484">
        <v>0</v>
      </c>
      <c r="AG45" s="484">
        <v>1</v>
      </c>
      <c r="AH45" s="484">
        <v>70095</v>
      </c>
      <c r="AI45" s="484">
        <v>2120</v>
      </c>
      <c r="AJ45" s="484">
        <v>0</v>
      </c>
      <c r="AK45" s="484">
        <v>0</v>
      </c>
      <c r="AN45" s="524"/>
      <c r="AO45" s="524"/>
      <c r="AP45" s="484" t="str">
        <f t="shared" si="0"/>
        <v/>
      </c>
    </row>
    <row r="46" spans="2:42">
      <c r="B46" s="484" t="s">
        <v>1104</v>
      </c>
      <c r="C46" s="521">
        <v>42400</v>
      </c>
      <c r="D46" s="522">
        <v>21.23</v>
      </c>
      <c r="E46" s="523" t="s">
        <v>1105</v>
      </c>
      <c r="F46" s="484" t="s">
        <v>1190</v>
      </c>
      <c r="G46" s="524" t="s">
        <v>1107</v>
      </c>
      <c r="H46" s="484" t="s">
        <v>1191</v>
      </c>
      <c r="I46" s="484" t="s">
        <v>1109</v>
      </c>
      <c r="J46" s="484" t="s">
        <v>1110</v>
      </c>
      <c r="K46" s="488"/>
      <c r="L46" s="488"/>
      <c r="M46" s="488" t="s">
        <v>1194</v>
      </c>
      <c r="N46" s="509"/>
      <c r="O46" s="488"/>
      <c r="P46" s="488"/>
      <c r="T46" s="484" t="s">
        <v>1193</v>
      </c>
      <c r="U46" s="484" t="s">
        <v>1193</v>
      </c>
      <c r="W46" s="521">
        <v>42404</v>
      </c>
      <c r="X46" s="521">
        <v>42404</v>
      </c>
      <c r="Z46" s="521"/>
      <c r="AA46" s="484" t="s">
        <v>1113</v>
      </c>
      <c r="AB46" s="484">
        <v>0</v>
      </c>
      <c r="AC46" s="484">
        <v>0</v>
      </c>
      <c r="AD46" s="484">
        <v>0</v>
      </c>
      <c r="AE46" s="484">
        <v>0</v>
      </c>
      <c r="AF46" s="484">
        <v>0</v>
      </c>
      <c r="AG46" s="484">
        <v>1</v>
      </c>
      <c r="AH46" s="484">
        <v>70095</v>
      </c>
      <c r="AI46" s="484">
        <v>2120</v>
      </c>
      <c r="AJ46" s="484">
        <v>0</v>
      </c>
      <c r="AK46" s="484">
        <v>0</v>
      </c>
      <c r="AN46" s="524"/>
      <c r="AO46" s="524"/>
      <c r="AP46" s="484" t="str">
        <f t="shared" si="0"/>
        <v/>
      </c>
    </row>
    <row r="47" spans="2:42">
      <c r="B47" s="484" t="s">
        <v>1104</v>
      </c>
      <c r="C47" s="521">
        <v>42400</v>
      </c>
      <c r="D47" s="522">
        <v>87.94</v>
      </c>
      <c r="E47" s="523" t="s">
        <v>1105</v>
      </c>
      <c r="F47" s="484" t="s">
        <v>1190</v>
      </c>
      <c r="G47" s="524" t="s">
        <v>1107</v>
      </c>
      <c r="H47" s="484" t="s">
        <v>1191</v>
      </c>
      <c r="I47" s="484" t="s">
        <v>1109</v>
      </c>
      <c r="J47" s="484" t="s">
        <v>1110</v>
      </c>
      <c r="K47" s="488"/>
      <c r="L47" s="488"/>
      <c r="M47" s="488" t="s">
        <v>1192</v>
      </c>
      <c r="N47" s="509"/>
      <c r="O47" s="488"/>
      <c r="P47" s="488"/>
      <c r="T47" s="484" t="s">
        <v>1193</v>
      </c>
      <c r="U47" s="484" t="s">
        <v>1193</v>
      </c>
      <c r="W47" s="521">
        <v>42404</v>
      </c>
      <c r="X47" s="521">
        <v>42404</v>
      </c>
      <c r="Z47" s="521"/>
      <c r="AA47" s="484" t="s">
        <v>1113</v>
      </c>
      <c r="AB47" s="484">
        <v>0</v>
      </c>
      <c r="AC47" s="484">
        <v>0</v>
      </c>
      <c r="AD47" s="484">
        <v>0</v>
      </c>
      <c r="AE47" s="484">
        <v>0</v>
      </c>
      <c r="AF47" s="484">
        <v>0</v>
      </c>
      <c r="AG47" s="484">
        <v>1</v>
      </c>
      <c r="AH47" s="484">
        <v>70095</v>
      </c>
      <c r="AI47" s="484">
        <v>2120</v>
      </c>
      <c r="AJ47" s="484">
        <v>0</v>
      </c>
      <c r="AK47" s="484">
        <v>0</v>
      </c>
      <c r="AN47" s="524"/>
      <c r="AO47" s="524"/>
      <c r="AP47" s="484" t="str">
        <f t="shared" si="0"/>
        <v/>
      </c>
    </row>
    <row r="48" spans="2:42">
      <c r="B48" s="484" t="s">
        <v>1104</v>
      </c>
      <c r="C48" s="521">
        <v>42412</v>
      </c>
      <c r="D48" s="522">
        <v>21.23</v>
      </c>
      <c r="E48" s="523" t="s">
        <v>1105</v>
      </c>
      <c r="F48" s="484" t="s">
        <v>1195</v>
      </c>
      <c r="G48" s="524" t="s">
        <v>1107</v>
      </c>
      <c r="H48" s="484" t="s">
        <v>1120</v>
      </c>
      <c r="I48" s="484" t="s">
        <v>1109</v>
      </c>
      <c r="J48" s="484" t="s">
        <v>1110</v>
      </c>
      <c r="K48" s="488" t="s">
        <v>1122</v>
      </c>
      <c r="L48" s="488"/>
      <c r="M48" s="488" t="s">
        <v>1123</v>
      </c>
      <c r="N48" s="509">
        <v>42394</v>
      </c>
      <c r="O48" s="488"/>
      <c r="P48" s="525">
        <v>42370</v>
      </c>
      <c r="T48" s="484" t="s">
        <v>1196</v>
      </c>
      <c r="U48" s="484" t="s">
        <v>1197</v>
      </c>
      <c r="V48" s="484">
        <v>2120</v>
      </c>
      <c r="W48" s="521">
        <v>42412</v>
      </c>
      <c r="X48" s="521">
        <v>42415</v>
      </c>
      <c r="Y48" s="484">
        <v>181.8</v>
      </c>
      <c r="Z48" s="521">
        <v>42395</v>
      </c>
      <c r="AA48" s="484" t="s">
        <v>1113</v>
      </c>
      <c r="AB48" s="484">
        <v>0</v>
      </c>
      <c r="AC48" s="484">
        <v>0</v>
      </c>
      <c r="AD48" s="484">
        <v>0</v>
      </c>
      <c r="AE48" s="484">
        <v>0</v>
      </c>
      <c r="AF48" s="484">
        <v>0</v>
      </c>
      <c r="AG48" s="484">
        <v>1</v>
      </c>
      <c r="AH48" s="484">
        <v>70095</v>
      </c>
      <c r="AI48" s="484">
        <v>2120</v>
      </c>
      <c r="AJ48" s="484">
        <v>0</v>
      </c>
      <c r="AK48" s="484">
        <v>0</v>
      </c>
      <c r="AN48" s="524"/>
      <c r="AO48" s="524"/>
      <c r="AP48" s="484" t="str">
        <f t="shared" si="0"/>
        <v>VO03881604</v>
      </c>
    </row>
    <row r="49" spans="2:42">
      <c r="B49" s="484" t="s">
        <v>1104</v>
      </c>
      <c r="C49" s="521">
        <v>42412</v>
      </c>
      <c r="D49" s="522">
        <v>87.94</v>
      </c>
      <c r="E49" s="523" t="s">
        <v>1105</v>
      </c>
      <c r="F49" s="484" t="s">
        <v>1195</v>
      </c>
      <c r="G49" s="524" t="s">
        <v>1107</v>
      </c>
      <c r="H49" s="484" t="s">
        <v>1120</v>
      </c>
      <c r="I49" s="484" t="s">
        <v>1109</v>
      </c>
      <c r="J49" s="484" t="s">
        <v>1110</v>
      </c>
      <c r="K49" s="488" t="s">
        <v>1122</v>
      </c>
      <c r="L49" s="488"/>
      <c r="M49" s="488" t="s">
        <v>1123</v>
      </c>
      <c r="N49" s="509">
        <v>42394</v>
      </c>
      <c r="O49" s="488"/>
      <c r="P49" s="525">
        <v>42370</v>
      </c>
      <c r="T49" s="484" t="s">
        <v>1196</v>
      </c>
      <c r="U49" s="484" t="s">
        <v>1197</v>
      </c>
      <c r="V49" s="484">
        <v>2120</v>
      </c>
      <c r="W49" s="521">
        <v>42412</v>
      </c>
      <c r="X49" s="521">
        <v>42415</v>
      </c>
      <c r="Y49" s="484">
        <v>181.8</v>
      </c>
      <c r="Z49" s="521">
        <v>42395</v>
      </c>
      <c r="AA49" s="484" t="s">
        <v>1113</v>
      </c>
      <c r="AB49" s="484">
        <v>0</v>
      </c>
      <c r="AC49" s="484">
        <v>0</v>
      </c>
      <c r="AD49" s="484">
        <v>0</v>
      </c>
      <c r="AE49" s="484">
        <v>0</v>
      </c>
      <c r="AF49" s="484">
        <v>0</v>
      </c>
      <c r="AG49" s="484">
        <v>1</v>
      </c>
      <c r="AH49" s="484">
        <v>70095</v>
      </c>
      <c r="AI49" s="484">
        <v>2120</v>
      </c>
      <c r="AJ49" s="484">
        <v>0</v>
      </c>
      <c r="AK49" s="484">
        <v>0</v>
      </c>
      <c r="AN49" s="524"/>
      <c r="AO49" s="524"/>
      <c r="AP49" s="484" t="str">
        <f t="shared" si="0"/>
        <v>VO03881604</v>
      </c>
    </row>
    <row r="50" spans="2:42">
      <c r="B50" s="484" t="s">
        <v>1104</v>
      </c>
      <c r="C50" s="521">
        <v>42429</v>
      </c>
      <c r="D50" s="522">
        <v>-42</v>
      </c>
      <c r="E50" s="523" t="s">
        <v>1105</v>
      </c>
      <c r="F50" s="484" t="s">
        <v>1198</v>
      </c>
      <c r="G50" s="524" t="s">
        <v>1107</v>
      </c>
      <c r="H50" s="484" t="s">
        <v>1191</v>
      </c>
      <c r="I50" s="484" t="s">
        <v>1116</v>
      </c>
      <c r="J50" s="484" t="s">
        <v>1110</v>
      </c>
      <c r="K50" s="488"/>
      <c r="L50" s="488"/>
      <c r="M50" s="488" t="s">
        <v>1192</v>
      </c>
      <c r="N50" s="509"/>
      <c r="O50" s="488"/>
      <c r="P50" s="488"/>
      <c r="T50" s="484" t="s">
        <v>1193</v>
      </c>
      <c r="U50" s="484" t="s">
        <v>1199</v>
      </c>
      <c r="W50" s="521">
        <v>42404</v>
      </c>
      <c r="X50" s="521">
        <v>42404</v>
      </c>
      <c r="Z50" s="521"/>
      <c r="AA50" s="484" t="s">
        <v>1113</v>
      </c>
      <c r="AB50" s="484">
        <v>0</v>
      </c>
      <c r="AC50" s="484">
        <v>0</v>
      </c>
      <c r="AD50" s="484">
        <v>0</v>
      </c>
      <c r="AE50" s="484">
        <v>0</v>
      </c>
      <c r="AF50" s="484">
        <v>5</v>
      </c>
      <c r="AG50" s="484">
        <v>1</v>
      </c>
      <c r="AH50" s="484">
        <v>70095</v>
      </c>
      <c r="AI50" s="484">
        <v>2120</v>
      </c>
      <c r="AJ50" s="484">
        <v>0</v>
      </c>
      <c r="AK50" s="484">
        <v>0</v>
      </c>
      <c r="AN50" s="524"/>
      <c r="AO50" s="524"/>
      <c r="AP50" s="484" t="str">
        <f t="shared" si="0"/>
        <v/>
      </c>
    </row>
    <row r="51" spans="2:42">
      <c r="B51" s="484" t="s">
        <v>1104</v>
      </c>
      <c r="C51" s="521">
        <v>42429</v>
      </c>
      <c r="D51" s="522">
        <v>-21.23</v>
      </c>
      <c r="E51" s="523" t="s">
        <v>1105</v>
      </c>
      <c r="F51" s="484" t="s">
        <v>1198</v>
      </c>
      <c r="G51" s="524" t="s">
        <v>1107</v>
      </c>
      <c r="H51" s="484" t="s">
        <v>1191</v>
      </c>
      <c r="I51" s="484" t="s">
        <v>1116</v>
      </c>
      <c r="J51" s="484" t="s">
        <v>1110</v>
      </c>
      <c r="K51" s="488"/>
      <c r="L51" s="488"/>
      <c r="M51" s="488" t="s">
        <v>1194</v>
      </c>
      <c r="N51" s="509"/>
      <c r="O51" s="488"/>
      <c r="P51" s="488"/>
      <c r="T51" s="484" t="s">
        <v>1193</v>
      </c>
      <c r="U51" s="484" t="s">
        <v>1199</v>
      </c>
      <c r="W51" s="521">
        <v>42404</v>
      </c>
      <c r="X51" s="521">
        <v>42404</v>
      </c>
      <c r="Z51" s="521"/>
      <c r="AA51" s="484" t="s">
        <v>1113</v>
      </c>
      <c r="AB51" s="484">
        <v>0</v>
      </c>
      <c r="AC51" s="484">
        <v>0</v>
      </c>
      <c r="AD51" s="484">
        <v>0</v>
      </c>
      <c r="AE51" s="484">
        <v>0</v>
      </c>
      <c r="AF51" s="484">
        <v>5</v>
      </c>
      <c r="AG51" s="484">
        <v>1</v>
      </c>
      <c r="AH51" s="484">
        <v>70095</v>
      </c>
      <c r="AI51" s="484">
        <v>2120</v>
      </c>
      <c r="AJ51" s="484">
        <v>0</v>
      </c>
      <c r="AK51" s="484">
        <v>0</v>
      </c>
      <c r="AN51" s="524"/>
      <c r="AO51" s="524"/>
      <c r="AP51" s="484" t="str">
        <f t="shared" si="0"/>
        <v/>
      </c>
    </row>
    <row r="52" spans="2:42">
      <c r="B52" s="484" t="s">
        <v>1104</v>
      </c>
      <c r="C52" s="521">
        <v>42429</v>
      </c>
      <c r="D52" s="522">
        <v>-87.94</v>
      </c>
      <c r="E52" s="523" t="s">
        <v>1105</v>
      </c>
      <c r="F52" s="484" t="s">
        <v>1198</v>
      </c>
      <c r="G52" s="524" t="s">
        <v>1107</v>
      </c>
      <c r="H52" s="484" t="s">
        <v>1191</v>
      </c>
      <c r="I52" s="484" t="s">
        <v>1116</v>
      </c>
      <c r="J52" s="484" t="s">
        <v>1110</v>
      </c>
      <c r="K52" s="488"/>
      <c r="L52" s="488"/>
      <c r="M52" s="488" t="s">
        <v>1192</v>
      </c>
      <c r="N52" s="509"/>
      <c r="O52" s="488"/>
      <c r="P52" s="488"/>
      <c r="T52" s="484" t="s">
        <v>1193</v>
      </c>
      <c r="U52" s="484" t="s">
        <v>1199</v>
      </c>
      <c r="W52" s="521">
        <v>42404</v>
      </c>
      <c r="X52" s="521">
        <v>42404</v>
      </c>
      <c r="Z52" s="521"/>
      <c r="AA52" s="484" t="s">
        <v>1113</v>
      </c>
      <c r="AB52" s="484">
        <v>0</v>
      </c>
      <c r="AC52" s="484">
        <v>0</v>
      </c>
      <c r="AD52" s="484">
        <v>0</v>
      </c>
      <c r="AE52" s="484">
        <v>0</v>
      </c>
      <c r="AF52" s="484">
        <v>5</v>
      </c>
      <c r="AG52" s="484">
        <v>1</v>
      </c>
      <c r="AH52" s="484">
        <v>70095</v>
      </c>
      <c r="AI52" s="484">
        <v>2120</v>
      </c>
      <c r="AJ52" s="484">
        <v>0</v>
      </c>
      <c r="AK52" s="484">
        <v>0</v>
      </c>
      <c r="AN52" s="524"/>
      <c r="AO52" s="524"/>
      <c r="AP52" s="484" t="str">
        <f t="shared" si="0"/>
        <v/>
      </c>
    </row>
    <row r="53" spans="2:42">
      <c r="B53" s="484" t="s">
        <v>1104</v>
      </c>
      <c r="C53" s="521">
        <v>42429</v>
      </c>
      <c r="D53" s="522">
        <v>134.68</v>
      </c>
      <c r="E53" s="523" t="s">
        <v>1105</v>
      </c>
      <c r="F53" s="484" t="s">
        <v>1200</v>
      </c>
      <c r="G53" s="524" t="s">
        <v>1107</v>
      </c>
      <c r="H53" s="484" t="s">
        <v>1201</v>
      </c>
      <c r="I53" s="484" t="s">
        <v>1116</v>
      </c>
      <c r="J53" s="484" t="s">
        <v>1110</v>
      </c>
      <c r="K53" s="488"/>
      <c r="L53" s="488"/>
      <c r="M53" s="488" t="s">
        <v>1202</v>
      </c>
      <c r="N53" s="509"/>
      <c r="O53" s="488"/>
      <c r="P53" s="488"/>
      <c r="T53" s="484" t="s">
        <v>1203</v>
      </c>
      <c r="U53" s="484" t="s">
        <v>1203</v>
      </c>
      <c r="W53" s="521">
        <v>42431</v>
      </c>
      <c r="X53" s="521">
        <v>42432</v>
      </c>
      <c r="Z53" s="521"/>
      <c r="AA53" s="484" t="s">
        <v>1113</v>
      </c>
      <c r="AB53" s="484">
        <v>0</v>
      </c>
      <c r="AC53" s="484">
        <v>0</v>
      </c>
      <c r="AD53" s="484">
        <v>0</v>
      </c>
      <c r="AE53" s="484">
        <v>0</v>
      </c>
      <c r="AF53" s="484">
        <v>0</v>
      </c>
      <c r="AG53" s="484">
        <v>1</v>
      </c>
      <c r="AH53" s="484">
        <v>70095</v>
      </c>
      <c r="AI53" s="484">
        <v>2120</v>
      </c>
      <c r="AJ53" s="484">
        <v>0</v>
      </c>
      <c r="AK53" s="484">
        <v>0</v>
      </c>
      <c r="AN53" s="524"/>
      <c r="AO53" s="524"/>
      <c r="AP53" s="484" t="str">
        <f t="shared" si="0"/>
        <v/>
      </c>
    </row>
    <row r="54" spans="2:42">
      <c r="B54" s="484" t="s">
        <v>1104</v>
      </c>
      <c r="C54" s="521">
        <v>42459</v>
      </c>
      <c r="D54" s="522">
        <v>40</v>
      </c>
      <c r="E54" s="523" t="s">
        <v>1105</v>
      </c>
      <c r="F54" s="484" t="s">
        <v>1204</v>
      </c>
      <c r="G54" s="524" t="s">
        <v>1107</v>
      </c>
      <c r="H54" s="484" t="s">
        <v>1120</v>
      </c>
      <c r="I54" s="484" t="s">
        <v>1205</v>
      </c>
      <c r="J54" s="484" t="s">
        <v>1110</v>
      </c>
      <c r="K54" s="488" t="s">
        <v>1206</v>
      </c>
      <c r="L54" s="488"/>
      <c r="M54" s="488" t="s">
        <v>1207</v>
      </c>
      <c r="N54" s="509">
        <v>42454</v>
      </c>
      <c r="O54" s="488" t="s">
        <v>1208</v>
      </c>
      <c r="P54" s="488" t="s">
        <v>1209</v>
      </c>
      <c r="Q54" s="484" t="s">
        <v>1210</v>
      </c>
      <c r="T54" s="484" t="s">
        <v>1211</v>
      </c>
      <c r="U54" s="484" t="s">
        <v>1212</v>
      </c>
      <c r="V54" s="484">
        <v>2195</v>
      </c>
      <c r="W54" s="521">
        <v>42459</v>
      </c>
      <c r="X54" s="521">
        <v>42459</v>
      </c>
      <c r="Y54" s="484">
        <v>40</v>
      </c>
      <c r="Z54" s="521">
        <v>42519</v>
      </c>
      <c r="AA54" s="484" t="s">
        <v>1113</v>
      </c>
      <c r="AB54" s="484">
        <v>0</v>
      </c>
      <c r="AC54" s="484">
        <v>0</v>
      </c>
      <c r="AD54" s="484">
        <v>0</v>
      </c>
      <c r="AE54" s="484">
        <v>0</v>
      </c>
      <c r="AF54" s="484">
        <v>0</v>
      </c>
      <c r="AG54" s="484">
        <v>1</v>
      </c>
      <c r="AH54" s="484">
        <v>70095</v>
      </c>
      <c r="AI54" s="484">
        <v>2120</v>
      </c>
      <c r="AJ54" s="484">
        <v>0</v>
      </c>
      <c r="AK54" s="484">
        <v>0</v>
      </c>
      <c r="AN54" s="524"/>
      <c r="AO54" s="524"/>
      <c r="AP54" s="484" t="str">
        <f t="shared" si="0"/>
        <v>VO03910598</v>
      </c>
    </row>
    <row r="55" spans="2:42">
      <c r="B55" s="484" t="s">
        <v>1104</v>
      </c>
      <c r="C55" s="521">
        <v>42460</v>
      </c>
      <c r="D55" s="522">
        <v>50.58</v>
      </c>
      <c r="E55" s="523" t="s">
        <v>1105</v>
      </c>
      <c r="F55" s="484" t="s">
        <v>1213</v>
      </c>
      <c r="G55" s="524" t="s">
        <v>1107</v>
      </c>
      <c r="H55" s="484" t="s">
        <v>1120</v>
      </c>
      <c r="I55" s="484" t="s">
        <v>1205</v>
      </c>
      <c r="J55" s="484" t="s">
        <v>1110</v>
      </c>
      <c r="K55" s="488" t="s">
        <v>1122</v>
      </c>
      <c r="L55" s="488"/>
      <c r="M55" s="488" t="s">
        <v>1123</v>
      </c>
      <c r="N55" s="509">
        <v>42454</v>
      </c>
      <c r="O55" s="488"/>
      <c r="P55" s="525">
        <v>42430</v>
      </c>
      <c r="T55" s="484" t="s">
        <v>1214</v>
      </c>
      <c r="U55" s="484" t="s">
        <v>1215</v>
      </c>
      <c r="V55" s="484">
        <v>2120</v>
      </c>
      <c r="W55" s="521">
        <v>42464</v>
      </c>
      <c r="X55" s="521">
        <v>42464</v>
      </c>
      <c r="Y55" s="484">
        <v>324.95</v>
      </c>
      <c r="Z55" s="521">
        <v>42455</v>
      </c>
      <c r="AA55" s="484" t="s">
        <v>1113</v>
      </c>
      <c r="AB55" s="484">
        <v>0</v>
      </c>
      <c r="AC55" s="484">
        <v>0</v>
      </c>
      <c r="AD55" s="484">
        <v>0</v>
      </c>
      <c r="AE55" s="484">
        <v>0</v>
      </c>
      <c r="AF55" s="484">
        <v>0</v>
      </c>
      <c r="AG55" s="484">
        <v>1</v>
      </c>
      <c r="AH55" s="484">
        <v>70095</v>
      </c>
      <c r="AI55" s="484">
        <v>2120</v>
      </c>
      <c r="AJ55" s="484">
        <v>0</v>
      </c>
      <c r="AK55" s="484">
        <v>0</v>
      </c>
      <c r="AN55" s="524"/>
      <c r="AO55" s="524"/>
      <c r="AP55" s="484" t="str">
        <f t="shared" si="0"/>
        <v>VO03914486</v>
      </c>
    </row>
    <row r="56" spans="2:42">
      <c r="B56" s="484" t="s">
        <v>1104</v>
      </c>
      <c r="C56" s="521">
        <v>42460</v>
      </c>
      <c r="D56" s="522">
        <v>24.98</v>
      </c>
      <c r="E56" s="523" t="s">
        <v>1105</v>
      </c>
      <c r="F56" s="484" t="s">
        <v>1213</v>
      </c>
      <c r="G56" s="524" t="s">
        <v>1107</v>
      </c>
      <c r="H56" s="484" t="s">
        <v>1120</v>
      </c>
      <c r="I56" s="484" t="s">
        <v>1205</v>
      </c>
      <c r="J56" s="484" t="s">
        <v>1110</v>
      </c>
      <c r="K56" s="488" t="s">
        <v>1122</v>
      </c>
      <c r="L56" s="488"/>
      <c r="M56" s="488" t="s">
        <v>1123</v>
      </c>
      <c r="N56" s="509">
        <v>42454</v>
      </c>
      <c r="O56" s="488"/>
      <c r="P56" s="525">
        <v>42430</v>
      </c>
      <c r="T56" s="484" t="s">
        <v>1214</v>
      </c>
      <c r="U56" s="484" t="s">
        <v>1215</v>
      </c>
      <c r="V56" s="484">
        <v>2120</v>
      </c>
      <c r="W56" s="521">
        <v>42464</v>
      </c>
      <c r="X56" s="521">
        <v>42464</v>
      </c>
      <c r="Y56" s="484">
        <v>324.95</v>
      </c>
      <c r="Z56" s="521">
        <v>42455</v>
      </c>
      <c r="AA56" s="484" t="s">
        <v>1113</v>
      </c>
      <c r="AB56" s="484">
        <v>0</v>
      </c>
      <c r="AC56" s="484">
        <v>0</v>
      </c>
      <c r="AD56" s="484">
        <v>0</v>
      </c>
      <c r="AE56" s="484">
        <v>0</v>
      </c>
      <c r="AF56" s="484">
        <v>0</v>
      </c>
      <c r="AG56" s="484">
        <v>1</v>
      </c>
      <c r="AH56" s="484">
        <v>70095</v>
      </c>
      <c r="AI56" s="484">
        <v>2120</v>
      </c>
      <c r="AJ56" s="484">
        <v>0</v>
      </c>
      <c r="AK56" s="484">
        <v>0</v>
      </c>
      <c r="AN56" s="524"/>
      <c r="AO56" s="524"/>
      <c r="AP56" s="484" t="str">
        <f t="shared" si="0"/>
        <v>VO03914486</v>
      </c>
    </row>
    <row r="57" spans="2:42">
      <c r="B57" s="484" t="s">
        <v>1104</v>
      </c>
      <c r="C57" s="521">
        <v>42460</v>
      </c>
      <c r="D57" s="522">
        <v>136.07</v>
      </c>
      <c r="E57" s="523" t="s">
        <v>1105</v>
      </c>
      <c r="F57" s="484" t="s">
        <v>1216</v>
      </c>
      <c r="G57" s="524" t="s">
        <v>1107</v>
      </c>
      <c r="H57" s="484" t="s">
        <v>1217</v>
      </c>
      <c r="I57" s="484" t="s">
        <v>1109</v>
      </c>
      <c r="J57" s="484" t="s">
        <v>1110</v>
      </c>
      <c r="K57" s="488"/>
      <c r="L57" s="488"/>
      <c r="M57" s="488" t="s">
        <v>1202</v>
      </c>
      <c r="N57" s="509"/>
      <c r="O57" s="488"/>
      <c r="P57" s="488"/>
      <c r="T57" s="484" t="s">
        <v>1218</v>
      </c>
      <c r="U57" s="484" t="s">
        <v>1218</v>
      </c>
      <c r="W57" s="521">
        <v>42464</v>
      </c>
      <c r="X57" s="521">
        <v>42464</v>
      </c>
      <c r="Z57" s="521"/>
      <c r="AA57" s="484" t="s">
        <v>1113</v>
      </c>
      <c r="AB57" s="484">
        <v>0</v>
      </c>
      <c r="AC57" s="484">
        <v>0</v>
      </c>
      <c r="AD57" s="484">
        <v>0</v>
      </c>
      <c r="AE57" s="484">
        <v>0</v>
      </c>
      <c r="AF57" s="484">
        <v>0</v>
      </c>
      <c r="AG57" s="484">
        <v>1</v>
      </c>
      <c r="AH57" s="484">
        <v>70095</v>
      </c>
      <c r="AI57" s="484">
        <v>2120</v>
      </c>
      <c r="AJ57" s="484">
        <v>0</v>
      </c>
      <c r="AK57" s="484">
        <v>0</v>
      </c>
      <c r="AN57" s="524"/>
      <c r="AO57" s="524"/>
      <c r="AP57" s="484" t="str">
        <f t="shared" si="0"/>
        <v/>
      </c>
    </row>
    <row r="58" spans="2:42">
      <c r="B58" s="484" t="s">
        <v>1104</v>
      </c>
      <c r="C58" s="521">
        <v>42490</v>
      </c>
      <c r="D58" s="522">
        <v>75.73</v>
      </c>
      <c r="E58" s="523" t="s">
        <v>1105</v>
      </c>
      <c r="F58" s="484" t="s">
        <v>1219</v>
      </c>
      <c r="G58" s="524" t="s">
        <v>1107</v>
      </c>
      <c r="H58" s="484" t="s">
        <v>1220</v>
      </c>
      <c r="I58" s="484" t="s">
        <v>1109</v>
      </c>
      <c r="J58" s="484" t="s">
        <v>1110</v>
      </c>
      <c r="K58" s="488"/>
      <c r="L58" s="488"/>
      <c r="M58" s="488" t="s">
        <v>1221</v>
      </c>
      <c r="N58" s="509"/>
      <c r="O58" s="488"/>
      <c r="P58" s="488"/>
      <c r="T58" s="484" t="s">
        <v>1222</v>
      </c>
      <c r="U58" s="484" t="s">
        <v>1222</v>
      </c>
      <c r="W58" s="521">
        <v>42493</v>
      </c>
      <c r="X58" s="521">
        <v>42493</v>
      </c>
      <c r="Z58" s="521"/>
      <c r="AA58" s="484" t="s">
        <v>1113</v>
      </c>
      <c r="AB58" s="484">
        <v>0</v>
      </c>
      <c r="AC58" s="484">
        <v>0</v>
      </c>
      <c r="AD58" s="484">
        <v>0</v>
      </c>
      <c r="AE58" s="484">
        <v>0</v>
      </c>
      <c r="AF58" s="484">
        <v>0</v>
      </c>
      <c r="AG58" s="484">
        <v>1</v>
      </c>
      <c r="AH58" s="484">
        <v>70095</v>
      </c>
      <c r="AI58" s="484">
        <v>2120</v>
      </c>
      <c r="AJ58" s="484">
        <v>0</v>
      </c>
      <c r="AK58" s="484">
        <v>0</v>
      </c>
      <c r="AN58" s="524"/>
      <c r="AO58" s="524"/>
      <c r="AP58" s="484" t="str">
        <f t="shared" si="0"/>
        <v/>
      </c>
    </row>
    <row r="59" spans="2:42">
      <c r="B59" s="484" t="s">
        <v>1104</v>
      </c>
      <c r="C59" s="521">
        <v>42551</v>
      </c>
      <c r="D59" s="522">
        <v>146.26</v>
      </c>
      <c r="E59" s="523" t="s">
        <v>1105</v>
      </c>
      <c r="F59" s="484" t="s">
        <v>1223</v>
      </c>
      <c r="G59" s="524" t="s">
        <v>1107</v>
      </c>
      <c r="H59" s="484" t="s">
        <v>1224</v>
      </c>
      <c r="I59" s="484" t="s">
        <v>1109</v>
      </c>
      <c r="J59" s="484" t="s">
        <v>1110</v>
      </c>
      <c r="K59" s="488"/>
      <c r="L59" s="488"/>
      <c r="M59" s="488" t="s">
        <v>1179</v>
      </c>
      <c r="N59" s="509"/>
      <c r="O59" s="488"/>
      <c r="P59" s="488"/>
      <c r="T59" s="484" t="s">
        <v>1225</v>
      </c>
      <c r="U59" s="484" t="s">
        <v>1225</v>
      </c>
      <c r="W59" s="521">
        <v>42556</v>
      </c>
      <c r="X59" s="521">
        <v>42556</v>
      </c>
      <c r="Z59" s="521"/>
      <c r="AA59" s="484" t="s">
        <v>1113</v>
      </c>
      <c r="AB59" s="484">
        <v>0</v>
      </c>
      <c r="AC59" s="484">
        <v>0</v>
      </c>
      <c r="AD59" s="484">
        <v>0</v>
      </c>
      <c r="AE59" s="484">
        <v>0</v>
      </c>
      <c r="AF59" s="484">
        <v>0</v>
      </c>
      <c r="AG59" s="484">
        <v>1</v>
      </c>
      <c r="AH59" s="484">
        <v>70095</v>
      </c>
      <c r="AI59" s="484">
        <v>2120</v>
      </c>
      <c r="AJ59" s="484">
        <v>0</v>
      </c>
      <c r="AK59" s="484">
        <v>0</v>
      </c>
      <c r="AN59" s="524"/>
      <c r="AO59" s="524"/>
      <c r="AP59" s="484" t="str">
        <f t="shared" si="0"/>
        <v/>
      </c>
    </row>
    <row r="60" spans="2:42">
      <c r="C60" s="521"/>
      <c r="D60" s="526"/>
      <c r="E60" s="526"/>
      <c r="G60" s="487"/>
    </row>
    <row r="61" spans="2:42">
      <c r="B61" s="527" t="s">
        <v>1226</v>
      </c>
      <c r="C61" s="527"/>
      <c r="D61" s="528"/>
      <c r="E61" s="528"/>
      <c r="F61" s="527"/>
      <c r="G61" s="529"/>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30"/>
    </row>
    <row r="62" spans="2:42">
      <c r="G62" s="487"/>
    </row>
    <row r="63" spans="2:42">
      <c r="E63" s="484" t="s">
        <v>1227</v>
      </c>
      <c r="F63" s="484" t="s">
        <v>1228</v>
      </c>
    </row>
    <row r="64" spans="2:42">
      <c r="E64" s="488" t="s">
        <v>1194</v>
      </c>
      <c r="F64" s="531">
        <v>0</v>
      </c>
    </row>
    <row r="65" spans="2:7">
      <c r="E65" s="488" t="s">
        <v>1192</v>
      </c>
      <c r="F65" s="531">
        <v>0</v>
      </c>
    </row>
    <row r="66" spans="2:7">
      <c r="E66" s="488" t="s">
        <v>1123</v>
      </c>
      <c r="F66" s="531">
        <v>316.41000000000003</v>
      </c>
    </row>
    <row r="67" spans="2:7">
      <c r="E67" s="488" t="s">
        <v>1184</v>
      </c>
      <c r="F67" s="531">
        <v>2.0699999999999998</v>
      </c>
    </row>
    <row r="68" spans="2:7">
      <c r="E68" s="488" t="s">
        <v>1181</v>
      </c>
      <c r="F68" s="531">
        <v>26.54</v>
      </c>
    </row>
    <row r="69" spans="2:7">
      <c r="E69" s="488" t="s">
        <v>1207</v>
      </c>
      <c r="F69" s="531">
        <v>40</v>
      </c>
      <c r="G69" s="485" t="s">
        <v>1229</v>
      </c>
    </row>
    <row r="70" spans="2:7">
      <c r="E70" s="488" t="s">
        <v>1111</v>
      </c>
      <c r="F70" s="531">
        <v>6</v>
      </c>
    </row>
    <row r="71" spans="2:7">
      <c r="E71" s="488" t="s">
        <v>1117</v>
      </c>
      <c r="F71" s="531">
        <v>12</v>
      </c>
    </row>
    <row r="72" spans="2:7">
      <c r="E72" s="488" t="s">
        <v>1146</v>
      </c>
      <c r="F72" s="531">
        <v>24</v>
      </c>
    </row>
    <row r="73" spans="2:7">
      <c r="E73" s="488" t="s">
        <v>1154</v>
      </c>
      <c r="F73" s="531">
        <v>6</v>
      </c>
    </row>
    <row r="74" spans="2:7">
      <c r="E74" s="488" t="s">
        <v>1158</v>
      </c>
      <c r="F74" s="531">
        <v>12</v>
      </c>
    </row>
    <row r="75" spans="2:7">
      <c r="E75" s="488" t="s">
        <v>1173</v>
      </c>
      <c r="F75" s="531">
        <v>6</v>
      </c>
    </row>
    <row r="76" spans="2:7">
      <c r="E76" s="488" t="s">
        <v>1166</v>
      </c>
      <c r="F76" s="531">
        <v>0</v>
      </c>
    </row>
    <row r="77" spans="2:7">
      <c r="E77" s="488" t="s">
        <v>1134</v>
      </c>
      <c r="F77" s="531">
        <v>0</v>
      </c>
    </row>
    <row r="78" spans="2:7">
      <c r="E78" s="488" t="s">
        <v>1137</v>
      </c>
      <c r="F78" s="531">
        <v>0</v>
      </c>
    </row>
    <row r="79" spans="2:7">
      <c r="B79" s="532"/>
      <c r="E79" s="488" t="s">
        <v>1139</v>
      </c>
      <c r="F79" s="531">
        <v>0</v>
      </c>
    </row>
    <row r="80" spans="2:7">
      <c r="E80" s="488" t="s">
        <v>1179</v>
      </c>
      <c r="F80" s="531">
        <v>846.26</v>
      </c>
    </row>
    <row r="81" spans="5:7">
      <c r="E81" s="488" t="s">
        <v>1162</v>
      </c>
      <c r="F81" s="531">
        <v>449.96</v>
      </c>
    </row>
    <row r="82" spans="5:7">
      <c r="E82" s="488" t="s">
        <v>1132</v>
      </c>
      <c r="F82" s="531">
        <v>0</v>
      </c>
    </row>
    <row r="83" spans="5:7">
      <c r="E83" s="488" t="s">
        <v>1188</v>
      </c>
      <c r="F83" s="531">
        <v>584.21</v>
      </c>
    </row>
    <row r="84" spans="5:7">
      <c r="E84" s="488" t="s">
        <v>1128</v>
      </c>
      <c r="F84" s="531">
        <v>250</v>
      </c>
      <c r="G84" s="485"/>
    </row>
    <row r="85" spans="5:7">
      <c r="E85" s="488" t="s">
        <v>1202</v>
      </c>
      <c r="F85" s="531">
        <v>270.75</v>
      </c>
    </row>
    <row r="86" spans="5:7">
      <c r="E86" s="488" t="s">
        <v>1221</v>
      </c>
      <c r="F86" s="531">
        <v>75.73</v>
      </c>
    </row>
    <row r="87" spans="5:7">
      <c r="E87" s="488" t="s">
        <v>1230</v>
      </c>
      <c r="F87" s="531">
        <v>2927.93</v>
      </c>
    </row>
    <row r="89" spans="5:7">
      <c r="E89" s="533" t="s">
        <v>1231</v>
      </c>
      <c r="F89" s="534">
        <f>GETPIVOTDATA("Amount USD",$E$63,"Further Description","COLFAX ROTARY CLUB")</f>
        <v>40</v>
      </c>
    </row>
  </sheetData>
  <dataValidations count="1">
    <dataValidation type="list" allowBlank="1" showInputMessage="1" showErrorMessage="1" sqref="O15">
      <formula1>"All,Posted/Unposted,Posted,Unposted,Staged"</formula1>
    </dataValidation>
  </dataValidations>
  <pageMargins left="0.27" right="0.28999999999999998" top="0.37" bottom="0.43" header="0.25" footer="0.25"/>
  <pageSetup scale="50"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87"/>
  <sheetViews>
    <sheetView showGridLines="0" topLeftCell="A9" zoomScale="80" zoomScaleNormal="80" workbookViewId="0">
      <selection activeCell="B9" sqref="B9:M81"/>
    </sheetView>
  </sheetViews>
  <sheetFormatPr defaultRowHeight="12.75" outlineLevelRow="1"/>
  <cols>
    <col min="1" max="1" width="2.7109375" style="484" customWidth="1"/>
    <col min="2" max="2" width="18" style="484" customWidth="1"/>
    <col min="3" max="3" width="12.42578125" style="484" customWidth="1"/>
    <col min="4" max="4" width="18.7109375" style="484" customWidth="1"/>
    <col min="5" max="5" width="47" style="484" customWidth="1"/>
    <col min="6" max="6" width="21.28515625" style="484" customWidth="1"/>
    <col min="7" max="7" width="7.85546875" style="484" customWidth="1"/>
    <col min="8" max="8" width="30.28515625" style="484" customWidth="1"/>
    <col min="9" max="9" width="10.28515625" style="484" customWidth="1"/>
    <col min="10" max="10" width="13.5703125" style="484" customWidth="1"/>
    <col min="11" max="11" width="15.140625" style="484" customWidth="1"/>
    <col min="12" max="12" width="16.42578125" style="484" bestFit="1" customWidth="1"/>
    <col min="13" max="13" width="38.5703125" style="484" customWidth="1"/>
    <col min="14" max="14" width="11.42578125" style="484" customWidth="1"/>
    <col min="15" max="15" width="35.140625" style="484" customWidth="1"/>
    <col min="16" max="16" width="18" style="484" customWidth="1"/>
    <col min="17" max="17" width="14.140625" style="484" customWidth="1"/>
    <col min="18" max="18" width="17.7109375" style="484" customWidth="1"/>
    <col min="19" max="19" width="12.7109375" style="484" customWidth="1"/>
    <col min="20" max="20" width="15.85546875" style="484" customWidth="1"/>
    <col min="21" max="21" width="13.7109375" style="484" bestFit="1" customWidth="1"/>
    <col min="22" max="22" width="13.28515625" style="484" customWidth="1"/>
    <col min="23" max="23" width="12.28515625" style="484" customWidth="1"/>
    <col min="24" max="24" width="11.5703125" style="484" customWidth="1"/>
    <col min="25" max="25" width="9.85546875" style="484" customWidth="1"/>
    <col min="26" max="26" width="11.42578125" style="484" customWidth="1"/>
    <col min="27" max="27" width="11" style="484" customWidth="1"/>
    <col min="28" max="28" width="11.5703125" style="484" customWidth="1"/>
    <col min="29" max="29" width="7" style="484" customWidth="1"/>
    <col min="30" max="30" width="11.140625" style="484" customWidth="1"/>
    <col min="31" max="31" width="11" style="484" customWidth="1"/>
    <col min="32" max="32" width="8.5703125" style="484" customWidth="1"/>
    <col min="33" max="33" width="8.42578125" style="484" customWidth="1"/>
    <col min="34" max="35" width="10.28515625" style="484" customWidth="1"/>
    <col min="36" max="36" width="10.140625" style="484" customWidth="1"/>
    <col min="37" max="37" width="10.42578125" style="484" customWidth="1"/>
    <col min="38" max="38" width="21.140625" style="484" customWidth="1"/>
    <col min="39" max="41" width="18.85546875" style="484" customWidth="1"/>
    <col min="42" max="42" width="20.42578125" style="484" customWidth="1"/>
    <col min="43" max="45" width="9.140625" style="484" customWidth="1"/>
    <col min="46" max="16384" width="9.140625" style="484"/>
  </cols>
  <sheetData>
    <row r="1" spans="1:42" hidden="1" outlineLevel="1">
      <c r="A1" s="483" t="b">
        <v>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2" hidden="1" outlineLevel="1">
      <c r="B2" s="484" t="s">
        <v>992</v>
      </c>
      <c r="C2" s="484" t="s">
        <v>993</v>
      </c>
      <c r="D2" s="485" t="s">
        <v>994</v>
      </c>
      <c r="E2" s="485" t="s">
        <v>996</v>
      </c>
      <c r="F2" s="484" t="s">
        <v>997</v>
      </c>
      <c r="G2" s="484" t="s">
        <v>998</v>
      </c>
      <c r="H2" s="484" t="s">
        <v>999</v>
      </c>
      <c r="I2" s="484" t="s">
        <v>1000</v>
      </c>
      <c r="J2" s="484" t="s">
        <v>1001</v>
      </c>
      <c r="K2" s="484" t="s">
        <v>1002</v>
      </c>
      <c r="L2" s="484" t="s">
        <v>1003</v>
      </c>
      <c r="M2" s="484" t="s">
        <v>1004</v>
      </c>
      <c r="N2" s="484" t="s">
        <v>1005</v>
      </c>
      <c r="O2" s="484" t="s">
        <v>1006</v>
      </c>
      <c r="P2" s="484" t="s">
        <v>1007</v>
      </c>
      <c r="Q2" s="484" t="s">
        <v>1008</v>
      </c>
      <c r="R2" s="484" t="s">
        <v>1009</v>
      </c>
      <c r="S2" s="484" t="s">
        <v>1010</v>
      </c>
      <c r="T2" s="484" t="s">
        <v>1011</v>
      </c>
      <c r="U2" s="484" t="s">
        <v>1012</v>
      </c>
      <c r="V2" s="484" t="s">
        <v>1013</v>
      </c>
      <c r="W2" s="484" t="s">
        <v>1014</v>
      </c>
      <c r="X2" s="484" t="s">
        <v>1015</v>
      </c>
      <c r="Y2" s="484" t="s">
        <v>1016</v>
      </c>
      <c r="Z2" s="484" t="s">
        <v>1017</v>
      </c>
      <c r="AA2" s="484" t="s">
        <v>1018</v>
      </c>
      <c r="AB2" s="484" t="s">
        <v>1019</v>
      </c>
      <c r="AC2" s="484" t="s">
        <v>1020</v>
      </c>
      <c r="AD2" s="484" t="s">
        <v>1021</v>
      </c>
      <c r="AE2" s="484" t="s">
        <v>1022</v>
      </c>
      <c r="AF2" s="484" t="s">
        <v>1023</v>
      </c>
      <c r="AG2" s="484" t="s">
        <v>1024</v>
      </c>
      <c r="AH2" s="484" t="s">
        <v>1025</v>
      </c>
      <c r="AI2" s="484" t="s">
        <v>1026</v>
      </c>
      <c r="AJ2" s="484" t="s">
        <v>1027</v>
      </c>
      <c r="AK2" s="484" t="s">
        <v>1028</v>
      </c>
      <c r="AL2" s="484" t="s">
        <v>1029</v>
      </c>
      <c r="AM2" s="484" t="s">
        <v>1030</v>
      </c>
      <c r="AN2" s="484" t="s">
        <v>1031</v>
      </c>
      <c r="AO2" s="484" t="s">
        <v>1032</v>
      </c>
      <c r="AP2" s="485"/>
    </row>
    <row r="3" spans="1:42" hidden="1" outlineLevel="1">
      <c r="A3" s="483" t="s">
        <v>1033</v>
      </c>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row>
    <row r="4" spans="1:42" hidden="1" outlineLevel="1">
      <c r="P4" s="484" t="str">
        <f ca="1">_xll.ReportDrill('[39]JE Lookup'!B1,,_xll.PairGroup(_xll.Pair(F20:F59,'[39]JE Lookup'!N8),_xll.Pair(AA20:AA59,'[39]JE Lookup'!N7)),"JE Lookup")</f>
        <v>OK!: ReportDrill 'JE Lookup' Formula OK [jAction{}]</v>
      </c>
      <c r="T4" s="484" t="str">
        <f ca="1">_xll.ReportDrill(,"APDrill",_xll.PairGroup(_xll.PairExt(AP20:AP59,"H8")),"AP Detail")</f>
        <v>OK!: ReportDrill 'AP Detail' Formula OK [jAction{}]</v>
      </c>
      <c r="X4" s="484" t="str">
        <f ca="1">_xll.ReportDrill(,"JEStaged_DrillToDetail",_xll.PairGroup(_xll.PairExt(P19:P59,"dControlNum",TRUE),_xll.PairExt(AO19:AO59,"dDistrict",TRUE),_xll.PairExt(AN19:AN59,"dApplyMonth",TRUE)),"JE Staged Details")</f>
        <v>OK!: ReportDrill 'JE Staged Details' Formula OK [jAction{}]</v>
      </c>
    </row>
    <row r="5" spans="1:42" hidden="1" outlineLevel="1">
      <c r="B5" s="484" t="str">
        <f ca="1">_xll.ReportRange("JEQuery_WithStaged",B20:AQ58,B2:AQ2,,_xll.Param(H12,DateTo,IF(L12="","all",L12),L13,L14,L15,O12,O13,O14,O15,EntrieShownLimit,DateFrom,DateTo),TRUE)</f>
        <v>OK!: ReportRange Formula OK [jAction{}]</v>
      </c>
    </row>
    <row r="6" spans="1:42" hidden="1" outlineLevel="1">
      <c r="B6" s="486" t="s">
        <v>1034</v>
      </c>
      <c r="D6" s="484">
        <v>10000</v>
      </c>
    </row>
    <row r="7" spans="1:42" hidden="1" outlineLevel="1">
      <c r="A7" s="483" t="s">
        <v>1035</v>
      </c>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row>
    <row r="8" spans="1:42" hidden="1" outlineLevel="1">
      <c r="B8" s="487" t="s">
        <v>1036</v>
      </c>
      <c r="C8" s="484" t="str">
        <f>IF(DateFrom="",CurrentMonth,DateFrom)</f>
        <v>2015-06</v>
      </c>
      <c r="F8" s="484" t="str">
        <f>IF(DateTo="",CurrentMonth,DateTo)</f>
        <v>2016-07</v>
      </c>
      <c r="H8" s="487" t="s">
        <v>1038</v>
      </c>
      <c r="I8" s="488" t="str">
        <f ca="1">TEXT(NOW() - 15,"yyyy-mm")</f>
        <v>2016-07</v>
      </c>
    </row>
    <row r="9" spans="1:42" ht="18" collapsed="1">
      <c r="B9" s="489" t="s">
        <v>1039</v>
      </c>
      <c r="F9" s="490" t="s">
        <v>1040</v>
      </c>
      <c r="O9" s="491"/>
      <c r="T9" s="486"/>
    </row>
    <row r="10" spans="1:42" ht="14.25">
      <c r="B10" s="485" t="s">
        <v>1041</v>
      </c>
      <c r="F10" s="492"/>
      <c r="O10" s="491"/>
      <c r="T10" s="486"/>
    </row>
    <row r="11" spans="1:42">
      <c r="F11" s="493" t="s">
        <v>1042</v>
      </c>
      <c r="G11" s="494"/>
      <c r="H11" s="495"/>
      <c r="K11" s="494" t="s">
        <v>1043</v>
      </c>
      <c r="L11" s="494"/>
      <c r="M11" s="494"/>
      <c r="N11" s="494"/>
      <c r="O11" s="494"/>
      <c r="T11" s="485"/>
    </row>
    <row r="12" spans="1:42" s="486" customFormat="1">
      <c r="G12" s="496" t="s">
        <v>1044</v>
      </c>
      <c r="H12" s="497" t="s">
        <v>1045</v>
      </c>
      <c r="J12" s="498"/>
      <c r="K12" s="486" t="s">
        <v>1046</v>
      </c>
      <c r="L12" s="497" t="s">
        <v>1047</v>
      </c>
      <c r="N12" s="496" t="s">
        <v>1048</v>
      </c>
      <c r="O12" s="499"/>
      <c r="Y12" s="484"/>
      <c r="Z12" s="484"/>
      <c r="AA12" s="484"/>
      <c r="AG12" s="484"/>
      <c r="AH12" s="484"/>
      <c r="AI12" s="484"/>
      <c r="AJ12" s="484"/>
      <c r="AK12" s="484"/>
    </row>
    <row r="13" spans="1:42" s="486" customFormat="1">
      <c r="G13" s="496" t="s">
        <v>1049</v>
      </c>
      <c r="H13" s="497" t="s">
        <v>1050</v>
      </c>
      <c r="J13" s="498"/>
      <c r="K13" s="486" t="s">
        <v>1051</v>
      </c>
      <c r="L13" s="497" t="s">
        <v>1232</v>
      </c>
      <c r="M13" s="484"/>
      <c r="N13" s="496" t="s">
        <v>1053</v>
      </c>
      <c r="O13" s="500"/>
      <c r="P13" s="501"/>
      <c r="Y13" s="484"/>
      <c r="Z13" s="484"/>
      <c r="AA13" s="484"/>
      <c r="AG13" s="484"/>
      <c r="AH13" s="484"/>
      <c r="AI13" s="484"/>
      <c r="AJ13" s="484"/>
      <c r="AK13" s="484"/>
    </row>
    <row r="14" spans="1:42">
      <c r="K14" s="486" t="s">
        <v>1054</v>
      </c>
      <c r="L14" s="497" t="s">
        <v>114</v>
      </c>
      <c r="N14" s="496" t="s">
        <v>1055</v>
      </c>
      <c r="O14" s="500"/>
      <c r="P14" s="501"/>
    </row>
    <row r="15" spans="1:42">
      <c r="K15" s="486" t="s">
        <v>1056</v>
      </c>
      <c r="L15" s="497" t="s">
        <v>114</v>
      </c>
      <c r="N15" s="496" t="s">
        <v>1057</v>
      </c>
      <c r="O15" s="502" t="s">
        <v>1058</v>
      </c>
    </row>
    <row r="16" spans="1:42">
      <c r="B16" s="503" t="s">
        <v>1059</v>
      </c>
      <c r="C16" s="504"/>
      <c r="D16" s="505">
        <f>SUM(D19:D59)</f>
        <v>4165.7699999999986</v>
      </c>
      <c r="E16" s="484" t="s">
        <v>1060</v>
      </c>
      <c r="M16" s="506"/>
      <c r="N16" s="506"/>
      <c r="O16" s="506"/>
      <c r="P16" s="506"/>
    </row>
    <row r="17" spans="2:42">
      <c r="B17" s="503" t="s">
        <v>1061</v>
      </c>
      <c r="C17" s="504"/>
      <c r="D17" s="507">
        <f>COUNT(D20:D60)</f>
        <v>38</v>
      </c>
      <c r="E17" s="485" t="s">
        <v>1062</v>
      </c>
      <c r="F17" s="508" t="str">
        <f>""&amp;EntrieShownLimit</f>
        <v>10000</v>
      </c>
    </row>
    <row r="18" spans="2:42">
      <c r="N18" s="509"/>
      <c r="Q18" s="510" t="s">
        <v>1063</v>
      </c>
      <c r="R18" s="511"/>
      <c r="S18" s="511"/>
      <c r="T18" s="511"/>
      <c r="U18" s="511"/>
      <c r="V18" s="511"/>
      <c r="W18" s="511"/>
      <c r="X18" s="511"/>
      <c r="Y18" s="512"/>
      <c r="Z18" s="512"/>
      <c r="AA18" s="512"/>
      <c r="AB18" s="512"/>
      <c r="AC18" s="512"/>
      <c r="AD18" s="512"/>
      <c r="AE18" s="512"/>
      <c r="AF18" s="512"/>
      <c r="AG18" s="512"/>
      <c r="AH18" s="512"/>
      <c r="AI18" s="512"/>
      <c r="AJ18" s="512"/>
      <c r="AK18" s="512"/>
      <c r="AL18" s="512"/>
      <c r="AM18" s="512"/>
      <c r="AN18" s="512"/>
      <c r="AO18" s="512"/>
      <c r="AP18" s="512"/>
    </row>
    <row r="19" spans="2:42" s="513" customFormat="1" ht="29.25" customHeight="1" thickBot="1">
      <c r="B19" s="514" t="s">
        <v>1064</v>
      </c>
      <c r="C19" s="515" t="s">
        <v>1065</v>
      </c>
      <c r="D19" s="516" t="s">
        <v>1066</v>
      </c>
      <c r="E19" s="516" t="s">
        <v>1068</v>
      </c>
      <c r="F19" s="517" t="s">
        <v>1069</v>
      </c>
      <c r="G19" s="514" t="s">
        <v>1070</v>
      </c>
      <c r="H19" s="514" t="s">
        <v>1071</v>
      </c>
      <c r="I19" s="514" t="s">
        <v>1000</v>
      </c>
      <c r="J19" s="514" t="s">
        <v>1072</v>
      </c>
      <c r="K19" s="514" t="s">
        <v>1073</v>
      </c>
      <c r="L19" s="514" t="s">
        <v>1074</v>
      </c>
      <c r="M19" s="514" t="s">
        <v>1075</v>
      </c>
      <c r="N19" s="518" t="s">
        <v>1076</v>
      </c>
      <c r="O19" s="514" t="s">
        <v>1077</v>
      </c>
      <c r="P19" s="514" t="s">
        <v>1078</v>
      </c>
      <c r="Q19" s="514" t="s">
        <v>1079</v>
      </c>
      <c r="R19" s="514" t="s">
        <v>1080</v>
      </c>
      <c r="S19" s="514" t="s">
        <v>1081</v>
      </c>
      <c r="T19" s="514" t="s">
        <v>1082</v>
      </c>
      <c r="U19" s="514" t="s">
        <v>1083</v>
      </c>
      <c r="V19" s="514" t="s">
        <v>1084</v>
      </c>
      <c r="W19" s="514" t="s">
        <v>1085</v>
      </c>
      <c r="X19" s="514" t="s">
        <v>1086</v>
      </c>
      <c r="Y19" s="514" t="s">
        <v>1087</v>
      </c>
      <c r="Z19" s="514" t="s">
        <v>1088</v>
      </c>
      <c r="AA19" s="514" t="s">
        <v>1089</v>
      </c>
      <c r="AB19" s="519" t="s">
        <v>1090</v>
      </c>
      <c r="AC19" s="519" t="s">
        <v>1091</v>
      </c>
      <c r="AD19" s="519" t="s">
        <v>1092</v>
      </c>
      <c r="AE19" s="519" t="s">
        <v>1093</v>
      </c>
      <c r="AF19" s="519" t="s">
        <v>1094</v>
      </c>
      <c r="AG19" s="519" t="s">
        <v>1095</v>
      </c>
      <c r="AH19" s="515" t="s">
        <v>1096</v>
      </c>
      <c r="AI19" s="515" t="s">
        <v>1097</v>
      </c>
      <c r="AJ19" s="515" t="s">
        <v>1098</v>
      </c>
      <c r="AK19" s="515" t="s">
        <v>1099</v>
      </c>
      <c r="AL19" s="515" t="s">
        <v>1100</v>
      </c>
      <c r="AM19" s="515" t="s">
        <v>1030</v>
      </c>
      <c r="AN19" s="520" t="s">
        <v>1101</v>
      </c>
      <c r="AO19" s="520" t="s">
        <v>1102</v>
      </c>
      <c r="AP19" s="520" t="s">
        <v>1103</v>
      </c>
    </row>
    <row r="20" spans="2:42">
      <c r="B20" s="484" t="s">
        <v>1233</v>
      </c>
      <c r="C20" s="521">
        <v>42158</v>
      </c>
      <c r="D20" s="522">
        <v>95.47</v>
      </c>
      <c r="E20" s="523" t="s">
        <v>1105</v>
      </c>
      <c r="F20" s="484" t="s">
        <v>1234</v>
      </c>
      <c r="G20" s="524" t="s">
        <v>1107</v>
      </c>
      <c r="H20" s="484" t="s">
        <v>1120</v>
      </c>
      <c r="I20" s="484" t="s">
        <v>1109</v>
      </c>
      <c r="J20" s="484" t="s">
        <v>1110</v>
      </c>
      <c r="K20" s="488" t="s">
        <v>1235</v>
      </c>
      <c r="L20" s="488"/>
      <c r="M20" s="488" t="s">
        <v>1236</v>
      </c>
      <c r="N20" s="509">
        <v>42093</v>
      </c>
      <c r="O20" s="488" t="s">
        <v>1237</v>
      </c>
      <c r="P20" s="488">
        <v>11930</v>
      </c>
      <c r="Q20" s="484" t="s">
        <v>1238</v>
      </c>
      <c r="T20" s="484" t="s">
        <v>1239</v>
      </c>
      <c r="U20" s="484" t="s">
        <v>1240</v>
      </c>
      <c r="V20" s="484">
        <v>2000</v>
      </c>
      <c r="W20" s="521">
        <v>42158</v>
      </c>
      <c r="X20" s="521">
        <v>42158</v>
      </c>
      <c r="Y20" s="484">
        <v>8400</v>
      </c>
      <c r="Z20" s="521">
        <v>42158</v>
      </c>
      <c r="AA20" s="484" t="s">
        <v>1113</v>
      </c>
      <c r="AB20" s="484">
        <v>0</v>
      </c>
      <c r="AC20" s="484">
        <v>0</v>
      </c>
      <c r="AD20" s="484">
        <v>0</v>
      </c>
      <c r="AE20" s="484">
        <v>0</v>
      </c>
      <c r="AF20" s="484">
        <v>0</v>
      </c>
      <c r="AG20" s="484">
        <v>1</v>
      </c>
      <c r="AH20" s="484">
        <v>70195</v>
      </c>
      <c r="AI20" s="484">
        <v>2120</v>
      </c>
      <c r="AJ20" s="484">
        <v>0</v>
      </c>
      <c r="AK20" s="484">
        <v>0</v>
      </c>
      <c r="AN20" s="524"/>
      <c r="AO20" s="524"/>
      <c r="AP20" s="484" t="str">
        <f>IF(LEFT(T20,2)="VO",T20,"")</f>
        <v>VO03702653</v>
      </c>
    </row>
    <row r="21" spans="2:42">
      <c r="B21" s="484" t="s">
        <v>1233</v>
      </c>
      <c r="C21" s="521">
        <v>42185</v>
      </c>
      <c r="D21" s="522">
        <v>-95.47</v>
      </c>
      <c r="E21" s="523" t="s">
        <v>1105</v>
      </c>
      <c r="F21" s="484" t="s">
        <v>1241</v>
      </c>
      <c r="G21" s="524" t="s">
        <v>1107</v>
      </c>
      <c r="H21" s="484" t="s">
        <v>1242</v>
      </c>
      <c r="I21" s="484" t="s">
        <v>1116</v>
      </c>
      <c r="J21" s="484" t="s">
        <v>1110</v>
      </c>
      <c r="K21" s="488"/>
      <c r="L21" s="488"/>
      <c r="M21" s="488" t="s">
        <v>1237</v>
      </c>
      <c r="N21" s="509"/>
      <c r="O21" s="488"/>
      <c r="P21" s="488"/>
      <c r="T21" s="484" t="s">
        <v>1243</v>
      </c>
      <c r="U21" s="484" t="s">
        <v>1244</v>
      </c>
      <c r="W21" s="521">
        <v>42160</v>
      </c>
      <c r="X21" s="521">
        <v>42160</v>
      </c>
      <c r="Z21" s="521"/>
      <c r="AA21" s="484" t="s">
        <v>1113</v>
      </c>
      <c r="AB21" s="484">
        <v>0</v>
      </c>
      <c r="AC21" s="484">
        <v>0</v>
      </c>
      <c r="AD21" s="484">
        <v>0</v>
      </c>
      <c r="AE21" s="484">
        <v>0</v>
      </c>
      <c r="AF21" s="484">
        <v>5</v>
      </c>
      <c r="AG21" s="484">
        <v>1</v>
      </c>
      <c r="AH21" s="484">
        <v>70195</v>
      </c>
      <c r="AI21" s="484">
        <v>2120</v>
      </c>
      <c r="AJ21" s="484">
        <v>0</v>
      </c>
      <c r="AK21" s="484">
        <v>0</v>
      </c>
      <c r="AN21" s="524"/>
      <c r="AO21" s="524"/>
      <c r="AP21" s="484" t="str">
        <f t="shared" ref="AP21:AP57" si="0">IF(LEFT(T21,2)="VO",T21,"")</f>
        <v/>
      </c>
    </row>
    <row r="22" spans="2:42">
      <c r="B22" s="484" t="s">
        <v>1233</v>
      </c>
      <c r="C22" s="521">
        <v>42185</v>
      </c>
      <c r="D22" s="522">
        <v>85</v>
      </c>
      <c r="E22" s="523" t="s">
        <v>1105</v>
      </c>
      <c r="F22" s="484" t="s">
        <v>1245</v>
      </c>
      <c r="G22" s="524" t="s">
        <v>1107</v>
      </c>
      <c r="H22" s="484" t="s">
        <v>1246</v>
      </c>
      <c r="I22" s="484" t="s">
        <v>1109</v>
      </c>
      <c r="J22" s="484" t="s">
        <v>1110</v>
      </c>
      <c r="K22" s="488"/>
      <c r="L22" s="488"/>
      <c r="M22" s="488" t="s">
        <v>1247</v>
      </c>
      <c r="N22" s="509"/>
      <c r="O22" s="488"/>
      <c r="P22" s="488"/>
      <c r="T22" s="484" t="s">
        <v>1248</v>
      </c>
      <c r="U22" s="484" t="s">
        <v>1248</v>
      </c>
      <c r="W22" s="521">
        <v>42185</v>
      </c>
      <c r="X22" s="521">
        <v>42185</v>
      </c>
      <c r="Z22" s="521"/>
      <c r="AA22" s="484" t="s">
        <v>1113</v>
      </c>
      <c r="AB22" s="484">
        <v>0</v>
      </c>
      <c r="AC22" s="484">
        <v>0</v>
      </c>
      <c r="AD22" s="484">
        <v>0</v>
      </c>
      <c r="AE22" s="484">
        <v>0</v>
      </c>
      <c r="AF22" s="484">
        <v>0</v>
      </c>
      <c r="AG22" s="484">
        <v>1</v>
      </c>
      <c r="AH22" s="484">
        <v>70195</v>
      </c>
      <c r="AI22" s="484">
        <v>2120</v>
      </c>
      <c r="AJ22" s="484">
        <v>0</v>
      </c>
      <c r="AK22" s="484">
        <v>0</v>
      </c>
      <c r="AN22" s="524"/>
      <c r="AO22" s="524"/>
      <c r="AP22" s="484" t="str">
        <f t="shared" si="0"/>
        <v/>
      </c>
    </row>
    <row r="23" spans="2:42">
      <c r="B23" s="484" t="s">
        <v>1233</v>
      </c>
      <c r="C23" s="521">
        <v>42194</v>
      </c>
      <c r="D23" s="522">
        <v>95.47</v>
      </c>
      <c r="E23" s="523" t="s">
        <v>1105</v>
      </c>
      <c r="F23" s="484" t="s">
        <v>1249</v>
      </c>
      <c r="G23" s="524" t="s">
        <v>1107</v>
      </c>
      <c r="H23" s="484" t="s">
        <v>1120</v>
      </c>
      <c r="I23" s="484" t="s">
        <v>1116</v>
      </c>
      <c r="J23" s="484" t="s">
        <v>1110</v>
      </c>
      <c r="K23" s="488" t="s">
        <v>1235</v>
      </c>
      <c r="L23" s="488"/>
      <c r="M23" s="488" t="s">
        <v>1236</v>
      </c>
      <c r="N23" s="509">
        <v>42125</v>
      </c>
      <c r="O23" s="488" t="s">
        <v>1250</v>
      </c>
      <c r="P23" s="488">
        <v>12005</v>
      </c>
      <c r="Q23" s="484" t="s">
        <v>1251</v>
      </c>
      <c r="T23" s="484" t="s">
        <v>1252</v>
      </c>
      <c r="U23" s="484" t="s">
        <v>1253</v>
      </c>
      <c r="V23" s="484">
        <v>2000</v>
      </c>
      <c r="W23" s="521">
        <v>42194</v>
      </c>
      <c r="X23" s="521">
        <v>42195</v>
      </c>
      <c r="Y23" s="484">
        <v>8400</v>
      </c>
      <c r="Z23" s="521">
        <v>42190</v>
      </c>
      <c r="AA23" s="484" t="s">
        <v>1113</v>
      </c>
      <c r="AB23" s="484">
        <v>0</v>
      </c>
      <c r="AC23" s="484">
        <v>0</v>
      </c>
      <c r="AD23" s="484">
        <v>0</v>
      </c>
      <c r="AE23" s="484">
        <v>0</v>
      </c>
      <c r="AF23" s="484">
        <v>0</v>
      </c>
      <c r="AG23" s="484">
        <v>1</v>
      </c>
      <c r="AH23" s="484">
        <v>70195</v>
      </c>
      <c r="AI23" s="484">
        <v>2120</v>
      </c>
      <c r="AJ23" s="484">
        <v>0</v>
      </c>
      <c r="AK23" s="484">
        <v>0</v>
      </c>
      <c r="AN23" s="524"/>
      <c r="AO23" s="524"/>
      <c r="AP23" s="484" t="str">
        <f t="shared" si="0"/>
        <v>VO03728934</v>
      </c>
    </row>
    <row r="24" spans="2:42">
      <c r="B24" s="484" t="s">
        <v>1233</v>
      </c>
      <c r="C24" s="521">
        <v>42216</v>
      </c>
      <c r="D24" s="522">
        <v>85</v>
      </c>
      <c r="E24" s="523" t="s">
        <v>1105</v>
      </c>
      <c r="F24" s="484" t="s">
        <v>1254</v>
      </c>
      <c r="G24" s="524" t="s">
        <v>1107</v>
      </c>
      <c r="H24" s="484" t="s">
        <v>1255</v>
      </c>
      <c r="I24" s="484" t="s">
        <v>1116</v>
      </c>
      <c r="J24" s="484" t="s">
        <v>1110</v>
      </c>
      <c r="K24" s="488"/>
      <c r="L24" s="488"/>
      <c r="M24" s="488" t="s">
        <v>1256</v>
      </c>
      <c r="N24" s="509"/>
      <c r="O24" s="488"/>
      <c r="P24" s="488"/>
      <c r="T24" s="484" t="s">
        <v>1257</v>
      </c>
      <c r="U24" s="484" t="s">
        <v>1257</v>
      </c>
      <c r="W24" s="521">
        <v>42219</v>
      </c>
      <c r="X24" s="521">
        <v>42219</v>
      </c>
      <c r="Z24" s="521"/>
      <c r="AA24" s="484" t="s">
        <v>1113</v>
      </c>
      <c r="AB24" s="484">
        <v>0</v>
      </c>
      <c r="AC24" s="484">
        <v>0</v>
      </c>
      <c r="AD24" s="484">
        <v>0</v>
      </c>
      <c r="AE24" s="484">
        <v>0</v>
      </c>
      <c r="AF24" s="484">
        <v>0</v>
      </c>
      <c r="AG24" s="484">
        <v>1</v>
      </c>
      <c r="AH24" s="484">
        <v>70195</v>
      </c>
      <c r="AI24" s="484">
        <v>2120</v>
      </c>
      <c r="AJ24" s="484">
        <v>0</v>
      </c>
      <c r="AK24" s="484">
        <v>0</v>
      </c>
      <c r="AN24" s="524"/>
      <c r="AO24" s="524"/>
      <c r="AP24" s="484" t="str">
        <f t="shared" si="0"/>
        <v/>
      </c>
    </row>
    <row r="25" spans="2:42">
      <c r="B25" s="484" t="s">
        <v>1233</v>
      </c>
      <c r="C25" s="521">
        <v>42221</v>
      </c>
      <c r="D25" s="522">
        <v>95.47</v>
      </c>
      <c r="E25" s="523" t="s">
        <v>1105</v>
      </c>
      <c r="F25" s="484" t="s">
        <v>1258</v>
      </c>
      <c r="G25" s="524" t="s">
        <v>1107</v>
      </c>
      <c r="H25" s="484" t="s">
        <v>1120</v>
      </c>
      <c r="I25" s="484" t="s">
        <v>1121</v>
      </c>
      <c r="J25" s="484" t="s">
        <v>1110</v>
      </c>
      <c r="K25" s="488" t="s">
        <v>1235</v>
      </c>
      <c r="L25" s="488"/>
      <c r="M25" s="488" t="s">
        <v>1236</v>
      </c>
      <c r="N25" s="509">
        <v>42156</v>
      </c>
      <c r="O25" s="488" t="s">
        <v>1259</v>
      </c>
      <c r="P25" s="488">
        <v>12067</v>
      </c>
      <c r="Q25" s="484" t="s">
        <v>1260</v>
      </c>
      <c r="T25" s="484" t="s">
        <v>1261</v>
      </c>
      <c r="U25" s="484" t="s">
        <v>1262</v>
      </c>
      <c r="V25" s="484">
        <v>2000</v>
      </c>
      <c r="W25" s="521">
        <v>42221</v>
      </c>
      <c r="X25" s="521">
        <v>42221</v>
      </c>
      <c r="Y25" s="484">
        <v>8400</v>
      </c>
      <c r="Z25" s="521">
        <v>42221</v>
      </c>
      <c r="AA25" s="484" t="s">
        <v>1113</v>
      </c>
      <c r="AB25" s="484">
        <v>0</v>
      </c>
      <c r="AC25" s="484">
        <v>0</v>
      </c>
      <c r="AD25" s="484">
        <v>0</v>
      </c>
      <c r="AE25" s="484">
        <v>0</v>
      </c>
      <c r="AF25" s="484">
        <v>0</v>
      </c>
      <c r="AG25" s="484">
        <v>1</v>
      </c>
      <c r="AH25" s="484">
        <v>70195</v>
      </c>
      <c r="AI25" s="484">
        <v>2120</v>
      </c>
      <c r="AJ25" s="484">
        <v>0</v>
      </c>
      <c r="AK25" s="484">
        <v>0</v>
      </c>
      <c r="AN25" s="524"/>
      <c r="AO25" s="524"/>
      <c r="AP25" s="484" t="str">
        <f t="shared" si="0"/>
        <v>VO03746278</v>
      </c>
    </row>
    <row r="26" spans="2:42">
      <c r="B26" s="484" t="s">
        <v>1233</v>
      </c>
      <c r="C26" s="521">
        <v>42247</v>
      </c>
      <c r="D26" s="522">
        <v>-85</v>
      </c>
      <c r="E26" s="523" t="s">
        <v>1105</v>
      </c>
      <c r="F26" s="484" t="s">
        <v>1263</v>
      </c>
      <c r="G26" s="524" t="s">
        <v>1107</v>
      </c>
      <c r="H26" s="484" t="s">
        <v>1255</v>
      </c>
      <c r="I26" s="484" t="s">
        <v>1121</v>
      </c>
      <c r="J26" s="484" t="s">
        <v>1110</v>
      </c>
      <c r="K26" s="488"/>
      <c r="L26" s="488"/>
      <c r="M26" s="488" t="s">
        <v>1256</v>
      </c>
      <c r="N26" s="509"/>
      <c r="O26" s="488"/>
      <c r="P26" s="488"/>
      <c r="T26" s="484" t="s">
        <v>1257</v>
      </c>
      <c r="U26" s="484" t="s">
        <v>1264</v>
      </c>
      <c r="W26" s="521">
        <v>42247</v>
      </c>
      <c r="X26" s="521">
        <v>42248</v>
      </c>
      <c r="Z26" s="521"/>
      <c r="AA26" s="484" t="s">
        <v>1113</v>
      </c>
      <c r="AB26" s="484">
        <v>0</v>
      </c>
      <c r="AC26" s="484">
        <v>0</v>
      </c>
      <c r="AD26" s="484">
        <v>0</v>
      </c>
      <c r="AE26" s="484">
        <v>0</v>
      </c>
      <c r="AF26" s="484">
        <v>0</v>
      </c>
      <c r="AG26" s="484">
        <v>1</v>
      </c>
      <c r="AH26" s="484">
        <v>70195</v>
      </c>
      <c r="AI26" s="484">
        <v>2120</v>
      </c>
      <c r="AJ26" s="484">
        <v>0</v>
      </c>
      <c r="AK26" s="484">
        <v>0</v>
      </c>
      <c r="AN26" s="524"/>
      <c r="AO26" s="524"/>
      <c r="AP26" s="484" t="str">
        <f t="shared" si="0"/>
        <v/>
      </c>
    </row>
    <row r="27" spans="2:42">
      <c r="B27" s="484" t="s">
        <v>1233</v>
      </c>
      <c r="C27" s="521">
        <v>42247</v>
      </c>
      <c r="D27" s="522">
        <v>95.47</v>
      </c>
      <c r="E27" s="523" t="s">
        <v>1105</v>
      </c>
      <c r="F27" s="484" t="s">
        <v>1265</v>
      </c>
      <c r="G27" s="524" t="s">
        <v>1107</v>
      </c>
      <c r="H27" s="484" t="s">
        <v>1266</v>
      </c>
      <c r="I27" s="484" t="s">
        <v>1116</v>
      </c>
      <c r="J27" s="484" t="s">
        <v>1110</v>
      </c>
      <c r="K27" s="488"/>
      <c r="L27" s="488"/>
      <c r="M27" s="488" t="s">
        <v>1267</v>
      </c>
      <c r="N27" s="509"/>
      <c r="O27" s="488"/>
      <c r="P27" s="488"/>
      <c r="T27" s="484" t="s">
        <v>1268</v>
      </c>
      <c r="U27" s="484" t="s">
        <v>1268</v>
      </c>
      <c r="W27" s="521">
        <v>42251</v>
      </c>
      <c r="X27" s="521">
        <v>42251</v>
      </c>
      <c r="Z27" s="521"/>
      <c r="AA27" s="484" t="s">
        <v>1113</v>
      </c>
      <c r="AB27" s="484">
        <v>0</v>
      </c>
      <c r="AC27" s="484">
        <v>0</v>
      </c>
      <c r="AD27" s="484">
        <v>0</v>
      </c>
      <c r="AE27" s="484">
        <v>0</v>
      </c>
      <c r="AF27" s="484">
        <v>0</v>
      </c>
      <c r="AG27" s="484">
        <v>1</v>
      </c>
      <c r="AH27" s="484">
        <v>70195</v>
      </c>
      <c r="AI27" s="484">
        <v>2120</v>
      </c>
      <c r="AJ27" s="484">
        <v>0</v>
      </c>
      <c r="AK27" s="484">
        <v>0</v>
      </c>
      <c r="AN27" s="524"/>
      <c r="AO27" s="524"/>
      <c r="AP27" s="484" t="str">
        <f t="shared" si="0"/>
        <v/>
      </c>
    </row>
    <row r="28" spans="2:42">
      <c r="B28" s="484" t="s">
        <v>1233</v>
      </c>
      <c r="C28" s="521">
        <v>42250</v>
      </c>
      <c r="D28" s="522">
        <v>95.47</v>
      </c>
      <c r="E28" s="523" t="s">
        <v>1105</v>
      </c>
      <c r="F28" s="484" t="s">
        <v>1269</v>
      </c>
      <c r="G28" s="524" t="s">
        <v>1107</v>
      </c>
      <c r="H28" s="484" t="s">
        <v>1120</v>
      </c>
      <c r="I28" s="484" t="s">
        <v>1116</v>
      </c>
      <c r="J28" s="484" t="s">
        <v>1110</v>
      </c>
      <c r="K28" s="488" t="s">
        <v>1235</v>
      </c>
      <c r="L28" s="488"/>
      <c r="M28" s="488" t="s">
        <v>1236</v>
      </c>
      <c r="N28" s="509">
        <v>42184</v>
      </c>
      <c r="O28" s="488" t="s">
        <v>1267</v>
      </c>
      <c r="P28" s="488">
        <v>12099</v>
      </c>
      <c r="Q28" s="484" t="s">
        <v>1270</v>
      </c>
      <c r="T28" s="484" t="s">
        <v>1271</v>
      </c>
      <c r="U28" s="484" t="s">
        <v>1272</v>
      </c>
      <c r="V28" s="484">
        <v>2000</v>
      </c>
      <c r="W28" s="521">
        <v>42250</v>
      </c>
      <c r="X28" s="521">
        <v>42250</v>
      </c>
      <c r="Y28" s="484">
        <v>8400</v>
      </c>
      <c r="Z28" s="521">
        <v>42249</v>
      </c>
      <c r="AA28" s="484" t="s">
        <v>1113</v>
      </c>
      <c r="AB28" s="484">
        <v>0</v>
      </c>
      <c r="AC28" s="484">
        <v>0</v>
      </c>
      <c r="AD28" s="484">
        <v>0</v>
      </c>
      <c r="AE28" s="484">
        <v>0</v>
      </c>
      <c r="AF28" s="484">
        <v>0</v>
      </c>
      <c r="AG28" s="484">
        <v>1</v>
      </c>
      <c r="AH28" s="484">
        <v>70195</v>
      </c>
      <c r="AI28" s="484">
        <v>2120</v>
      </c>
      <c r="AJ28" s="484">
        <v>0</v>
      </c>
      <c r="AK28" s="484">
        <v>0</v>
      </c>
      <c r="AN28" s="524"/>
      <c r="AO28" s="524"/>
      <c r="AP28" s="484" t="str">
        <f t="shared" si="0"/>
        <v>VO03767579</v>
      </c>
    </row>
    <row r="29" spans="2:42">
      <c r="B29" s="484" t="s">
        <v>1233</v>
      </c>
      <c r="C29" s="521">
        <v>42277</v>
      </c>
      <c r="D29" s="522">
        <v>-95.47</v>
      </c>
      <c r="E29" s="523" t="s">
        <v>1105</v>
      </c>
      <c r="F29" s="484" t="s">
        <v>1273</v>
      </c>
      <c r="G29" s="524" t="s">
        <v>1107</v>
      </c>
      <c r="H29" s="484" t="s">
        <v>1266</v>
      </c>
      <c r="I29" s="484" t="s">
        <v>1109</v>
      </c>
      <c r="J29" s="484" t="s">
        <v>1110</v>
      </c>
      <c r="K29" s="488"/>
      <c r="L29" s="488"/>
      <c r="M29" s="488" t="s">
        <v>1267</v>
      </c>
      <c r="N29" s="509"/>
      <c r="O29" s="488"/>
      <c r="P29" s="488"/>
      <c r="T29" s="484" t="s">
        <v>1268</v>
      </c>
      <c r="U29" s="484" t="s">
        <v>1274</v>
      </c>
      <c r="W29" s="521">
        <v>42251</v>
      </c>
      <c r="X29" s="521">
        <v>42251</v>
      </c>
      <c r="Z29" s="521"/>
      <c r="AA29" s="484" t="s">
        <v>1113</v>
      </c>
      <c r="AB29" s="484">
        <v>0</v>
      </c>
      <c r="AC29" s="484">
        <v>0</v>
      </c>
      <c r="AD29" s="484">
        <v>0</v>
      </c>
      <c r="AE29" s="484">
        <v>0</v>
      </c>
      <c r="AF29" s="484">
        <v>5</v>
      </c>
      <c r="AG29" s="484">
        <v>1</v>
      </c>
      <c r="AH29" s="484">
        <v>70195</v>
      </c>
      <c r="AI29" s="484">
        <v>2120</v>
      </c>
      <c r="AJ29" s="484">
        <v>0</v>
      </c>
      <c r="AK29" s="484">
        <v>0</v>
      </c>
      <c r="AN29" s="524"/>
      <c r="AO29" s="524"/>
      <c r="AP29" s="484" t="str">
        <f t="shared" si="0"/>
        <v/>
      </c>
    </row>
    <row r="30" spans="2:42">
      <c r="B30" s="484" t="s">
        <v>1233</v>
      </c>
      <c r="C30" s="521">
        <v>42277</v>
      </c>
      <c r="D30" s="522">
        <v>225</v>
      </c>
      <c r="E30" s="523" t="s">
        <v>1105</v>
      </c>
      <c r="F30" s="484" t="s">
        <v>1275</v>
      </c>
      <c r="G30" s="524" t="s">
        <v>1107</v>
      </c>
      <c r="H30" s="484" t="s">
        <v>1276</v>
      </c>
      <c r="I30" s="484" t="s">
        <v>1109</v>
      </c>
      <c r="J30" s="484" t="s">
        <v>1110</v>
      </c>
      <c r="K30" s="488"/>
      <c r="L30" s="488"/>
      <c r="M30" s="488" t="s">
        <v>1277</v>
      </c>
      <c r="N30" s="509"/>
      <c r="O30" s="488"/>
      <c r="P30" s="488"/>
      <c r="T30" s="484" t="s">
        <v>1278</v>
      </c>
      <c r="U30" s="484" t="s">
        <v>1278</v>
      </c>
      <c r="W30" s="521">
        <v>42279</v>
      </c>
      <c r="X30" s="521">
        <v>42279</v>
      </c>
      <c r="Z30" s="521"/>
      <c r="AA30" s="484" t="s">
        <v>1113</v>
      </c>
      <c r="AB30" s="484">
        <v>0</v>
      </c>
      <c r="AC30" s="484">
        <v>0</v>
      </c>
      <c r="AD30" s="484">
        <v>0</v>
      </c>
      <c r="AE30" s="484">
        <v>0</v>
      </c>
      <c r="AF30" s="484">
        <v>0</v>
      </c>
      <c r="AG30" s="484">
        <v>1</v>
      </c>
      <c r="AH30" s="484">
        <v>70195</v>
      </c>
      <c r="AI30" s="484">
        <v>2120</v>
      </c>
      <c r="AJ30" s="484">
        <v>0</v>
      </c>
      <c r="AK30" s="484">
        <v>0</v>
      </c>
      <c r="AN30" s="524"/>
      <c r="AO30" s="524"/>
      <c r="AP30" s="484" t="str">
        <f t="shared" si="0"/>
        <v/>
      </c>
    </row>
    <row r="31" spans="2:42">
      <c r="B31" s="484" t="s">
        <v>1233</v>
      </c>
      <c r="C31" s="521">
        <v>42285</v>
      </c>
      <c r="D31" s="522">
        <v>95.47</v>
      </c>
      <c r="E31" s="523" t="s">
        <v>1105</v>
      </c>
      <c r="F31" s="484" t="s">
        <v>1279</v>
      </c>
      <c r="G31" s="524" t="s">
        <v>1107</v>
      </c>
      <c r="H31" s="484" t="s">
        <v>1120</v>
      </c>
      <c r="I31" s="484" t="s">
        <v>1116</v>
      </c>
      <c r="J31" s="484" t="s">
        <v>1110</v>
      </c>
      <c r="K31" s="488" t="s">
        <v>1235</v>
      </c>
      <c r="L31" s="488"/>
      <c r="M31" s="488" t="s">
        <v>1236</v>
      </c>
      <c r="N31" s="509">
        <v>42213</v>
      </c>
      <c r="O31" s="488" t="s">
        <v>1280</v>
      </c>
      <c r="P31" s="488">
        <v>12131</v>
      </c>
      <c r="Q31" s="484" t="s">
        <v>1281</v>
      </c>
      <c r="T31" s="484" t="s">
        <v>1282</v>
      </c>
      <c r="U31" s="484" t="s">
        <v>1283</v>
      </c>
      <c r="V31" s="484">
        <v>2000</v>
      </c>
      <c r="W31" s="521">
        <v>42285</v>
      </c>
      <c r="X31" s="521">
        <v>42289</v>
      </c>
      <c r="Y31" s="484">
        <v>8400</v>
      </c>
      <c r="Z31" s="521">
        <v>42278</v>
      </c>
      <c r="AA31" s="484" t="s">
        <v>1113</v>
      </c>
      <c r="AB31" s="484">
        <v>0</v>
      </c>
      <c r="AC31" s="484">
        <v>0</v>
      </c>
      <c r="AD31" s="484">
        <v>0</v>
      </c>
      <c r="AE31" s="484">
        <v>0</v>
      </c>
      <c r="AF31" s="484">
        <v>0</v>
      </c>
      <c r="AG31" s="484">
        <v>1</v>
      </c>
      <c r="AH31" s="484">
        <v>70195</v>
      </c>
      <c r="AI31" s="484">
        <v>2120</v>
      </c>
      <c r="AJ31" s="484">
        <v>0</v>
      </c>
      <c r="AK31" s="484">
        <v>0</v>
      </c>
      <c r="AN31" s="524"/>
      <c r="AO31" s="524"/>
      <c r="AP31" s="484" t="str">
        <f t="shared" si="0"/>
        <v>VO03793186</v>
      </c>
    </row>
    <row r="32" spans="2:42">
      <c r="B32" s="484" t="s">
        <v>1233</v>
      </c>
      <c r="C32" s="521">
        <v>42313</v>
      </c>
      <c r="D32" s="522">
        <v>95.47</v>
      </c>
      <c r="E32" s="523" t="s">
        <v>1105</v>
      </c>
      <c r="F32" s="484" t="s">
        <v>1284</v>
      </c>
      <c r="G32" s="524" t="s">
        <v>1107</v>
      </c>
      <c r="H32" s="484" t="s">
        <v>1120</v>
      </c>
      <c r="I32" s="484" t="s">
        <v>1116</v>
      </c>
      <c r="J32" s="484" t="s">
        <v>1110</v>
      </c>
      <c r="K32" s="488" t="s">
        <v>1235</v>
      </c>
      <c r="L32" s="488"/>
      <c r="M32" s="488" t="s">
        <v>1236</v>
      </c>
      <c r="N32" s="509">
        <v>42247</v>
      </c>
      <c r="O32" s="488" t="s">
        <v>1237</v>
      </c>
      <c r="P32" s="488">
        <v>12191</v>
      </c>
      <c r="Q32" s="484" t="s">
        <v>1285</v>
      </c>
      <c r="T32" s="484" t="s">
        <v>1286</v>
      </c>
      <c r="U32" s="484" t="s">
        <v>1287</v>
      </c>
      <c r="V32" s="484">
        <v>2000</v>
      </c>
      <c r="W32" s="521">
        <v>42313</v>
      </c>
      <c r="X32" s="521">
        <v>42313</v>
      </c>
      <c r="Y32" s="484">
        <v>8400</v>
      </c>
      <c r="Z32" s="521">
        <v>42312</v>
      </c>
      <c r="AA32" s="484" t="s">
        <v>1113</v>
      </c>
      <c r="AB32" s="484">
        <v>0</v>
      </c>
      <c r="AC32" s="484">
        <v>0</v>
      </c>
      <c r="AD32" s="484">
        <v>0</v>
      </c>
      <c r="AE32" s="484">
        <v>0</v>
      </c>
      <c r="AF32" s="484">
        <v>0</v>
      </c>
      <c r="AG32" s="484">
        <v>1</v>
      </c>
      <c r="AH32" s="484">
        <v>70195</v>
      </c>
      <c r="AI32" s="484">
        <v>2120</v>
      </c>
      <c r="AJ32" s="484">
        <v>0</v>
      </c>
      <c r="AK32" s="484">
        <v>0</v>
      </c>
      <c r="AN32" s="524"/>
      <c r="AO32" s="524"/>
      <c r="AP32" s="484" t="str">
        <f t="shared" si="0"/>
        <v>VO03812020</v>
      </c>
    </row>
    <row r="33" spans="2:42">
      <c r="B33" s="484" t="s">
        <v>1233</v>
      </c>
      <c r="C33" s="521">
        <v>42341</v>
      </c>
      <c r="D33" s="522">
        <v>95.47</v>
      </c>
      <c r="E33" s="523" t="s">
        <v>1105</v>
      </c>
      <c r="F33" s="484" t="s">
        <v>1288</v>
      </c>
      <c r="G33" s="524" t="s">
        <v>1107</v>
      </c>
      <c r="H33" s="484" t="s">
        <v>1120</v>
      </c>
      <c r="I33" s="484" t="s">
        <v>1109</v>
      </c>
      <c r="J33" s="484" t="s">
        <v>1110</v>
      </c>
      <c r="K33" s="488" t="s">
        <v>1235</v>
      </c>
      <c r="L33" s="488"/>
      <c r="M33" s="488" t="s">
        <v>1236</v>
      </c>
      <c r="N33" s="509">
        <v>42275</v>
      </c>
      <c r="O33" s="488" t="s">
        <v>1237</v>
      </c>
      <c r="P33" s="488">
        <v>12236</v>
      </c>
      <c r="Q33" s="484" t="s">
        <v>1289</v>
      </c>
      <c r="T33" s="484" t="s">
        <v>1290</v>
      </c>
      <c r="U33" s="484" t="s">
        <v>1291</v>
      </c>
      <c r="V33" s="484">
        <v>2000</v>
      </c>
      <c r="W33" s="521">
        <v>42341</v>
      </c>
      <c r="X33" s="521">
        <v>42341</v>
      </c>
      <c r="Y33" s="484">
        <v>8400</v>
      </c>
      <c r="Z33" s="521">
        <v>42340</v>
      </c>
      <c r="AA33" s="484" t="s">
        <v>1113</v>
      </c>
      <c r="AB33" s="484">
        <v>0</v>
      </c>
      <c r="AC33" s="484">
        <v>0</v>
      </c>
      <c r="AD33" s="484">
        <v>0</v>
      </c>
      <c r="AE33" s="484">
        <v>0</v>
      </c>
      <c r="AF33" s="484">
        <v>0</v>
      </c>
      <c r="AG33" s="484">
        <v>1</v>
      </c>
      <c r="AH33" s="484">
        <v>70195</v>
      </c>
      <c r="AI33" s="484">
        <v>2120</v>
      </c>
      <c r="AJ33" s="484">
        <v>0</v>
      </c>
      <c r="AK33" s="484">
        <v>0</v>
      </c>
      <c r="AN33" s="524"/>
      <c r="AO33" s="524"/>
      <c r="AP33" s="484" t="str">
        <f t="shared" si="0"/>
        <v>VO03831136</v>
      </c>
    </row>
    <row r="34" spans="2:42">
      <c r="B34" s="484" t="s">
        <v>1233</v>
      </c>
      <c r="C34" s="521">
        <v>42348</v>
      </c>
      <c r="D34" s="522">
        <v>300</v>
      </c>
      <c r="E34" s="523" t="s">
        <v>1105</v>
      </c>
      <c r="F34" s="484" t="s">
        <v>1292</v>
      </c>
      <c r="G34" s="524" t="s">
        <v>1107</v>
      </c>
      <c r="H34" s="484" t="s">
        <v>1120</v>
      </c>
      <c r="I34" s="484" t="s">
        <v>1109</v>
      </c>
      <c r="J34" s="484" t="s">
        <v>1110</v>
      </c>
      <c r="K34" s="488" t="s">
        <v>1293</v>
      </c>
      <c r="L34" s="488"/>
      <c r="M34" s="488" t="s">
        <v>1294</v>
      </c>
      <c r="N34" s="509">
        <v>42340</v>
      </c>
      <c r="O34" s="488" t="s">
        <v>1295</v>
      </c>
      <c r="P34" s="488">
        <v>13415</v>
      </c>
      <c r="Q34" s="484" t="s">
        <v>1296</v>
      </c>
      <c r="T34" s="484" t="s">
        <v>1297</v>
      </c>
      <c r="U34" s="484" t="s">
        <v>1298</v>
      </c>
      <c r="V34" s="484">
        <v>2195</v>
      </c>
      <c r="W34" s="521">
        <v>42348</v>
      </c>
      <c r="X34" s="521">
        <v>42349</v>
      </c>
      <c r="Y34" s="484">
        <v>300</v>
      </c>
      <c r="Z34" s="521">
        <v>42405</v>
      </c>
      <c r="AA34" s="484" t="s">
        <v>1113</v>
      </c>
      <c r="AB34" s="484">
        <v>0</v>
      </c>
      <c r="AC34" s="484">
        <v>0</v>
      </c>
      <c r="AD34" s="484">
        <v>0</v>
      </c>
      <c r="AE34" s="484">
        <v>0</v>
      </c>
      <c r="AF34" s="484">
        <v>0</v>
      </c>
      <c r="AG34" s="484">
        <v>1</v>
      </c>
      <c r="AH34" s="484">
        <v>70195</v>
      </c>
      <c r="AI34" s="484">
        <v>2120</v>
      </c>
      <c r="AJ34" s="484">
        <v>0</v>
      </c>
      <c r="AK34" s="484">
        <v>0</v>
      </c>
      <c r="AN34" s="524"/>
      <c r="AO34" s="524"/>
      <c r="AP34" s="484" t="str">
        <f t="shared" si="0"/>
        <v>VO03835131</v>
      </c>
    </row>
    <row r="35" spans="2:42">
      <c r="B35" s="484" t="s">
        <v>1233</v>
      </c>
      <c r="C35" s="521">
        <v>42362</v>
      </c>
      <c r="D35" s="522">
        <v>795</v>
      </c>
      <c r="E35" s="523" t="s">
        <v>1105</v>
      </c>
      <c r="F35" s="484" t="s">
        <v>1299</v>
      </c>
      <c r="G35" s="524" t="s">
        <v>1107</v>
      </c>
      <c r="H35" s="484" t="s">
        <v>1120</v>
      </c>
      <c r="I35" s="484" t="s">
        <v>1109</v>
      </c>
      <c r="J35" s="484" t="s">
        <v>1110</v>
      </c>
      <c r="K35" s="488" t="s">
        <v>1300</v>
      </c>
      <c r="L35" s="488"/>
      <c r="M35" s="488" t="s">
        <v>1301</v>
      </c>
      <c r="N35" s="509">
        <v>42358</v>
      </c>
      <c r="O35" s="488" t="s">
        <v>1302</v>
      </c>
      <c r="P35" s="488" t="s">
        <v>1303</v>
      </c>
      <c r="Q35" s="484" t="s">
        <v>1304</v>
      </c>
      <c r="T35" s="484" t="s">
        <v>1305</v>
      </c>
      <c r="U35" s="484" t="s">
        <v>1306</v>
      </c>
      <c r="V35" s="484">
        <v>2195</v>
      </c>
      <c r="W35" s="521">
        <v>42366</v>
      </c>
      <c r="X35" s="521">
        <v>42366</v>
      </c>
      <c r="Y35" s="484">
        <v>394.08</v>
      </c>
      <c r="Z35" s="521">
        <v>42423</v>
      </c>
      <c r="AA35" s="484" t="s">
        <v>1113</v>
      </c>
      <c r="AB35" s="484">
        <v>0</v>
      </c>
      <c r="AC35" s="484">
        <v>0</v>
      </c>
      <c r="AD35" s="484">
        <v>0</v>
      </c>
      <c r="AE35" s="484">
        <v>0</v>
      </c>
      <c r="AF35" s="484">
        <v>0</v>
      </c>
      <c r="AG35" s="484">
        <v>1</v>
      </c>
      <c r="AH35" s="484">
        <v>70195</v>
      </c>
      <c r="AI35" s="484">
        <v>2120</v>
      </c>
      <c r="AJ35" s="484">
        <v>0</v>
      </c>
      <c r="AK35" s="484">
        <v>0</v>
      </c>
      <c r="AN35" s="524"/>
      <c r="AO35" s="524"/>
      <c r="AP35" s="484" t="str">
        <f t="shared" si="0"/>
        <v>VO03845832</v>
      </c>
    </row>
    <row r="36" spans="2:42">
      <c r="B36" s="484" t="s">
        <v>1233</v>
      </c>
      <c r="C36" s="521">
        <v>42369</v>
      </c>
      <c r="D36" s="522">
        <v>459.23</v>
      </c>
      <c r="E36" s="523" t="s">
        <v>1105</v>
      </c>
      <c r="F36" s="484" t="s">
        <v>1177</v>
      </c>
      <c r="G36" s="524" t="s">
        <v>1107</v>
      </c>
      <c r="H36" s="484" t="s">
        <v>1178</v>
      </c>
      <c r="I36" s="484" t="s">
        <v>1109</v>
      </c>
      <c r="J36" s="484" t="s">
        <v>1110</v>
      </c>
      <c r="K36" s="488"/>
      <c r="L36" s="488"/>
      <c r="M36" s="488" t="s">
        <v>1307</v>
      </c>
      <c r="N36" s="509"/>
      <c r="O36" s="488"/>
      <c r="P36" s="488"/>
      <c r="T36" s="484" t="s">
        <v>1180</v>
      </c>
      <c r="U36" s="484" t="s">
        <v>1180</v>
      </c>
      <c r="W36" s="521">
        <v>42374</v>
      </c>
      <c r="X36" s="521">
        <v>42374</v>
      </c>
      <c r="Z36" s="521"/>
      <c r="AA36" s="484" t="s">
        <v>1113</v>
      </c>
      <c r="AB36" s="484">
        <v>0</v>
      </c>
      <c r="AC36" s="484">
        <v>0</v>
      </c>
      <c r="AD36" s="484">
        <v>0</v>
      </c>
      <c r="AE36" s="484">
        <v>0</v>
      </c>
      <c r="AF36" s="484">
        <v>0</v>
      </c>
      <c r="AG36" s="484">
        <v>1</v>
      </c>
      <c r="AH36" s="484">
        <v>70195</v>
      </c>
      <c r="AI36" s="484">
        <v>2120</v>
      </c>
      <c r="AJ36" s="484">
        <v>0</v>
      </c>
      <c r="AK36" s="484">
        <v>0</v>
      </c>
      <c r="AN36" s="524"/>
      <c r="AO36" s="524"/>
      <c r="AP36" s="484" t="str">
        <f t="shared" si="0"/>
        <v/>
      </c>
    </row>
    <row r="37" spans="2:42">
      <c r="B37" s="484" t="s">
        <v>1233</v>
      </c>
      <c r="C37" s="521">
        <v>42383</v>
      </c>
      <c r="D37" s="522">
        <v>95.47</v>
      </c>
      <c r="E37" s="523" t="s">
        <v>1105</v>
      </c>
      <c r="F37" s="484" t="s">
        <v>1308</v>
      </c>
      <c r="G37" s="524" t="s">
        <v>1107</v>
      </c>
      <c r="H37" s="484" t="s">
        <v>1120</v>
      </c>
      <c r="I37" s="484" t="s">
        <v>1109</v>
      </c>
      <c r="J37" s="484" t="s">
        <v>1110</v>
      </c>
      <c r="K37" s="488" t="s">
        <v>1235</v>
      </c>
      <c r="L37" s="488"/>
      <c r="M37" s="488" t="s">
        <v>1236</v>
      </c>
      <c r="N37" s="509">
        <v>42317</v>
      </c>
      <c r="O37" s="488" t="s">
        <v>1309</v>
      </c>
      <c r="P37" s="488">
        <v>12300</v>
      </c>
      <c r="Q37" s="484" t="s">
        <v>1310</v>
      </c>
      <c r="T37" s="484" t="s">
        <v>1311</v>
      </c>
      <c r="U37" s="484" t="s">
        <v>1312</v>
      </c>
      <c r="V37" s="484">
        <v>2000</v>
      </c>
      <c r="W37" s="521">
        <v>42383</v>
      </c>
      <c r="X37" s="521">
        <v>42384</v>
      </c>
      <c r="Y37" s="484">
        <v>8400</v>
      </c>
      <c r="Z37" s="521">
        <v>42382</v>
      </c>
      <c r="AA37" s="484" t="s">
        <v>1113</v>
      </c>
      <c r="AB37" s="484">
        <v>0</v>
      </c>
      <c r="AC37" s="484">
        <v>0</v>
      </c>
      <c r="AD37" s="484">
        <v>0</v>
      </c>
      <c r="AE37" s="484">
        <v>0</v>
      </c>
      <c r="AF37" s="484">
        <v>0</v>
      </c>
      <c r="AG37" s="484">
        <v>1</v>
      </c>
      <c r="AH37" s="484">
        <v>70195</v>
      </c>
      <c r="AI37" s="484">
        <v>2120</v>
      </c>
      <c r="AJ37" s="484">
        <v>0</v>
      </c>
      <c r="AK37" s="484">
        <v>0</v>
      </c>
      <c r="AN37" s="524"/>
      <c r="AO37" s="524"/>
      <c r="AP37" s="484" t="str">
        <f t="shared" si="0"/>
        <v>VO03859937</v>
      </c>
    </row>
    <row r="38" spans="2:42">
      <c r="B38" s="484" t="s">
        <v>1233</v>
      </c>
      <c r="C38" s="521">
        <v>42400</v>
      </c>
      <c r="D38" s="522">
        <v>30</v>
      </c>
      <c r="E38" s="523" t="s">
        <v>1105</v>
      </c>
      <c r="F38" s="484" t="s">
        <v>1186</v>
      </c>
      <c r="G38" s="524" t="s">
        <v>1107</v>
      </c>
      <c r="H38" s="484" t="s">
        <v>1187</v>
      </c>
      <c r="I38" s="484" t="s">
        <v>1121</v>
      </c>
      <c r="J38" s="484" t="s">
        <v>1110</v>
      </c>
      <c r="K38" s="488"/>
      <c r="L38" s="488"/>
      <c r="M38" s="488" t="s">
        <v>1313</v>
      </c>
      <c r="N38" s="509"/>
      <c r="O38" s="488"/>
      <c r="P38" s="488"/>
      <c r="T38" s="484" t="s">
        <v>1189</v>
      </c>
      <c r="U38" s="484" t="s">
        <v>1189</v>
      </c>
      <c r="W38" s="521">
        <v>42402</v>
      </c>
      <c r="X38" s="521">
        <v>42402</v>
      </c>
      <c r="Z38" s="521"/>
      <c r="AA38" s="484" t="s">
        <v>1113</v>
      </c>
      <c r="AB38" s="484">
        <v>0</v>
      </c>
      <c r="AC38" s="484">
        <v>0</v>
      </c>
      <c r="AD38" s="484">
        <v>0</v>
      </c>
      <c r="AE38" s="484">
        <v>0</v>
      </c>
      <c r="AF38" s="484">
        <v>0</v>
      </c>
      <c r="AG38" s="484">
        <v>1</v>
      </c>
      <c r="AH38" s="484">
        <v>70195</v>
      </c>
      <c r="AI38" s="484">
        <v>2120</v>
      </c>
      <c r="AJ38" s="484">
        <v>0</v>
      </c>
      <c r="AK38" s="484">
        <v>0</v>
      </c>
      <c r="AN38" s="524"/>
      <c r="AO38" s="524"/>
      <c r="AP38" s="484" t="str">
        <f t="shared" si="0"/>
        <v/>
      </c>
    </row>
    <row r="39" spans="2:42">
      <c r="B39" s="484" t="s">
        <v>1233</v>
      </c>
      <c r="C39" s="521">
        <v>42400</v>
      </c>
      <c r="D39" s="522">
        <v>95.47</v>
      </c>
      <c r="E39" s="523" t="s">
        <v>1105</v>
      </c>
      <c r="F39" s="484" t="s">
        <v>1314</v>
      </c>
      <c r="G39" s="524" t="s">
        <v>1107</v>
      </c>
      <c r="H39" s="484" t="s">
        <v>1315</v>
      </c>
      <c r="I39" s="484" t="s">
        <v>1116</v>
      </c>
      <c r="J39" s="484" t="s">
        <v>1110</v>
      </c>
      <c r="K39" s="488"/>
      <c r="L39" s="488"/>
      <c r="M39" s="488" t="s">
        <v>1316</v>
      </c>
      <c r="N39" s="509"/>
      <c r="O39" s="488"/>
      <c r="P39" s="488"/>
      <c r="T39" s="484" t="s">
        <v>1317</v>
      </c>
      <c r="U39" s="484" t="s">
        <v>1317</v>
      </c>
      <c r="W39" s="521">
        <v>42404</v>
      </c>
      <c r="X39" s="521">
        <v>42404</v>
      </c>
      <c r="Z39" s="521"/>
      <c r="AA39" s="484" t="s">
        <v>1113</v>
      </c>
      <c r="AB39" s="484">
        <v>0</v>
      </c>
      <c r="AC39" s="484">
        <v>0</v>
      </c>
      <c r="AD39" s="484">
        <v>0</v>
      </c>
      <c r="AE39" s="484">
        <v>0</v>
      </c>
      <c r="AF39" s="484">
        <v>0</v>
      </c>
      <c r="AG39" s="484">
        <v>1</v>
      </c>
      <c r="AH39" s="484">
        <v>70195</v>
      </c>
      <c r="AI39" s="484">
        <v>2120</v>
      </c>
      <c r="AJ39" s="484">
        <v>0</v>
      </c>
      <c r="AK39" s="484">
        <v>0</v>
      </c>
      <c r="AN39" s="524"/>
      <c r="AO39" s="524"/>
      <c r="AP39" s="484" t="str">
        <f t="shared" si="0"/>
        <v/>
      </c>
    </row>
    <row r="40" spans="2:42">
      <c r="B40" s="484" t="s">
        <v>1233</v>
      </c>
      <c r="C40" s="521">
        <v>42400</v>
      </c>
      <c r="D40" s="522">
        <v>-95.47</v>
      </c>
      <c r="E40" s="523" t="s">
        <v>1105</v>
      </c>
      <c r="F40" s="484" t="s">
        <v>1318</v>
      </c>
      <c r="G40" s="524" t="s">
        <v>1107</v>
      </c>
      <c r="H40" s="484" t="s">
        <v>1319</v>
      </c>
      <c r="I40" s="484" t="s">
        <v>1116</v>
      </c>
      <c r="J40" s="484" t="s">
        <v>1110</v>
      </c>
      <c r="K40" s="488"/>
      <c r="L40" s="488"/>
      <c r="M40" s="488" t="s">
        <v>1316</v>
      </c>
      <c r="N40" s="509"/>
      <c r="O40" s="488"/>
      <c r="P40" s="488"/>
      <c r="T40" s="484" t="s">
        <v>1320</v>
      </c>
      <c r="U40" s="484" t="s">
        <v>1320</v>
      </c>
      <c r="W40" s="521">
        <v>42405</v>
      </c>
      <c r="X40" s="521">
        <v>42405</v>
      </c>
      <c r="Z40" s="521"/>
      <c r="AA40" s="484" t="s">
        <v>1113</v>
      </c>
      <c r="AB40" s="484">
        <v>0</v>
      </c>
      <c r="AC40" s="484">
        <v>0</v>
      </c>
      <c r="AD40" s="484">
        <v>0</v>
      </c>
      <c r="AE40" s="484">
        <v>0</v>
      </c>
      <c r="AF40" s="484">
        <v>0</v>
      </c>
      <c r="AG40" s="484">
        <v>1</v>
      </c>
      <c r="AH40" s="484">
        <v>70195</v>
      </c>
      <c r="AI40" s="484">
        <v>2120</v>
      </c>
      <c r="AJ40" s="484">
        <v>0</v>
      </c>
      <c r="AK40" s="484">
        <v>0</v>
      </c>
      <c r="AN40" s="524"/>
      <c r="AO40" s="524"/>
      <c r="AP40" s="484" t="str">
        <f t="shared" si="0"/>
        <v/>
      </c>
    </row>
    <row r="41" spans="2:42">
      <c r="B41" s="484" t="s">
        <v>1233</v>
      </c>
      <c r="C41" s="521">
        <v>42400</v>
      </c>
      <c r="D41" s="522">
        <v>95.47</v>
      </c>
      <c r="E41" s="523" t="s">
        <v>1105</v>
      </c>
      <c r="F41" s="484" t="s">
        <v>1321</v>
      </c>
      <c r="G41" s="524" t="s">
        <v>1107</v>
      </c>
      <c r="H41" s="484" t="s">
        <v>1315</v>
      </c>
      <c r="I41" s="484" t="s">
        <v>1116</v>
      </c>
      <c r="J41" s="484" t="s">
        <v>1110</v>
      </c>
      <c r="K41" s="488"/>
      <c r="L41" s="488"/>
      <c r="M41" s="488" t="s">
        <v>1316</v>
      </c>
      <c r="N41" s="509"/>
      <c r="O41" s="488"/>
      <c r="P41" s="488"/>
      <c r="T41" s="484" t="s">
        <v>1322</v>
      </c>
      <c r="U41" s="484" t="s">
        <v>1322</v>
      </c>
      <c r="W41" s="521">
        <v>42405</v>
      </c>
      <c r="X41" s="521">
        <v>42405</v>
      </c>
      <c r="Z41" s="521"/>
      <c r="AA41" s="484" t="s">
        <v>1113</v>
      </c>
      <c r="AB41" s="484">
        <v>0</v>
      </c>
      <c r="AC41" s="484">
        <v>0</v>
      </c>
      <c r="AD41" s="484">
        <v>0</v>
      </c>
      <c r="AE41" s="484">
        <v>0</v>
      </c>
      <c r="AF41" s="484">
        <v>0</v>
      </c>
      <c r="AG41" s="484">
        <v>1</v>
      </c>
      <c r="AH41" s="484">
        <v>70195</v>
      </c>
      <c r="AI41" s="484">
        <v>2120</v>
      </c>
      <c r="AJ41" s="484">
        <v>0</v>
      </c>
      <c r="AK41" s="484">
        <v>0</v>
      </c>
      <c r="AN41" s="524"/>
      <c r="AO41" s="524"/>
      <c r="AP41" s="484" t="str">
        <f t="shared" si="0"/>
        <v/>
      </c>
    </row>
    <row r="42" spans="2:42">
      <c r="B42" s="484" t="s">
        <v>1233</v>
      </c>
      <c r="C42" s="521">
        <v>42400</v>
      </c>
      <c r="D42" s="522">
        <v>-95.47</v>
      </c>
      <c r="E42" s="523" t="s">
        <v>1105</v>
      </c>
      <c r="F42" s="484" t="s">
        <v>1323</v>
      </c>
      <c r="G42" s="524" t="s">
        <v>1107</v>
      </c>
      <c r="H42" s="484" t="s">
        <v>1315</v>
      </c>
      <c r="I42" s="484" t="s">
        <v>1109</v>
      </c>
      <c r="J42" s="484" t="s">
        <v>1110</v>
      </c>
      <c r="K42" s="488"/>
      <c r="L42" s="488"/>
      <c r="M42" s="488" t="s">
        <v>1324</v>
      </c>
      <c r="N42" s="509"/>
      <c r="O42" s="488"/>
      <c r="P42" s="488"/>
      <c r="T42" s="484" t="s">
        <v>1325</v>
      </c>
      <c r="U42" s="484" t="s">
        <v>1325</v>
      </c>
      <c r="W42" s="521">
        <v>42405</v>
      </c>
      <c r="X42" s="521">
        <v>42405</v>
      </c>
      <c r="Z42" s="521"/>
      <c r="AA42" s="484" t="s">
        <v>1113</v>
      </c>
      <c r="AB42" s="484">
        <v>0</v>
      </c>
      <c r="AC42" s="484">
        <v>0</v>
      </c>
      <c r="AD42" s="484">
        <v>0</v>
      </c>
      <c r="AE42" s="484">
        <v>0</v>
      </c>
      <c r="AF42" s="484">
        <v>0</v>
      </c>
      <c r="AG42" s="484">
        <v>1</v>
      </c>
      <c r="AH42" s="484">
        <v>70195</v>
      </c>
      <c r="AI42" s="484">
        <v>2120</v>
      </c>
      <c r="AJ42" s="484">
        <v>0</v>
      </c>
      <c r="AK42" s="484">
        <v>0</v>
      </c>
      <c r="AN42" s="524"/>
      <c r="AO42" s="524"/>
      <c r="AP42" s="484" t="str">
        <f t="shared" si="0"/>
        <v/>
      </c>
    </row>
    <row r="43" spans="2:42">
      <c r="B43" s="484" t="s">
        <v>1233</v>
      </c>
      <c r="C43" s="521">
        <v>42404</v>
      </c>
      <c r="D43" s="522">
        <v>95.47</v>
      </c>
      <c r="E43" s="523" t="s">
        <v>1105</v>
      </c>
      <c r="F43" s="484" t="s">
        <v>1326</v>
      </c>
      <c r="G43" s="524" t="s">
        <v>1107</v>
      </c>
      <c r="H43" s="484" t="s">
        <v>1120</v>
      </c>
      <c r="I43" s="484" t="s">
        <v>1116</v>
      </c>
      <c r="J43" s="484" t="s">
        <v>1110</v>
      </c>
      <c r="K43" s="488" t="s">
        <v>1235</v>
      </c>
      <c r="L43" s="488"/>
      <c r="M43" s="488" t="s">
        <v>1236</v>
      </c>
      <c r="N43" s="509">
        <v>42338</v>
      </c>
      <c r="O43" s="488" t="s">
        <v>1327</v>
      </c>
      <c r="P43" s="488">
        <v>12401</v>
      </c>
      <c r="Q43" s="484" t="s">
        <v>1328</v>
      </c>
      <c r="T43" s="484" t="s">
        <v>1329</v>
      </c>
      <c r="U43" s="484" t="s">
        <v>1330</v>
      </c>
      <c r="V43" s="484">
        <v>2000</v>
      </c>
      <c r="W43" s="521">
        <v>42404</v>
      </c>
      <c r="X43" s="521">
        <v>42404</v>
      </c>
      <c r="Y43" s="484">
        <v>8400</v>
      </c>
      <c r="Z43" s="521">
        <v>42403</v>
      </c>
      <c r="AA43" s="484" t="s">
        <v>1113</v>
      </c>
      <c r="AB43" s="484">
        <v>0</v>
      </c>
      <c r="AC43" s="484">
        <v>0</v>
      </c>
      <c r="AD43" s="484">
        <v>0</v>
      </c>
      <c r="AE43" s="484">
        <v>0</v>
      </c>
      <c r="AF43" s="484">
        <v>0</v>
      </c>
      <c r="AG43" s="484">
        <v>1</v>
      </c>
      <c r="AH43" s="484">
        <v>70195</v>
      </c>
      <c r="AI43" s="484">
        <v>2120</v>
      </c>
      <c r="AJ43" s="484">
        <v>0</v>
      </c>
      <c r="AK43" s="484">
        <v>0</v>
      </c>
      <c r="AN43" s="524"/>
      <c r="AO43" s="524"/>
      <c r="AP43" s="484" t="str">
        <f t="shared" si="0"/>
        <v>VO03875666</v>
      </c>
    </row>
    <row r="44" spans="2:42">
      <c r="B44" s="484" t="s">
        <v>1233</v>
      </c>
      <c r="C44" s="521">
        <v>42429</v>
      </c>
      <c r="D44" s="522">
        <v>-95.47</v>
      </c>
      <c r="E44" s="523" t="s">
        <v>1105</v>
      </c>
      <c r="F44" s="484" t="s">
        <v>1331</v>
      </c>
      <c r="G44" s="524" t="s">
        <v>1107</v>
      </c>
      <c r="H44" s="484" t="s">
        <v>1315</v>
      </c>
      <c r="I44" s="484" t="s">
        <v>1109</v>
      </c>
      <c r="J44" s="484" t="s">
        <v>1110</v>
      </c>
      <c r="K44" s="488"/>
      <c r="L44" s="488"/>
      <c r="M44" s="488" t="s">
        <v>1316</v>
      </c>
      <c r="N44" s="509"/>
      <c r="O44" s="488"/>
      <c r="P44" s="488"/>
      <c r="T44" s="484" t="s">
        <v>1317</v>
      </c>
      <c r="U44" s="484" t="s">
        <v>1332</v>
      </c>
      <c r="W44" s="521">
        <v>42404</v>
      </c>
      <c r="X44" s="521">
        <v>42404</v>
      </c>
      <c r="Z44" s="521"/>
      <c r="AA44" s="484" t="s">
        <v>1113</v>
      </c>
      <c r="AB44" s="484">
        <v>0</v>
      </c>
      <c r="AC44" s="484">
        <v>0</v>
      </c>
      <c r="AD44" s="484">
        <v>0</v>
      </c>
      <c r="AE44" s="484">
        <v>0</v>
      </c>
      <c r="AF44" s="484">
        <v>5</v>
      </c>
      <c r="AG44" s="484">
        <v>1</v>
      </c>
      <c r="AH44" s="484">
        <v>70195</v>
      </c>
      <c r="AI44" s="484">
        <v>2120</v>
      </c>
      <c r="AJ44" s="484">
        <v>0</v>
      </c>
      <c r="AK44" s="484">
        <v>0</v>
      </c>
      <c r="AN44" s="524"/>
      <c r="AO44" s="524"/>
      <c r="AP44" s="484" t="str">
        <f t="shared" si="0"/>
        <v/>
      </c>
    </row>
    <row r="45" spans="2:42">
      <c r="B45" s="484" t="s">
        <v>1233</v>
      </c>
      <c r="C45" s="521">
        <v>42429</v>
      </c>
      <c r="D45" s="522">
        <v>95.47</v>
      </c>
      <c r="E45" s="523" t="s">
        <v>1105</v>
      </c>
      <c r="F45" s="484" t="s">
        <v>1333</v>
      </c>
      <c r="G45" s="524" t="s">
        <v>1107</v>
      </c>
      <c r="H45" s="484" t="s">
        <v>1319</v>
      </c>
      <c r="I45" s="484" t="s">
        <v>1109</v>
      </c>
      <c r="J45" s="484" t="s">
        <v>1110</v>
      </c>
      <c r="K45" s="488"/>
      <c r="L45" s="488"/>
      <c r="M45" s="488" t="s">
        <v>1316</v>
      </c>
      <c r="N45" s="509"/>
      <c r="O45" s="488"/>
      <c r="P45" s="488"/>
      <c r="T45" s="484" t="s">
        <v>1320</v>
      </c>
      <c r="U45" s="484" t="s">
        <v>1334</v>
      </c>
      <c r="W45" s="521">
        <v>42405</v>
      </c>
      <c r="X45" s="521">
        <v>42405</v>
      </c>
      <c r="Z45" s="521"/>
      <c r="AA45" s="484" t="s">
        <v>1113</v>
      </c>
      <c r="AB45" s="484">
        <v>0</v>
      </c>
      <c r="AC45" s="484">
        <v>0</v>
      </c>
      <c r="AD45" s="484">
        <v>0</v>
      </c>
      <c r="AE45" s="484">
        <v>0</v>
      </c>
      <c r="AF45" s="484">
        <v>5</v>
      </c>
      <c r="AG45" s="484">
        <v>1</v>
      </c>
      <c r="AH45" s="484">
        <v>70195</v>
      </c>
      <c r="AI45" s="484">
        <v>2120</v>
      </c>
      <c r="AJ45" s="484">
        <v>0</v>
      </c>
      <c r="AK45" s="484">
        <v>0</v>
      </c>
      <c r="AN45" s="524"/>
      <c r="AO45" s="524"/>
      <c r="AP45" s="484" t="str">
        <f t="shared" si="0"/>
        <v/>
      </c>
    </row>
    <row r="46" spans="2:42">
      <c r="B46" s="484" t="s">
        <v>1233</v>
      </c>
      <c r="C46" s="521">
        <v>42429</v>
      </c>
      <c r="D46" s="522">
        <v>-95.47</v>
      </c>
      <c r="E46" s="523" t="s">
        <v>1105</v>
      </c>
      <c r="F46" s="484" t="s">
        <v>1335</v>
      </c>
      <c r="G46" s="524" t="s">
        <v>1107</v>
      </c>
      <c r="H46" s="484" t="s">
        <v>1315</v>
      </c>
      <c r="I46" s="484" t="s">
        <v>1109</v>
      </c>
      <c r="J46" s="484" t="s">
        <v>1110</v>
      </c>
      <c r="K46" s="488"/>
      <c r="L46" s="488"/>
      <c r="M46" s="488" t="s">
        <v>1316</v>
      </c>
      <c r="N46" s="509"/>
      <c r="O46" s="488"/>
      <c r="P46" s="488"/>
      <c r="T46" s="484" t="s">
        <v>1322</v>
      </c>
      <c r="U46" s="484" t="s">
        <v>1336</v>
      </c>
      <c r="W46" s="521">
        <v>42405</v>
      </c>
      <c r="X46" s="521">
        <v>42405</v>
      </c>
      <c r="Z46" s="521"/>
      <c r="AA46" s="484" t="s">
        <v>1113</v>
      </c>
      <c r="AB46" s="484">
        <v>0</v>
      </c>
      <c r="AC46" s="484">
        <v>0</v>
      </c>
      <c r="AD46" s="484">
        <v>0</v>
      </c>
      <c r="AE46" s="484">
        <v>0</v>
      </c>
      <c r="AF46" s="484">
        <v>5</v>
      </c>
      <c r="AG46" s="484">
        <v>1</v>
      </c>
      <c r="AH46" s="484">
        <v>70195</v>
      </c>
      <c r="AI46" s="484">
        <v>2120</v>
      </c>
      <c r="AJ46" s="484">
        <v>0</v>
      </c>
      <c r="AK46" s="484">
        <v>0</v>
      </c>
      <c r="AN46" s="524"/>
      <c r="AO46" s="524"/>
      <c r="AP46" s="484" t="str">
        <f t="shared" si="0"/>
        <v/>
      </c>
    </row>
    <row r="47" spans="2:42">
      <c r="B47" s="484" t="s">
        <v>1233</v>
      </c>
      <c r="C47" s="521">
        <v>42429</v>
      </c>
      <c r="D47" s="522">
        <v>95.47</v>
      </c>
      <c r="E47" s="523" t="s">
        <v>1105</v>
      </c>
      <c r="F47" s="484" t="s">
        <v>1337</v>
      </c>
      <c r="G47" s="524" t="s">
        <v>1107</v>
      </c>
      <c r="H47" s="484" t="s">
        <v>1315</v>
      </c>
      <c r="I47" s="484" t="s">
        <v>1109</v>
      </c>
      <c r="J47" s="484" t="s">
        <v>1110</v>
      </c>
      <c r="K47" s="488"/>
      <c r="L47" s="488"/>
      <c r="M47" s="488" t="s">
        <v>1324</v>
      </c>
      <c r="N47" s="509"/>
      <c r="O47" s="488"/>
      <c r="P47" s="488"/>
      <c r="T47" s="484" t="s">
        <v>1325</v>
      </c>
      <c r="U47" s="484" t="s">
        <v>1338</v>
      </c>
      <c r="W47" s="521">
        <v>42405</v>
      </c>
      <c r="X47" s="521">
        <v>42405</v>
      </c>
      <c r="Z47" s="521"/>
      <c r="AA47" s="484" t="s">
        <v>1113</v>
      </c>
      <c r="AB47" s="484">
        <v>0</v>
      </c>
      <c r="AC47" s="484">
        <v>0</v>
      </c>
      <c r="AD47" s="484">
        <v>0</v>
      </c>
      <c r="AE47" s="484">
        <v>0</v>
      </c>
      <c r="AF47" s="484">
        <v>5</v>
      </c>
      <c r="AG47" s="484">
        <v>1</v>
      </c>
      <c r="AH47" s="484">
        <v>70195</v>
      </c>
      <c r="AI47" s="484">
        <v>2120</v>
      </c>
      <c r="AJ47" s="484">
        <v>0</v>
      </c>
      <c r="AK47" s="484">
        <v>0</v>
      </c>
      <c r="AN47" s="524"/>
      <c r="AO47" s="524"/>
      <c r="AP47" s="484" t="str">
        <f t="shared" si="0"/>
        <v/>
      </c>
    </row>
    <row r="48" spans="2:42">
      <c r="B48" s="484" t="s">
        <v>1233</v>
      </c>
      <c r="C48" s="521">
        <v>42429</v>
      </c>
      <c r="D48" s="522">
        <v>18.7</v>
      </c>
      <c r="E48" s="523" t="s">
        <v>1105</v>
      </c>
      <c r="F48" s="484" t="s">
        <v>1339</v>
      </c>
      <c r="G48" s="524" t="s">
        <v>1107</v>
      </c>
      <c r="H48" s="484" t="s">
        <v>1120</v>
      </c>
      <c r="I48" s="484" t="s">
        <v>1116</v>
      </c>
      <c r="J48" s="484" t="s">
        <v>1110</v>
      </c>
      <c r="K48" s="488" t="s">
        <v>1340</v>
      </c>
      <c r="L48" s="488"/>
      <c r="M48" s="488" t="s">
        <v>1341</v>
      </c>
      <c r="N48" s="509">
        <v>42419</v>
      </c>
      <c r="O48" s="488" t="s">
        <v>1342</v>
      </c>
      <c r="P48" s="488">
        <v>169425</v>
      </c>
      <c r="Q48" s="484" t="s">
        <v>1343</v>
      </c>
      <c r="T48" s="484" t="s">
        <v>1344</v>
      </c>
      <c r="U48" s="484" t="s">
        <v>1345</v>
      </c>
      <c r="V48" s="484">
        <v>2000</v>
      </c>
      <c r="W48" s="521">
        <v>42430</v>
      </c>
      <c r="X48" s="521">
        <v>42430</v>
      </c>
      <c r="Y48" s="484">
        <v>500</v>
      </c>
      <c r="Z48" s="521">
        <v>42429</v>
      </c>
      <c r="AA48" s="484" t="s">
        <v>1113</v>
      </c>
      <c r="AB48" s="484">
        <v>0</v>
      </c>
      <c r="AC48" s="484">
        <v>0</v>
      </c>
      <c r="AD48" s="484">
        <v>0</v>
      </c>
      <c r="AE48" s="484">
        <v>0</v>
      </c>
      <c r="AF48" s="484">
        <v>0</v>
      </c>
      <c r="AG48" s="484">
        <v>1</v>
      </c>
      <c r="AH48" s="484">
        <v>70195</v>
      </c>
      <c r="AI48" s="484">
        <v>2120</v>
      </c>
      <c r="AJ48" s="484">
        <v>0</v>
      </c>
      <c r="AK48" s="484">
        <v>0</v>
      </c>
      <c r="AN48" s="524"/>
      <c r="AO48" s="524"/>
      <c r="AP48" s="484" t="str">
        <f t="shared" si="0"/>
        <v>VO03891713</v>
      </c>
    </row>
    <row r="49" spans="2:42">
      <c r="B49" s="484" t="s">
        <v>1233</v>
      </c>
      <c r="C49" s="521">
        <v>42436</v>
      </c>
      <c r="D49" s="522">
        <v>95.47</v>
      </c>
      <c r="E49" s="523" t="s">
        <v>1105</v>
      </c>
      <c r="F49" s="484" t="s">
        <v>1346</v>
      </c>
      <c r="G49" s="524" t="s">
        <v>1107</v>
      </c>
      <c r="H49" s="484" t="s">
        <v>1120</v>
      </c>
      <c r="I49" s="484" t="s">
        <v>1109</v>
      </c>
      <c r="J49" s="484" t="s">
        <v>1110</v>
      </c>
      <c r="K49" s="488" t="s">
        <v>1235</v>
      </c>
      <c r="L49" s="488"/>
      <c r="M49" s="488" t="s">
        <v>1236</v>
      </c>
      <c r="N49" s="509">
        <v>42372</v>
      </c>
      <c r="O49" s="488" t="s">
        <v>1347</v>
      </c>
      <c r="P49" s="488">
        <v>12434</v>
      </c>
      <c r="Q49" s="484" t="s">
        <v>1348</v>
      </c>
      <c r="T49" s="484" t="s">
        <v>1349</v>
      </c>
      <c r="U49" s="484" t="s">
        <v>1350</v>
      </c>
      <c r="V49" s="484">
        <v>2000</v>
      </c>
      <c r="W49" s="521">
        <v>42436</v>
      </c>
      <c r="X49" s="521">
        <v>42436</v>
      </c>
      <c r="Y49" s="484">
        <v>8400</v>
      </c>
      <c r="Z49" s="521">
        <v>42437</v>
      </c>
      <c r="AA49" s="484" t="s">
        <v>1113</v>
      </c>
      <c r="AB49" s="484">
        <v>0</v>
      </c>
      <c r="AC49" s="484">
        <v>0</v>
      </c>
      <c r="AD49" s="484">
        <v>0</v>
      </c>
      <c r="AE49" s="484">
        <v>0</v>
      </c>
      <c r="AF49" s="484">
        <v>0</v>
      </c>
      <c r="AG49" s="484">
        <v>1</v>
      </c>
      <c r="AH49" s="484">
        <v>70195</v>
      </c>
      <c r="AI49" s="484">
        <v>2120</v>
      </c>
      <c r="AJ49" s="484">
        <v>0</v>
      </c>
      <c r="AK49" s="484">
        <v>0</v>
      </c>
      <c r="AN49" s="524"/>
      <c r="AO49" s="524"/>
      <c r="AP49" s="484" t="str">
        <f t="shared" si="0"/>
        <v>VO03895389</v>
      </c>
    </row>
    <row r="50" spans="2:42">
      <c r="B50" s="484" t="s">
        <v>1233</v>
      </c>
      <c r="C50" s="521">
        <v>42436</v>
      </c>
      <c r="D50" s="522">
        <v>104</v>
      </c>
      <c r="E50" s="523" t="s">
        <v>1105</v>
      </c>
      <c r="F50" s="484" t="s">
        <v>1346</v>
      </c>
      <c r="G50" s="524" t="s">
        <v>1107</v>
      </c>
      <c r="H50" s="484" t="s">
        <v>1120</v>
      </c>
      <c r="I50" s="484" t="s">
        <v>1109</v>
      </c>
      <c r="J50" s="484" t="s">
        <v>1110</v>
      </c>
      <c r="K50" s="488" t="s">
        <v>1340</v>
      </c>
      <c r="L50" s="488"/>
      <c r="M50" s="488" t="s">
        <v>1341</v>
      </c>
      <c r="N50" s="509">
        <v>42429</v>
      </c>
      <c r="O50" s="488" t="s">
        <v>1351</v>
      </c>
      <c r="P50" s="488">
        <v>168728</v>
      </c>
      <c r="Q50" s="484" t="s">
        <v>1352</v>
      </c>
      <c r="T50" s="484" t="s">
        <v>1353</v>
      </c>
      <c r="U50" s="484" t="s">
        <v>1350</v>
      </c>
      <c r="V50" s="484">
        <v>2000</v>
      </c>
      <c r="W50" s="521">
        <v>42436</v>
      </c>
      <c r="X50" s="521">
        <v>42436</v>
      </c>
      <c r="Y50" s="484">
        <v>2600</v>
      </c>
      <c r="Z50" s="521">
        <v>42439</v>
      </c>
      <c r="AA50" s="484" t="s">
        <v>1113</v>
      </c>
      <c r="AB50" s="484">
        <v>0</v>
      </c>
      <c r="AC50" s="484">
        <v>0</v>
      </c>
      <c r="AD50" s="484">
        <v>0</v>
      </c>
      <c r="AE50" s="484">
        <v>0</v>
      </c>
      <c r="AF50" s="484">
        <v>0</v>
      </c>
      <c r="AG50" s="484">
        <v>1</v>
      </c>
      <c r="AH50" s="484">
        <v>70195</v>
      </c>
      <c r="AI50" s="484">
        <v>2120</v>
      </c>
      <c r="AJ50" s="484">
        <v>0</v>
      </c>
      <c r="AK50" s="484">
        <v>0</v>
      </c>
      <c r="AN50" s="524"/>
      <c r="AO50" s="524"/>
      <c r="AP50" s="484" t="str">
        <f t="shared" si="0"/>
        <v>VO03895390</v>
      </c>
    </row>
    <row r="51" spans="2:42">
      <c r="B51" s="484" t="s">
        <v>1233</v>
      </c>
      <c r="C51" s="521">
        <v>42460</v>
      </c>
      <c r="D51" s="522">
        <v>225</v>
      </c>
      <c r="E51" s="523" t="s">
        <v>1105</v>
      </c>
      <c r="F51" s="484" t="s">
        <v>1216</v>
      </c>
      <c r="G51" s="524" t="s">
        <v>1107</v>
      </c>
      <c r="H51" s="484" t="s">
        <v>1217</v>
      </c>
      <c r="I51" s="484" t="s">
        <v>1109</v>
      </c>
      <c r="J51" s="484" t="s">
        <v>1110</v>
      </c>
      <c r="K51" s="488"/>
      <c r="L51" s="488"/>
      <c r="M51" s="488" t="s">
        <v>1354</v>
      </c>
      <c r="N51" s="509"/>
      <c r="O51" s="488"/>
      <c r="P51" s="488"/>
      <c r="T51" s="484" t="s">
        <v>1218</v>
      </c>
      <c r="U51" s="484" t="s">
        <v>1218</v>
      </c>
      <c r="W51" s="521">
        <v>42464</v>
      </c>
      <c r="X51" s="521">
        <v>42464</v>
      </c>
      <c r="Z51" s="521"/>
      <c r="AA51" s="484" t="s">
        <v>1113</v>
      </c>
      <c r="AB51" s="484">
        <v>0</v>
      </c>
      <c r="AC51" s="484">
        <v>0</v>
      </c>
      <c r="AD51" s="484">
        <v>0</v>
      </c>
      <c r="AE51" s="484">
        <v>0</v>
      </c>
      <c r="AF51" s="484">
        <v>0</v>
      </c>
      <c r="AG51" s="484">
        <v>1</v>
      </c>
      <c r="AH51" s="484">
        <v>70195</v>
      </c>
      <c r="AI51" s="484">
        <v>2120</v>
      </c>
      <c r="AJ51" s="484">
        <v>0</v>
      </c>
      <c r="AK51" s="484">
        <v>0</v>
      </c>
      <c r="AN51" s="524"/>
      <c r="AO51" s="524"/>
      <c r="AP51" s="484" t="str">
        <f t="shared" si="0"/>
        <v/>
      </c>
    </row>
    <row r="52" spans="2:42">
      <c r="B52" s="484" t="s">
        <v>1233</v>
      </c>
      <c r="C52" s="521">
        <v>42460</v>
      </c>
      <c r="D52" s="522">
        <v>507.69</v>
      </c>
      <c r="E52" s="523" t="s">
        <v>1105</v>
      </c>
      <c r="F52" s="484" t="s">
        <v>1355</v>
      </c>
      <c r="G52" s="524" t="s">
        <v>1107</v>
      </c>
      <c r="H52" s="484" t="s">
        <v>1356</v>
      </c>
      <c r="I52" s="484" t="s">
        <v>1109</v>
      </c>
      <c r="J52" s="484" t="s">
        <v>1110</v>
      </c>
      <c r="K52" s="488"/>
      <c r="L52" s="488"/>
      <c r="M52" s="488" t="s">
        <v>1357</v>
      </c>
      <c r="N52" s="509"/>
      <c r="O52" s="488"/>
      <c r="P52" s="488"/>
      <c r="T52" s="484" t="s">
        <v>1358</v>
      </c>
      <c r="U52" s="484" t="s">
        <v>1358</v>
      </c>
      <c r="W52" s="521">
        <v>42466</v>
      </c>
      <c r="X52" s="521">
        <v>42466</v>
      </c>
      <c r="Z52" s="521"/>
      <c r="AA52" s="484" t="s">
        <v>1113</v>
      </c>
      <c r="AB52" s="484">
        <v>0</v>
      </c>
      <c r="AC52" s="484">
        <v>0</v>
      </c>
      <c r="AD52" s="484">
        <v>0</v>
      </c>
      <c r="AE52" s="484">
        <v>0</v>
      </c>
      <c r="AF52" s="484">
        <v>0</v>
      </c>
      <c r="AG52" s="484">
        <v>1</v>
      </c>
      <c r="AH52" s="484">
        <v>70195</v>
      </c>
      <c r="AI52" s="484">
        <v>2120</v>
      </c>
      <c r="AJ52" s="484">
        <v>0</v>
      </c>
      <c r="AK52" s="484">
        <v>0</v>
      </c>
      <c r="AN52" s="524"/>
      <c r="AO52" s="524"/>
      <c r="AP52" s="484" t="str">
        <f t="shared" si="0"/>
        <v/>
      </c>
    </row>
    <row r="53" spans="2:42">
      <c r="B53" s="484" t="s">
        <v>1233</v>
      </c>
      <c r="C53" s="521">
        <v>42474</v>
      </c>
      <c r="D53" s="522">
        <v>95.47</v>
      </c>
      <c r="E53" s="523" t="s">
        <v>1105</v>
      </c>
      <c r="F53" s="484" t="s">
        <v>1359</v>
      </c>
      <c r="G53" s="524" t="s">
        <v>1107</v>
      </c>
      <c r="H53" s="484" t="s">
        <v>1120</v>
      </c>
      <c r="I53" s="484" t="s">
        <v>1205</v>
      </c>
      <c r="J53" s="484" t="s">
        <v>1110</v>
      </c>
      <c r="K53" s="488" t="s">
        <v>1235</v>
      </c>
      <c r="L53" s="488"/>
      <c r="M53" s="488" t="s">
        <v>1236</v>
      </c>
      <c r="N53" s="509">
        <v>42408</v>
      </c>
      <c r="O53" s="488" t="s">
        <v>1360</v>
      </c>
      <c r="P53" s="488">
        <v>12541</v>
      </c>
      <c r="Q53" s="484" t="s">
        <v>1361</v>
      </c>
      <c r="T53" s="484" t="s">
        <v>1362</v>
      </c>
      <c r="U53" s="484" t="s">
        <v>1363</v>
      </c>
      <c r="V53" s="484">
        <v>2000</v>
      </c>
      <c r="W53" s="521">
        <v>42474</v>
      </c>
      <c r="X53" s="521">
        <v>42481</v>
      </c>
      <c r="Y53" s="484">
        <v>8400</v>
      </c>
      <c r="Z53" s="521">
        <v>42473</v>
      </c>
      <c r="AA53" s="484" t="s">
        <v>1113</v>
      </c>
      <c r="AB53" s="484">
        <v>0</v>
      </c>
      <c r="AC53" s="484">
        <v>0</v>
      </c>
      <c r="AD53" s="484">
        <v>0</v>
      </c>
      <c r="AE53" s="484">
        <v>0</v>
      </c>
      <c r="AF53" s="484">
        <v>0</v>
      </c>
      <c r="AG53" s="484">
        <v>1</v>
      </c>
      <c r="AH53" s="484">
        <v>70195</v>
      </c>
      <c r="AI53" s="484">
        <v>2120</v>
      </c>
      <c r="AJ53" s="484">
        <v>0</v>
      </c>
      <c r="AK53" s="484">
        <v>0</v>
      </c>
      <c r="AN53" s="524"/>
      <c r="AO53" s="524"/>
      <c r="AP53" s="484" t="str">
        <f t="shared" si="0"/>
        <v>VO03922746</v>
      </c>
    </row>
    <row r="54" spans="2:42">
      <c r="B54" s="484" t="s">
        <v>1233</v>
      </c>
      <c r="C54" s="521">
        <v>42495</v>
      </c>
      <c r="D54" s="522">
        <v>95.47</v>
      </c>
      <c r="E54" s="523" t="s">
        <v>1105</v>
      </c>
      <c r="F54" s="484" t="s">
        <v>1364</v>
      </c>
      <c r="G54" s="524" t="s">
        <v>1107</v>
      </c>
      <c r="H54" s="484" t="s">
        <v>1120</v>
      </c>
      <c r="I54" s="484" t="s">
        <v>1205</v>
      </c>
      <c r="J54" s="484" t="s">
        <v>1110</v>
      </c>
      <c r="K54" s="488" t="s">
        <v>1235</v>
      </c>
      <c r="L54" s="488"/>
      <c r="M54" s="488" t="s">
        <v>1236</v>
      </c>
      <c r="N54" s="509">
        <v>42426</v>
      </c>
      <c r="O54" s="488" t="s">
        <v>1237</v>
      </c>
      <c r="P54" s="488">
        <v>12296</v>
      </c>
      <c r="Q54" s="484" t="s">
        <v>1365</v>
      </c>
      <c r="T54" s="484" t="s">
        <v>1366</v>
      </c>
      <c r="U54" s="484" t="s">
        <v>1367</v>
      </c>
      <c r="V54" s="484">
        <v>2000</v>
      </c>
      <c r="W54" s="521">
        <v>42495</v>
      </c>
      <c r="X54" s="521">
        <v>42495</v>
      </c>
      <c r="Y54" s="484">
        <v>8400</v>
      </c>
      <c r="Z54" s="521">
        <v>42491</v>
      </c>
      <c r="AA54" s="484" t="s">
        <v>1113</v>
      </c>
      <c r="AB54" s="484">
        <v>0</v>
      </c>
      <c r="AC54" s="484">
        <v>0</v>
      </c>
      <c r="AD54" s="484">
        <v>0</v>
      </c>
      <c r="AE54" s="484">
        <v>0</v>
      </c>
      <c r="AF54" s="484">
        <v>0</v>
      </c>
      <c r="AG54" s="484">
        <v>1</v>
      </c>
      <c r="AH54" s="484">
        <v>70195</v>
      </c>
      <c r="AI54" s="484">
        <v>2120</v>
      </c>
      <c r="AJ54" s="484">
        <v>0</v>
      </c>
      <c r="AK54" s="484">
        <v>0</v>
      </c>
      <c r="AN54" s="524"/>
      <c r="AO54" s="524"/>
      <c r="AP54" s="484" t="str">
        <f t="shared" si="0"/>
        <v>VO03935382</v>
      </c>
    </row>
    <row r="55" spans="2:42">
      <c r="B55" s="484" t="s">
        <v>1233</v>
      </c>
      <c r="C55" s="521">
        <v>42533</v>
      </c>
      <c r="D55" s="522">
        <v>92.73</v>
      </c>
      <c r="E55" s="523" t="s">
        <v>1105</v>
      </c>
      <c r="F55" s="484" t="s">
        <v>1368</v>
      </c>
      <c r="G55" s="524" t="s">
        <v>1107</v>
      </c>
      <c r="H55" s="484" t="s">
        <v>1120</v>
      </c>
      <c r="I55" s="484" t="s">
        <v>1369</v>
      </c>
      <c r="J55" s="484" t="s">
        <v>1110</v>
      </c>
      <c r="K55" s="488" t="s">
        <v>1235</v>
      </c>
      <c r="L55" s="488"/>
      <c r="M55" s="488" t="s">
        <v>1236</v>
      </c>
      <c r="N55" s="509">
        <v>42522</v>
      </c>
      <c r="O55" s="488" t="s">
        <v>1370</v>
      </c>
      <c r="P55" s="488">
        <v>12859</v>
      </c>
      <c r="Q55" s="484" t="s">
        <v>1371</v>
      </c>
      <c r="T55" s="484" t="s">
        <v>1372</v>
      </c>
      <c r="U55" s="484" t="s">
        <v>1373</v>
      </c>
      <c r="V55" s="484">
        <v>2000</v>
      </c>
      <c r="W55" s="521">
        <v>42533</v>
      </c>
      <c r="X55" s="521">
        <v>42535</v>
      </c>
      <c r="Y55" s="484">
        <v>8400</v>
      </c>
      <c r="Z55" s="521">
        <v>42587</v>
      </c>
      <c r="AA55" s="484" t="s">
        <v>1113</v>
      </c>
      <c r="AB55" s="484">
        <v>0</v>
      </c>
      <c r="AC55" s="484">
        <v>0</v>
      </c>
      <c r="AD55" s="484">
        <v>0</v>
      </c>
      <c r="AE55" s="484">
        <v>0</v>
      </c>
      <c r="AF55" s="484">
        <v>0</v>
      </c>
      <c r="AG55" s="484">
        <v>1</v>
      </c>
      <c r="AH55" s="484">
        <v>70195</v>
      </c>
      <c r="AI55" s="484">
        <v>2120</v>
      </c>
      <c r="AJ55" s="484">
        <v>0</v>
      </c>
      <c r="AK55" s="484">
        <v>0</v>
      </c>
      <c r="AN55" s="524"/>
      <c r="AO55" s="524"/>
      <c r="AP55" s="484" t="str">
        <f t="shared" si="0"/>
        <v>VO03959040</v>
      </c>
    </row>
    <row r="56" spans="2:42">
      <c r="B56" s="484" t="s">
        <v>1233</v>
      </c>
      <c r="C56" s="521">
        <v>42551</v>
      </c>
      <c r="D56" s="522">
        <v>180.52</v>
      </c>
      <c r="E56" s="523" t="s">
        <v>1105</v>
      </c>
      <c r="F56" s="484" t="s">
        <v>1374</v>
      </c>
      <c r="G56" s="524" t="s">
        <v>1107</v>
      </c>
      <c r="H56" s="484" t="s">
        <v>1375</v>
      </c>
      <c r="I56" s="484" t="s">
        <v>1109</v>
      </c>
      <c r="J56" s="484" t="s">
        <v>1110</v>
      </c>
      <c r="K56" s="488"/>
      <c r="L56" s="488"/>
      <c r="M56" s="488" t="s">
        <v>1376</v>
      </c>
      <c r="N56" s="509"/>
      <c r="O56" s="488"/>
      <c r="P56" s="488"/>
      <c r="T56" s="484" t="s">
        <v>1377</v>
      </c>
      <c r="U56" s="484" t="s">
        <v>1377</v>
      </c>
      <c r="W56" s="521">
        <v>42558</v>
      </c>
      <c r="X56" s="521">
        <v>42558</v>
      </c>
      <c r="Z56" s="521"/>
      <c r="AA56" s="484" t="s">
        <v>1113</v>
      </c>
      <c r="AB56" s="484">
        <v>0</v>
      </c>
      <c r="AC56" s="484">
        <v>0</v>
      </c>
      <c r="AD56" s="484">
        <v>0</v>
      </c>
      <c r="AE56" s="484">
        <v>0</v>
      </c>
      <c r="AF56" s="484">
        <v>0</v>
      </c>
      <c r="AG56" s="484">
        <v>1</v>
      </c>
      <c r="AH56" s="484">
        <v>70195</v>
      </c>
      <c r="AI56" s="484">
        <v>2120</v>
      </c>
      <c r="AJ56" s="484">
        <v>0</v>
      </c>
      <c r="AK56" s="484">
        <v>0</v>
      </c>
      <c r="AN56" s="524"/>
      <c r="AO56" s="524"/>
      <c r="AP56" s="484" t="str">
        <f t="shared" si="0"/>
        <v/>
      </c>
    </row>
    <row r="57" spans="2:42">
      <c r="B57" s="484" t="s">
        <v>1233</v>
      </c>
      <c r="C57" s="521">
        <v>42565</v>
      </c>
      <c r="D57" s="522">
        <v>92.73</v>
      </c>
      <c r="E57" s="523" t="s">
        <v>1105</v>
      </c>
      <c r="F57" s="484" t="s">
        <v>1378</v>
      </c>
      <c r="G57" s="524" t="s">
        <v>1107</v>
      </c>
      <c r="H57" s="484" t="s">
        <v>1120</v>
      </c>
      <c r="I57" s="484" t="s">
        <v>1205</v>
      </c>
      <c r="J57" s="484" t="s">
        <v>1110</v>
      </c>
      <c r="K57" s="488" t="s">
        <v>1235</v>
      </c>
      <c r="L57" s="488"/>
      <c r="M57" s="488" t="s">
        <v>1236</v>
      </c>
      <c r="N57" s="509">
        <v>42552</v>
      </c>
      <c r="O57" s="488" t="s">
        <v>1379</v>
      </c>
      <c r="P57" s="488">
        <v>12938</v>
      </c>
      <c r="Q57" s="484" t="s">
        <v>1380</v>
      </c>
      <c r="T57" s="484" t="s">
        <v>1381</v>
      </c>
      <c r="U57" s="484" t="s">
        <v>1382</v>
      </c>
      <c r="V57" s="484">
        <v>2000</v>
      </c>
      <c r="W57" s="521">
        <v>42565</v>
      </c>
      <c r="X57" s="521">
        <v>42566</v>
      </c>
      <c r="Y57" s="484">
        <v>8400</v>
      </c>
      <c r="Z57" s="521">
        <v>42617</v>
      </c>
      <c r="AA57" s="484" t="s">
        <v>1113</v>
      </c>
      <c r="AB57" s="484">
        <v>0</v>
      </c>
      <c r="AC57" s="484">
        <v>0</v>
      </c>
      <c r="AD57" s="484">
        <v>0</v>
      </c>
      <c r="AE57" s="484">
        <v>0</v>
      </c>
      <c r="AF57" s="484">
        <v>0</v>
      </c>
      <c r="AG57" s="484">
        <v>1</v>
      </c>
      <c r="AH57" s="484">
        <v>70195</v>
      </c>
      <c r="AI57" s="484">
        <v>2120</v>
      </c>
      <c r="AJ57" s="484">
        <v>0</v>
      </c>
      <c r="AK57" s="484">
        <v>0</v>
      </c>
      <c r="AN57" s="524"/>
      <c r="AO57" s="524"/>
      <c r="AP57" s="484" t="str">
        <f t="shared" si="0"/>
        <v>VO03988345</v>
      </c>
    </row>
    <row r="58" spans="2:42">
      <c r="C58" s="521"/>
      <c r="D58" s="526"/>
      <c r="E58" s="526"/>
      <c r="G58" s="487"/>
    </row>
    <row r="59" spans="2:42">
      <c r="B59" s="527" t="s">
        <v>1226</v>
      </c>
      <c r="C59" s="527"/>
      <c r="D59" s="528"/>
      <c r="E59" s="528"/>
      <c r="F59" s="527"/>
      <c r="G59" s="529"/>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30"/>
    </row>
    <row r="60" spans="2:42">
      <c r="G60" s="487"/>
    </row>
    <row r="61" spans="2:42">
      <c r="E61" s="484" t="s">
        <v>1227</v>
      </c>
      <c r="F61" s="484" t="s">
        <v>1228</v>
      </c>
    </row>
    <row r="62" spans="2:42">
      <c r="E62" s="488" t="s">
        <v>1236</v>
      </c>
      <c r="F62" s="531">
        <v>1331.1000000000001</v>
      </c>
    </row>
    <row r="63" spans="2:42">
      <c r="E63" s="488" t="s">
        <v>1237</v>
      </c>
      <c r="F63" s="531">
        <v>-95.47</v>
      </c>
    </row>
    <row r="64" spans="2:42">
      <c r="E64" s="488" t="s">
        <v>1247</v>
      </c>
      <c r="F64" s="531">
        <v>85</v>
      </c>
    </row>
    <row r="65" spans="2:7">
      <c r="E65" s="488" t="s">
        <v>1256</v>
      </c>
      <c r="F65" s="531">
        <v>0</v>
      </c>
    </row>
    <row r="66" spans="2:7">
      <c r="E66" s="488" t="s">
        <v>1267</v>
      </c>
      <c r="F66" s="531">
        <v>0</v>
      </c>
    </row>
    <row r="67" spans="2:7">
      <c r="E67" s="488" t="s">
        <v>1277</v>
      </c>
      <c r="F67" s="531">
        <v>225</v>
      </c>
      <c r="G67" s="485"/>
    </row>
    <row r="68" spans="2:7">
      <c r="E68" s="488" t="s">
        <v>1294</v>
      </c>
      <c r="F68" s="531">
        <v>300</v>
      </c>
      <c r="G68" s="485" t="s">
        <v>1229</v>
      </c>
    </row>
    <row r="69" spans="2:7">
      <c r="E69" s="488" t="s">
        <v>1301</v>
      </c>
      <c r="F69" s="531">
        <v>795</v>
      </c>
    </row>
    <row r="70" spans="2:7">
      <c r="E70" s="488" t="s">
        <v>1307</v>
      </c>
      <c r="F70" s="531">
        <v>459.23</v>
      </c>
    </row>
    <row r="71" spans="2:7">
      <c r="E71" s="488" t="s">
        <v>1313</v>
      </c>
      <c r="F71" s="531">
        <v>30</v>
      </c>
    </row>
    <row r="72" spans="2:7">
      <c r="E72" s="488" t="s">
        <v>1316</v>
      </c>
      <c r="F72" s="531">
        <v>0</v>
      </c>
    </row>
    <row r="73" spans="2:7">
      <c r="E73" s="488" t="s">
        <v>1324</v>
      </c>
      <c r="F73" s="531">
        <v>0</v>
      </c>
    </row>
    <row r="74" spans="2:7">
      <c r="E74" s="488" t="s">
        <v>1341</v>
      </c>
      <c r="F74" s="531">
        <v>122.7</v>
      </c>
      <c r="G74" s="485" t="s">
        <v>1229</v>
      </c>
    </row>
    <row r="75" spans="2:7">
      <c r="E75" s="488" t="s">
        <v>1354</v>
      </c>
      <c r="F75" s="531">
        <v>225</v>
      </c>
      <c r="G75" s="485"/>
    </row>
    <row r="76" spans="2:7">
      <c r="E76" s="488" t="s">
        <v>1357</v>
      </c>
      <c r="F76" s="531">
        <v>507.69</v>
      </c>
    </row>
    <row r="77" spans="2:7">
      <c r="B77" s="532"/>
      <c r="E77" s="488" t="s">
        <v>1376</v>
      </c>
      <c r="F77" s="531">
        <v>180.52</v>
      </c>
    </row>
    <row r="78" spans="2:7">
      <c r="E78" s="488" t="s">
        <v>1230</v>
      </c>
      <c r="F78" s="531">
        <v>4165.7700000000004</v>
      </c>
    </row>
    <row r="80" spans="2:7">
      <c r="E80" s="533" t="s">
        <v>1231</v>
      </c>
      <c r="F80" s="534">
        <f>GETPIVOTDATA("Amount USD",$E$61,"Further Description","COLFAX CHAMBER OF COMMERCE")+GETPIVOTDATA("Amount USD",$E$61,"Further Description","ASSOCIATION OF WASHINGTON BUSINESS")</f>
        <v>422.7</v>
      </c>
    </row>
    <row r="82" spans="5:7">
      <c r="G82" s="485"/>
    </row>
    <row r="87" spans="5:7">
      <c r="E87" s="533" t="s">
        <v>1231</v>
      </c>
      <c r="F87" s="534" t="e">
        <f>GETPIVOTDATA("Amount USD",$E$61,"Further Description","COLFAX ROTARY CLUB")+GETPIVOTDATA("Amount USD",$E$61,"Further Description","WASHINGTON STATE RECYCLIN~LAWHEAD")</f>
        <v>#REF!</v>
      </c>
    </row>
  </sheetData>
  <dataValidations count="1">
    <dataValidation type="list" allowBlank="1" showInputMessage="1" showErrorMessage="1" sqref="O15">
      <formula1>"All,Posted/Unposted,Posted,Unposted,Staged"</formula1>
    </dataValidation>
  </dataValidations>
  <pageMargins left="0.27" right="0.28999999999999998" top="0.37" bottom="0.43" header="0.25" footer="0.25"/>
  <pageSetup scale="49" fitToHeight="0" orientation="landscape" r:id="rId2"/>
  <headerFooter alignWithMargins="0">
    <oddHeader>&amp;L&amp;"Arial"&amp;L&amp;08 &amp;R&amp;"Arial"&amp;R&amp;08 &amp;D-&amp;T-Jeff Honsowetz</oddHeader>
    <oddFooter>&amp;L&amp;"Arial"&amp;L&amp;08 Path:D:\Data_WCNX\Financials\MidMonths\BrentProject\\&amp;F-&amp;A&amp;R&amp;"Arial"&amp;R&amp;08  Page &amp;P</oddFoot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J186"/>
  <sheetViews>
    <sheetView showGridLines="0" zoomScale="75" workbookViewId="0">
      <selection activeCell="R24" sqref="R24"/>
    </sheetView>
  </sheetViews>
  <sheetFormatPr defaultColWidth="13.85546875" defaultRowHeight="12.75" outlineLevelRow="1"/>
  <cols>
    <col min="1" max="1" width="6.85546875" style="60" customWidth="1"/>
    <col min="2" max="3" width="2.28515625" style="60" customWidth="1"/>
    <col min="4" max="4" width="24.7109375" style="60" customWidth="1"/>
    <col min="5" max="5" width="3.85546875" style="60" customWidth="1"/>
    <col min="6" max="6" width="2" style="60" customWidth="1"/>
    <col min="7" max="7" width="1.85546875" style="60" customWidth="1"/>
    <col min="8" max="8" width="15.5703125" style="60" customWidth="1"/>
    <col min="9" max="9" width="1.85546875" style="60" customWidth="1"/>
    <col min="10" max="10" width="3.140625" style="60" customWidth="1"/>
    <col min="11" max="11" width="2.85546875" style="60" customWidth="1"/>
    <col min="12" max="244" width="13.85546875" style="60"/>
    <col min="245" max="245" width="7" style="60" customWidth="1"/>
    <col min="246" max="246" width="16.5703125" style="60" customWidth="1"/>
    <col min="247" max="247" width="4.28515625" style="60" customWidth="1"/>
    <col min="248" max="248" width="6.85546875" style="60" customWidth="1"/>
    <col min="249" max="250" width="2.28515625" style="60" customWidth="1"/>
    <col min="251" max="251" width="10.85546875" style="60" customWidth="1"/>
    <col min="252" max="252" width="3.85546875" style="60" customWidth="1"/>
    <col min="253" max="253" width="2" style="60" customWidth="1"/>
    <col min="254" max="254" width="15.5703125" style="60" customWidth="1"/>
    <col min="255" max="255" width="1.85546875" style="60" customWidth="1"/>
    <col min="256" max="256" width="15.5703125" style="60" customWidth="1"/>
    <col min="257" max="257" width="1.85546875" style="60" customWidth="1"/>
    <col min="258" max="258" width="15.5703125" style="60" customWidth="1"/>
    <col min="259" max="259" width="1.85546875" style="60" customWidth="1"/>
    <col min="260" max="260" width="15.5703125" style="60" customWidth="1"/>
    <col min="261" max="261" width="3.140625" style="60" customWidth="1"/>
    <col min="262" max="262" width="15.5703125" style="60" customWidth="1"/>
    <col min="263" max="263" width="14.28515625" style="60" customWidth="1"/>
    <col min="264" max="264" width="15.5703125" style="60" customWidth="1"/>
    <col min="265" max="265" width="1.85546875" style="60" customWidth="1"/>
    <col min="266" max="266" width="15.5703125" style="60" customWidth="1"/>
    <col min="267" max="267" width="2.85546875" style="60" customWidth="1"/>
    <col min="268" max="500" width="13.85546875" style="60"/>
    <col min="501" max="501" width="7" style="60" customWidth="1"/>
    <col min="502" max="502" width="16.5703125" style="60" customWidth="1"/>
    <col min="503" max="503" width="4.28515625" style="60" customWidth="1"/>
    <col min="504" max="504" width="6.85546875" style="60" customWidth="1"/>
    <col min="505" max="506" width="2.28515625" style="60" customWidth="1"/>
    <col min="507" max="507" width="10.85546875" style="60" customWidth="1"/>
    <col min="508" max="508" width="3.85546875" style="60" customWidth="1"/>
    <col min="509" max="509" width="2" style="60" customWidth="1"/>
    <col min="510" max="510" width="15.5703125" style="60" customWidth="1"/>
    <col min="511" max="511" width="1.85546875" style="60" customWidth="1"/>
    <col min="512" max="512" width="15.5703125" style="60" customWidth="1"/>
    <col min="513" max="513" width="1.85546875" style="60" customWidth="1"/>
    <col min="514" max="514" width="15.5703125" style="60" customWidth="1"/>
    <col min="515" max="515" width="1.85546875" style="60" customWidth="1"/>
    <col min="516" max="516" width="15.5703125" style="60" customWidth="1"/>
    <col min="517" max="517" width="3.140625" style="60" customWidth="1"/>
    <col min="518" max="518" width="15.5703125" style="60" customWidth="1"/>
    <col min="519" max="519" width="14.28515625" style="60" customWidth="1"/>
    <col min="520" max="520" width="15.5703125" style="60" customWidth="1"/>
    <col min="521" max="521" width="1.85546875" style="60" customWidth="1"/>
    <col min="522" max="522" width="15.5703125" style="60" customWidth="1"/>
    <col min="523" max="523" width="2.85546875" style="60" customWidth="1"/>
    <col min="524" max="756" width="13.85546875" style="60"/>
    <col min="757" max="757" width="7" style="60" customWidth="1"/>
    <col min="758" max="758" width="16.5703125" style="60" customWidth="1"/>
    <col min="759" max="759" width="4.28515625" style="60" customWidth="1"/>
    <col min="760" max="760" width="6.85546875" style="60" customWidth="1"/>
    <col min="761" max="762" width="2.28515625" style="60" customWidth="1"/>
    <col min="763" max="763" width="10.85546875" style="60" customWidth="1"/>
    <col min="764" max="764" width="3.85546875" style="60" customWidth="1"/>
    <col min="765" max="765" width="2" style="60" customWidth="1"/>
    <col min="766" max="766" width="15.5703125" style="60" customWidth="1"/>
    <col min="767" max="767" width="1.85546875" style="60" customWidth="1"/>
    <col min="768" max="768" width="15.5703125" style="60" customWidth="1"/>
    <col min="769" max="769" width="1.85546875" style="60" customWidth="1"/>
    <col min="770" max="770" width="15.5703125" style="60" customWidth="1"/>
    <col min="771" max="771" width="1.85546875" style="60" customWidth="1"/>
    <col min="772" max="772" width="15.5703125" style="60" customWidth="1"/>
    <col min="773" max="773" width="3.140625" style="60" customWidth="1"/>
    <col min="774" max="774" width="15.5703125" style="60" customWidth="1"/>
    <col min="775" max="775" width="14.28515625" style="60" customWidth="1"/>
    <col min="776" max="776" width="15.5703125" style="60" customWidth="1"/>
    <col min="777" max="777" width="1.85546875" style="60" customWidth="1"/>
    <col min="778" max="778" width="15.5703125" style="60" customWidth="1"/>
    <col min="779" max="779" width="2.85546875" style="60" customWidth="1"/>
    <col min="780" max="1012" width="13.85546875" style="60"/>
    <col min="1013" max="1013" width="7" style="60" customWidth="1"/>
    <col min="1014" max="1014" width="16.5703125" style="60" customWidth="1"/>
    <col min="1015" max="1015" width="4.28515625" style="60" customWidth="1"/>
    <col min="1016" max="1016" width="6.85546875" style="60" customWidth="1"/>
    <col min="1017" max="1018" width="2.28515625" style="60" customWidth="1"/>
    <col min="1019" max="1019" width="10.85546875" style="60" customWidth="1"/>
    <col min="1020" max="1020" width="3.85546875" style="60" customWidth="1"/>
    <col min="1021" max="1021" width="2" style="60" customWidth="1"/>
    <col min="1022" max="1022" width="15.5703125" style="60" customWidth="1"/>
    <col min="1023" max="1023" width="1.85546875" style="60" customWidth="1"/>
    <col min="1024" max="1024" width="15.5703125" style="60" customWidth="1"/>
    <col min="1025" max="1025" width="1.85546875" style="60" customWidth="1"/>
    <col min="1026" max="1026" width="15.5703125" style="60" customWidth="1"/>
    <col min="1027" max="1027" width="1.85546875" style="60" customWidth="1"/>
    <col min="1028" max="1028" width="15.5703125" style="60" customWidth="1"/>
    <col min="1029" max="1029" width="3.140625" style="60" customWidth="1"/>
    <col min="1030" max="1030" width="15.5703125" style="60" customWidth="1"/>
    <col min="1031" max="1031" width="14.28515625" style="60" customWidth="1"/>
    <col min="1032" max="1032" width="15.5703125" style="60" customWidth="1"/>
    <col min="1033" max="1033" width="1.85546875" style="60" customWidth="1"/>
    <col min="1034" max="1034" width="15.5703125" style="60" customWidth="1"/>
    <col min="1035" max="1035" width="2.85546875" style="60" customWidth="1"/>
    <col min="1036" max="1268" width="13.85546875" style="60"/>
    <col min="1269" max="1269" width="7" style="60" customWidth="1"/>
    <col min="1270" max="1270" width="16.5703125" style="60" customWidth="1"/>
    <col min="1271" max="1271" width="4.28515625" style="60" customWidth="1"/>
    <col min="1272" max="1272" width="6.85546875" style="60" customWidth="1"/>
    <col min="1273" max="1274" width="2.28515625" style="60" customWidth="1"/>
    <col min="1275" max="1275" width="10.85546875" style="60" customWidth="1"/>
    <col min="1276" max="1276" width="3.85546875" style="60" customWidth="1"/>
    <col min="1277" max="1277" width="2" style="60" customWidth="1"/>
    <col min="1278" max="1278" width="15.5703125" style="60" customWidth="1"/>
    <col min="1279" max="1279" width="1.85546875" style="60" customWidth="1"/>
    <col min="1280" max="1280" width="15.5703125" style="60" customWidth="1"/>
    <col min="1281" max="1281" width="1.85546875" style="60" customWidth="1"/>
    <col min="1282" max="1282" width="15.5703125" style="60" customWidth="1"/>
    <col min="1283" max="1283" width="1.85546875" style="60" customWidth="1"/>
    <col min="1284" max="1284" width="15.5703125" style="60" customWidth="1"/>
    <col min="1285" max="1285" width="3.140625" style="60" customWidth="1"/>
    <col min="1286" max="1286" width="15.5703125" style="60" customWidth="1"/>
    <col min="1287" max="1287" width="14.28515625" style="60" customWidth="1"/>
    <col min="1288" max="1288" width="15.5703125" style="60" customWidth="1"/>
    <col min="1289" max="1289" width="1.85546875" style="60" customWidth="1"/>
    <col min="1290" max="1290" width="15.5703125" style="60" customWidth="1"/>
    <col min="1291" max="1291" width="2.85546875" style="60" customWidth="1"/>
    <col min="1292" max="1524" width="13.85546875" style="60"/>
    <col min="1525" max="1525" width="7" style="60" customWidth="1"/>
    <col min="1526" max="1526" width="16.5703125" style="60" customWidth="1"/>
    <col min="1527" max="1527" width="4.28515625" style="60" customWidth="1"/>
    <col min="1528" max="1528" width="6.85546875" style="60" customWidth="1"/>
    <col min="1529" max="1530" width="2.28515625" style="60" customWidth="1"/>
    <col min="1531" max="1531" width="10.85546875" style="60" customWidth="1"/>
    <col min="1532" max="1532" width="3.85546875" style="60" customWidth="1"/>
    <col min="1533" max="1533" width="2" style="60" customWidth="1"/>
    <col min="1534" max="1534" width="15.5703125" style="60" customWidth="1"/>
    <col min="1535" max="1535" width="1.85546875" style="60" customWidth="1"/>
    <col min="1536" max="1536" width="15.5703125" style="60" customWidth="1"/>
    <col min="1537" max="1537" width="1.85546875" style="60" customWidth="1"/>
    <col min="1538" max="1538" width="15.5703125" style="60" customWidth="1"/>
    <col min="1539" max="1539" width="1.85546875" style="60" customWidth="1"/>
    <col min="1540" max="1540" width="15.5703125" style="60" customWidth="1"/>
    <col min="1541" max="1541" width="3.140625" style="60" customWidth="1"/>
    <col min="1542" max="1542" width="15.5703125" style="60" customWidth="1"/>
    <col min="1543" max="1543" width="14.28515625" style="60" customWidth="1"/>
    <col min="1544" max="1544" width="15.5703125" style="60" customWidth="1"/>
    <col min="1545" max="1545" width="1.85546875" style="60" customWidth="1"/>
    <col min="1546" max="1546" width="15.5703125" style="60" customWidth="1"/>
    <col min="1547" max="1547" width="2.85546875" style="60" customWidth="1"/>
    <col min="1548" max="1780" width="13.85546875" style="60"/>
    <col min="1781" max="1781" width="7" style="60" customWidth="1"/>
    <col min="1782" max="1782" width="16.5703125" style="60" customWidth="1"/>
    <col min="1783" max="1783" width="4.28515625" style="60" customWidth="1"/>
    <col min="1784" max="1784" width="6.85546875" style="60" customWidth="1"/>
    <col min="1785" max="1786" width="2.28515625" style="60" customWidth="1"/>
    <col min="1787" max="1787" width="10.85546875" style="60" customWidth="1"/>
    <col min="1788" max="1788" width="3.85546875" style="60" customWidth="1"/>
    <col min="1789" max="1789" width="2" style="60" customWidth="1"/>
    <col min="1790" max="1790" width="15.5703125" style="60" customWidth="1"/>
    <col min="1791" max="1791" width="1.85546875" style="60" customWidth="1"/>
    <col min="1792" max="1792" width="15.5703125" style="60" customWidth="1"/>
    <col min="1793" max="1793" width="1.85546875" style="60" customWidth="1"/>
    <col min="1794" max="1794" width="15.5703125" style="60" customWidth="1"/>
    <col min="1795" max="1795" width="1.85546875" style="60" customWidth="1"/>
    <col min="1796" max="1796" width="15.5703125" style="60" customWidth="1"/>
    <col min="1797" max="1797" width="3.140625" style="60" customWidth="1"/>
    <col min="1798" max="1798" width="15.5703125" style="60" customWidth="1"/>
    <col min="1799" max="1799" width="14.28515625" style="60" customWidth="1"/>
    <col min="1800" max="1800" width="15.5703125" style="60" customWidth="1"/>
    <col min="1801" max="1801" width="1.85546875" style="60" customWidth="1"/>
    <col min="1802" max="1802" width="15.5703125" style="60" customWidth="1"/>
    <col min="1803" max="1803" width="2.85546875" style="60" customWidth="1"/>
    <col min="1804" max="2036" width="13.85546875" style="60"/>
    <col min="2037" max="2037" width="7" style="60" customWidth="1"/>
    <col min="2038" max="2038" width="16.5703125" style="60" customWidth="1"/>
    <col min="2039" max="2039" width="4.28515625" style="60" customWidth="1"/>
    <col min="2040" max="2040" width="6.85546875" style="60" customWidth="1"/>
    <col min="2041" max="2042" width="2.28515625" style="60" customWidth="1"/>
    <col min="2043" max="2043" width="10.85546875" style="60" customWidth="1"/>
    <col min="2044" max="2044" width="3.85546875" style="60" customWidth="1"/>
    <col min="2045" max="2045" width="2" style="60" customWidth="1"/>
    <col min="2046" max="2046" width="15.5703125" style="60" customWidth="1"/>
    <col min="2047" max="2047" width="1.85546875" style="60" customWidth="1"/>
    <col min="2048" max="2048" width="15.5703125" style="60" customWidth="1"/>
    <col min="2049" max="2049" width="1.85546875" style="60" customWidth="1"/>
    <col min="2050" max="2050" width="15.5703125" style="60" customWidth="1"/>
    <col min="2051" max="2051" width="1.85546875" style="60" customWidth="1"/>
    <col min="2052" max="2052" width="15.5703125" style="60" customWidth="1"/>
    <col min="2053" max="2053" width="3.140625" style="60" customWidth="1"/>
    <col min="2054" max="2054" width="15.5703125" style="60" customWidth="1"/>
    <col min="2055" max="2055" width="14.28515625" style="60" customWidth="1"/>
    <col min="2056" max="2056" width="15.5703125" style="60" customWidth="1"/>
    <col min="2057" max="2057" width="1.85546875" style="60" customWidth="1"/>
    <col min="2058" max="2058" width="15.5703125" style="60" customWidth="1"/>
    <col min="2059" max="2059" width="2.85546875" style="60" customWidth="1"/>
    <col min="2060" max="2292" width="13.85546875" style="60"/>
    <col min="2293" max="2293" width="7" style="60" customWidth="1"/>
    <col min="2294" max="2294" width="16.5703125" style="60" customWidth="1"/>
    <col min="2295" max="2295" width="4.28515625" style="60" customWidth="1"/>
    <col min="2296" max="2296" width="6.85546875" style="60" customWidth="1"/>
    <col min="2297" max="2298" width="2.28515625" style="60" customWidth="1"/>
    <col min="2299" max="2299" width="10.85546875" style="60" customWidth="1"/>
    <col min="2300" max="2300" width="3.85546875" style="60" customWidth="1"/>
    <col min="2301" max="2301" width="2" style="60" customWidth="1"/>
    <col min="2302" max="2302" width="15.5703125" style="60" customWidth="1"/>
    <col min="2303" max="2303" width="1.85546875" style="60" customWidth="1"/>
    <col min="2304" max="2304" width="15.5703125" style="60" customWidth="1"/>
    <col min="2305" max="2305" width="1.85546875" style="60" customWidth="1"/>
    <col min="2306" max="2306" width="15.5703125" style="60" customWidth="1"/>
    <col min="2307" max="2307" width="1.85546875" style="60" customWidth="1"/>
    <col min="2308" max="2308" width="15.5703125" style="60" customWidth="1"/>
    <col min="2309" max="2309" width="3.140625" style="60" customWidth="1"/>
    <col min="2310" max="2310" width="15.5703125" style="60" customWidth="1"/>
    <col min="2311" max="2311" width="14.28515625" style="60" customWidth="1"/>
    <col min="2312" max="2312" width="15.5703125" style="60" customWidth="1"/>
    <col min="2313" max="2313" width="1.85546875" style="60" customWidth="1"/>
    <col min="2314" max="2314" width="15.5703125" style="60" customWidth="1"/>
    <col min="2315" max="2315" width="2.85546875" style="60" customWidth="1"/>
    <col min="2316" max="2548" width="13.85546875" style="60"/>
    <col min="2549" max="2549" width="7" style="60" customWidth="1"/>
    <col min="2550" max="2550" width="16.5703125" style="60" customWidth="1"/>
    <col min="2551" max="2551" width="4.28515625" style="60" customWidth="1"/>
    <col min="2552" max="2552" width="6.85546875" style="60" customWidth="1"/>
    <col min="2553" max="2554" width="2.28515625" style="60" customWidth="1"/>
    <col min="2555" max="2555" width="10.85546875" style="60" customWidth="1"/>
    <col min="2556" max="2556" width="3.85546875" style="60" customWidth="1"/>
    <col min="2557" max="2557" width="2" style="60" customWidth="1"/>
    <col min="2558" max="2558" width="15.5703125" style="60" customWidth="1"/>
    <col min="2559" max="2559" width="1.85546875" style="60" customWidth="1"/>
    <col min="2560" max="2560" width="15.5703125" style="60" customWidth="1"/>
    <col min="2561" max="2561" width="1.85546875" style="60" customWidth="1"/>
    <col min="2562" max="2562" width="15.5703125" style="60" customWidth="1"/>
    <col min="2563" max="2563" width="1.85546875" style="60" customWidth="1"/>
    <col min="2564" max="2564" width="15.5703125" style="60" customWidth="1"/>
    <col min="2565" max="2565" width="3.140625" style="60" customWidth="1"/>
    <col min="2566" max="2566" width="15.5703125" style="60" customWidth="1"/>
    <col min="2567" max="2567" width="14.28515625" style="60" customWidth="1"/>
    <col min="2568" max="2568" width="15.5703125" style="60" customWidth="1"/>
    <col min="2569" max="2569" width="1.85546875" style="60" customWidth="1"/>
    <col min="2570" max="2570" width="15.5703125" style="60" customWidth="1"/>
    <col min="2571" max="2571" width="2.85546875" style="60" customWidth="1"/>
    <col min="2572" max="2804" width="13.85546875" style="60"/>
    <col min="2805" max="2805" width="7" style="60" customWidth="1"/>
    <col min="2806" max="2806" width="16.5703125" style="60" customWidth="1"/>
    <col min="2807" max="2807" width="4.28515625" style="60" customWidth="1"/>
    <col min="2808" max="2808" width="6.85546875" style="60" customWidth="1"/>
    <col min="2809" max="2810" width="2.28515625" style="60" customWidth="1"/>
    <col min="2811" max="2811" width="10.85546875" style="60" customWidth="1"/>
    <col min="2812" max="2812" width="3.85546875" style="60" customWidth="1"/>
    <col min="2813" max="2813" width="2" style="60" customWidth="1"/>
    <col min="2814" max="2814" width="15.5703125" style="60" customWidth="1"/>
    <col min="2815" max="2815" width="1.85546875" style="60" customWidth="1"/>
    <col min="2816" max="2816" width="15.5703125" style="60" customWidth="1"/>
    <col min="2817" max="2817" width="1.85546875" style="60" customWidth="1"/>
    <col min="2818" max="2818" width="15.5703125" style="60" customWidth="1"/>
    <col min="2819" max="2819" width="1.85546875" style="60" customWidth="1"/>
    <col min="2820" max="2820" width="15.5703125" style="60" customWidth="1"/>
    <col min="2821" max="2821" width="3.140625" style="60" customWidth="1"/>
    <col min="2822" max="2822" width="15.5703125" style="60" customWidth="1"/>
    <col min="2823" max="2823" width="14.28515625" style="60" customWidth="1"/>
    <col min="2824" max="2824" width="15.5703125" style="60" customWidth="1"/>
    <col min="2825" max="2825" width="1.85546875" style="60" customWidth="1"/>
    <col min="2826" max="2826" width="15.5703125" style="60" customWidth="1"/>
    <col min="2827" max="2827" width="2.85546875" style="60" customWidth="1"/>
    <col min="2828" max="3060" width="13.85546875" style="60"/>
    <col min="3061" max="3061" width="7" style="60" customWidth="1"/>
    <col min="3062" max="3062" width="16.5703125" style="60" customWidth="1"/>
    <col min="3063" max="3063" width="4.28515625" style="60" customWidth="1"/>
    <col min="3064" max="3064" width="6.85546875" style="60" customWidth="1"/>
    <col min="3065" max="3066" width="2.28515625" style="60" customWidth="1"/>
    <col min="3067" max="3067" width="10.85546875" style="60" customWidth="1"/>
    <col min="3068" max="3068" width="3.85546875" style="60" customWidth="1"/>
    <col min="3069" max="3069" width="2" style="60" customWidth="1"/>
    <col min="3070" max="3070" width="15.5703125" style="60" customWidth="1"/>
    <col min="3071" max="3071" width="1.85546875" style="60" customWidth="1"/>
    <col min="3072" max="3072" width="15.5703125" style="60" customWidth="1"/>
    <col min="3073" max="3073" width="1.85546875" style="60" customWidth="1"/>
    <col min="3074" max="3074" width="15.5703125" style="60" customWidth="1"/>
    <col min="3075" max="3075" width="1.85546875" style="60" customWidth="1"/>
    <col min="3076" max="3076" width="15.5703125" style="60" customWidth="1"/>
    <col min="3077" max="3077" width="3.140625" style="60" customWidth="1"/>
    <col min="3078" max="3078" width="15.5703125" style="60" customWidth="1"/>
    <col min="3079" max="3079" width="14.28515625" style="60" customWidth="1"/>
    <col min="3080" max="3080" width="15.5703125" style="60" customWidth="1"/>
    <col min="3081" max="3081" width="1.85546875" style="60" customWidth="1"/>
    <col min="3082" max="3082" width="15.5703125" style="60" customWidth="1"/>
    <col min="3083" max="3083" width="2.85546875" style="60" customWidth="1"/>
    <col min="3084" max="3316" width="13.85546875" style="60"/>
    <col min="3317" max="3317" width="7" style="60" customWidth="1"/>
    <col min="3318" max="3318" width="16.5703125" style="60" customWidth="1"/>
    <col min="3319" max="3319" width="4.28515625" style="60" customWidth="1"/>
    <col min="3320" max="3320" width="6.85546875" style="60" customWidth="1"/>
    <col min="3321" max="3322" width="2.28515625" style="60" customWidth="1"/>
    <col min="3323" max="3323" width="10.85546875" style="60" customWidth="1"/>
    <col min="3324" max="3324" width="3.85546875" style="60" customWidth="1"/>
    <col min="3325" max="3325" width="2" style="60" customWidth="1"/>
    <col min="3326" max="3326" width="15.5703125" style="60" customWidth="1"/>
    <col min="3327" max="3327" width="1.85546875" style="60" customWidth="1"/>
    <col min="3328" max="3328" width="15.5703125" style="60" customWidth="1"/>
    <col min="3329" max="3329" width="1.85546875" style="60" customWidth="1"/>
    <col min="3330" max="3330" width="15.5703125" style="60" customWidth="1"/>
    <col min="3331" max="3331" width="1.85546875" style="60" customWidth="1"/>
    <col min="3332" max="3332" width="15.5703125" style="60" customWidth="1"/>
    <col min="3333" max="3333" width="3.140625" style="60" customWidth="1"/>
    <col min="3334" max="3334" width="15.5703125" style="60" customWidth="1"/>
    <col min="3335" max="3335" width="14.28515625" style="60" customWidth="1"/>
    <col min="3336" max="3336" width="15.5703125" style="60" customWidth="1"/>
    <col min="3337" max="3337" width="1.85546875" style="60" customWidth="1"/>
    <col min="3338" max="3338" width="15.5703125" style="60" customWidth="1"/>
    <col min="3339" max="3339" width="2.85546875" style="60" customWidth="1"/>
    <col min="3340" max="3572" width="13.85546875" style="60"/>
    <col min="3573" max="3573" width="7" style="60" customWidth="1"/>
    <col min="3574" max="3574" width="16.5703125" style="60" customWidth="1"/>
    <col min="3575" max="3575" width="4.28515625" style="60" customWidth="1"/>
    <col min="3576" max="3576" width="6.85546875" style="60" customWidth="1"/>
    <col min="3577" max="3578" width="2.28515625" style="60" customWidth="1"/>
    <col min="3579" max="3579" width="10.85546875" style="60" customWidth="1"/>
    <col min="3580" max="3580" width="3.85546875" style="60" customWidth="1"/>
    <col min="3581" max="3581" width="2" style="60" customWidth="1"/>
    <col min="3582" max="3582" width="15.5703125" style="60" customWidth="1"/>
    <col min="3583" max="3583" width="1.85546875" style="60" customWidth="1"/>
    <col min="3584" max="3584" width="15.5703125" style="60" customWidth="1"/>
    <col min="3585" max="3585" width="1.85546875" style="60" customWidth="1"/>
    <col min="3586" max="3586" width="15.5703125" style="60" customWidth="1"/>
    <col min="3587" max="3587" width="1.85546875" style="60" customWidth="1"/>
    <col min="3588" max="3588" width="15.5703125" style="60" customWidth="1"/>
    <col min="3589" max="3589" width="3.140625" style="60" customWidth="1"/>
    <col min="3590" max="3590" width="15.5703125" style="60" customWidth="1"/>
    <col min="3591" max="3591" width="14.28515625" style="60" customWidth="1"/>
    <col min="3592" max="3592" width="15.5703125" style="60" customWidth="1"/>
    <col min="3593" max="3593" width="1.85546875" style="60" customWidth="1"/>
    <col min="3594" max="3594" width="15.5703125" style="60" customWidth="1"/>
    <col min="3595" max="3595" width="2.85546875" style="60" customWidth="1"/>
    <col min="3596" max="3828" width="13.85546875" style="60"/>
    <col min="3829" max="3829" width="7" style="60" customWidth="1"/>
    <col min="3830" max="3830" width="16.5703125" style="60" customWidth="1"/>
    <col min="3831" max="3831" width="4.28515625" style="60" customWidth="1"/>
    <col min="3832" max="3832" width="6.85546875" style="60" customWidth="1"/>
    <col min="3833" max="3834" width="2.28515625" style="60" customWidth="1"/>
    <col min="3835" max="3835" width="10.85546875" style="60" customWidth="1"/>
    <col min="3836" max="3836" width="3.85546875" style="60" customWidth="1"/>
    <col min="3837" max="3837" width="2" style="60" customWidth="1"/>
    <col min="3838" max="3838" width="15.5703125" style="60" customWidth="1"/>
    <col min="3839" max="3839" width="1.85546875" style="60" customWidth="1"/>
    <col min="3840" max="3840" width="15.5703125" style="60" customWidth="1"/>
    <col min="3841" max="3841" width="1.85546875" style="60" customWidth="1"/>
    <col min="3842" max="3842" width="15.5703125" style="60" customWidth="1"/>
    <col min="3843" max="3843" width="1.85546875" style="60" customWidth="1"/>
    <col min="3844" max="3844" width="15.5703125" style="60" customWidth="1"/>
    <col min="3845" max="3845" width="3.140625" style="60" customWidth="1"/>
    <col min="3846" max="3846" width="15.5703125" style="60" customWidth="1"/>
    <col min="3847" max="3847" width="14.28515625" style="60" customWidth="1"/>
    <col min="3848" max="3848" width="15.5703125" style="60" customWidth="1"/>
    <col min="3849" max="3849" width="1.85546875" style="60" customWidth="1"/>
    <col min="3850" max="3850" width="15.5703125" style="60" customWidth="1"/>
    <col min="3851" max="3851" width="2.85546875" style="60" customWidth="1"/>
    <col min="3852" max="4084" width="13.85546875" style="60"/>
    <col min="4085" max="4085" width="7" style="60" customWidth="1"/>
    <col min="4086" max="4086" width="16.5703125" style="60" customWidth="1"/>
    <col min="4087" max="4087" width="4.28515625" style="60" customWidth="1"/>
    <col min="4088" max="4088" width="6.85546875" style="60" customWidth="1"/>
    <col min="4089" max="4090" width="2.28515625" style="60" customWidth="1"/>
    <col min="4091" max="4091" width="10.85546875" style="60" customWidth="1"/>
    <col min="4092" max="4092" width="3.85546875" style="60" customWidth="1"/>
    <col min="4093" max="4093" width="2" style="60" customWidth="1"/>
    <col min="4094" max="4094" width="15.5703125" style="60" customWidth="1"/>
    <col min="4095" max="4095" width="1.85546875" style="60" customWidth="1"/>
    <col min="4096" max="4096" width="15.5703125" style="60" customWidth="1"/>
    <col min="4097" max="4097" width="1.85546875" style="60" customWidth="1"/>
    <col min="4098" max="4098" width="15.5703125" style="60" customWidth="1"/>
    <col min="4099" max="4099" width="1.85546875" style="60" customWidth="1"/>
    <col min="4100" max="4100" width="15.5703125" style="60" customWidth="1"/>
    <col min="4101" max="4101" width="3.140625" style="60" customWidth="1"/>
    <col min="4102" max="4102" width="15.5703125" style="60" customWidth="1"/>
    <col min="4103" max="4103" width="14.28515625" style="60" customWidth="1"/>
    <col min="4104" max="4104" width="15.5703125" style="60" customWidth="1"/>
    <col min="4105" max="4105" width="1.85546875" style="60" customWidth="1"/>
    <col min="4106" max="4106" width="15.5703125" style="60" customWidth="1"/>
    <col min="4107" max="4107" width="2.85546875" style="60" customWidth="1"/>
    <col min="4108" max="4340" width="13.85546875" style="60"/>
    <col min="4341" max="4341" width="7" style="60" customWidth="1"/>
    <col min="4342" max="4342" width="16.5703125" style="60" customWidth="1"/>
    <col min="4343" max="4343" width="4.28515625" style="60" customWidth="1"/>
    <col min="4344" max="4344" width="6.85546875" style="60" customWidth="1"/>
    <col min="4345" max="4346" width="2.28515625" style="60" customWidth="1"/>
    <col min="4347" max="4347" width="10.85546875" style="60" customWidth="1"/>
    <col min="4348" max="4348" width="3.85546875" style="60" customWidth="1"/>
    <col min="4349" max="4349" width="2" style="60" customWidth="1"/>
    <col min="4350" max="4350" width="15.5703125" style="60" customWidth="1"/>
    <col min="4351" max="4351" width="1.85546875" style="60" customWidth="1"/>
    <col min="4352" max="4352" width="15.5703125" style="60" customWidth="1"/>
    <col min="4353" max="4353" width="1.85546875" style="60" customWidth="1"/>
    <col min="4354" max="4354" width="15.5703125" style="60" customWidth="1"/>
    <col min="4355" max="4355" width="1.85546875" style="60" customWidth="1"/>
    <col min="4356" max="4356" width="15.5703125" style="60" customWidth="1"/>
    <col min="4357" max="4357" width="3.140625" style="60" customWidth="1"/>
    <col min="4358" max="4358" width="15.5703125" style="60" customWidth="1"/>
    <col min="4359" max="4359" width="14.28515625" style="60" customWidth="1"/>
    <col min="4360" max="4360" width="15.5703125" style="60" customWidth="1"/>
    <col min="4361" max="4361" width="1.85546875" style="60" customWidth="1"/>
    <col min="4362" max="4362" width="15.5703125" style="60" customWidth="1"/>
    <col min="4363" max="4363" width="2.85546875" style="60" customWidth="1"/>
    <col min="4364" max="4596" width="13.85546875" style="60"/>
    <col min="4597" max="4597" width="7" style="60" customWidth="1"/>
    <col min="4598" max="4598" width="16.5703125" style="60" customWidth="1"/>
    <col min="4599" max="4599" width="4.28515625" style="60" customWidth="1"/>
    <col min="4600" max="4600" width="6.85546875" style="60" customWidth="1"/>
    <col min="4601" max="4602" width="2.28515625" style="60" customWidth="1"/>
    <col min="4603" max="4603" width="10.85546875" style="60" customWidth="1"/>
    <col min="4604" max="4604" width="3.85546875" style="60" customWidth="1"/>
    <col min="4605" max="4605" width="2" style="60" customWidth="1"/>
    <col min="4606" max="4606" width="15.5703125" style="60" customWidth="1"/>
    <col min="4607" max="4607" width="1.85546875" style="60" customWidth="1"/>
    <col min="4608" max="4608" width="15.5703125" style="60" customWidth="1"/>
    <col min="4609" max="4609" width="1.85546875" style="60" customWidth="1"/>
    <col min="4610" max="4610" width="15.5703125" style="60" customWidth="1"/>
    <col min="4611" max="4611" width="1.85546875" style="60" customWidth="1"/>
    <col min="4612" max="4612" width="15.5703125" style="60" customWidth="1"/>
    <col min="4613" max="4613" width="3.140625" style="60" customWidth="1"/>
    <col min="4614" max="4614" width="15.5703125" style="60" customWidth="1"/>
    <col min="4615" max="4615" width="14.28515625" style="60" customWidth="1"/>
    <col min="4616" max="4616" width="15.5703125" style="60" customWidth="1"/>
    <col min="4617" max="4617" width="1.85546875" style="60" customWidth="1"/>
    <col min="4618" max="4618" width="15.5703125" style="60" customWidth="1"/>
    <col min="4619" max="4619" width="2.85546875" style="60" customWidth="1"/>
    <col min="4620" max="4852" width="13.85546875" style="60"/>
    <col min="4853" max="4853" width="7" style="60" customWidth="1"/>
    <col min="4854" max="4854" width="16.5703125" style="60" customWidth="1"/>
    <col min="4855" max="4855" width="4.28515625" style="60" customWidth="1"/>
    <col min="4856" max="4856" width="6.85546875" style="60" customWidth="1"/>
    <col min="4857" max="4858" width="2.28515625" style="60" customWidth="1"/>
    <col min="4859" max="4859" width="10.85546875" style="60" customWidth="1"/>
    <col min="4860" max="4860" width="3.85546875" style="60" customWidth="1"/>
    <col min="4861" max="4861" width="2" style="60" customWidth="1"/>
    <col min="4862" max="4862" width="15.5703125" style="60" customWidth="1"/>
    <col min="4863" max="4863" width="1.85546875" style="60" customWidth="1"/>
    <col min="4864" max="4864" width="15.5703125" style="60" customWidth="1"/>
    <col min="4865" max="4865" width="1.85546875" style="60" customWidth="1"/>
    <col min="4866" max="4866" width="15.5703125" style="60" customWidth="1"/>
    <col min="4867" max="4867" width="1.85546875" style="60" customWidth="1"/>
    <col min="4868" max="4868" width="15.5703125" style="60" customWidth="1"/>
    <col min="4869" max="4869" width="3.140625" style="60" customWidth="1"/>
    <col min="4870" max="4870" width="15.5703125" style="60" customWidth="1"/>
    <col min="4871" max="4871" width="14.28515625" style="60" customWidth="1"/>
    <col min="4872" max="4872" width="15.5703125" style="60" customWidth="1"/>
    <col min="4873" max="4873" width="1.85546875" style="60" customWidth="1"/>
    <col min="4874" max="4874" width="15.5703125" style="60" customWidth="1"/>
    <col min="4875" max="4875" width="2.85546875" style="60" customWidth="1"/>
    <col min="4876" max="5108" width="13.85546875" style="60"/>
    <col min="5109" max="5109" width="7" style="60" customWidth="1"/>
    <col min="5110" max="5110" width="16.5703125" style="60" customWidth="1"/>
    <col min="5111" max="5111" width="4.28515625" style="60" customWidth="1"/>
    <col min="5112" max="5112" width="6.85546875" style="60" customWidth="1"/>
    <col min="5113" max="5114" width="2.28515625" style="60" customWidth="1"/>
    <col min="5115" max="5115" width="10.85546875" style="60" customWidth="1"/>
    <col min="5116" max="5116" width="3.85546875" style="60" customWidth="1"/>
    <col min="5117" max="5117" width="2" style="60" customWidth="1"/>
    <col min="5118" max="5118" width="15.5703125" style="60" customWidth="1"/>
    <col min="5119" max="5119" width="1.85546875" style="60" customWidth="1"/>
    <col min="5120" max="5120" width="15.5703125" style="60" customWidth="1"/>
    <col min="5121" max="5121" width="1.85546875" style="60" customWidth="1"/>
    <col min="5122" max="5122" width="15.5703125" style="60" customWidth="1"/>
    <col min="5123" max="5123" width="1.85546875" style="60" customWidth="1"/>
    <col min="5124" max="5124" width="15.5703125" style="60" customWidth="1"/>
    <col min="5125" max="5125" width="3.140625" style="60" customWidth="1"/>
    <col min="5126" max="5126" width="15.5703125" style="60" customWidth="1"/>
    <col min="5127" max="5127" width="14.28515625" style="60" customWidth="1"/>
    <col min="5128" max="5128" width="15.5703125" style="60" customWidth="1"/>
    <col min="5129" max="5129" width="1.85546875" style="60" customWidth="1"/>
    <col min="5130" max="5130" width="15.5703125" style="60" customWidth="1"/>
    <col min="5131" max="5131" width="2.85546875" style="60" customWidth="1"/>
    <col min="5132" max="5364" width="13.85546875" style="60"/>
    <col min="5365" max="5365" width="7" style="60" customWidth="1"/>
    <col min="5366" max="5366" width="16.5703125" style="60" customWidth="1"/>
    <col min="5367" max="5367" width="4.28515625" style="60" customWidth="1"/>
    <col min="5368" max="5368" width="6.85546875" style="60" customWidth="1"/>
    <col min="5369" max="5370" width="2.28515625" style="60" customWidth="1"/>
    <col min="5371" max="5371" width="10.85546875" style="60" customWidth="1"/>
    <col min="5372" max="5372" width="3.85546875" style="60" customWidth="1"/>
    <col min="5373" max="5373" width="2" style="60" customWidth="1"/>
    <col min="5374" max="5374" width="15.5703125" style="60" customWidth="1"/>
    <col min="5375" max="5375" width="1.85546875" style="60" customWidth="1"/>
    <col min="5376" max="5376" width="15.5703125" style="60" customWidth="1"/>
    <col min="5377" max="5377" width="1.85546875" style="60" customWidth="1"/>
    <col min="5378" max="5378" width="15.5703125" style="60" customWidth="1"/>
    <col min="5379" max="5379" width="1.85546875" style="60" customWidth="1"/>
    <col min="5380" max="5380" width="15.5703125" style="60" customWidth="1"/>
    <col min="5381" max="5381" width="3.140625" style="60" customWidth="1"/>
    <col min="5382" max="5382" width="15.5703125" style="60" customWidth="1"/>
    <col min="5383" max="5383" width="14.28515625" style="60" customWidth="1"/>
    <col min="5384" max="5384" width="15.5703125" style="60" customWidth="1"/>
    <col min="5385" max="5385" width="1.85546875" style="60" customWidth="1"/>
    <col min="5386" max="5386" width="15.5703125" style="60" customWidth="1"/>
    <col min="5387" max="5387" width="2.85546875" style="60" customWidth="1"/>
    <col min="5388" max="5620" width="13.85546875" style="60"/>
    <col min="5621" max="5621" width="7" style="60" customWidth="1"/>
    <col min="5622" max="5622" width="16.5703125" style="60" customWidth="1"/>
    <col min="5623" max="5623" width="4.28515625" style="60" customWidth="1"/>
    <col min="5624" max="5624" width="6.85546875" style="60" customWidth="1"/>
    <col min="5625" max="5626" width="2.28515625" style="60" customWidth="1"/>
    <col min="5627" max="5627" width="10.85546875" style="60" customWidth="1"/>
    <col min="5628" max="5628" width="3.85546875" style="60" customWidth="1"/>
    <col min="5629" max="5629" width="2" style="60" customWidth="1"/>
    <col min="5630" max="5630" width="15.5703125" style="60" customWidth="1"/>
    <col min="5631" max="5631" width="1.85546875" style="60" customWidth="1"/>
    <col min="5632" max="5632" width="15.5703125" style="60" customWidth="1"/>
    <col min="5633" max="5633" width="1.85546875" style="60" customWidth="1"/>
    <col min="5634" max="5634" width="15.5703125" style="60" customWidth="1"/>
    <col min="5635" max="5635" width="1.85546875" style="60" customWidth="1"/>
    <col min="5636" max="5636" width="15.5703125" style="60" customWidth="1"/>
    <col min="5637" max="5637" width="3.140625" style="60" customWidth="1"/>
    <col min="5638" max="5638" width="15.5703125" style="60" customWidth="1"/>
    <col min="5639" max="5639" width="14.28515625" style="60" customWidth="1"/>
    <col min="5640" max="5640" width="15.5703125" style="60" customWidth="1"/>
    <col min="5641" max="5641" width="1.85546875" style="60" customWidth="1"/>
    <col min="5642" max="5642" width="15.5703125" style="60" customWidth="1"/>
    <col min="5643" max="5643" width="2.85546875" style="60" customWidth="1"/>
    <col min="5644" max="5876" width="13.85546875" style="60"/>
    <col min="5877" max="5877" width="7" style="60" customWidth="1"/>
    <col min="5878" max="5878" width="16.5703125" style="60" customWidth="1"/>
    <col min="5879" max="5879" width="4.28515625" style="60" customWidth="1"/>
    <col min="5880" max="5880" width="6.85546875" style="60" customWidth="1"/>
    <col min="5881" max="5882" width="2.28515625" style="60" customWidth="1"/>
    <col min="5883" max="5883" width="10.85546875" style="60" customWidth="1"/>
    <col min="5884" max="5884" width="3.85546875" style="60" customWidth="1"/>
    <col min="5885" max="5885" width="2" style="60" customWidth="1"/>
    <col min="5886" max="5886" width="15.5703125" style="60" customWidth="1"/>
    <col min="5887" max="5887" width="1.85546875" style="60" customWidth="1"/>
    <col min="5888" max="5888" width="15.5703125" style="60" customWidth="1"/>
    <col min="5889" max="5889" width="1.85546875" style="60" customWidth="1"/>
    <col min="5890" max="5890" width="15.5703125" style="60" customWidth="1"/>
    <col min="5891" max="5891" width="1.85546875" style="60" customWidth="1"/>
    <col min="5892" max="5892" width="15.5703125" style="60" customWidth="1"/>
    <col min="5893" max="5893" width="3.140625" style="60" customWidth="1"/>
    <col min="5894" max="5894" width="15.5703125" style="60" customWidth="1"/>
    <col min="5895" max="5895" width="14.28515625" style="60" customWidth="1"/>
    <col min="5896" max="5896" width="15.5703125" style="60" customWidth="1"/>
    <col min="5897" max="5897" width="1.85546875" style="60" customWidth="1"/>
    <col min="5898" max="5898" width="15.5703125" style="60" customWidth="1"/>
    <col min="5899" max="5899" width="2.85546875" style="60" customWidth="1"/>
    <col min="5900" max="6132" width="13.85546875" style="60"/>
    <col min="6133" max="6133" width="7" style="60" customWidth="1"/>
    <col min="6134" max="6134" width="16.5703125" style="60" customWidth="1"/>
    <col min="6135" max="6135" width="4.28515625" style="60" customWidth="1"/>
    <col min="6136" max="6136" width="6.85546875" style="60" customWidth="1"/>
    <col min="6137" max="6138" width="2.28515625" style="60" customWidth="1"/>
    <col min="6139" max="6139" width="10.85546875" style="60" customWidth="1"/>
    <col min="6140" max="6140" width="3.85546875" style="60" customWidth="1"/>
    <col min="6141" max="6141" width="2" style="60" customWidth="1"/>
    <col min="6142" max="6142" width="15.5703125" style="60" customWidth="1"/>
    <col min="6143" max="6143" width="1.85546875" style="60" customWidth="1"/>
    <col min="6144" max="6144" width="15.5703125" style="60" customWidth="1"/>
    <col min="6145" max="6145" width="1.85546875" style="60" customWidth="1"/>
    <col min="6146" max="6146" width="15.5703125" style="60" customWidth="1"/>
    <col min="6147" max="6147" width="1.85546875" style="60" customWidth="1"/>
    <col min="6148" max="6148" width="15.5703125" style="60" customWidth="1"/>
    <col min="6149" max="6149" width="3.140625" style="60" customWidth="1"/>
    <col min="6150" max="6150" width="15.5703125" style="60" customWidth="1"/>
    <col min="6151" max="6151" width="14.28515625" style="60" customWidth="1"/>
    <col min="6152" max="6152" width="15.5703125" style="60" customWidth="1"/>
    <col min="6153" max="6153" width="1.85546875" style="60" customWidth="1"/>
    <col min="6154" max="6154" width="15.5703125" style="60" customWidth="1"/>
    <col min="6155" max="6155" width="2.85546875" style="60" customWidth="1"/>
    <col min="6156" max="6388" width="13.85546875" style="60"/>
    <col min="6389" max="6389" width="7" style="60" customWidth="1"/>
    <col min="6390" max="6390" width="16.5703125" style="60" customWidth="1"/>
    <col min="6391" max="6391" width="4.28515625" style="60" customWidth="1"/>
    <col min="6392" max="6392" width="6.85546875" style="60" customWidth="1"/>
    <col min="6393" max="6394" width="2.28515625" style="60" customWidth="1"/>
    <col min="6395" max="6395" width="10.85546875" style="60" customWidth="1"/>
    <col min="6396" max="6396" width="3.85546875" style="60" customWidth="1"/>
    <col min="6397" max="6397" width="2" style="60" customWidth="1"/>
    <col min="6398" max="6398" width="15.5703125" style="60" customWidth="1"/>
    <col min="6399" max="6399" width="1.85546875" style="60" customWidth="1"/>
    <col min="6400" max="6400" width="15.5703125" style="60" customWidth="1"/>
    <col min="6401" max="6401" width="1.85546875" style="60" customWidth="1"/>
    <col min="6402" max="6402" width="15.5703125" style="60" customWidth="1"/>
    <col min="6403" max="6403" width="1.85546875" style="60" customWidth="1"/>
    <col min="6404" max="6404" width="15.5703125" style="60" customWidth="1"/>
    <col min="6405" max="6405" width="3.140625" style="60" customWidth="1"/>
    <col min="6406" max="6406" width="15.5703125" style="60" customWidth="1"/>
    <col min="6407" max="6407" width="14.28515625" style="60" customWidth="1"/>
    <col min="6408" max="6408" width="15.5703125" style="60" customWidth="1"/>
    <col min="6409" max="6409" width="1.85546875" style="60" customWidth="1"/>
    <col min="6410" max="6410" width="15.5703125" style="60" customWidth="1"/>
    <col min="6411" max="6411" width="2.85546875" style="60" customWidth="1"/>
    <col min="6412" max="6644" width="13.85546875" style="60"/>
    <col min="6645" max="6645" width="7" style="60" customWidth="1"/>
    <col min="6646" max="6646" width="16.5703125" style="60" customWidth="1"/>
    <col min="6647" max="6647" width="4.28515625" style="60" customWidth="1"/>
    <col min="6648" max="6648" width="6.85546875" style="60" customWidth="1"/>
    <col min="6649" max="6650" width="2.28515625" style="60" customWidth="1"/>
    <col min="6651" max="6651" width="10.85546875" style="60" customWidth="1"/>
    <col min="6652" max="6652" width="3.85546875" style="60" customWidth="1"/>
    <col min="6653" max="6653" width="2" style="60" customWidth="1"/>
    <col min="6654" max="6654" width="15.5703125" style="60" customWidth="1"/>
    <col min="6655" max="6655" width="1.85546875" style="60" customWidth="1"/>
    <col min="6656" max="6656" width="15.5703125" style="60" customWidth="1"/>
    <col min="6657" max="6657" width="1.85546875" style="60" customWidth="1"/>
    <col min="6658" max="6658" width="15.5703125" style="60" customWidth="1"/>
    <col min="6659" max="6659" width="1.85546875" style="60" customWidth="1"/>
    <col min="6660" max="6660" width="15.5703125" style="60" customWidth="1"/>
    <col min="6661" max="6661" width="3.140625" style="60" customWidth="1"/>
    <col min="6662" max="6662" width="15.5703125" style="60" customWidth="1"/>
    <col min="6663" max="6663" width="14.28515625" style="60" customWidth="1"/>
    <col min="6664" max="6664" width="15.5703125" style="60" customWidth="1"/>
    <col min="6665" max="6665" width="1.85546875" style="60" customWidth="1"/>
    <col min="6666" max="6666" width="15.5703125" style="60" customWidth="1"/>
    <col min="6667" max="6667" width="2.85546875" style="60" customWidth="1"/>
    <col min="6668" max="6900" width="13.85546875" style="60"/>
    <col min="6901" max="6901" width="7" style="60" customWidth="1"/>
    <col min="6902" max="6902" width="16.5703125" style="60" customWidth="1"/>
    <col min="6903" max="6903" width="4.28515625" style="60" customWidth="1"/>
    <col min="6904" max="6904" width="6.85546875" style="60" customWidth="1"/>
    <col min="6905" max="6906" width="2.28515625" style="60" customWidth="1"/>
    <col min="6907" max="6907" width="10.85546875" style="60" customWidth="1"/>
    <col min="6908" max="6908" width="3.85546875" style="60" customWidth="1"/>
    <col min="6909" max="6909" width="2" style="60" customWidth="1"/>
    <col min="6910" max="6910" width="15.5703125" style="60" customWidth="1"/>
    <col min="6911" max="6911" width="1.85546875" style="60" customWidth="1"/>
    <col min="6912" max="6912" width="15.5703125" style="60" customWidth="1"/>
    <col min="6913" max="6913" width="1.85546875" style="60" customWidth="1"/>
    <col min="6914" max="6914" width="15.5703125" style="60" customWidth="1"/>
    <col min="6915" max="6915" width="1.85546875" style="60" customWidth="1"/>
    <col min="6916" max="6916" width="15.5703125" style="60" customWidth="1"/>
    <col min="6917" max="6917" width="3.140625" style="60" customWidth="1"/>
    <col min="6918" max="6918" width="15.5703125" style="60" customWidth="1"/>
    <col min="6919" max="6919" width="14.28515625" style="60" customWidth="1"/>
    <col min="6920" max="6920" width="15.5703125" style="60" customWidth="1"/>
    <col min="6921" max="6921" width="1.85546875" style="60" customWidth="1"/>
    <col min="6922" max="6922" width="15.5703125" style="60" customWidth="1"/>
    <col min="6923" max="6923" width="2.85546875" style="60" customWidth="1"/>
    <col min="6924" max="7156" width="13.85546875" style="60"/>
    <col min="7157" max="7157" width="7" style="60" customWidth="1"/>
    <col min="7158" max="7158" width="16.5703125" style="60" customWidth="1"/>
    <col min="7159" max="7159" width="4.28515625" style="60" customWidth="1"/>
    <col min="7160" max="7160" width="6.85546875" style="60" customWidth="1"/>
    <col min="7161" max="7162" width="2.28515625" style="60" customWidth="1"/>
    <col min="7163" max="7163" width="10.85546875" style="60" customWidth="1"/>
    <col min="7164" max="7164" width="3.85546875" style="60" customWidth="1"/>
    <col min="7165" max="7165" width="2" style="60" customWidth="1"/>
    <col min="7166" max="7166" width="15.5703125" style="60" customWidth="1"/>
    <col min="7167" max="7167" width="1.85546875" style="60" customWidth="1"/>
    <col min="7168" max="7168" width="15.5703125" style="60" customWidth="1"/>
    <col min="7169" max="7169" width="1.85546875" style="60" customWidth="1"/>
    <col min="7170" max="7170" width="15.5703125" style="60" customWidth="1"/>
    <col min="7171" max="7171" width="1.85546875" style="60" customWidth="1"/>
    <col min="7172" max="7172" width="15.5703125" style="60" customWidth="1"/>
    <col min="7173" max="7173" width="3.140625" style="60" customWidth="1"/>
    <col min="7174" max="7174" width="15.5703125" style="60" customWidth="1"/>
    <col min="7175" max="7175" width="14.28515625" style="60" customWidth="1"/>
    <col min="7176" max="7176" width="15.5703125" style="60" customWidth="1"/>
    <col min="7177" max="7177" width="1.85546875" style="60" customWidth="1"/>
    <col min="7178" max="7178" width="15.5703125" style="60" customWidth="1"/>
    <col min="7179" max="7179" width="2.85546875" style="60" customWidth="1"/>
    <col min="7180" max="7412" width="13.85546875" style="60"/>
    <col min="7413" max="7413" width="7" style="60" customWidth="1"/>
    <col min="7414" max="7414" width="16.5703125" style="60" customWidth="1"/>
    <col min="7415" max="7415" width="4.28515625" style="60" customWidth="1"/>
    <col min="7416" max="7416" width="6.85546875" style="60" customWidth="1"/>
    <col min="7417" max="7418" width="2.28515625" style="60" customWidth="1"/>
    <col min="7419" max="7419" width="10.85546875" style="60" customWidth="1"/>
    <col min="7420" max="7420" width="3.85546875" style="60" customWidth="1"/>
    <col min="7421" max="7421" width="2" style="60" customWidth="1"/>
    <col min="7422" max="7422" width="15.5703125" style="60" customWidth="1"/>
    <col min="7423" max="7423" width="1.85546875" style="60" customWidth="1"/>
    <col min="7424" max="7424" width="15.5703125" style="60" customWidth="1"/>
    <col min="7425" max="7425" width="1.85546875" style="60" customWidth="1"/>
    <col min="7426" max="7426" width="15.5703125" style="60" customWidth="1"/>
    <col min="7427" max="7427" width="1.85546875" style="60" customWidth="1"/>
    <col min="7428" max="7428" width="15.5703125" style="60" customWidth="1"/>
    <col min="7429" max="7429" width="3.140625" style="60" customWidth="1"/>
    <col min="7430" max="7430" width="15.5703125" style="60" customWidth="1"/>
    <col min="7431" max="7431" width="14.28515625" style="60" customWidth="1"/>
    <col min="7432" max="7432" width="15.5703125" style="60" customWidth="1"/>
    <col min="7433" max="7433" width="1.85546875" style="60" customWidth="1"/>
    <col min="7434" max="7434" width="15.5703125" style="60" customWidth="1"/>
    <col min="7435" max="7435" width="2.85546875" style="60" customWidth="1"/>
    <col min="7436" max="7668" width="13.85546875" style="60"/>
    <col min="7669" max="7669" width="7" style="60" customWidth="1"/>
    <col min="7670" max="7670" width="16.5703125" style="60" customWidth="1"/>
    <col min="7671" max="7671" width="4.28515625" style="60" customWidth="1"/>
    <col min="7672" max="7672" width="6.85546875" style="60" customWidth="1"/>
    <col min="7673" max="7674" width="2.28515625" style="60" customWidth="1"/>
    <col min="7675" max="7675" width="10.85546875" style="60" customWidth="1"/>
    <col min="7676" max="7676" width="3.85546875" style="60" customWidth="1"/>
    <col min="7677" max="7677" width="2" style="60" customWidth="1"/>
    <col min="7678" max="7678" width="15.5703125" style="60" customWidth="1"/>
    <col min="7679" max="7679" width="1.85546875" style="60" customWidth="1"/>
    <col min="7680" max="7680" width="15.5703125" style="60" customWidth="1"/>
    <col min="7681" max="7681" width="1.85546875" style="60" customWidth="1"/>
    <col min="7682" max="7682" width="15.5703125" style="60" customWidth="1"/>
    <col min="7683" max="7683" width="1.85546875" style="60" customWidth="1"/>
    <col min="7684" max="7684" width="15.5703125" style="60" customWidth="1"/>
    <col min="7685" max="7685" width="3.140625" style="60" customWidth="1"/>
    <col min="7686" max="7686" width="15.5703125" style="60" customWidth="1"/>
    <col min="7687" max="7687" width="14.28515625" style="60" customWidth="1"/>
    <col min="7688" max="7688" width="15.5703125" style="60" customWidth="1"/>
    <col min="7689" max="7689" width="1.85546875" style="60" customWidth="1"/>
    <col min="7690" max="7690" width="15.5703125" style="60" customWidth="1"/>
    <col min="7691" max="7691" width="2.85546875" style="60" customWidth="1"/>
    <col min="7692" max="7924" width="13.85546875" style="60"/>
    <col min="7925" max="7925" width="7" style="60" customWidth="1"/>
    <col min="7926" max="7926" width="16.5703125" style="60" customWidth="1"/>
    <col min="7927" max="7927" width="4.28515625" style="60" customWidth="1"/>
    <col min="7928" max="7928" width="6.85546875" style="60" customWidth="1"/>
    <col min="7929" max="7930" width="2.28515625" style="60" customWidth="1"/>
    <col min="7931" max="7931" width="10.85546875" style="60" customWidth="1"/>
    <col min="7932" max="7932" width="3.85546875" style="60" customWidth="1"/>
    <col min="7933" max="7933" width="2" style="60" customWidth="1"/>
    <col min="7934" max="7934" width="15.5703125" style="60" customWidth="1"/>
    <col min="7935" max="7935" width="1.85546875" style="60" customWidth="1"/>
    <col min="7936" max="7936" width="15.5703125" style="60" customWidth="1"/>
    <col min="7937" max="7937" width="1.85546875" style="60" customWidth="1"/>
    <col min="7938" max="7938" width="15.5703125" style="60" customWidth="1"/>
    <col min="7939" max="7939" width="1.85546875" style="60" customWidth="1"/>
    <col min="7940" max="7940" width="15.5703125" style="60" customWidth="1"/>
    <col min="7941" max="7941" width="3.140625" style="60" customWidth="1"/>
    <col min="7942" max="7942" width="15.5703125" style="60" customWidth="1"/>
    <col min="7943" max="7943" width="14.28515625" style="60" customWidth="1"/>
    <col min="7944" max="7944" width="15.5703125" style="60" customWidth="1"/>
    <col min="7945" max="7945" width="1.85546875" style="60" customWidth="1"/>
    <col min="7946" max="7946" width="15.5703125" style="60" customWidth="1"/>
    <col min="7947" max="7947" width="2.85546875" style="60" customWidth="1"/>
    <col min="7948" max="8180" width="13.85546875" style="60"/>
    <col min="8181" max="8181" width="7" style="60" customWidth="1"/>
    <col min="8182" max="8182" width="16.5703125" style="60" customWidth="1"/>
    <col min="8183" max="8183" width="4.28515625" style="60" customWidth="1"/>
    <col min="8184" max="8184" width="6.85546875" style="60" customWidth="1"/>
    <col min="8185" max="8186" width="2.28515625" style="60" customWidth="1"/>
    <col min="8187" max="8187" width="10.85546875" style="60" customWidth="1"/>
    <col min="8188" max="8188" width="3.85546875" style="60" customWidth="1"/>
    <col min="8189" max="8189" width="2" style="60" customWidth="1"/>
    <col min="8190" max="8190" width="15.5703125" style="60" customWidth="1"/>
    <col min="8191" max="8191" width="1.85546875" style="60" customWidth="1"/>
    <col min="8192" max="8192" width="15.5703125" style="60" customWidth="1"/>
    <col min="8193" max="8193" width="1.85546875" style="60" customWidth="1"/>
    <col min="8194" max="8194" width="15.5703125" style="60" customWidth="1"/>
    <col min="8195" max="8195" width="1.85546875" style="60" customWidth="1"/>
    <col min="8196" max="8196" width="15.5703125" style="60" customWidth="1"/>
    <col min="8197" max="8197" width="3.140625" style="60" customWidth="1"/>
    <col min="8198" max="8198" width="15.5703125" style="60" customWidth="1"/>
    <col min="8199" max="8199" width="14.28515625" style="60" customWidth="1"/>
    <col min="8200" max="8200" width="15.5703125" style="60" customWidth="1"/>
    <col min="8201" max="8201" width="1.85546875" style="60" customWidth="1"/>
    <col min="8202" max="8202" width="15.5703125" style="60" customWidth="1"/>
    <col min="8203" max="8203" width="2.85546875" style="60" customWidth="1"/>
    <col min="8204" max="8436" width="13.85546875" style="60"/>
    <col min="8437" max="8437" width="7" style="60" customWidth="1"/>
    <col min="8438" max="8438" width="16.5703125" style="60" customWidth="1"/>
    <col min="8439" max="8439" width="4.28515625" style="60" customWidth="1"/>
    <col min="8440" max="8440" width="6.85546875" style="60" customWidth="1"/>
    <col min="8441" max="8442" width="2.28515625" style="60" customWidth="1"/>
    <col min="8443" max="8443" width="10.85546875" style="60" customWidth="1"/>
    <col min="8444" max="8444" width="3.85546875" style="60" customWidth="1"/>
    <col min="8445" max="8445" width="2" style="60" customWidth="1"/>
    <col min="8446" max="8446" width="15.5703125" style="60" customWidth="1"/>
    <col min="8447" max="8447" width="1.85546875" style="60" customWidth="1"/>
    <col min="8448" max="8448" width="15.5703125" style="60" customWidth="1"/>
    <col min="8449" max="8449" width="1.85546875" style="60" customWidth="1"/>
    <col min="8450" max="8450" width="15.5703125" style="60" customWidth="1"/>
    <col min="8451" max="8451" width="1.85546875" style="60" customWidth="1"/>
    <col min="8452" max="8452" width="15.5703125" style="60" customWidth="1"/>
    <col min="8453" max="8453" width="3.140625" style="60" customWidth="1"/>
    <col min="8454" max="8454" width="15.5703125" style="60" customWidth="1"/>
    <col min="8455" max="8455" width="14.28515625" style="60" customWidth="1"/>
    <col min="8456" max="8456" width="15.5703125" style="60" customWidth="1"/>
    <col min="8457" max="8457" width="1.85546875" style="60" customWidth="1"/>
    <col min="8458" max="8458" width="15.5703125" style="60" customWidth="1"/>
    <col min="8459" max="8459" width="2.85546875" style="60" customWidth="1"/>
    <col min="8460" max="8692" width="13.85546875" style="60"/>
    <col min="8693" max="8693" width="7" style="60" customWidth="1"/>
    <col min="8694" max="8694" width="16.5703125" style="60" customWidth="1"/>
    <col min="8695" max="8695" width="4.28515625" style="60" customWidth="1"/>
    <col min="8696" max="8696" width="6.85546875" style="60" customWidth="1"/>
    <col min="8697" max="8698" width="2.28515625" style="60" customWidth="1"/>
    <col min="8699" max="8699" width="10.85546875" style="60" customWidth="1"/>
    <col min="8700" max="8700" width="3.85546875" style="60" customWidth="1"/>
    <col min="8701" max="8701" width="2" style="60" customWidth="1"/>
    <col min="8702" max="8702" width="15.5703125" style="60" customWidth="1"/>
    <col min="8703" max="8703" width="1.85546875" style="60" customWidth="1"/>
    <col min="8704" max="8704" width="15.5703125" style="60" customWidth="1"/>
    <col min="8705" max="8705" width="1.85546875" style="60" customWidth="1"/>
    <col min="8706" max="8706" width="15.5703125" style="60" customWidth="1"/>
    <col min="8707" max="8707" width="1.85546875" style="60" customWidth="1"/>
    <col min="8708" max="8708" width="15.5703125" style="60" customWidth="1"/>
    <col min="8709" max="8709" width="3.140625" style="60" customWidth="1"/>
    <col min="8710" max="8710" width="15.5703125" style="60" customWidth="1"/>
    <col min="8711" max="8711" width="14.28515625" style="60" customWidth="1"/>
    <col min="8712" max="8712" width="15.5703125" style="60" customWidth="1"/>
    <col min="8713" max="8713" width="1.85546875" style="60" customWidth="1"/>
    <col min="8714" max="8714" width="15.5703125" style="60" customWidth="1"/>
    <col min="8715" max="8715" width="2.85546875" style="60" customWidth="1"/>
    <col min="8716" max="8948" width="13.85546875" style="60"/>
    <col min="8949" max="8949" width="7" style="60" customWidth="1"/>
    <col min="8950" max="8950" width="16.5703125" style="60" customWidth="1"/>
    <col min="8951" max="8951" width="4.28515625" style="60" customWidth="1"/>
    <col min="8952" max="8952" width="6.85546875" style="60" customWidth="1"/>
    <col min="8953" max="8954" width="2.28515625" style="60" customWidth="1"/>
    <col min="8955" max="8955" width="10.85546875" style="60" customWidth="1"/>
    <col min="8956" max="8956" width="3.85546875" style="60" customWidth="1"/>
    <col min="8957" max="8957" width="2" style="60" customWidth="1"/>
    <col min="8958" max="8958" width="15.5703125" style="60" customWidth="1"/>
    <col min="8959" max="8959" width="1.85546875" style="60" customWidth="1"/>
    <col min="8960" max="8960" width="15.5703125" style="60" customWidth="1"/>
    <col min="8961" max="8961" width="1.85546875" style="60" customWidth="1"/>
    <col min="8962" max="8962" width="15.5703125" style="60" customWidth="1"/>
    <col min="8963" max="8963" width="1.85546875" style="60" customWidth="1"/>
    <col min="8964" max="8964" width="15.5703125" style="60" customWidth="1"/>
    <col min="8965" max="8965" width="3.140625" style="60" customWidth="1"/>
    <col min="8966" max="8966" width="15.5703125" style="60" customWidth="1"/>
    <col min="8967" max="8967" width="14.28515625" style="60" customWidth="1"/>
    <col min="8968" max="8968" width="15.5703125" style="60" customWidth="1"/>
    <col min="8969" max="8969" width="1.85546875" style="60" customWidth="1"/>
    <col min="8970" max="8970" width="15.5703125" style="60" customWidth="1"/>
    <col min="8971" max="8971" width="2.85546875" style="60" customWidth="1"/>
    <col min="8972" max="9204" width="13.85546875" style="60"/>
    <col min="9205" max="9205" width="7" style="60" customWidth="1"/>
    <col min="9206" max="9206" width="16.5703125" style="60" customWidth="1"/>
    <col min="9207" max="9207" width="4.28515625" style="60" customWidth="1"/>
    <col min="9208" max="9208" width="6.85546875" style="60" customWidth="1"/>
    <col min="9209" max="9210" width="2.28515625" style="60" customWidth="1"/>
    <col min="9211" max="9211" width="10.85546875" style="60" customWidth="1"/>
    <col min="9212" max="9212" width="3.85546875" style="60" customWidth="1"/>
    <col min="9213" max="9213" width="2" style="60" customWidth="1"/>
    <col min="9214" max="9214" width="15.5703125" style="60" customWidth="1"/>
    <col min="9215" max="9215" width="1.85546875" style="60" customWidth="1"/>
    <col min="9216" max="9216" width="15.5703125" style="60" customWidth="1"/>
    <col min="9217" max="9217" width="1.85546875" style="60" customWidth="1"/>
    <col min="9218" max="9218" width="15.5703125" style="60" customWidth="1"/>
    <col min="9219" max="9219" width="1.85546875" style="60" customWidth="1"/>
    <col min="9220" max="9220" width="15.5703125" style="60" customWidth="1"/>
    <col min="9221" max="9221" width="3.140625" style="60" customWidth="1"/>
    <col min="9222" max="9222" width="15.5703125" style="60" customWidth="1"/>
    <col min="9223" max="9223" width="14.28515625" style="60" customWidth="1"/>
    <col min="9224" max="9224" width="15.5703125" style="60" customWidth="1"/>
    <col min="9225" max="9225" width="1.85546875" style="60" customWidth="1"/>
    <col min="9226" max="9226" width="15.5703125" style="60" customWidth="1"/>
    <col min="9227" max="9227" width="2.85546875" style="60" customWidth="1"/>
    <col min="9228" max="9460" width="13.85546875" style="60"/>
    <col min="9461" max="9461" width="7" style="60" customWidth="1"/>
    <col min="9462" max="9462" width="16.5703125" style="60" customWidth="1"/>
    <col min="9463" max="9463" width="4.28515625" style="60" customWidth="1"/>
    <col min="9464" max="9464" width="6.85546875" style="60" customWidth="1"/>
    <col min="9465" max="9466" width="2.28515625" style="60" customWidth="1"/>
    <col min="9467" max="9467" width="10.85546875" style="60" customWidth="1"/>
    <col min="9468" max="9468" width="3.85546875" style="60" customWidth="1"/>
    <col min="9469" max="9469" width="2" style="60" customWidth="1"/>
    <col min="9470" max="9470" width="15.5703125" style="60" customWidth="1"/>
    <col min="9471" max="9471" width="1.85546875" style="60" customWidth="1"/>
    <col min="9472" max="9472" width="15.5703125" style="60" customWidth="1"/>
    <col min="9473" max="9473" width="1.85546875" style="60" customWidth="1"/>
    <col min="9474" max="9474" width="15.5703125" style="60" customWidth="1"/>
    <col min="9475" max="9475" width="1.85546875" style="60" customWidth="1"/>
    <col min="9476" max="9476" width="15.5703125" style="60" customWidth="1"/>
    <col min="9477" max="9477" width="3.140625" style="60" customWidth="1"/>
    <col min="9478" max="9478" width="15.5703125" style="60" customWidth="1"/>
    <col min="9479" max="9479" width="14.28515625" style="60" customWidth="1"/>
    <col min="9480" max="9480" width="15.5703125" style="60" customWidth="1"/>
    <col min="9481" max="9481" width="1.85546875" style="60" customWidth="1"/>
    <col min="9482" max="9482" width="15.5703125" style="60" customWidth="1"/>
    <col min="9483" max="9483" width="2.85546875" style="60" customWidth="1"/>
    <col min="9484" max="9716" width="13.85546875" style="60"/>
    <col min="9717" max="9717" width="7" style="60" customWidth="1"/>
    <col min="9718" max="9718" width="16.5703125" style="60" customWidth="1"/>
    <col min="9719" max="9719" width="4.28515625" style="60" customWidth="1"/>
    <col min="9720" max="9720" width="6.85546875" style="60" customWidth="1"/>
    <col min="9721" max="9722" width="2.28515625" style="60" customWidth="1"/>
    <col min="9723" max="9723" width="10.85546875" style="60" customWidth="1"/>
    <col min="9724" max="9724" width="3.85546875" style="60" customWidth="1"/>
    <col min="9725" max="9725" width="2" style="60" customWidth="1"/>
    <col min="9726" max="9726" width="15.5703125" style="60" customWidth="1"/>
    <col min="9727" max="9727" width="1.85546875" style="60" customWidth="1"/>
    <col min="9728" max="9728" width="15.5703125" style="60" customWidth="1"/>
    <col min="9729" max="9729" width="1.85546875" style="60" customWidth="1"/>
    <col min="9730" max="9730" width="15.5703125" style="60" customWidth="1"/>
    <col min="9731" max="9731" width="1.85546875" style="60" customWidth="1"/>
    <col min="9732" max="9732" width="15.5703125" style="60" customWidth="1"/>
    <col min="9733" max="9733" width="3.140625" style="60" customWidth="1"/>
    <col min="9734" max="9734" width="15.5703125" style="60" customWidth="1"/>
    <col min="9735" max="9735" width="14.28515625" style="60" customWidth="1"/>
    <col min="9736" max="9736" width="15.5703125" style="60" customWidth="1"/>
    <col min="9737" max="9737" width="1.85546875" style="60" customWidth="1"/>
    <col min="9738" max="9738" width="15.5703125" style="60" customWidth="1"/>
    <col min="9739" max="9739" width="2.85546875" style="60" customWidth="1"/>
    <col min="9740" max="9972" width="13.85546875" style="60"/>
    <col min="9973" max="9973" width="7" style="60" customWidth="1"/>
    <col min="9974" max="9974" width="16.5703125" style="60" customWidth="1"/>
    <col min="9975" max="9975" width="4.28515625" style="60" customWidth="1"/>
    <col min="9976" max="9976" width="6.85546875" style="60" customWidth="1"/>
    <col min="9977" max="9978" width="2.28515625" style="60" customWidth="1"/>
    <col min="9979" max="9979" width="10.85546875" style="60" customWidth="1"/>
    <col min="9980" max="9980" width="3.85546875" style="60" customWidth="1"/>
    <col min="9981" max="9981" width="2" style="60" customWidth="1"/>
    <col min="9982" max="9982" width="15.5703125" style="60" customWidth="1"/>
    <col min="9983" max="9983" width="1.85546875" style="60" customWidth="1"/>
    <col min="9984" max="9984" width="15.5703125" style="60" customWidth="1"/>
    <col min="9985" max="9985" width="1.85546875" style="60" customWidth="1"/>
    <col min="9986" max="9986" width="15.5703125" style="60" customWidth="1"/>
    <col min="9987" max="9987" width="1.85546875" style="60" customWidth="1"/>
    <col min="9988" max="9988" width="15.5703125" style="60" customWidth="1"/>
    <col min="9989" max="9989" width="3.140625" style="60" customWidth="1"/>
    <col min="9990" max="9990" width="15.5703125" style="60" customWidth="1"/>
    <col min="9991" max="9991" width="14.28515625" style="60" customWidth="1"/>
    <col min="9992" max="9992" width="15.5703125" style="60" customWidth="1"/>
    <col min="9993" max="9993" width="1.85546875" style="60" customWidth="1"/>
    <col min="9994" max="9994" width="15.5703125" style="60" customWidth="1"/>
    <col min="9995" max="9995" width="2.85546875" style="60" customWidth="1"/>
    <col min="9996" max="10228" width="13.85546875" style="60"/>
    <col min="10229" max="10229" width="7" style="60" customWidth="1"/>
    <col min="10230" max="10230" width="16.5703125" style="60" customWidth="1"/>
    <col min="10231" max="10231" width="4.28515625" style="60" customWidth="1"/>
    <col min="10232" max="10232" width="6.85546875" style="60" customWidth="1"/>
    <col min="10233" max="10234" width="2.28515625" style="60" customWidth="1"/>
    <col min="10235" max="10235" width="10.85546875" style="60" customWidth="1"/>
    <col min="10236" max="10236" width="3.85546875" style="60" customWidth="1"/>
    <col min="10237" max="10237" width="2" style="60" customWidth="1"/>
    <col min="10238" max="10238" width="15.5703125" style="60" customWidth="1"/>
    <col min="10239" max="10239" width="1.85546875" style="60" customWidth="1"/>
    <col min="10240" max="10240" width="15.5703125" style="60" customWidth="1"/>
    <col min="10241" max="10241" width="1.85546875" style="60" customWidth="1"/>
    <col min="10242" max="10242" width="15.5703125" style="60" customWidth="1"/>
    <col min="10243" max="10243" width="1.85546875" style="60" customWidth="1"/>
    <col min="10244" max="10244" width="15.5703125" style="60" customWidth="1"/>
    <col min="10245" max="10245" width="3.140625" style="60" customWidth="1"/>
    <col min="10246" max="10246" width="15.5703125" style="60" customWidth="1"/>
    <col min="10247" max="10247" width="14.28515625" style="60" customWidth="1"/>
    <col min="10248" max="10248" width="15.5703125" style="60" customWidth="1"/>
    <col min="10249" max="10249" width="1.85546875" style="60" customWidth="1"/>
    <col min="10250" max="10250" width="15.5703125" style="60" customWidth="1"/>
    <col min="10251" max="10251" width="2.85546875" style="60" customWidth="1"/>
    <col min="10252" max="10484" width="13.85546875" style="60"/>
    <col min="10485" max="10485" width="7" style="60" customWidth="1"/>
    <col min="10486" max="10486" width="16.5703125" style="60" customWidth="1"/>
    <col min="10487" max="10487" width="4.28515625" style="60" customWidth="1"/>
    <col min="10488" max="10488" width="6.85546875" style="60" customWidth="1"/>
    <col min="10489" max="10490" width="2.28515625" style="60" customWidth="1"/>
    <col min="10491" max="10491" width="10.85546875" style="60" customWidth="1"/>
    <col min="10492" max="10492" width="3.85546875" style="60" customWidth="1"/>
    <col min="10493" max="10493" width="2" style="60" customWidth="1"/>
    <col min="10494" max="10494" width="15.5703125" style="60" customWidth="1"/>
    <col min="10495" max="10495" width="1.85546875" style="60" customWidth="1"/>
    <col min="10496" max="10496" width="15.5703125" style="60" customWidth="1"/>
    <col min="10497" max="10497" width="1.85546875" style="60" customWidth="1"/>
    <col min="10498" max="10498" width="15.5703125" style="60" customWidth="1"/>
    <col min="10499" max="10499" width="1.85546875" style="60" customWidth="1"/>
    <col min="10500" max="10500" width="15.5703125" style="60" customWidth="1"/>
    <col min="10501" max="10501" width="3.140625" style="60" customWidth="1"/>
    <col min="10502" max="10502" width="15.5703125" style="60" customWidth="1"/>
    <col min="10503" max="10503" width="14.28515625" style="60" customWidth="1"/>
    <col min="10504" max="10504" width="15.5703125" style="60" customWidth="1"/>
    <col min="10505" max="10505" width="1.85546875" style="60" customWidth="1"/>
    <col min="10506" max="10506" width="15.5703125" style="60" customWidth="1"/>
    <col min="10507" max="10507" width="2.85546875" style="60" customWidth="1"/>
    <col min="10508" max="10740" width="13.85546875" style="60"/>
    <col min="10741" max="10741" width="7" style="60" customWidth="1"/>
    <col min="10742" max="10742" width="16.5703125" style="60" customWidth="1"/>
    <col min="10743" max="10743" width="4.28515625" style="60" customWidth="1"/>
    <col min="10744" max="10744" width="6.85546875" style="60" customWidth="1"/>
    <col min="10745" max="10746" width="2.28515625" style="60" customWidth="1"/>
    <col min="10747" max="10747" width="10.85546875" style="60" customWidth="1"/>
    <col min="10748" max="10748" width="3.85546875" style="60" customWidth="1"/>
    <col min="10749" max="10749" width="2" style="60" customWidth="1"/>
    <col min="10750" max="10750" width="15.5703125" style="60" customWidth="1"/>
    <col min="10751" max="10751" width="1.85546875" style="60" customWidth="1"/>
    <col min="10752" max="10752" width="15.5703125" style="60" customWidth="1"/>
    <col min="10753" max="10753" width="1.85546875" style="60" customWidth="1"/>
    <col min="10754" max="10754" width="15.5703125" style="60" customWidth="1"/>
    <col min="10755" max="10755" width="1.85546875" style="60" customWidth="1"/>
    <col min="10756" max="10756" width="15.5703125" style="60" customWidth="1"/>
    <col min="10757" max="10757" width="3.140625" style="60" customWidth="1"/>
    <col min="10758" max="10758" width="15.5703125" style="60" customWidth="1"/>
    <col min="10759" max="10759" width="14.28515625" style="60" customWidth="1"/>
    <col min="10760" max="10760" width="15.5703125" style="60" customWidth="1"/>
    <col min="10761" max="10761" width="1.85546875" style="60" customWidth="1"/>
    <col min="10762" max="10762" width="15.5703125" style="60" customWidth="1"/>
    <col min="10763" max="10763" width="2.85546875" style="60" customWidth="1"/>
    <col min="10764" max="10996" width="13.85546875" style="60"/>
    <col min="10997" max="10997" width="7" style="60" customWidth="1"/>
    <col min="10998" max="10998" width="16.5703125" style="60" customWidth="1"/>
    <col min="10999" max="10999" width="4.28515625" style="60" customWidth="1"/>
    <col min="11000" max="11000" width="6.85546875" style="60" customWidth="1"/>
    <col min="11001" max="11002" width="2.28515625" style="60" customWidth="1"/>
    <col min="11003" max="11003" width="10.85546875" style="60" customWidth="1"/>
    <col min="11004" max="11004" width="3.85546875" style="60" customWidth="1"/>
    <col min="11005" max="11005" width="2" style="60" customWidth="1"/>
    <col min="11006" max="11006" width="15.5703125" style="60" customWidth="1"/>
    <col min="11007" max="11007" width="1.85546875" style="60" customWidth="1"/>
    <col min="11008" max="11008" width="15.5703125" style="60" customWidth="1"/>
    <col min="11009" max="11009" width="1.85546875" style="60" customWidth="1"/>
    <col min="11010" max="11010" width="15.5703125" style="60" customWidth="1"/>
    <col min="11011" max="11011" width="1.85546875" style="60" customWidth="1"/>
    <col min="11012" max="11012" width="15.5703125" style="60" customWidth="1"/>
    <col min="11013" max="11013" width="3.140625" style="60" customWidth="1"/>
    <col min="11014" max="11014" width="15.5703125" style="60" customWidth="1"/>
    <col min="11015" max="11015" width="14.28515625" style="60" customWidth="1"/>
    <col min="11016" max="11016" width="15.5703125" style="60" customWidth="1"/>
    <col min="11017" max="11017" width="1.85546875" style="60" customWidth="1"/>
    <col min="11018" max="11018" width="15.5703125" style="60" customWidth="1"/>
    <col min="11019" max="11019" width="2.85546875" style="60" customWidth="1"/>
    <col min="11020" max="11252" width="13.85546875" style="60"/>
    <col min="11253" max="11253" width="7" style="60" customWidth="1"/>
    <col min="11254" max="11254" width="16.5703125" style="60" customWidth="1"/>
    <col min="11255" max="11255" width="4.28515625" style="60" customWidth="1"/>
    <col min="11256" max="11256" width="6.85546875" style="60" customWidth="1"/>
    <col min="11257" max="11258" width="2.28515625" style="60" customWidth="1"/>
    <col min="11259" max="11259" width="10.85546875" style="60" customWidth="1"/>
    <col min="11260" max="11260" width="3.85546875" style="60" customWidth="1"/>
    <col min="11261" max="11261" width="2" style="60" customWidth="1"/>
    <col min="11262" max="11262" width="15.5703125" style="60" customWidth="1"/>
    <col min="11263" max="11263" width="1.85546875" style="60" customWidth="1"/>
    <col min="11264" max="11264" width="15.5703125" style="60" customWidth="1"/>
    <col min="11265" max="11265" width="1.85546875" style="60" customWidth="1"/>
    <col min="11266" max="11266" width="15.5703125" style="60" customWidth="1"/>
    <col min="11267" max="11267" width="1.85546875" style="60" customWidth="1"/>
    <col min="11268" max="11268" width="15.5703125" style="60" customWidth="1"/>
    <col min="11269" max="11269" width="3.140625" style="60" customWidth="1"/>
    <col min="11270" max="11270" width="15.5703125" style="60" customWidth="1"/>
    <col min="11271" max="11271" width="14.28515625" style="60" customWidth="1"/>
    <col min="11272" max="11272" width="15.5703125" style="60" customWidth="1"/>
    <col min="11273" max="11273" width="1.85546875" style="60" customWidth="1"/>
    <col min="11274" max="11274" width="15.5703125" style="60" customWidth="1"/>
    <col min="11275" max="11275" width="2.85546875" style="60" customWidth="1"/>
    <col min="11276" max="11508" width="13.85546875" style="60"/>
    <col min="11509" max="11509" width="7" style="60" customWidth="1"/>
    <col min="11510" max="11510" width="16.5703125" style="60" customWidth="1"/>
    <col min="11511" max="11511" width="4.28515625" style="60" customWidth="1"/>
    <col min="11512" max="11512" width="6.85546875" style="60" customWidth="1"/>
    <col min="11513" max="11514" width="2.28515625" style="60" customWidth="1"/>
    <col min="11515" max="11515" width="10.85546875" style="60" customWidth="1"/>
    <col min="11516" max="11516" width="3.85546875" style="60" customWidth="1"/>
    <col min="11517" max="11517" width="2" style="60" customWidth="1"/>
    <col min="11518" max="11518" width="15.5703125" style="60" customWidth="1"/>
    <col min="11519" max="11519" width="1.85546875" style="60" customWidth="1"/>
    <col min="11520" max="11520" width="15.5703125" style="60" customWidth="1"/>
    <col min="11521" max="11521" width="1.85546875" style="60" customWidth="1"/>
    <col min="11522" max="11522" width="15.5703125" style="60" customWidth="1"/>
    <col min="11523" max="11523" width="1.85546875" style="60" customWidth="1"/>
    <col min="11524" max="11524" width="15.5703125" style="60" customWidth="1"/>
    <col min="11525" max="11525" width="3.140625" style="60" customWidth="1"/>
    <col min="11526" max="11526" width="15.5703125" style="60" customWidth="1"/>
    <col min="11527" max="11527" width="14.28515625" style="60" customWidth="1"/>
    <col min="11528" max="11528" width="15.5703125" style="60" customWidth="1"/>
    <col min="11529" max="11529" width="1.85546875" style="60" customWidth="1"/>
    <col min="11530" max="11530" width="15.5703125" style="60" customWidth="1"/>
    <col min="11531" max="11531" width="2.85546875" style="60" customWidth="1"/>
    <col min="11532" max="11764" width="13.85546875" style="60"/>
    <col min="11765" max="11765" width="7" style="60" customWidth="1"/>
    <col min="11766" max="11766" width="16.5703125" style="60" customWidth="1"/>
    <col min="11767" max="11767" width="4.28515625" style="60" customWidth="1"/>
    <col min="11768" max="11768" width="6.85546875" style="60" customWidth="1"/>
    <col min="11769" max="11770" width="2.28515625" style="60" customWidth="1"/>
    <col min="11771" max="11771" width="10.85546875" style="60" customWidth="1"/>
    <col min="11772" max="11772" width="3.85546875" style="60" customWidth="1"/>
    <col min="11773" max="11773" width="2" style="60" customWidth="1"/>
    <col min="11774" max="11774" width="15.5703125" style="60" customWidth="1"/>
    <col min="11775" max="11775" width="1.85546875" style="60" customWidth="1"/>
    <col min="11776" max="11776" width="15.5703125" style="60" customWidth="1"/>
    <col min="11777" max="11777" width="1.85546875" style="60" customWidth="1"/>
    <col min="11778" max="11778" width="15.5703125" style="60" customWidth="1"/>
    <col min="11779" max="11779" width="1.85546875" style="60" customWidth="1"/>
    <col min="11780" max="11780" width="15.5703125" style="60" customWidth="1"/>
    <col min="11781" max="11781" width="3.140625" style="60" customWidth="1"/>
    <col min="11782" max="11782" width="15.5703125" style="60" customWidth="1"/>
    <col min="11783" max="11783" width="14.28515625" style="60" customWidth="1"/>
    <col min="11784" max="11784" width="15.5703125" style="60" customWidth="1"/>
    <col min="11785" max="11785" width="1.85546875" style="60" customWidth="1"/>
    <col min="11786" max="11786" width="15.5703125" style="60" customWidth="1"/>
    <col min="11787" max="11787" width="2.85546875" style="60" customWidth="1"/>
    <col min="11788" max="12020" width="13.85546875" style="60"/>
    <col min="12021" max="12021" width="7" style="60" customWidth="1"/>
    <col min="12022" max="12022" width="16.5703125" style="60" customWidth="1"/>
    <col min="12023" max="12023" width="4.28515625" style="60" customWidth="1"/>
    <col min="12024" max="12024" width="6.85546875" style="60" customWidth="1"/>
    <col min="12025" max="12026" width="2.28515625" style="60" customWidth="1"/>
    <col min="12027" max="12027" width="10.85546875" style="60" customWidth="1"/>
    <col min="12028" max="12028" width="3.85546875" style="60" customWidth="1"/>
    <col min="12029" max="12029" width="2" style="60" customWidth="1"/>
    <col min="12030" max="12030" width="15.5703125" style="60" customWidth="1"/>
    <col min="12031" max="12031" width="1.85546875" style="60" customWidth="1"/>
    <col min="12032" max="12032" width="15.5703125" style="60" customWidth="1"/>
    <col min="12033" max="12033" width="1.85546875" style="60" customWidth="1"/>
    <col min="12034" max="12034" width="15.5703125" style="60" customWidth="1"/>
    <col min="12035" max="12035" width="1.85546875" style="60" customWidth="1"/>
    <col min="12036" max="12036" width="15.5703125" style="60" customWidth="1"/>
    <col min="12037" max="12037" width="3.140625" style="60" customWidth="1"/>
    <col min="12038" max="12038" width="15.5703125" style="60" customWidth="1"/>
    <col min="12039" max="12039" width="14.28515625" style="60" customWidth="1"/>
    <col min="12040" max="12040" width="15.5703125" style="60" customWidth="1"/>
    <col min="12041" max="12041" width="1.85546875" style="60" customWidth="1"/>
    <col min="12042" max="12042" width="15.5703125" style="60" customWidth="1"/>
    <col min="12043" max="12043" width="2.85546875" style="60" customWidth="1"/>
    <col min="12044" max="12276" width="13.85546875" style="60"/>
    <col min="12277" max="12277" width="7" style="60" customWidth="1"/>
    <col min="12278" max="12278" width="16.5703125" style="60" customWidth="1"/>
    <col min="12279" max="12279" width="4.28515625" style="60" customWidth="1"/>
    <col min="12280" max="12280" width="6.85546875" style="60" customWidth="1"/>
    <col min="12281" max="12282" width="2.28515625" style="60" customWidth="1"/>
    <col min="12283" max="12283" width="10.85546875" style="60" customWidth="1"/>
    <col min="12284" max="12284" width="3.85546875" style="60" customWidth="1"/>
    <col min="12285" max="12285" width="2" style="60" customWidth="1"/>
    <col min="12286" max="12286" width="15.5703125" style="60" customWidth="1"/>
    <col min="12287" max="12287" width="1.85546875" style="60" customWidth="1"/>
    <col min="12288" max="12288" width="15.5703125" style="60" customWidth="1"/>
    <col min="12289" max="12289" width="1.85546875" style="60" customWidth="1"/>
    <col min="12290" max="12290" width="15.5703125" style="60" customWidth="1"/>
    <col min="12291" max="12291" width="1.85546875" style="60" customWidth="1"/>
    <col min="12292" max="12292" width="15.5703125" style="60" customWidth="1"/>
    <col min="12293" max="12293" width="3.140625" style="60" customWidth="1"/>
    <col min="12294" max="12294" width="15.5703125" style="60" customWidth="1"/>
    <col min="12295" max="12295" width="14.28515625" style="60" customWidth="1"/>
    <col min="12296" max="12296" width="15.5703125" style="60" customWidth="1"/>
    <col min="12297" max="12297" width="1.85546875" style="60" customWidth="1"/>
    <col min="12298" max="12298" width="15.5703125" style="60" customWidth="1"/>
    <col min="12299" max="12299" width="2.85546875" style="60" customWidth="1"/>
    <col min="12300" max="12532" width="13.85546875" style="60"/>
    <col min="12533" max="12533" width="7" style="60" customWidth="1"/>
    <col min="12534" max="12534" width="16.5703125" style="60" customWidth="1"/>
    <col min="12535" max="12535" width="4.28515625" style="60" customWidth="1"/>
    <col min="12536" max="12536" width="6.85546875" style="60" customWidth="1"/>
    <col min="12537" max="12538" width="2.28515625" style="60" customWidth="1"/>
    <col min="12539" max="12539" width="10.85546875" style="60" customWidth="1"/>
    <col min="12540" max="12540" width="3.85546875" style="60" customWidth="1"/>
    <col min="12541" max="12541" width="2" style="60" customWidth="1"/>
    <col min="12542" max="12542" width="15.5703125" style="60" customWidth="1"/>
    <col min="12543" max="12543" width="1.85546875" style="60" customWidth="1"/>
    <col min="12544" max="12544" width="15.5703125" style="60" customWidth="1"/>
    <col min="12545" max="12545" width="1.85546875" style="60" customWidth="1"/>
    <col min="12546" max="12546" width="15.5703125" style="60" customWidth="1"/>
    <col min="12547" max="12547" width="1.85546875" style="60" customWidth="1"/>
    <col min="12548" max="12548" width="15.5703125" style="60" customWidth="1"/>
    <col min="12549" max="12549" width="3.140625" style="60" customWidth="1"/>
    <col min="12550" max="12550" width="15.5703125" style="60" customWidth="1"/>
    <col min="12551" max="12551" width="14.28515625" style="60" customWidth="1"/>
    <col min="12552" max="12552" width="15.5703125" style="60" customWidth="1"/>
    <col min="12553" max="12553" width="1.85546875" style="60" customWidth="1"/>
    <col min="12554" max="12554" width="15.5703125" style="60" customWidth="1"/>
    <col min="12555" max="12555" width="2.85546875" style="60" customWidth="1"/>
    <col min="12556" max="12788" width="13.85546875" style="60"/>
    <col min="12789" max="12789" width="7" style="60" customWidth="1"/>
    <col min="12790" max="12790" width="16.5703125" style="60" customWidth="1"/>
    <col min="12791" max="12791" width="4.28515625" style="60" customWidth="1"/>
    <col min="12792" max="12792" width="6.85546875" style="60" customWidth="1"/>
    <col min="12793" max="12794" width="2.28515625" style="60" customWidth="1"/>
    <col min="12795" max="12795" width="10.85546875" style="60" customWidth="1"/>
    <col min="12796" max="12796" width="3.85546875" style="60" customWidth="1"/>
    <col min="12797" max="12797" width="2" style="60" customWidth="1"/>
    <col min="12798" max="12798" width="15.5703125" style="60" customWidth="1"/>
    <col min="12799" max="12799" width="1.85546875" style="60" customWidth="1"/>
    <col min="12800" max="12800" width="15.5703125" style="60" customWidth="1"/>
    <col min="12801" max="12801" width="1.85546875" style="60" customWidth="1"/>
    <col min="12802" max="12802" width="15.5703125" style="60" customWidth="1"/>
    <col min="12803" max="12803" width="1.85546875" style="60" customWidth="1"/>
    <col min="12804" max="12804" width="15.5703125" style="60" customWidth="1"/>
    <col min="12805" max="12805" width="3.140625" style="60" customWidth="1"/>
    <col min="12806" max="12806" width="15.5703125" style="60" customWidth="1"/>
    <col min="12807" max="12807" width="14.28515625" style="60" customWidth="1"/>
    <col min="12808" max="12808" width="15.5703125" style="60" customWidth="1"/>
    <col min="12809" max="12809" width="1.85546875" style="60" customWidth="1"/>
    <col min="12810" max="12810" width="15.5703125" style="60" customWidth="1"/>
    <col min="12811" max="12811" width="2.85546875" style="60" customWidth="1"/>
    <col min="12812" max="13044" width="13.85546875" style="60"/>
    <col min="13045" max="13045" width="7" style="60" customWidth="1"/>
    <col min="13046" max="13046" width="16.5703125" style="60" customWidth="1"/>
    <col min="13047" max="13047" width="4.28515625" style="60" customWidth="1"/>
    <col min="13048" max="13048" width="6.85546875" style="60" customWidth="1"/>
    <col min="13049" max="13050" width="2.28515625" style="60" customWidth="1"/>
    <col min="13051" max="13051" width="10.85546875" style="60" customWidth="1"/>
    <col min="13052" max="13052" width="3.85546875" style="60" customWidth="1"/>
    <col min="13053" max="13053" width="2" style="60" customWidth="1"/>
    <col min="13054" max="13054" width="15.5703125" style="60" customWidth="1"/>
    <col min="13055" max="13055" width="1.85546875" style="60" customWidth="1"/>
    <col min="13056" max="13056" width="15.5703125" style="60" customWidth="1"/>
    <col min="13057" max="13057" width="1.85546875" style="60" customWidth="1"/>
    <col min="13058" max="13058" width="15.5703125" style="60" customWidth="1"/>
    <col min="13059" max="13059" width="1.85546875" style="60" customWidth="1"/>
    <col min="13060" max="13060" width="15.5703125" style="60" customWidth="1"/>
    <col min="13061" max="13061" width="3.140625" style="60" customWidth="1"/>
    <col min="13062" max="13062" width="15.5703125" style="60" customWidth="1"/>
    <col min="13063" max="13063" width="14.28515625" style="60" customWidth="1"/>
    <col min="13064" max="13064" width="15.5703125" style="60" customWidth="1"/>
    <col min="13065" max="13065" width="1.85546875" style="60" customWidth="1"/>
    <col min="13066" max="13066" width="15.5703125" style="60" customWidth="1"/>
    <col min="13067" max="13067" width="2.85546875" style="60" customWidth="1"/>
    <col min="13068" max="13300" width="13.85546875" style="60"/>
    <col min="13301" max="13301" width="7" style="60" customWidth="1"/>
    <col min="13302" max="13302" width="16.5703125" style="60" customWidth="1"/>
    <col min="13303" max="13303" width="4.28515625" style="60" customWidth="1"/>
    <col min="13304" max="13304" width="6.85546875" style="60" customWidth="1"/>
    <col min="13305" max="13306" width="2.28515625" style="60" customWidth="1"/>
    <col min="13307" max="13307" width="10.85546875" style="60" customWidth="1"/>
    <col min="13308" max="13308" width="3.85546875" style="60" customWidth="1"/>
    <col min="13309" max="13309" width="2" style="60" customWidth="1"/>
    <col min="13310" max="13310" width="15.5703125" style="60" customWidth="1"/>
    <col min="13311" max="13311" width="1.85546875" style="60" customWidth="1"/>
    <col min="13312" max="13312" width="15.5703125" style="60" customWidth="1"/>
    <col min="13313" max="13313" width="1.85546875" style="60" customWidth="1"/>
    <col min="13314" max="13314" width="15.5703125" style="60" customWidth="1"/>
    <col min="13315" max="13315" width="1.85546875" style="60" customWidth="1"/>
    <col min="13316" max="13316" width="15.5703125" style="60" customWidth="1"/>
    <col min="13317" max="13317" width="3.140625" style="60" customWidth="1"/>
    <col min="13318" max="13318" width="15.5703125" style="60" customWidth="1"/>
    <col min="13319" max="13319" width="14.28515625" style="60" customWidth="1"/>
    <col min="13320" max="13320" width="15.5703125" style="60" customWidth="1"/>
    <col min="13321" max="13321" width="1.85546875" style="60" customWidth="1"/>
    <col min="13322" max="13322" width="15.5703125" style="60" customWidth="1"/>
    <col min="13323" max="13323" width="2.85546875" style="60" customWidth="1"/>
    <col min="13324" max="13556" width="13.85546875" style="60"/>
    <col min="13557" max="13557" width="7" style="60" customWidth="1"/>
    <col min="13558" max="13558" width="16.5703125" style="60" customWidth="1"/>
    <col min="13559" max="13559" width="4.28515625" style="60" customWidth="1"/>
    <col min="13560" max="13560" width="6.85546875" style="60" customWidth="1"/>
    <col min="13561" max="13562" width="2.28515625" style="60" customWidth="1"/>
    <col min="13563" max="13563" width="10.85546875" style="60" customWidth="1"/>
    <col min="13564" max="13564" width="3.85546875" style="60" customWidth="1"/>
    <col min="13565" max="13565" width="2" style="60" customWidth="1"/>
    <col min="13566" max="13566" width="15.5703125" style="60" customWidth="1"/>
    <col min="13567" max="13567" width="1.85546875" style="60" customWidth="1"/>
    <col min="13568" max="13568" width="15.5703125" style="60" customWidth="1"/>
    <col min="13569" max="13569" width="1.85546875" style="60" customWidth="1"/>
    <col min="13570" max="13570" width="15.5703125" style="60" customWidth="1"/>
    <col min="13571" max="13571" width="1.85546875" style="60" customWidth="1"/>
    <col min="13572" max="13572" width="15.5703125" style="60" customWidth="1"/>
    <col min="13573" max="13573" width="3.140625" style="60" customWidth="1"/>
    <col min="13574" max="13574" width="15.5703125" style="60" customWidth="1"/>
    <col min="13575" max="13575" width="14.28515625" style="60" customWidth="1"/>
    <col min="13576" max="13576" width="15.5703125" style="60" customWidth="1"/>
    <col min="13577" max="13577" width="1.85546875" style="60" customWidth="1"/>
    <col min="13578" max="13578" width="15.5703125" style="60" customWidth="1"/>
    <col min="13579" max="13579" width="2.85546875" style="60" customWidth="1"/>
    <col min="13580" max="13812" width="13.85546875" style="60"/>
    <col min="13813" max="13813" width="7" style="60" customWidth="1"/>
    <col min="13814" max="13814" width="16.5703125" style="60" customWidth="1"/>
    <col min="13815" max="13815" width="4.28515625" style="60" customWidth="1"/>
    <col min="13816" max="13816" width="6.85546875" style="60" customWidth="1"/>
    <col min="13817" max="13818" width="2.28515625" style="60" customWidth="1"/>
    <col min="13819" max="13819" width="10.85546875" style="60" customWidth="1"/>
    <col min="13820" max="13820" width="3.85546875" style="60" customWidth="1"/>
    <col min="13821" max="13821" width="2" style="60" customWidth="1"/>
    <col min="13822" max="13822" width="15.5703125" style="60" customWidth="1"/>
    <col min="13823" max="13823" width="1.85546875" style="60" customWidth="1"/>
    <col min="13824" max="13824" width="15.5703125" style="60" customWidth="1"/>
    <col min="13825" max="13825" width="1.85546875" style="60" customWidth="1"/>
    <col min="13826" max="13826" width="15.5703125" style="60" customWidth="1"/>
    <col min="13827" max="13827" width="1.85546875" style="60" customWidth="1"/>
    <col min="13828" max="13828" width="15.5703125" style="60" customWidth="1"/>
    <col min="13829" max="13829" width="3.140625" style="60" customWidth="1"/>
    <col min="13830" max="13830" width="15.5703125" style="60" customWidth="1"/>
    <col min="13831" max="13831" width="14.28515625" style="60" customWidth="1"/>
    <col min="13832" max="13832" width="15.5703125" style="60" customWidth="1"/>
    <col min="13833" max="13833" width="1.85546875" style="60" customWidth="1"/>
    <col min="13834" max="13834" width="15.5703125" style="60" customWidth="1"/>
    <col min="13835" max="13835" width="2.85546875" style="60" customWidth="1"/>
    <col min="13836" max="14068" width="13.85546875" style="60"/>
    <col min="14069" max="14069" width="7" style="60" customWidth="1"/>
    <col min="14070" max="14070" width="16.5703125" style="60" customWidth="1"/>
    <col min="14071" max="14071" width="4.28515625" style="60" customWidth="1"/>
    <col min="14072" max="14072" width="6.85546875" style="60" customWidth="1"/>
    <col min="14073" max="14074" width="2.28515625" style="60" customWidth="1"/>
    <col min="14075" max="14075" width="10.85546875" style="60" customWidth="1"/>
    <col min="14076" max="14076" width="3.85546875" style="60" customWidth="1"/>
    <col min="14077" max="14077" width="2" style="60" customWidth="1"/>
    <col min="14078" max="14078" width="15.5703125" style="60" customWidth="1"/>
    <col min="14079" max="14079" width="1.85546875" style="60" customWidth="1"/>
    <col min="14080" max="14080" width="15.5703125" style="60" customWidth="1"/>
    <col min="14081" max="14081" width="1.85546875" style="60" customWidth="1"/>
    <col min="14082" max="14082" width="15.5703125" style="60" customWidth="1"/>
    <col min="14083" max="14083" width="1.85546875" style="60" customWidth="1"/>
    <col min="14084" max="14084" width="15.5703125" style="60" customWidth="1"/>
    <col min="14085" max="14085" width="3.140625" style="60" customWidth="1"/>
    <col min="14086" max="14086" width="15.5703125" style="60" customWidth="1"/>
    <col min="14087" max="14087" width="14.28515625" style="60" customWidth="1"/>
    <col min="14088" max="14088" width="15.5703125" style="60" customWidth="1"/>
    <col min="14089" max="14089" width="1.85546875" style="60" customWidth="1"/>
    <col min="14090" max="14090" width="15.5703125" style="60" customWidth="1"/>
    <col min="14091" max="14091" width="2.85546875" style="60" customWidth="1"/>
    <col min="14092" max="14324" width="13.85546875" style="60"/>
    <col min="14325" max="14325" width="7" style="60" customWidth="1"/>
    <col min="14326" max="14326" width="16.5703125" style="60" customWidth="1"/>
    <col min="14327" max="14327" width="4.28515625" style="60" customWidth="1"/>
    <col min="14328" max="14328" width="6.85546875" style="60" customWidth="1"/>
    <col min="14329" max="14330" width="2.28515625" style="60" customWidth="1"/>
    <col min="14331" max="14331" width="10.85546875" style="60" customWidth="1"/>
    <col min="14332" max="14332" width="3.85546875" style="60" customWidth="1"/>
    <col min="14333" max="14333" width="2" style="60" customWidth="1"/>
    <col min="14334" max="14334" width="15.5703125" style="60" customWidth="1"/>
    <col min="14335" max="14335" width="1.85546875" style="60" customWidth="1"/>
    <col min="14336" max="14336" width="15.5703125" style="60" customWidth="1"/>
    <col min="14337" max="14337" width="1.85546875" style="60" customWidth="1"/>
    <col min="14338" max="14338" width="15.5703125" style="60" customWidth="1"/>
    <col min="14339" max="14339" width="1.85546875" style="60" customWidth="1"/>
    <col min="14340" max="14340" width="15.5703125" style="60" customWidth="1"/>
    <col min="14341" max="14341" width="3.140625" style="60" customWidth="1"/>
    <col min="14342" max="14342" width="15.5703125" style="60" customWidth="1"/>
    <col min="14343" max="14343" width="14.28515625" style="60" customWidth="1"/>
    <col min="14344" max="14344" width="15.5703125" style="60" customWidth="1"/>
    <col min="14345" max="14345" width="1.85546875" style="60" customWidth="1"/>
    <col min="14346" max="14346" width="15.5703125" style="60" customWidth="1"/>
    <col min="14347" max="14347" width="2.85546875" style="60" customWidth="1"/>
    <col min="14348" max="14580" width="13.85546875" style="60"/>
    <col min="14581" max="14581" width="7" style="60" customWidth="1"/>
    <col min="14582" max="14582" width="16.5703125" style="60" customWidth="1"/>
    <col min="14583" max="14583" width="4.28515625" style="60" customWidth="1"/>
    <col min="14584" max="14584" width="6.85546875" style="60" customWidth="1"/>
    <col min="14585" max="14586" width="2.28515625" style="60" customWidth="1"/>
    <col min="14587" max="14587" width="10.85546875" style="60" customWidth="1"/>
    <col min="14588" max="14588" width="3.85546875" style="60" customWidth="1"/>
    <col min="14589" max="14589" width="2" style="60" customWidth="1"/>
    <col min="14590" max="14590" width="15.5703125" style="60" customWidth="1"/>
    <col min="14591" max="14591" width="1.85546875" style="60" customWidth="1"/>
    <col min="14592" max="14592" width="15.5703125" style="60" customWidth="1"/>
    <col min="14593" max="14593" width="1.85546875" style="60" customWidth="1"/>
    <col min="14594" max="14594" width="15.5703125" style="60" customWidth="1"/>
    <col min="14595" max="14595" width="1.85546875" style="60" customWidth="1"/>
    <col min="14596" max="14596" width="15.5703125" style="60" customWidth="1"/>
    <col min="14597" max="14597" width="3.140625" style="60" customWidth="1"/>
    <col min="14598" max="14598" width="15.5703125" style="60" customWidth="1"/>
    <col min="14599" max="14599" width="14.28515625" style="60" customWidth="1"/>
    <col min="14600" max="14600" width="15.5703125" style="60" customWidth="1"/>
    <col min="14601" max="14601" width="1.85546875" style="60" customWidth="1"/>
    <col min="14602" max="14602" width="15.5703125" style="60" customWidth="1"/>
    <col min="14603" max="14603" width="2.85546875" style="60" customWidth="1"/>
    <col min="14604" max="14836" width="13.85546875" style="60"/>
    <col min="14837" max="14837" width="7" style="60" customWidth="1"/>
    <col min="14838" max="14838" width="16.5703125" style="60" customWidth="1"/>
    <col min="14839" max="14839" width="4.28515625" style="60" customWidth="1"/>
    <col min="14840" max="14840" width="6.85546875" style="60" customWidth="1"/>
    <col min="14841" max="14842" width="2.28515625" style="60" customWidth="1"/>
    <col min="14843" max="14843" width="10.85546875" style="60" customWidth="1"/>
    <col min="14844" max="14844" width="3.85546875" style="60" customWidth="1"/>
    <col min="14845" max="14845" width="2" style="60" customWidth="1"/>
    <col min="14846" max="14846" width="15.5703125" style="60" customWidth="1"/>
    <col min="14847" max="14847" width="1.85546875" style="60" customWidth="1"/>
    <col min="14848" max="14848" width="15.5703125" style="60" customWidth="1"/>
    <col min="14849" max="14849" width="1.85546875" style="60" customWidth="1"/>
    <col min="14850" max="14850" width="15.5703125" style="60" customWidth="1"/>
    <col min="14851" max="14851" width="1.85546875" style="60" customWidth="1"/>
    <col min="14852" max="14852" width="15.5703125" style="60" customWidth="1"/>
    <col min="14853" max="14853" width="3.140625" style="60" customWidth="1"/>
    <col min="14854" max="14854" width="15.5703125" style="60" customWidth="1"/>
    <col min="14855" max="14855" width="14.28515625" style="60" customWidth="1"/>
    <col min="14856" max="14856" width="15.5703125" style="60" customWidth="1"/>
    <col min="14857" max="14857" width="1.85546875" style="60" customWidth="1"/>
    <col min="14858" max="14858" width="15.5703125" style="60" customWidth="1"/>
    <col min="14859" max="14859" width="2.85546875" style="60" customWidth="1"/>
    <col min="14860" max="15092" width="13.85546875" style="60"/>
    <col min="15093" max="15093" width="7" style="60" customWidth="1"/>
    <col min="15094" max="15094" width="16.5703125" style="60" customWidth="1"/>
    <col min="15095" max="15095" width="4.28515625" style="60" customWidth="1"/>
    <col min="15096" max="15096" width="6.85546875" style="60" customWidth="1"/>
    <col min="15097" max="15098" width="2.28515625" style="60" customWidth="1"/>
    <col min="15099" max="15099" width="10.85546875" style="60" customWidth="1"/>
    <col min="15100" max="15100" width="3.85546875" style="60" customWidth="1"/>
    <col min="15101" max="15101" width="2" style="60" customWidth="1"/>
    <col min="15102" max="15102" width="15.5703125" style="60" customWidth="1"/>
    <col min="15103" max="15103" width="1.85546875" style="60" customWidth="1"/>
    <col min="15104" max="15104" width="15.5703125" style="60" customWidth="1"/>
    <col min="15105" max="15105" width="1.85546875" style="60" customWidth="1"/>
    <col min="15106" max="15106" width="15.5703125" style="60" customWidth="1"/>
    <col min="15107" max="15107" width="1.85546875" style="60" customWidth="1"/>
    <col min="15108" max="15108" width="15.5703125" style="60" customWidth="1"/>
    <col min="15109" max="15109" width="3.140625" style="60" customWidth="1"/>
    <col min="15110" max="15110" width="15.5703125" style="60" customWidth="1"/>
    <col min="15111" max="15111" width="14.28515625" style="60" customWidth="1"/>
    <col min="15112" max="15112" width="15.5703125" style="60" customWidth="1"/>
    <col min="15113" max="15113" width="1.85546875" style="60" customWidth="1"/>
    <col min="15114" max="15114" width="15.5703125" style="60" customWidth="1"/>
    <col min="15115" max="15115" width="2.85546875" style="60" customWidth="1"/>
    <col min="15116" max="15348" width="13.85546875" style="60"/>
    <col min="15349" max="15349" width="7" style="60" customWidth="1"/>
    <col min="15350" max="15350" width="16.5703125" style="60" customWidth="1"/>
    <col min="15351" max="15351" width="4.28515625" style="60" customWidth="1"/>
    <col min="15352" max="15352" width="6.85546875" style="60" customWidth="1"/>
    <col min="15353" max="15354" width="2.28515625" style="60" customWidth="1"/>
    <col min="15355" max="15355" width="10.85546875" style="60" customWidth="1"/>
    <col min="15356" max="15356" width="3.85546875" style="60" customWidth="1"/>
    <col min="15357" max="15357" width="2" style="60" customWidth="1"/>
    <col min="15358" max="15358" width="15.5703125" style="60" customWidth="1"/>
    <col min="15359" max="15359" width="1.85546875" style="60" customWidth="1"/>
    <col min="15360" max="15360" width="15.5703125" style="60" customWidth="1"/>
    <col min="15361" max="15361" width="1.85546875" style="60" customWidth="1"/>
    <col min="15362" max="15362" width="15.5703125" style="60" customWidth="1"/>
    <col min="15363" max="15363" width="1.85546875" style="60" customWidth="1"/>
    <col min="15364" max="15364" width="15.5703125" style="60" customWidth="1"/>
    <col min="15365" max="15365" width="3.140625" style="60" customWidth="1"/>
    <col min="15366" max="15366" width="15.5703125" style="60" customWidth="1"/>
    <col min="15367" max="15367" width="14.28515625" style="60" customWidth="1"/>
    <col min="15368" max="15368" width="15.5703125" style="60" customWidth="1"/>
    <col min="15369" max="15369" width="1.85546875" style="60" customWidth="1"/>
    <col min="15370" max="15370" width="15.5703125" style="60" customWidth="1"/>
    <col min="15371" max="15371" width="2.85546875" style="60" customWidth="1"/>
    <col min="15372" max="15604" width="13.85546875" style="60"/>
    <col min="15605" max="15605" width="7" style="60" customWidth="1"/>
    <col min="15606" max="15606" width="16.5703125" style="60" customWidth="1"/>
    <col min="15607" max="15607" width="4.28515625" style="60" customWidth="1"/>
    <col min="15608" max="15608" width="6.85546875" style="60" customWidth="1"/>
    <col min="15609" max="15610" width="2.28515625" style="60" customWidth="1"/>
    <col min="15611" max="15611" width="10.85546875" style="60" customWidth="1"/>
    <col min="15612" max="15612" width="3.85546875" style="60" customWidth="1"/>
    <col min="15613" max="15613" width="2" style="60" customWidth="1"/>
    <col min="15614" max="15614" width="15.5703125" style="60" customWidth="1"/>
    <col min="15615" max="15615" width="1.85546875" style="60" customWidth="1"/>
    <col min="15616" max="15616" width="15.5703125" style="60" customWidth="1"/>
    <col min="15617" max="15617" width="1.85546875" style="60" customWidth="1"/>
    <col min="15618" max="15618" width="15.5703125" style="60" customWidth="1"/>
    <col min="15619" max="15619" width="1.85546875" style="60" customWidth="1"/>
    <col min="15620" max="15620" width="15.5703125" style="60" customWidth="1"/>
    <col min="15621" max="15621" width="3.140625" style="60" customWidth="1"/>
    <col min="15622" max="15622" width="15.5703125" style="60" customWidth="1"/>
    <col min="15623" max="15623" width="14.28515625" style="60" customWidth="1"/>
    <col min="15624" max="15624" width="15.5703125" style="60" customWidth="1"/>
    <col min="15625" max="15625" width="1.85546875" style="60" customWidth="1"/>
    <col min="15626" max="15626" width="15.5703125" style="60" customWidth="1"/>
    <col min="15627" max="15627" width="2.85546875" style="60" customWidth="1"/>
    <col min="15628" max="15860" width="13.85546875" style="60"/>
    <col min="15861" max="15861" width="7" style="60" customWidth="1"/>
    <col min="15862" max="15862" width="16.5703125" style="60" customWidth="1"/>
    <col min="15863" max="15863" width="4.28515625" style="60" customWidth="1"/>
    <col min="15864" max="15864" width="6.85546875" style="60" customWidth="1"/>
    <col min="15865" max="15866" width="2.28515625" style="60" customWidth="1"/>
    <col min="15867" max="15867" width="10.85546875" style="60" customWidth="1"/>
    <col min="15868" max="15868" width="3.85546875" style="60" customWidth="1"/>
    <col min="15869" max="15869" width="2" style="60" customWidth="1"/>
    <col min="15870" max="15870" width="15.5703125" style="60" customWidth="1"/>
    <col min="15871" max="15871" width="1.85546875" style="60" customWidth="1"/>
    <col min="15872" max="15872" width="15.5703125" style="60" customWidth="1"/>
    <col min="15873" max="15873" width="1.85546875" style="60" customWidth="1"/>
    <col min="15874" max="15874" width="15.5703125" style="60" customWidth="1"/>
    <col min="15875" max="15875" width="1.85546875" style="60" customWidth="1"/>
    <col min="15876" max="15876" width="15.5703125" style="60" customWidth="1"/>
    <col min="15877" max="15877" width="3.140625" style="60" customWidth="1"/>
    <col min="15878" max="15878" width="15.5703125" style="60" customWidth="1"/>
    <col min="15879" max="15879" width="14.28515625" style="60" customWidth="1"/>
    <col min="15880" max="15880" width="15.5703125" style="60" customWidth="1"/>
    <col min="15881" max="15881" width="1.85546875" style="60" customWidth="1"/>
    <col min="15882" max="15882" width="15.5703125" style="60" customWidth="1"/>
    <col min="15883" max="15883" width="2.85546875" style="60" customWidth="1"/>
    <col min="15884" max="16116" width="13.85546875" style="60"/>
    <col min="16117" max="16117" width="7" style="60" customWidth="1"/>
    <col min="16118" max="16118" width="16.5703125" style="60" customWidth="1"/>
    <col min="16119" max="16119" width="4.28515625" style="60" customWidth="1"/>
    <col min="16120" max="16120" width="6.85546875" style="60" customWidth="1"/>
    <col min="16121" max="16122" width="2.28515625" style="60" customWidth="1"/>
    <col min="16123" max="16123" width="10.85546875" style="60" customWidth="1"/>
    <col min="16124" max="16124" width="3.85546875" style="60" customWidth="1"/>
    <col min="16125" max="16125" width="2" style="60" customWidth="1"/>
    <col min="16126" max="16126" width="15.5703125" style="60" customWidth="1"/>
    <col min="16127" max="16127" width="1.85546875" style="60" customWidth="1"/>
    <col min="16128" max="16128" width="15.5703125" style="60" customWidth="1"/>
    <col min="16129" max="16129" width="1.85546875" style="60" customWidth="1"/>
    <col min="16130" max="16130" width="15.5703125" style="60" customWidth="1"/>
    <col min="16131" max="16131" width="1.85546875" style="60" customWidth="1"/>
    <col min="16132" max="16132" width="15.5703125" style="60" customWidth="1"/>
    <col min="16133" max="16133" width="3.140625" style="60" customWidth="1"/>
    <col min="16134" max="16134" width="15.5703125" style="60" customWidth="1"/>
    <col min="16135" max="16135" width="14.28515625" style="60" customWidth="1"/>
    <col min="16136" max="16136" width="15.5703125" style="60" customWidth="1"/>
    <col min="16137" max="16137" width="1.85546875" style="60" customWidth="1"/>
    <col min="16138" max="16138" width="15.5703125" style="60" customWidth="1"/>
    <col min="16139" max="16139" width="2.85546875" style="60" customWidth="1"/>
    <col min="16140" max="16384" width="13.85546875" style="60"/>
  </cols>
  <sheetData>
    <row r="1" spans="1:11" s="956" customFormat="1" ht="15.75">
      <c r="A1" s="957" t="s">
        <v>112</v>
      </c>
    </row>
    <row r="2" spans="1:11" s="956" customFormat="1" ht="15.75">
      <c r="A2" s="957" t="s">
        <v>1899</v>
      </c>
    </row>
    <row r="3" spans="1:11" s="956" customFormat="1" ht="15.75">
      <c r="A3" s="962" t="s">
        <v>1901</v>
      </c>
    </row>
    <row r="4" spans="1:11" s="963" customFormat="1" ht="15">
      <c r="J4" s="956"/>
      <c r="K4" s="956"/>
    </row>
    <row r="5" spans="1:11" s="963" customFormat="1" ht="15.75" thickBot="1">
      <c r="H5" s="83">
        <v>42161</v>
      </c>
      <c r="J5" s="956"/>
    </row>
    <row r="6" spans="1:11" s="963" customFormat="1" ht="5.25" customHeight="1">
      <c r="C6" s="964"/>
      <c r="H6" s="965"/>
      <c r="J6" s="956"/>
    </row>
    <row r="7" spans="1:11" s="952" customFormat="1" ht="4.5" customHeight="1">
      <c r="J7" s="956"/>
    </row>
    <row r="8" spans="1:11" s="952" customFormat="1" outlineLevel="1">
      <c r="A8" s="953">
        <v>10050</v>
      </c>
      <c r="B8" s="953" t="s">
        <v>1790</v>
      </c>
      <c r="C8" s="954"/>
      <c r="D8" s="954"/>
      <c r="H8" s="955">
        <v>89.52</v>
      </c>
    </row>
    <row r="9" spans="1:11" s="952" customFormat="1" outlineLevel="1">
      <c r="A9" s="953">
        <v>10051</v>
      </c>
      <c r="B9" s="953" t="s">
        <v>1791</v>
      </c>
      <c r="C9" s="954"/>
      <c r="D9" s="954"/>
      <c r="H9" s="955">
        <v>650</v>
      </c>
    </row>
    <row r="10" spans="1:11" s="952" customFormat="1" outlineLevel="1">
      <c r="A10" s="953">
        <v>10070</v>
      </c>
      <c r="B10" s="953" t="s">
        <v>1792</v>
      </c>
      <c r="C10" s="954"/>
      <c r="D10" s="954"/>
      <c r="H10" s="955">
        <v>-12435</v>
      </c>
    </row>
    <row r="11" spans="1:11" s="952" customFormat="1" outlineLevel="1">
      <c r="A11" s="953">
        <v>10071</v>
      </c>
      <c r="B11" s="953" t="s">
        <v>1793</v>
      </c>
      <c r="C11" s="954"/>
      <c r="D11" s="954"/>
      <c r="H11" s="955">
        <v>12435</v>
      </c>
    </row>
    <row r="12" spans="1:11" s="952" customFormat="1" outlineLevel="1">
      <c r="A12" s="953">
        <v>10095</v>
      </c>
      <c r="B12" s="953" t="s">
        <v>1902</v>
      </c>
      <c r="C12" s="954"/>
      <c r="D12" s="954"/>
      <c r="H12" s="955">
        <v>0</v>
      </c>
    </row>
    <row r="13" spans="1:11" s="952" customFormat="1" outlineLevel="1">
      <c r="A13" s="953">
        <v>10096</v>
      </c>
      <c r="B13" s="953" t="s">
        <v>1794</v>
      </c>
      <c r="C13" s="954"/>
      <c r="D13" s="954"/>
      <c r="H13" s="955">
        <v>0</v>
      </c>
    </row>
    <row r="14" spans="1:11" s="952" customFormat="1" outlineLevel="1">
      <c r="A14" s="953">
        <v>10097</v>
      </c>
      <c r="B14" s="953" t="s">
        <v>1795</v>
      </c>
      <c r="C14" s="954"/>
      <c r="D14" s="954"/>
      <c r="H14" s="955">
        <v>0</v>
      </c>
    </row>
    <row r="15" spans="1:11" s="952" customFormat="1" outlineLevel="1">
      <c r="A15" s="953">
        <v>10098</v>
      </c>
      <c r="B15" s="953" t="s">
        <v>1796</v>
      </c>
      <c r="C15" s="954"/>
      <c r="D15" s="954"/>
      <c r="H15" s="955">
        <v>58.15</v>
      </c>
    </row>
    <row r="16" spans="1:11" s="952" customFormat="1" outlineLevel="1">
      <c r="A16" s="953">
        <v>10099</v>
      </c>
      <c r="B16" s="953" t="s">
        <v>1797</v>
      </c>
      <c r="C16" s="954"/>
      <c r="D16" s="954"/>
      <c r="H16" s="955">
        <v>0</v>
      </c>
    </row>
    <row r="17" spans="1:8" s="952" customFormat="1" ht="4.5" customHeight="1" outlineLevel="1">
      <c r="H17" s="966"/>
    </row>
    <row r="18" spans="1:8" s="952" customFormat="1">
      <c r="C18" s="952" t="s">
        <v>1798</v>
      </c>
      <c r="H18" s="92">
        <f>SUM(H8:H17)</f>
        <v>797.67000000000041</v>
      </c>
    </row>
    <row r="19" spans="1:8" s="952" customFormat="1" outlineLevel="1">
      <c r="A19" s="953">
        <v>11501</v>
      </c>
      <c r="B19" s="953" t="s">
        <v>1799</v>
      </c>
      <c r="C19" s="954"/>
      <c r="D19" s="954"/>
      <c r="H19" s="955">
        <v>235705.74</v>
      </c>
    </row>
    <row r="20" spans="1:8" s="952" customFormat="1" outlineLevel="1">
      <c r="A20" s="953">
        <v>11502</v>
      </c>
      <c r="B20" s="953" t="s">
        <v>1800</v>
      </c>
      <c r="C20" s="954"/>
      <c r="D20" s="954"/>
      <c r="H20" s="955">
        <v>-2527.65</v>
      </c>
    </row>
    <row r="21" spans="1:8" s="952" customFormat="1" outlineLevel="1">
      <c r="A21" s="953">
        <v>11511</v>
      </c>
      <c r="B21" s="953" t="s">
        <v>1801</v>
      </c>
      <c r="C21" s="954"/>
      <c r="D21" s="954"/>
      <c r="H21" s="955">
        <v>2942.01</v>
      </c>
    </row>
    <row r="22" spans="1:8" s="952" customFormat="1" outlineLevel="1">
      <c r="A22" s="953">
        <v>11900</v>
      </c>
      <c r="B22" s="953" t="s">
        <v>1802</v>
      </c>
      <c r="C22" s="954"/>
      <c r="D22" s="954"/>
      <c r="H22" s="955">
        <v>-21433.73</v>
      </c>
    </row>
    <row r="23" spans="1:8" s="952" customFormat="1" outlineLevel="1">
      <c r="A23" s="953">
        <v>11901</v>
      </c>
      <c r="B23" s="953" t="s">
        <v>1803</v>
      </c>
      <c r="C23" s="954"/>
      <c r="D23" s="954"/>
      <c r="H23" s="955">
        <v>-99504.82</v>
      </c>
    </row>
    <row r="24" spans="1:8" s="952" customFormat="1" outlineLevel="1">
      <c r="A24" s="953">
        <v>11902</v>
      </c>
      <c r="B24" s="953" t="s">
        <v>1804</v>
      </c>
      <c r="C24" s="954"/>
      <c r="D24" s="954"/>
      <c r="H24" s="955">
        <v>163263.22</v>
      </c>
    </row>
    <row r="25" spans="1:8" s="952" customFormat="1" outlineLevel="1">
      <c r="A25" s="953">
        <v>11903</v>
      </c>
      <c r="B25" s="953" t="s">
        <v>1805</v>
      </c>
      <c r="C25" s="954"/>
      <c r="D25" s="954"/>
      <c r="H25" s="955">
        <v>-45717.8</v>
      </c>
    </row>
    <row r="26" spans="1:8" s="952" customFormat="1" ht="5.0999999999999996" customHeight="1" outlineLevel="1">
      <c r="A26" s="954"/>
      <c r="B26" s="954"/>
      <c r="C26" s="954"/>
      <c r="D26" s="954"/>
      <c r="H26" s="95"/>
    </row>
    <row r="27" spans="1:8" s="952" customFormat="1">
      <c r="C27" s="953" t="s">
        <v>1806</v>
      </c>
      <c r="H27" s="92">
        <f>SUM(H19:H26)</f>
        <v>232726.97000000003</v>
      </c>
    </row>
    <row r="28" spans="1:8" s="952" customFormat="1" outlineLevel="1">
      <c r="A28" s="953">
        <v>12001</v>
      </c>
      <c r="B28" s="953" t="s">
        <v>1807</v>
      </c>
      <c r="C28" s="954"/>
      <c r="D28" s="954"/>
      <c r="H28" s="955">
        <v>7376.14</v>
      </c>
    </row>
    <row r="29" spans="1:8" s="952" customFormat="1" outlineLevel="1">
      <c r="A29" s="953">
        <v>12003</v>
      </c>
      <c r="B29" s="953" t="s">
        <v>1808</v>
      </c>
      <c r="C29" s="954"/>
      <c r="D29" s="954"/>
      <c r="H29" s="955">
        <v>2075.3200000000002</v>
      </c>
    </row>
    <row r="30" spans="1:8" s="952" customFormat="1" outlineLevel="1">
      <c r="A30" s="953">
        <v>12004</v>
      </c>
      <c r="B30" s="953" t="s">
        <v>1809</v>
      </c>
      <c r="C30" s="954"/>
      <c r="D30" s="954"/>
      <c r="H30" s="955">
        <v>493.92</v>
      </c>
    </row>
    <row r="31" spans="1:8" s="952" customFormat="1" outlineLevel="1">
      <c r="A31" s="953">
        <v>12005</v>
      </c>
      <c r="B31" s="953" t="s">
        <v>1810</v>
      </c>
      <c r="C31" s="954"/>
      <c r="D31" s="954"/>
      <c r="H31" s="955">
        <v>122</v>
      </c>
    </row>
    <row r="32" spans="1:8" s="952" customFormat="1" ht="5.0999999999999996" customHeight="1" outlineLevel="1">
      <c r="A32" s="954"/>
      <c r="B32" s="954"/>
      <c r="C32" s="954"/>
      <c r="D32" s="954"/>
      <c r="H32" s="95"/>
    </row>
    <row r="33" spans="1:8" s="952" customFormat="1">
      <c r="C33" s="953" t="s">
        <v>1683</v>
      </c>
      <c r="H33" s="92">
        <f>SUM(H28:H32)</f>
        <v>10067.380000000001</v>
      </c>
    </row>
    <row r="34" spans="1:8" s="952" customFormat="1" outlineLevel="1">
      <c r="A34" s="953">
        <v>13001</v>
      </c>
      <c r="B34" s="953" t="s">
        <v>1811</v>
      </c>
      <c r="C34" s="954"/>
      <c r="D34" s="954"/>
      <c r="H34" s="955">
        <v>762.89</v>
      </c>
    </row>
    <row r="35" spans="1:8" s="952" customFormat="1" outlineLevel="1">
      <c r="A35" s="953">
        <v>13002</v>
      </c>
      <c r="B35" s="953" t="s">
        <v>1812</v>
      </c>
      <c r="C35" s="954"/>
      <c r="D35" s="954"/>
      <c r="H35" s="955">
        <v>0</v>
      </c>
    </row>
    <row r="36" spans="1:8" s="952" customFormat="1" outlineLevel="1">
      <c r="A36" s="953">
        <v>13003</v>
      </c>
      <c r="B36" s="953" t="s">
        <v>1903</v>
      </c>
      <c r="C36" s="954"/>
      <c r="D36" s="954"/>
      <c r="H36" s="955">
        <v>0</v>
      </c>
    </row>
    <row r="37" spans="1:8" s="952" customFormat="1" outlineLevel="1">
      <c r="A37" s="953">
        <v>13004</v>
      </c>
      <c r="B37" s="953" t="s">
        <v>1813</v>
      </c>
      <c r="C37" s="954"/>
      <c r="D37" s="954"/>
      <c r="H37" s="955">
        <v>2102.2399999999998</v>
      </c>
    </row>
    <row r="38" spans="1:8" s="952" customFormat="1" outlineLevel="1">
      <c r="A38" s="953">
        <v>13008</v>
      </c>
      <c r="B38" s="953" t="s">
        <v>1814</v>
      </c>
      <c r="C38" s="954"/>
      <c r="D38" s="954"/>
      <c r="H38" s="955">
        <v>6288.12</v>
      </c>
    </row>
    <row r="39" spans="1:8" s="952" customFormat="1" ht="3.75" customHeight="1" outlineLevel="1">
      <c r="A39" s="954"/>
      <c r="B39" s="954"/>
      <c r="C39" s="954"/>
      <c r="D39" s="954"/>
      <c r="H39" s="95"/>
    </row>
    <row r="40" spans="1:8" s="952" customFormat="1">
      <c r="C40" s="953" t="s">
        <v>1815</v>
      </c>
      <c r="H40" s="92">
        <f>SUM(H34:H39)</f>
        <v>9153.25</v>
      </c>
    </row>
    <row r="41" spans="1:8" s="101" customFormat="1" outlineLevel="1"/>
    <row r="42" spans="1:8" s="952" customFormat="1" ht="3.75" customHeight="1" outlineLevel="1">
      <c r="A42" s="954"/>
      <c r="B42" s="954"/>
      <c r="C42" s="954"/>
      <c r="D42" s="954"/>
      <c r="H42" s="95"/>
    </row>
    <row r="43" spans="1:8" s="952" customFormat="1">
      <c r="C43" s="953" t="s">
        <v>1816</v>
      </c>
      <c r="H43" s="92">
        <f>SUM(H41:H42)</f>
        <v>0</v>
      </c>
    </row>
    <row r="44" spans="1:8" s="952" customFormat="1" ht="7.5" customHeight="1">
      <c r="H44" s="94"/>
    </row>
    <row r="45" spans="1:8" s="952" customFormat="1">
      <c r="B45" s="967" t="s">
        <v>1817</v>
      </c>
      <c r="H45" s="98">
        <f>SUM(H18,H27,H33,H40,H43)</f>
        <v>252745.27000000005</v>
      </c>
    </row>
    <row r="46" spans="1:8" s="952" customFormat="1" ht="7.5" customHeight="1">
      <c r="H46" s="94"/>
    </row>
    <row r="47" spans="1:8" s="952" customFormat="1" outlineLevel="1">
      <c r="H47" s="94"/>
    </row>
    <row r="48" spans="1:8" s="952" customFormat="1" outlineLevel="1">
      <c r="A48" s="953">
        <v>14002</v>
      </c>
      <c r="B48" s="953" t="s">
        <v>1818</v>
      </c>
      <c r="C48" s="954"/>
      <c r="D48" s="954"/>
      <c r="H48" s="955">
        <v>94000</v>
      </c>
    </row>
    <row r="49" spans="1:8" s="952" customFormat="1" outlineLevel="1">
      <c r="A49" s="953">
        <v>14011</v>
      </c>
      <c r="B49" s="953" t="s">
        <v>1819</v>
      </c>
      <c r="C49" s="954"/>
      <c r="D49" s="954"/>
      <c r="H49" s="955">
        <v>32340</v>
      </c>
    </row>
    <row r="50" spans="1:8" s="952" customFormat="1" outlineLevel="1">
      <c r="A50" s="953">
        <v>14016</v>
      </c>
      <c r="B50" s="953" t="s">
        <v>1820</v>
      </c>
      <c r="C50" s="954"/>
      <c r="D50" s="954"/>
      <c r="H50" s="955">
        <v>-5929</v>
      </c>
    </row>
    <row r="51" spans="1:8" s="952" customFormat="1" outlineLevel="1">
      <c r="A51" s="953">
        <v>14041</v>
      </c>
      <c r="B51" s="953" t="s">
        <v>1821</v>
      </c>
      <c r="C51" s="954"/>
      <c r="D51" s="954"/>
      <c r="H51" s="955">
        <v>1211345.1200000001</v>
      </c>
    </row>
    <row r="52" spans="1:8" s="952" customFormat="1" outlineLevel="1">
      <c r="A52" s="953">
        <v>14042</v>
      </c>
      <c r="B52" s="953" t="s">
        <v>1822</v>
      </c>
      <c r="C52" s="954"/>
      <c r="D52" s="954"/>
      <c r="H52" s="955">
        <v>574940</v>
      </c>
    </row>
    <row r="53" spans="1:8" s="952" customFormat="1" outlineLevel="1">
      <c r="A53" s="953">
        <v>14043</v>
      </c>
      <c r="B53" s="953" t="s">
        <v>1823</v>
      </c>
      <c r="C53" s="954"/>
      <c r="D53" s="954"/>
      <c r="H53" s="955">
        <v>-584333.99</v>
      </c>
    </row>
    <row r="54" spans="1:8" s="952" customFormat="1" outlineLevel="1">
      <c r="A54" s="953">
        <v>14044</v>
      </c>
      <c r="B54" s="953" t="s">
        <v>1824</v>
      </c>
      <c r="C54" s="954"/>
      <c r="D54" s="954"/>
      <c r="H54" s="955">
        <v>-14147.8</v>
      </c>
    </row>
    <row r="55" spans="1:8" s="952" customFormat="1" outlineLevel="1">
      <c r="A55" s="953">
        <v>14046</v>
      </c>
      <c r="B55" s="953" t="s">
        <v>1825</v>
      </c>
      <c r="C55" s="954"/>
      <c r="D55" s="954"/>
      <c r="H55" s="955">
        <v>-878634.29</v>
      </c>
    </row>
    <row r="56" spans="1:8" s="952" customFormat="1" outlineLevel="1">
      <c r="A56" s="953">
        <v>14047</v>
      </c>
      <c r="B56" s="953" t="s">
        <v>1823</v>
      </c>
      <c r="C56" s="954"/>
      <c r="D56" s="954"/>
      <c r="H56" s="955">
        <v>7477.25</v>
      </c>
    </row>
    <row r="57" spans="1:8" s="952" customFormat="1" outlineLevel="1">
      <c r="A57" s="953">
        <v>14048</v>
      </c>
      <c r="B57" s="953" t="s">
        <v>1824</v>
      </c>
      <c r="C57" s="954"/>
      <c r="D57" s="954"/>
      <c r="H57" s="955">
        <v>14147.8</v>
      </c>
    </row>
    <row r="58" spans="1:8" s="952" customFormat="1" outlineLevel="1">
      <c r="A58" s="953">
        <v>14051</v>
      </c>
      <c r="B58" s="953" t="s">
        <v>1826</v>
      </c>
      <c r="C58" s="954"/>
      <c r="D58" s="954"/>
      <c r="H58" s="955">
        <v>375139.43</v>
      </c>
    </row>
    <row r="59" spans="1:8" s="952" customFormat="1" outlineLevel="1">
      <c r="A59" s="953">
        <v>14052</v>
      </c>
      <c r="B59" s="953" t="s">
        <v>1827</v>
      </c>
      <c r="C59" s="954"/>
      <c r="D59" s="954"/>
      <c r="H59" s="955">
        <v>72790</v>
      </c>
    </row>
    <row r="60" spans="1:8" s="952" customFormat="1" outlineLevel="1">
      <c r="A60" s="953">
        <v>14053</v>
      </c>
      <c r="B60" s="953" t="s">
        <v>1828</v>
      </c>
      <c r="C60" s="954"/>
      <c r="D60" s="954"/>
      <c r="H60" s="955">
        <v>11193.65</v>
      </c>
    </row>
    <row r="61" spans="1:8" s="952" customFormat="1" outlineLevel="1">
      <c r="A61" s="953">
        <v>14054</v>
      </c>
      <c r="B61" s="953" t="s">
        <v>1829</v>
      </c>
      <c r="C61" s="954"/>
      <c r="D61" s="954"/>
      <c r="H61" s="955">
        <v>-3682</v>
      </c>
    </row>
    <row r="62" spans="1:8" s="952" customFormat="1" outlineLevel="1">
      <c r="A62" s="953">
        <v>14056</v>
      </c>
      <c r="B62" s="953" t="s">
        <v>1830</v>
      </c>
      <c r="C62" s="954"/>
      <c r="D62" s="954"/>
      <c r="H62" s="955">
        <v>-323438.33</v>
      </c>
    </row>
    <row r="63" spans="1:8" s="952" customFormat="1" outlineLevel="1">
      <c r="A63" s="953">
        <v>14057</v>
      </c>
      <c r="B63" s="953" t="s">
        <v>1831</v>
      </c>
      <c r="C63" s="954"/>
      <c r="D63" s="954"/>
      <c r="H63" s="955">
        <v>-4409.91</v>
      </c>
    </row>
    <row r="64" spans="1:8" s="952" customFormat="1" outlineLevel="1">
      <c r="A64" s="953">
        <v>14058</v>
      </c>
      <c r="B64" s="953" t="s">
        <v>1832</v>
      </c>
      <c r="C64" s="954"/>
      <c r="D64" s="954"/>
      <c r="H64" s="955">
        <v>428.11</v>
      </c>
    </row>
    <row r="65" spans="1:8" s="952" customFormat="1" outlineLevel="1">
      <c r="A65" s="953">
        <v>14071</v>
      </c>
      <c r="B65" s="953" t="s">
        <v>1833</v>
      </c>
      <c r="C65" s="954"/>
      <c r="D65" s="954"/>
      <c r="H65" s="955">
        <v>27207.27</v>
      </c>
    </row>
    <row r="66" spans="1:8" s="952" customFormat="1" outlineLevel="1">
      <c r="A66" s="953">
        <v>14073</v>
      </c>
      <c r="B66" s="953" t="s">
        <v>1834</v>
      </c>
      <c r="C66" s="954"/>
      <c r="D66" s="954"/>
      <c r="H66" s="955">
        <v>4572.38</v>
      </c>
    </row>
    <row r="67" spans="1:8" s="952" customFormat="1" outlineLevel="1">
      <c r="A67" s="953">
        <v>14076</v>
      </c>
      <c r="B67" s="953" t="s">
        <v>1835</v>
      </c>
      <c r="C67" s="954"/>
      <c r="D67" s="954"/>
      <c r="H67" s="955">
        <v>-26105.58</v>
      </c>
    </row>
    <row r="68" spans="1:8" s="952" customFormat="1" outlineLevel="1">
      <c r="A68" s="953">
        <v>14077</v>
      </c>
      <c r="B68" s="953" t="s">
        <v>1836</v>
      </c>
      <c r="C68" s="954"/>
      <c r="D68" s="954"/>
      <c r="H68" s="955">
        <v>-3429.3</v>
      </c>
    </row>
    <row r="69" spans="1:8" s="952" customFormat="1" outlineLevel="1">
      <c r="A69" s="953">
        <v>14081</v>
      </c>
      <c r="B69" s="953" t="s">
        <v>1837</v>
      </c>
      <c r="C69" s="954"/>
      <c r="D69" s="954"/>
      <c r="H69" s="955">
        <v>101069.3</v>
      </c>
    </row>
    <row r="70" spans="1:8" s="952" customFormat="1" outlineLevel="1">
      <c r="A70" s="953">
        <v>14082</v>
      </c>
      <c r="B70" s="953" t="s">
        <v>1838</v>
      </c>
      <c r="C70" s="954"/>
      <c r="D70" s="954"/>
      <c r="H70" s="955">
        <v>200000</v>
      </c>
    </row>
    <row r="71" spans="1:8" s="952" customFormat="1" outlineLevel="1">
      <c r="A71" s="953">
        <v>14086</v>
      </c>
      <c r="B71" s="953" t="s">
        <v>1839</v>
      </c>
      <c r="C71" s="954"/>
      <c r="D71" s="954"/>
      <c r="H71" s="955">
        <v>-154233</v>
      </c>
    </row>
    <row r="72" spans="1:8" s="952" customFormat="1" outlineLevel="1">
      <c r="A72" s="953">
        <v>14111</v>
      </c>
      <c r="B72" s="953" t="s">
        <v>1843</v>
      </c>
      <c r="C72" s="954"/>
      <c r="D72" s="954"/>
      <c r="H72" s="955">
        <v>39031.49</v>
      </c>
    </row>
    <row r="73" spans="1:8" s="952" customFormat="1" outlineLevel="1">
      <c r="A73" s="953">
        <v>14113</v>
      </c>
      <c r="B73" s="953" t="s">
        <v>1844</v>
      </c>
      <c r="C73" s="954"/>
      <c r="D73" s="954"/>
      <c r="H73" s="955">
        <v>-4291.8599999999997</v>
      </c>
    </row>
    <row r="74" spans="1:8" s="952" customFormat="1" outlineLevel="1">
      <c r="A74" s="953">
        <v>14116</v>
      </c>
      <c r="B74" s="953" t="s">
        <v>1845</v>
      </c>
      <c r="C74" s="954"/>
      <c r="D74" s="954"/>
      <c r="H74" s="955">
        <v>-33273.550000000003</v>
      </c>
    </row>
    <row r="75" spans="1:8" s="952" customFormat="1" outlineLevel="1">
      <c r="A75" s="953">
        <v>14117</v>
      </c>
      <c r="B75" s="953" t="s">
        <v>1846</v>
      </c>
      <c r="C75" s="954"/>
      <c r="D75" s="954"/>
      <c r="H75" s="955">
        <v>2998.84</v>
      </c>
    </row>
    <row r="76" spans="1:8" s="952" customFormat="1" outlineLevel="1">
      <c r="A76" s="953">
        <v>14201</v>
      </c>
      <c r="B76" s="953" t="s">
        <v>1847</v>
      </c>
      <c r="C76" s="954"/>
      <c r="D76" s="954"/>
      <c r="H76" s="955">
        <v>126235.15</v>
      </c>
    </row>
    <row r="77" spans="1:8" s="952" customFormat="1" ht="4.5" customHeight="1" outlineLevel="1">
      <c r="A77" s="968"/>
      <c r="H77" s="95"/>
    </row>
    <row r="78" spans="1:8" s="952" customFormat="1">
      <c r="C78" s="952" t="s">
        <v>1848</v>
      </c>
      <c r="H78" s="92">
        <f>SUM(H48:H77)</f>
        <v>859007.18</v>
      </c>
    </row>
    <row r="79" spans="1:8" s="101" customFormat="1" outlineLevel="1"/>
    <row r="80" spans="1:8" s="952" customFormat="1" ht="5.0999999999999996" customHeight="1" outlineLevel="1">
      <c r="A80" s="954"/>
      <c r="B80" s="954"/>
      <c r="C80" s="954"/>
      <c r="D80" s="954"/>
      <c r="H80" s="95"/>
    </row>
    <row r="81" spans="1:8" s="952" customFormat="1">
      <c r="C81" s="953" t="s">
        <v>1849</v>
      </c>
      <c r="H81" s="92">
        <f>SUM(H79:H80)</f>
        <v>0</v>
      </c>
    </row>
    <row r="82" spans="1:8" s="952" customFormat="1" outlineLevel="1">
      <c r="A82" s="953">
        <v>15111</v>
      </c>
      <c r="B82" s="953" t="s">
        <v>1850</v>
      </c>
      <c r="C82" s="954"/>
      <c r="D82" s="954"/>
      <c r="H82" s="955">
        <v>2548700.21</v>
      </c>
    </row>
    <row r="83" spans="1:8" s="952" customFormat="1" outlineLevel="1">
      <c r="A83" s="953">
        <v>15112</v>
      </c>
      <c r="B83" s="953" t="s">
        <v>1851</v>
      </c>
      <c r="C83" s="954"/>
      <c r="D83" s="954"/>
      <c r="H83" s="955">
        <v>-94415.71</v>
      </c>
    </row>
    <row r="84" spans="1:8" s="952" customFormat="1" ht="4.5" customHeight="1" outlineLevel="1">
      <c r="A84" s="968"/>
      <c r="H84" s="95"/>
    </row>
    <row r="85" spans="1:8" s="952" customFormat="1">
      <c r="C85" s="952" t="s">
        <v>1690</v>
      </c>
      <c r="H85" s="92">
        <f>SUM(H82:H84)</f>
        <v>2454284.5</v>
      </c>
    </row>
    <row r="86" spans="1:8" s="952" customFormat="1" outlineLevel="1">
      <c r="A86" s="953">
        <v>15211</v>
      </c>
      <c r="B86" s="953" t="s">
        <v>1852</v>
      </c>
      <c r="C86" s="954"/>
      <c r="D86" s="954"/>
      <c r="H86" s="955">
        <v>31000</v>
      </c>
    </row>
    <row r="87" spans="1:8" s="952" customFormat="1" outlineLevel="1">
      <c r="A87" s="953">
        <v>15216</v>
      </c>
      <c r="B87" s="953" t="s">
        <v>1853</v>
      </c>
      <c r="C87" s="954"/>
      <c r="D87" s="954"/>
      <c r="H87" s="955">
        <v>-31000</v>
      </c>
    </row>
    <row r="88" spans="1:8" s="952" customFormat="1" outlineLevel="1">
      <c r="A88" s="953">
        <v>15251</v>
      </c>
      <c r="B88" s="953" t="s">
        <v>1854</v>
      </c>
      <c r="C88" s="954"/>
      <c r="D88" s="954"/>
      <c r="H88" s="955">
        <v>113859.33</v>
      </c>
    </row>
    <row r="89" spans="1:8" s="952" customFormat="1" outlineLevel="1">
      <c r="A89" s="953">
        <v>15256</v>
      </c>
      <c r="B89" s="953" t="s">
        <v>1855</v>
      </c>
      <c r="C89" s="954"/>
      <c r="D89" s="954"/>
      <c r="H89" s="955">
        <v>-55145.18</v>
      </c>
    </row>
    <row r="90" spans="1:8" s="952" customFormat="1" outlineLevel="1">
      <c r="A90" s="953">
        <v>15261</v>
      </c>
      <c r="B90" s="953" t="s">
        <v>1856</v>
      </c>
      <c r="C90" s="954"/>
      <c r="D90" s="954"/>
      <c r="H90" s="955">
        <v>167101.01999999999</v>
      </c>
    </row>
    <row r="91" spans="1:8" s="952" customFormat="1" ht="5.0999999999999996" customHeight="1" outlineLevel="1">
      <c r="A91" s="954"/>
      <c r="B91" s="954"/>
      <c r="C91" s="954"/>
      <c r="D91" s="954"/>
      <c r="H91" s="95"/>
    </row>
    <row r="92" spans="1:8" s="952" customFormat="1">
      <c r="C92" s="953" t="s">
        <v>1857</v>
      </c>
      <c r="D92" s="969"/>
      <c r="E92" s="969"/>
      <c r="F92" s="969"/>
      <c r="H92" s="92">
        <f>SUM(H86:H91)</f>
        <v>225815.16999999998</v>
      </c>
    </row>
    <row r="93" spans="1:8" s="101" customFormat="1" outlineLevel="1"/>
    <row r="94" spans="1:8" s="952" customFormat="1" ht="5.0999999999999996" customHeight="1" outlineLevel="1">
      <c r="A94" s="954"/>
      <c r="B94" s="954"/>
      <c r="C94" s="954"/>
      <c r="D94" s="954"/>
      <c r="H94" s="95"/>
    </row>
    <row r="95" spans="1:8" s="952" customFormat="1">
      <c r="C95" s="953" t="s">
        <v>1858</v>
      </c>
      <c r="D95" s="969"/>
      <c r="E95" s="969"/>
      <c r="F95" s="969"/>
      <c r="H95" s="92">
        <f>SUM(H93:H94)</f>
        <v>0</v>
      </c>
    </row>
    <row r="96" spans="1:8" s="101" customFormat="1" outlineLevel="1"/>
    <row r="97" spans="1:8" s="952" customFormat="1" ht="4.5" customHeight="1" outlineLevel="1">
      <c r="A97" s="968"/>
      <c r="H97" s="95"/>
    </row>
    <row r="98" spans="1:8" s="952" customFormat="1">
      <c r="C98" s="952" t="s">
        <v>1859</v>
      </c>
      <c r="H98" s="92">
        <f>SUM(H96:H97)</f>
        <v>0</v>
      </c>
    </row>
    <row r="99" spans="1:8" s="101" customFormat="1" outlineLevel="1"/>
    <row r="100" spans="1:8" s="952" customFormat="1" ht="5.0999999999999996" customHeight="1" outlineLevel="1">
      <c r="A100" s="954"/>
      <c r="B100" s="954"/>
      <c r="C100" s="954"/>
      <c r="D100" s="954"/>
      <c r="H100" s="95"/>
    </row>
    <row r="101" spans="1:8" s="952" customFormat="1">
      <c r="C101" s="953" t="s">
        <v>1860</v>
      </c>
      <c r="H101" s="92">
        <f>SUM(H99:H100)</f>
        <v>0</v>
      </c>
    </row>
    <row r="102" spans="1:8" s="101" customFormat="1" outlineLevel="1"/>
    <row r="103" spans="1:8" s="952" customFormat="1" ht="5.0999999999999996" customHeight="1" outlineLevel="1">
      <c r="A103" s="954"/>
      <c r="B103" s="954"/>
      <c r="C103" s="954"/>
      <c r="D103" s="954"/>
      <c r="H103" s="95"/>
    </row>
    <row r="104" spans="1:8" s="952" customFormat="1">
      <c r="C104" s="953" t="s">
        <v>1861</v>
      </c>
      <c r="H104" s="92">
        <f>SUM(H102:H103)</f>
        <v>0</v>
      </c>
    </row>
    <row r="105" spans="1:8" s="952" customFormat="1" outlineLevel="1">
      <c r="A105" s="953">
        <v>17100</v>
      </c>
      <c r="B105" s="953" t="s">
        <v>1862</v>
      </c>
      <c r="C105" s="954"/>
      <c r="D105" s="954"/>
      <c r="H105" s="955">
        <v>440736.78</v>
      </c>
    </row>
    <row r="106" spans="1:8" s="952" customFormat="1" outlineLevel="1">
      <c r="A106" s="953">
        <v>18100</v>
      </c>
      <c r="B106" s="953" t="s">
        <v>1863</v>
      </c>
      <c r="C106" s="954"/>
      <c r="D106" s="954"/>
      <c r="H106" s="955">
        <v>-3505850</v>
      </c>
    </row>
    <row r="107" spans="1:8" s="952" customFormat="1" ht="5.0999999999999996" customHeight="1" outlineLevel="1">
      <c r="A107" s="954"/>
      <c r="B107" s="954"/>
      <c r="C107" s="954"/>
      <c r="D107" s="954"/>
      <c r="H107" s="95"/>
    </row>
    <row r="108" spans="1:8" s="952" customFormat="1">
      <c r="C108" s="953" t="s">
        <v>1698</v>
      </c>
      <c r="H108" s="92">
        <f>SUM(H105:H107)</f>
        <v>-3065113.2199999997</v>
      </c>
    </row>
    <row r="109" spans="1:8" s="952" customFormat="1" ht="7.5" customHeight="1">
      <c r="H109" s="94"/>
    </row>
    <row r="110" spans="1:8" s="952" customFormat="1" ht="13.5" thickBot="1">
      <c r="B110" s="967" t="s">
        <v>1864</v>
      </c>
      <c r="H110" s="118">
        <f>SUM(H78,H81,H85,H92,H95,H98,H101,H104,H108,H45)</f>
        <v>726738.90000000037</v>
      </c>
    </row>
    <row r="111" spans="1:8" s="952" customFormat="1" ht="7.5" customHeight="1" thickTop="1">
      <c r="H111" s="94"/>
    </row>
    <row r="112" spans="1:8" s="952" customFormat="1" outlineLevel="1">
      <c r="H112" s="94"/>
    </row>
    <row r="113" spans="1:8" s="101" customFormat="1" outlineLevel="1"/>
    <row r="114" spans="1:8" s="952" customFormat="1" ht="5.0999999999999996" customHeight="1" outlineLevel="1">
      <c r="A114" s="954"/>
      <c r="B114" s="954"/>
      <c r="C114" s="954"/>
      <c r="D114" s="954"/>
      <c r="H114" s="95"/>
    </row>
    <row r="115" spans="1:8" s="952" customFormat="1">
      <c r="C115" s="953" t="s">
        <v>1865</v>
      </c>
      <c r="H115" s="92">
        <f>SUM(H113:H114)</f>
        <v>0</v>
      </c>
    </row>
    <row r="116" spans="1:8" s="952" customFormat="1" outlineLevel="1">
      <c r="A116" s="953">
        <v>20120</v>
      </c>
      <c r="B116" s="953" t="s">
        <v>1866</v>
      </c>
      <c r="C116" s="954"/>
      <c r="D116" s="954"/>
      <c r="H116" s="955">
        <v>85526.05</v>
      </c>
    </row>
    <row r="117" spans="1:8" s="952" customFormat="1" outlineLevel="1">
      <c r="A117" s="953">
        <v>20123</v>
      </c>
      <c r="B117" s="953" t="s">
        <v>1867</v>
      </c>
      <c r="C117" s="954"/>
      <c r="D117" s="954"/>
      <c r="H117" s="955">
        <v>907.68</v>
      </c>
    </row>
    <row r="118" spans="1:8" s="952" customFormat="1" outlineLevel="1">
      <c r="A118" s="953">
        <v>20140</v>
      </c>
      <c r="B118" s="953" t="s">
        <v>1868</v>
      </c>
      <c r="C118" s="954"/>
      <c r="D118" s="954"/>
      <c r="H118" s="955">
        <v>37.78</v>
      </c>
    </row>
    <row r="119" spans="1:8" s="952" customFormat="1" outlineLevel="1">
      <c r="A119" s="953">
        <v>20170</v>
      </c>
      <c r="B119" s="953" t="s">
        <v>1869</v>
      </c>
      <c r="C119" s="954"/>
      <c r="D119" s="954"/>
      <c r="H119" s="955">
        <v>3528.51</v>
      </c>
    </row>
    <row r="120" spans="1:8" s="952" customFormat="1" outlineLevel="1">
      <c r="A120" s="953">
        <v>20175</v>
      </c>
      <c r="B120" s="953" t="s">
        <v>1870</v>
      </c>
      <c r="C120" s="954"/>
      <c r="D120" s="954"/>
      <c r="H120" s="955">
        <v>7008.91</v>
      </c>
    </row>
    <row r="121" spans="1:8" s="952" customFormat="1" outlineLevel="1">
      <c r="A121" s="953">
        <v>20178</v>
      </c>
      <c r="B121" s="953" t="s">
        <v>1871</v>
      </c>
      <c r="C121" s="954"/>
      <c r="D121" s="954"/>
      <c r="H121" s="955">
        <v>5532</v>
      </c>
    </row>
    <row r="122" spans="1:8" s="952" customFormat="1" outlineLevel="1">
      <c r="A122" s="953">
        <v>20180</v>
      </c>
      <c r="B122" s="953" t="s">
        <v>1872</v>
      </c>
      <c r="C122" s="954"/>
      <c r="D122" s="954"/>
      <c r="H122" s="955">
        <v>9320.98</v>
      </c>
    </row>
    <row r="123" spans="1:8" s="952" customFormat="1" ht="5.0999999999999996" customHeight="1" outlineLevel="1">
      <c r="A123" s="954"/>
      <c r="B123" s="954"/>
      <c r="C123" s="954"/>
      <c r="D123" s="954"/>
      <c r="H123" s="95"/>
    </row>
    <row r="124" spans="1:8" s="952" customFormat="1">
      <c r="C124" s="953" t="s">
        <v>1873</v>
      </c>
      <c r="H124" s="92">
        <f>SUM(H116:H123)</f>
        <v>111861.90999999999</v>
      </c>
    </row>
    <row r="125" spans="1:8" s="952" customFormat="1" outlineLevel="1">
      <c r="A125" s="953">
        <v>20300</v>
      </c>
      <c r="B125" s="953" t="s">
        <v>1874</v>
      </c>
      <c r="C125" s="954"/>
      <c r="D125" s="954"/>
      <c r="H125" s="955">
        <v>29533.55</v>
      </c>
    </row>
    <row r="126" spans="1:8" s="952" customFormat="1" ht="5.0999999999999996" customHeight="1" outlineLevel="1">
      <c r="A126" s="954"/>
      <c r="B126" s="954"/>
      <c r="C126" s="954"/>
      <c r="D126" s="954"/>
      <c r="H126" s="95"/>
    </row>
    <row r="127" spans="1:8" s="952" customFormat="1">
      <c r="C127" s="953" t="s">
        <v>1875</v>
      </c>
      <c r="H127" s="92">
        <f>SUM(H125:H126)</f>
        <v>29533.55</v>
      </c>
    </row>
    <row r="128" spans="1:8" s="952" customFormat="1" outlineLevel="1">
      <c r="A128" s="953">
        <v>20320</v>
      </c>
      <c r="B128" s="953" t="s">
        <v>1876</v>
      </c>
      <c r="C128" s="954"/>
      <c r="D128" s="954"/>
      <c r="H128" s="955">
        <v>5698</v>
      </c>
    </row>
    <row r="129" spans="1:8" s="952" customFormat="1" outlineLevel="1">
      <c r="A129" s="953">
        <v>20321</v>
      </c>
      <c r="B129" s="953" t="s">
        <v>1877</v>
      </c>
      <c r="C129" s="954"/>
      <c r="D129" s="954"/>
      <c r="H129" s="955">
        <v>16416.02</v>
      </c>
    </row>
    <row r="130" spans="1:8" s="952" customFormat="1" outlineLevel="1">
      <c r="A130" s="953">
        <v>20340</v>
      </c>
      <c r="B130" s="953" t="s">
        <v>1878</v>
      </c>
      <c r="C130" s="954"/>
      <c r="D130" s="954"/>
      <c r="H130" s="955">
        <v>10547.5</v>
      </c>
    </row>
    <row r="131" spans="1:8" s="952" customFormat="1" outlineLevel="1">
      <c r="A131" s="953">
        <v>20351</v>
      </c>
      <c r="B131" s="953" t="s">
        <v>1879</v>
      </c>
      <c r="C131" s="954"/>
      <c r="D131" s="954"/>
      <c r="H131" s="955">
        <v>688.49</v>
      </c>
    </row>
    <row r="132" spans="1:8" s="952" customFormat="1" outlineLevel="1">
      <c r="A132" s="953">
        <v>20360</v>
      </c>
      <c r="B132" s="953" t="s">
        <v>1880</v>
      </c>
      <c r="C132" s="954"/>
      <c r="D132" s="954"/>
      <c r="H132" s="955">
        <v>0</v>
      </c>
    </row>
    <row r="133" spans="1:8" s="952" customFormat="1" outlineLevel="1">
      <c r="A133" s="953">
        <v>20397</v>
      </c>
      <c r="B133" s="953" t="s">
        <v>1881</v>
      </c>
      <c r="C133" s="954"/>
      <c r="D133" s="954"/>
      <c r="H133" s="955">
        <v>1.65</v>
      </c>
    </row>
    <row r="134" spans="1:8" s="952" customFormat="1" ht="4.5" customHeight="1" outlineLevel="1">
      <c r="A134" s="968"/>
      <c r="H134" s="95"/>
    </row>
    <row r="135" spans="1:8" s="952" customFormat="1">
      <c r="C135" s="952" t="s">
        <v>1882</v>
      </c>
      <c r="H135" s="92">
        <f>SUM(H128:H134)</f>
        <v>33351.660000000003</v>
      </c>
    </row>
    <row r="136" spans="1:8" s="952" customFormat="1" ht="7.5" customHeight="1">
      <c r="H136" s="94"/>
    </row>
    <row r="137" spans="1:8" s="952" customFormat="1">
      <c r="B137" s="967" t="s">
        <v>1883</v>
      </c>
      <c r="H137" s="98">
        <f>SUM(H115,H124,H127,H135)</f>
        <v>174747.12</v>
      </c>
    </row>
    <row r="138" spans="1:8" s="952" customFormat="1" ht="7.5" customHeight="1">
      <c r="H138" s="94"/>
    </row>
    <row r="139" spans="1:8" s="952" customFormat="1" outlineLevel="1">
      <c r="H139" s="94"/>
    </row>
    <row r="140" spans="1:8" s="101" customFormat="1" outlineLevel="1"/>
    <row r="141" spans="1:8" s="952" customFormat="1" ht="5.0999999999999996" customHeight="1" outlineLevel="1">
      <c r="A141" s="954"/>
      <c r="B141" s="954"/>
      <c r="C141" s="954"/>
      <c r="D141" s="954"/>
      <c r="H141" s="95"/>
    </row>
    <row r="142" spans="1:8" s="952" customFormat="1">
      <c r="C142" s="953" t="s">
        <v>1884</v>
      </c>
      <c r="H142" s="92">
        <f>SUM(H140:H141)</f>
        <v>0</v>
      </c>
    </row>
    <row r="143" spans="1:8" s="101" customFormat="1" outlineLevel="1"/>
    <row r="144" spans="1:8" s="952" customFormat="1" ht="5.0999999999999996" customHeight="1" outlineLevel="1">
      <c r="A144" s="954"/>
      <c r="B144" s="954"/>
      <c r="C144" s="954"/>
      <c r="D144" s="954"/>
      <c r="H144" s="95"/>
    </row>
    <row r="145" spans="1:8" s="952" customFormat="1">
      <c r="C145" s="953" t="s">
        <v>1885</v>
      </c>
      <c r="H145" s="92">
        <f>SUM(H143:H144)</f>
        <v>0</v>
      </c>
    </row>
    <row r="146" spans="1:8" s="101" customFormat="1" outlineLevel="1"/>
    <row r="147" spans="1:8" s="952" customFormat="1" ht="5.0999999999999996" customHeight="1" outlineLevel="1">
      <c r="A147" s="954"/>
      <c r="B147" s="954"/>
      <c r="C147" s="954"/>
      <c r="D147" s="954"/>
      <c r="H147" s="95"/>
    </row>
    <row r="148" spans="1:8" s="952" customFormat="1">
      <c r="C148" s="953" t="s">
        <v>1886</v>
      </c>
      <c r="H148" s="92">
        <f>SUM(H146:H147)</f>
        <v>0</v>
      </c>
    </row>
    <row r="149" spans="1:8" s="101" customFormat="1" outlineLevel="1"/>
    <row r="150" spans="1:8" s="952" customFormat="1" ht="5.0999999999999996" customHeight="1" outlineLevel="1">
      <c r="A150" s="954"/>
      <c r="B150" s="954"/>
      <c r="C150" s="954"/>
      <c r="D150" s="954"/>
      <c r="H150" s="95"/>
    </row>
    <row r="151" spans="1:8" s="952" customFormat="1">
      <c r="C151" s="953" t="s">
        <v>1887</v>
      </c>
      <c r="H151" s="92">
        <f>SUM(H149:H150)</f>
        <v>0</v>
      </c>
    </row>
    <row r="152" spans="1:8" s="101" customFormat="1" outlineLevel="1"/>
    <row r="153" spans="1:8" s="952" customFormat="1" ht="5.0999999999999996" customHeight="1" outlineLevel="1">
      <c r="A153" s="954"/>
      <c r="B153" s="954"/>
      <c r="C153" s="954"/>
      <c r="D153" s="954"/>
      <c r="H153" s="95"/>
    </row>
    <row r="154" spans="1:8" s="952" customFormat="1">
      <c r="C154" s="953" t="s">
        <v>1888</v>
      </c>
      <c r="H154" s="92">
        <f>SUM(H152:H153)</f>
        <v>0</v>
      </c>
    </row>
    <row r="155" spans="1:8" s="952" customFormat="1" ht="7.5" customHeight="1">
      <c r="H155" s="94"/>
    </row>
    <row r="156" spans="1:8" s="952" customFormat="1">
      <c r="B156" s="967" t="s">
        <v>1889</v>
      </c>
      <c r="H156" s="98">
        <f>SUM(H142,H148,H154,H137,H145,H151)</f>
        <v>174747.12</v>
      </c>
    </row>
    <row r="157" spans="1:8" s="952" customFormat="1" ht="7.5" customHeight="1">
      <c r="H157" s="94"/>
    </row>
    <row r="158" spans="1:8" s="101" customFormat="1" outlineLevel="1"/>
    <row r="159" spans="1:8" s="952" customFormat="1" ht="5.0999999999999996" customHeight="1" outlineLevel="1">
      <c r="A159" s="954"/>
      <c r="B159" s="954"/>
      <c r="C159" s="954"/>
      <c r="D159" s="954"/>
      <c r="H159" s="95"/>
    </row>
    <row r="160" spans="1:8" s="952" customFormat="1">
      <c r="C160" s="953" t="s">
        <v>1890</v>
      </c>
      <c r="H160" s="92">
        <f>SUM(H158:H159)</f>
        <v>0</v>
      </c>
    </row>
    <row r="161" spans="1:8" s="101" customFormat="1" outlineLevel="1"/>
    <row r="162" spans="1:8" s="952" customFormat="1" ht="5.0999999999999996" customHeight="1" outlineLevel="1">
      <c r="A162" s="954"/>
      <c r="B162" s="954"/>
      <c r="C162" s="954"/>
      <c r="D162" s="954"/>
      <c r="H162" s="95"/>
    </row>
    <row r="163" spans="1:8" s="952" customFormat="1">
      <c r="C163" s="953" t="s">
        <v>1891</v>
      </c>
      <c r="H163" s="92">
        <f>SUM(H161:H162)</f>
        <v>0</v>
      </c>
    </row>
    <row r="164" spans="1:8" s="101" customFormat="1" outlineLevel="1"/>
    <row r="165" spans="1:8" s="952" customFormat="1" ht="5.0999999999999996" customHeight="1" outlineLevel="1">
      <c r="A165" s="954"/>
      <c r="B165" s="954"/>
      <c r="C165" s="954"/>
      <c r="D165" s="954"/>
      <c r="H165" s="95"/>
    </row>
    <row r="166" spans="1:8" s="952" customFormat="1">
      <c r="C166" s="953" t="s">
        <v>1892</v>
      </c>
      <c r="H166" s="92">
        <f>SUM(H164:H165)</f>
        <v>0</v>
      </c>
    </row>
    <row r="167" spans="1:8" s="101" customFormat="1" outlineLevel="1"/>
    <row r="168" spans="1:8" s="952" customFormat="1" ht="5.0999999999999996" customHeight="1" outlineLevel="1">
      <c r="A168" s="954"/>
      <c r="B168" s="954"/>
      <c r="C168" s="954"/>
      <c r="D168" s="954"/>
      <c r="H168" s="95"/>
    </row>
    <row r="169" spans="1:8" s="952" customFormat="1">
      <c r="C169" s="953" t="s">
        <v>1893</v>
      </c>
      <c r="H169" s="92">
        <f>SUM(H167:H168)</f>
        <v>0</v>
      </c>
    </row>
    <row r="170" spans="1:8" s="101" customFormat="1" outlineLevel="1"/>
    <row r="171" spans="1:8" s="952" customFormat="1" ht="5.0999999999999996" customHeight="1" outlineLevel="1">
      <c r="A171" s="954"/>
      <c r="B171" s="954"/>
      <c r="C171" s="954"/>
      <c r="D171" s="954"/>
      <c r="H171" s="95"/>
    </row>
    <row r="172" spans="1:8" s="952" customFormat="1">
      <c r="C172" s="953" t="s">
        <v>1894</v>
      </c>
      <c r="H172" s="92">
        <f>SUM(H170:H171)</f>
        <v>0</v>
      </c>
    </row>
    <row r="173" spans="1:8" s="101" customFormat="1" outlineLevel="1"/>
    <row r="174" spans="1:8" s="952" customFormat="1" ht="5.0999999999999996" customHeight="1" outlineLevel="1">
      <c r="A174" s="954"/>
      <c r="B174" s="954"/>
      <c r="C174" s="954"/>
      <c r="D174" s="954"/>
      <c r="H174" s="95"/>
    </row>
    <row r="175" spans="1:8" s="952" customFormat="1">
      <c r="C175" s="953" t="s">
        <v>1895</v>
      </c>
      <c r="H175" s="92">
        <f>SUM(H173:H174)</f>
        <v>0</v>
      </c>
    </row>
    <row r="176" spans="1:8" s="952" customFormat="1" outlineLevel="1">
      <c r="A176" s="953">
        <v>29100</v>
      </c>
      <c r="B176" s="953" t="s">
        <v>1896</v>
      </c>
      <c r="C176" s="954"/>
      <c r="D176" s="954"/>
      <c r="H176" s="955">
        <v>551991.78</v>
      </c>
    </row>
    <row r="177" spans="1:244" s="952" customFormat="1" ht="5.0999999999999996" customHeight="1" outlineLevel="1">
      <c r="A177" s="954"/>
      <c r="B177" s="954"/>
      <c r="C177" s="954"/>
      <c r="D177" s="954"/>
      <c r="H177" s="95"/>
    </row>
    <row r="178" spans="1:244" s="952" customFormat="1">
      <c r="C178" s="953" t="s">
        <v>1896</v>
      </c>
      <c r="H178" s="92">
        <f>SUM(H176:H177)</f>
        <v>551991.78</v>
      </c>
    </row>
    <row r="179" spans="1:244" s="952" customFormat="1" ht="7.5" customHeight="1">
      <c r="H179" s="94"/>
    </row>
    <row r="180" spans="1:244" s="952" customFormat="1">
      <c r="B180" s="967" t="s">
        <v>1896</v>
      </c>
      <c r="H180" s="98">
        <f>SUM(H160,H166,H172,H178,H169,H163,H175)</f>
        <v>551991.78</v>
      </c>
    </row>
    <row r="181" spans="1:244" s="952" customFormat="1" ht="7.5" customHeight="1">
      <c r="H181" s="94"/>
    </row>
    <row r="182" spans="1:244" s="952" customFormat="1" ht="13.5" thickBot="1">
      <c r="B182" s="967" t="s">
        <v>1897</v>
      </c>
      <c r="H182" s="118">
        <f>+H156+H180</f>
        <v>726738.9</v>
      </c>
    </row>
    <row r="183" spans="1:244" s="952" customFormat="1" ht="7.5" customHeight="1" thickTop="1">
      <c r="H183" s="94"/>
    </row>
    <row r="184" spans="1:244" s="970" customFormat="1" ht="11.25">
      <c r="C184" s="970" t="s">
        <v>1898</v>
      </c>
      <c r="H184" s="971">
        <f>H110-H182</f>
        <v>0</v>
      </c>
    </row>
    <row r="185" spans="1:244" s="119" customFormat="1" ht="9.75" customHeight="1">
      <c r="A185" s="952"/>
      <c r="B185" s="952"/>
      <c r="C185" s="953"/>
      <c r="D185" s="952"/>
      <c r="E185" s="60"/>
      <c r="F185" s="60"/>
      <c r="G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60"/>
      <c r="GP185" s="60"/>
      <c r="GQ185" s="60"/>
      <c r="GR185" s="60"/>
      <c r="GS185" s="60"/>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60"/>
      <c r="II185" s="60"/>
      <c r="IJ185" s="60"/>
    </row>
    <row r="186" spans="1:244">
      <c r="G186" s="972"/>
      <c r="H186" s="972"/>
      <c r="I186" s="972"/>
      <c r="J186" s="973"/>
    </row>
  </sheetData>
  <pageMargins left="0.5" right="0.5" top="0.39" bottom="0.4" header="0.25" footer="0.25"/>
  <pageSetup scale="69" fitToHeight="2" orientation="portrait" errors="blank" horizontalDpi="4294967292" r:id="rId1"/>
  <headerFooter alignWithMargins="0">
    <oddHeader>&amp;R&amp;D - &amp;T</oddHeader>
    <oddFooter>&amp;L&amp;F - &amp;A&amp;RPage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04"/>
  <sheetViews>
    <sheetView workbookViewId="0">
      <pane xSplit="2" ySplit="6" topLeftCell="C7" activePane="bottomRight" state="frozen"/>
      <selection pane="topRight" activeCell="C1" sqref="C1"/>
      <selection pane="bottomLeft" activeCell="A7" sqref="A7"/>
      <selection pane="bottomRight" sqref="A1:U204"/>
    </sheetView>
  </sheetViews>
  <sheetFormatPr defaultRowHeight="11.25"/>
  <cols>
    <col min="1" max="1" width="10.42578125" style="465" customWidth="1"/>
    <col min="2" max="2" width="25" style="465" customWidth="1"/>
    <col min="3" max="3" width="9.85546875" style="465" bestFit="1" customWidth="1"/>
    <col min="4" max="4" width="11.28515625" style="465" bestFit="1" customWidth="1"/>
    <col min="5" max="5" width="9" style="465" bestFit="1" customWidth="1"/>
    <col min="6" max="6" width="4.42578125" style="474" bestFit="1" customWidth="1"/>
    <col min="7" max="7" width="11.28515625" style="465" bestFit="1" customWidth="1"/>
    <col min="8" max="8" width="3.85546875" style="465" customWidth="1"/>
    <col min="9" max="9" width="9.85546875" style="465" bestFit="1" customWidth="1"/>
    <col min="10" max="10" width="2.42578125" style="465" customWidth="1"/>
    <col min="11" max="11" width="10" style="465" bestFit="1" customWidth="1"/>
    <col min="12" max="12" width="11.28515625" style="465" bestFit="1" customWidth="1"/>
    <col min="13" max="13" width="14.5703125" style="465" bestFit="1" customWidth="1"/>
    <col min="14" max="14" width="11.140625" style="468" bestFit="1" customWidth="1"/>
    <col min="15" max="15" width="2.28515625" style="465" customWidth="1"/>
    <col min="16" max="16" width="8.140625" style="465" customWidth="1"/>
    <col min="17" max="17" width="1.42578125" style="465" customWidth="1"/>
    <col min="18" max="18" width="10.140625" style="849" bestFit="1" customWidth="1"/>
    <col min="19" max="19" width="9.5703125" style="849" bestFit="1" customWidth="1"/>
    <col min="20" max="20" width="7.140625" style="465" bestFit="1" customWidth="1"/>
    <col min="21" max="21" width="5.7109375" style="465" bestFit="1" customWidth="1"/>
    <col min="22" max="16384" width="9.140625" style="465"/>
  </cols>
  <sheetData>
    <row r="1" spans="1:21">
      <c r="A1" s="1" t="s">
        <v>112</v>
      </c>
      <c r="B1" s="2"/>
      <c r="C1" s="3"/>
      <c r="D1" s="4"/>
      <c r="E1" s="4"/>
      <c r="F1" s="5"/>
      <c r="G1" s="4"/>
      <c r="H1" s="6"/>
      <c r="I1" s="4"/>
      <c r="J1" s="4"/>
      <c r="K1" s="7"/>
      <c r="L1" s="7"/>
      <c r="M1" s="7"/>
      <c r="N1" s="8"/>
      <c r="O1" s="9"/>
      <c r="P1" s="9"/>
    </row>
    <row r="2" spans="1:21">
      <c r="A2" s="1" t="s">
        <v>0</v>
      </c>
      <c r="B2" s="2"/>
      <c r="C2" s="3"/>
      <c r="D2" s="4"/>
      <c r="E2" s="4"/>
      <c r="F2" s="5"/>
      <c r="G2" s="4"/>
      <c r="H2" s="6"/>
      <c r="I2" s="4"/>
      <c r="J2" s="4"/>
      <c r="K2" s="7"/>
      <c r="L2" s="7"/>
      <c r="M2" s="7"/>
      <c r="N2" s="8"/>
      <c r="O2" s="9"/>
      <c r="P2" s="9"/>
    </row>
    <row r="3" spans="1:21">
      <c r="A3" s="1" t="s">
        <v>113</v>
      </c>
      <c r="B3" s="10"/>
      <c r="C3" s="3"/>
      <c r="D3" s="4"/>
      <c r="E3" s="4"/>
      <c r="F3" s="5"/>
      <c r="G3" s="4"/>
      <c r="H3" s="6"/>
      <c r="I3" s="11"/>
      <c r="J3" s="11"/>
      <c r="K3" s="12"/>
      <c r="L3" s="7"/>
      <c r="M3" s="7"/>
      <c r="N3" s="8"/>
      <c r="O3" s="9"/>
      <c r="P3" s="9"/>
    </row>
    <row r="4" spans="1:21">
      <c r="A4" s="1"/>
      <c r="B4" s="2"/>
      <c r="C4" s="3"/>
      <c r="D4" s="4"/>
      <c r="E4" s="4"/>
      <c r="F4" s="5"/>
      <c r="G4" s="4"/>
      <c r="H4" s="6"/>
      <c r="I4" s="11"/>
      <c r="J4" s="11"/>
      <c r="K4" s="12"/>
      <c r="L4" s="7"/>
      <c r="M4" s="7"/>
      <c r="N4" s="6"/>
      <c r="O4" s="6"/>
      <c r="P4" s="9"/>
    </row>
    <row r="5" spans="1:21">
      <c r="A5" s="1"/>
      <c r="B5" s="2"/>
      <c r="C5" s="466" t="s">
        <v>1</v>
      </c>
      <c r="D5" s="466" t="s">
        <v>2</v>
      </c>
      <c r="E5" s="466" t="s">
        <v>3</v>
      </c>
      <c r="F5" s="466"/>
      <c r="G5" s="466" t="s">
        <v>4</v>
      </c>
      <c r="H5" s="466"/>
      <c r="I5" s="466" t="s">
        <v>5</v>
      </c>
      <c r="J5" s="4"/>
      <c r="K5" s="467" t="s">
        <v>6</v>
      </c>
      <c r="L5" s="467" t="s">
        <v>6</v>
      </c>
      <c r="M5" s="467" t="s">
        <v>6</v>
      </c>
      <c r="O5" s="6"/>
      <c r="P5" s="9"/>
      <c r="R5" s="1013" t="s">
        <v>6</v>
      </c>
      <c r="S5" s="1013" t="s">
        <v>6</v>
      </c>
      <c r="T5" s="844"/>
    </row>
    <row r="6" spans="1:21">
      <c r="A6" s="13"/>
      <c r="B6" s="9"/>
      <c r="C6" s="469">
        <v>2120</v>
      </c>
      <c r="D6" s="469" t="s">
        <v>7</v>
      </c>
      <c r="E6" s="469"/>
      <c r="F6" s="469"/>
      <c r="G6" s="469" t="s">
        <v>7</v>
      </c>
      <c r="H6" s="469"/>
      <c r="I6" s="469" t="s">
        <v>8</v>
      </c>
      <c r="J6" s="15"/>
      <c r="K6" s="470" t="s">
        <v>524</v>
      </c>
      <c r="L6" s="470" t="s">
        <v>233</v>
      </c>
      <c r="M6" s="471" t="s">
        <v>525</v>
      </c>
      <c r="N6" s="472" t="s">
        <v>526</v>
      </c>
      <c r="O6" s="16"/>
      <c r="P6" s="17" t="s">
        <v>9</v>
      </c>
      <c r="R6" s="1014" t="s">
        <v>1916</v>
      </c>
      <c r="S6" s="1014" t="s">
        <v>558</v>
      </c>
      <c r="T6" s="472" t="s">
        <v>526</v>
      </c>
    </row>
    <row r="7" spans="1:21">
      <c r="A7" s="13"/>
      <c r="B7" s="2" t="s">
        <v>10</v>
      </c>
      <c r="C7" s="3"/>
      <c r="D7" s="4"/>
      <c r="E7" s="4"/>
      <c r="F7" s="5"/>
      <c r="G7" s="4"/>
      <c r="H7" s="6"/>
      <c r="I7" s="4"/>
      <c r="J7" s="4"/>
      <c r="K7" s="7"/>
      <c r="L7" s="7"/>
      <c r="M7" s="7"/>
      <c r="N7" s="8"/>
      <c r="O7" s="9"/>
      <c r="P7" s="9"/>
    </row>
    <row r="8" spans="1:21">
      <c r="A8" s="13">
        <v>31000</v>
      </c>
      <c r="B8" s="9" t="s">
        <v>11</v>
      </c>
      <c r="C8" s="18">
        <f>SUM('2120 IS'!AE12:AE13)</f>
        <v>1536054.7500000002</v>
      </c>
      <c r="D8" s="19">
        <f>'Restating Adj''s'!N9</f>
        <v>1282.4549999997485</v>
      </c>
      <c r="E8" s="19">
        <f>SUM(C8:D8)</f>
        <v>1537337.2050000001</v>
      </c>
      <c r="F8" s="5" t="s">
        <v>12</v>
      </c>
      <c r="G8" s="19"/>
      <c r="H8" s="20"/>
      <c r="I8" s="19">
        <f>E8+G8</f>
        <v>1537337.2050000001</v>
      </c>
      <c r="J8" s="19"/>
      <c r="K8" s="21">
        <f>'Restating Adj''s'!B9+'Restating Adj''s'!C9+'Restating Adj''s'!C10</f>
        <v>1336030.355</v>
      </c>
      <c r="L8" s="21"/>
      <c r="M8" s="21">
        <f>I8-K8-L8</f>
        <v>201306.85000000009</v>
      </c>
      <c r="N8" s="8" t="s">
        <v>13</v>
      </c>
      <c r="O8" s="9"/>
      <c r="P8" s="22">
        <f>I8-K8-L8-M8</f>
        <v>0</v>
      </c>
      <c r="R8" s="849">
        <f>K8-S8</f>
        <v>1332337.7549999999</v>
      </c>
      <c r="S8" s="849">
        <f>'Restating Adj''s'!C10</f>
        <v>3692.6</v>
      </c>
      <c r="U8" s="475">
        <f>K8-R8-S8</f>
        <v>9.3223206931725144E-11</v>
      </c>
    </row>
    <row r="9" spans="1:21">
      <c r="A9" s="13">
        <v>32000</v>
      </c>
      <c r="B9" s="9" t="s">
        <v>14</v>
      </c>
      <c r="C9" s="18">
        <f>SUM('2120 IS'!AE14:AE16)</f>
        <v>1250487.9000000001</v>
      </c>
      <c r="D9" s="19">
        <f>'Restating Adj''s'!N10</f>
        <v>8535.1650000003465</v>
      </c>
      <c r="E9" s="19">
        <f t="shared" ref="E9:E14" si="0">SUM(C9:D9)</f>
        <v>1259023.0650000004</v>
      </c>
      <c r="F9" s="5" t="s">
        <v>12</v>
      </c>
      <c r="G9" s="19"/>
      <c r="H9" s="20"/>
      <c r="I9" s="19">
        <f t="shared" ref="I9:I14" si="1">E9+G9</f>
        <v>1259023.0650000004</v>
      </c>
      <c r="J9" s="19"/>
      <c r="K9" s="21">
        <f>'Restating Adj''s'!B11+'Restating Adj''s'!C11</f>
        <v>1077012.6050000004</v>
      </c>
      <c r="L9" s="21">
        <f>'Restating Adj''s'!D13</f>
        <v>25445.670000000002</v>
      </c>
      <c r="M9" s="21">
        <f t="shared" ref="M9:M14" si="2">I9-K9-L9</f>
        <v>156564.78999999995</v>
      </c>
      <c r="N9" s="8" t="s">
        <v>13</v>
      </c>
      <c r="O9" s="9"/>
      <c r="P9" s="22">
        <f t="shared" ref="P9:P72" si="3">I9-K9-L9-M9</f>
        <v>0</v>
      </c>
      <c r="R9" s="849">
        <f>K9</f>
        <v>1077012.6050000004</v>
      </c>
      <c r="U9" s="475">
        <f t="shared" ref="U9:U14" si="4">K9-R9-S9</f>
        <v>0</v>
      </c>
    </row>
    <row r="10" spans="1:21">
      <c r="A10" s="13">
        <v>33000</v>
      </c>
      <c r="B10" s="9" t="s">
        <v>15</v>
      </c>
      <c r="C10" s="18">
        <f>SUM('2120 IS'!AE9,'2120 IS'!AE11)</f>
        <v>97696.430000000022</v>
      </c>
      <c r="D10" s="19">
        <f>'Restating Adj''s'!N11</f>
        <v>724.98999999997613</v>
      </c>
      <c r="E10" s="19">
        <f t="shared" si="0"/>
        <v>98421.42</v>
      </c>
      <c r="F10" s="5" t="s">
        <v>12</v>
      </c>
      <c r="G10" s="19"/>
      <c r="H10" s="20"/>
      <c r="I10" s="19">
        <f t="shared" si="1"/>
        <v>98421.42</v>
      </c>
      <c r="J10" s="19"/>
      <c r="K10" s="21">
        <f>'Restating Adj''s'!B14+'Restating Adj''s'!C14</f>
        <v>79838.37</v>
      </c>
      <c r="L10" s="21"/>
      <c r="M10" s="21">
        <f t="shared" si="2"/>
        <v>18583.050000000003</v>
      </c>
      <c r="N10" s="8" t="s">
        <v>13</v>
      </c>
      <c r="O10" s="9"/>
      <c r="P10" s="22">
        <f t="shared" si="3"/>
        <v>0</v>
      </c>
      <c r="R10" s="849">
        <f>K10</f>
        <v>79838.37</v>
      </c>
      <c r="U10" s="475">
        <f t="shared" si="4"/>
        <v>0</v>
      </c>
    </row>
    <row r="11" spans="1:21">
      <c r="A11" s="13">
        <v>33100</v>
      </c>
      <c r="B11" s="9" t="s">
        <v>16</v>
      </c>
      <c r="C11" s="18">
        <f>'2120 IS'!AE10</f>
        <v>72308.31</v>
      </c>
      <c r="D11" s="19">
        <f>'Restating Adj''s'!N12</f>
        <v>545.44999999999709</v>
      </c>
      <c r="E11" s="19">
        <f t="shared" si="0"/>
        <v>72853.759999999995</v>
      </c>
      <c r="F11" s="5" t="s">
        <v>12</v>
      </c>
      <c r="G11" s="19"/>
      <c r="H11" s="473"/>
      <c r="I11" s="19">
        <f t="shared" si="1"/>
        <v>72853.759999999995</v>
      </c>
      <c r="J11" s="19"/>
      <c r="K11" s="21">
        <f>'Restating Adj''s'!B16+'Restating Adj''s'!C16</f>
        <v>65549.09</v>
      </c>
      <c r="L11" s="21"/>
      <c r="M11" s="21">
        <f t="shared" si="2"/>
        <v>7304.6699999999983</v>
      </c>
      <c r="N11" s="8" t="s">
        <v>13</v>
      </c>
      <c r="O11" s="9"/>
      <c r="P11" s="22">
        <f t="shared" si="3"/>
        <v>0</v>
      </c>
      <c r="R11" s="849">
        <f>K11</f>
        <v>65549.09</v>
      </c>
      <c r="U11" s="475">
        <f t="shared" si="4"/>
        <v>0</v>
      </c>
    </row>
    <row r="12" spans="1:21">
      <c r="A12" s="13">
        <v>34000</v>
      </c>
      <c r="B12" s="9" t="s">
        <v>127</v>
      </c>
      <c r="C12" s="18">
        <f>'2120 IS'!AE28</f>
        <v>7213.0800000000008</v>
      </c>
      <c r="D12" s="19">
        <f>'Restating Adj''s'!N13</f>
        <v>0</v>
      </c>
      <c r="E12" s="19">
        <f t="shared" ref="E12" si="5">SUM(C12:D12)</f>
        <v>7213.0800000000008</v>
      </c>
      <c r="F12" s="5"/>
      <c r="G12" s="19"/>
      <c r="H12" s="473"/>
      <c r="I12" s="19">
        <f t="shared" ref="I12" si="6">E12+G12</f>
        <v>7213.0800000000008</v>
      </c>
      <c r="J12" s="19"/>
      <c r="K12" s="464">
        <f>I12*Ratios!$H$45</f>
        <v>940.83652173913049</v>
      </c>
      <c r="L12" s="21"/>
      <c r="M12" s="21">
        <f t="shared" si="2"/>
        <v>6272.2434782608707</v>
      </c>
      <c r="N12" s="8" t="s">
        <v>987</v>
      </c>
      <c r="O12" s="9"/>
      <c r="P12" s="22">
        <f t="shared" si="3"/>
        <v>0</v>
      </c>
      <c r="S12" s="849">
        <f>K12</f>
        <v>940.83652173913049</v>
      </c>
      <c r="U12" s="475">
        <f t="shared" si="4"/>
        <v>0</v>
      </c>
    </row>
    <row r="13" spans="1:21">
      <c r="A13" s="13">
        <v>35000</v>
      </c>
      <c r="B13" s="9" t="s">
        <v>17</v>
      </c>
      <c r="C13" s="18">
        <f>'2120 IS'!AE40</f>
        <v>4556.38</v>
      </c>
      <c r="D13" s="19">
        <f>'Restating Adj''s'!N14</f>
        <v>-382.47999999999956</v>
      </c>
      <c r="E13" s="19">
        <f t="shared" si="0"/>
        <v>4173.9000000000005</v>
      </c>
      <c r="F13" s="5" t="s">
        <v>12</v>
      </c>
      <c r="G13" s="19"/>
      <c r="H13" s="20"/>
      <c r="I13" s="19">
        <f t="shared" si="1"/>
        <v>4173.9000000000005</v>
      </c>
      <c r="J13" s="19"/>
      <c r="K13" s="21">
        <f>'Restating Adj''s'!B17+'Restating Adj''s'!C17</f>
        <v>4173.9000000000005</v>
      </c>
      <c r="L13" s="21"/>
      <c r="M13" s="21">
        <f t="shared" si="2"/>
        <v>0</v>
      </c>
      <c r="N13" s="8" t="s">
        <v>13</v>
      </c>
      <c r="O13" s="9"/>
      <c r="P13" s="22">
        <f t="shared" si="3"/>
        <v>0</v>
      </c>
      <c r="R13" s="849">
        <f>K13*Ratios!$J$9</f>
        <v>4149.6719618324978</v>
      </c>
      <c r="S13" s="849">
        <f>K13-R13</f>
        <v>24.228038167502746</v>
      </c>
      <c r="T13" s="465" t="s">
        <v>59</v>
      </c>
      <c r="U13" s="475">
        <f t="shared" si="4"/>
        <v>0</v>
      </c>
    </row>
    <row r="14" spans="1:21">
      <c r="A14" s="13">
        <v>39000</v>
      </c>
      <c r="B14" s="9" t="s">
        <v>18</v>
      </c>
      <c r="C14" s="23">
        <f>'2120 IS'!AE41</f>
        <v>3018.7</v>
      </c>
      <c r="D14" s="24"/>
      <c r="E14" s="24">
        <f t="shared" si="0"/>
        <v>3018.7</v>
      </c>
      <c r="F14" s="14"/>
      <c r="G14" s="25"/>
      <c r="H14" s="26"/>
      <c r="I14" s="24">
        <f t="shared" si="1"/>
        <v>3018.7</v>
      </c>
      <c r="J14" s="24"/>
      <c r="K14" s="27">
        <f>I14*K203</f>
        <v>2606.8702904157126</v>
      </c>
      <c r="L14" s="27"/>
      <c r="M14" s="27">
        <f t="shared" si="2"/>
        <v>411.82970958428723</v>
      </c>
      <c r="N14" s="8" t="s">
        <v>527</v>
      </c>
      <c r="O14" s="9"/>
      <c r="P14" s="22">
        <f t="shared" si="3"/>
        <v>0</v>
      </c>
      <c r="R14" s="850">
        <f>K14*Ratios!$J$9</f>
        <v>2591.7383148307872</v>
      </c>
      <c r="S14" s="850">
        <f>K14-R14</f>
        <v>15.131975584925385</v>
      </c>
      <c r="T14" s="846" t="s">
        <v>59</v>
      </c>
      <c r="U14" s="847">
        <f t="shared" si="4"/>
        <v>0</v>
      </c>
    </row>
    <row r="15" spans="1:21">
      <c r="A15" s="13"/>
      <c r="B15" s="2" t="s">
        <v>3</v>
      </c>
      <c r="C15" s="28">
        <f>SUM(C8:C14)</f>
        <v>2971335.5500000007</v>
      </c>
      <c r="D15" s="29">
        <f>SUM(D8:D14)</f>
        <v>10705.580000000069</v>
      </c>
      <c r="E15" s="29">
        <f>SUM(E8:E14)</f>
        <v>2982041.1300000004</v>
      </c>
      <c r="F15" s="30"/>
      <c r="G15" s="28">
        <f>SUM(G8:G14)</f>
        <v>0</v>
      </c>
      <c r="H15" s="31"/>
      <c r="I15" s="29">
        <f>SUM(I8:I14)</f>
        <v>2982041.1300000004</v>
      </c>
      <c r="J15" s="28"/>
      <c r="K15" s="28">
        <f>SUM(K8:K14)</f>
        <v>2566152.0268121553</v>
      </c>
      <c r="L15" s="28">
        <f t="shared" ref="L15" si="7">SUM(L8:L14)</f>
        <v>25445.670000000002</v>
      </c>
      <c r="M15" s="28">
        <f>SUM(M8:M14)</f>
        <v>390443.43318784516</v>
      </c>
      <c r="N15" s="32"/>
      <c r="O15" s="32"/>
      <c r="P15" s="22">
        <f t="shared" si="3"/>
        <v>0</v>
      </c>
      <c r="R15" s="28">
        <f t="shared" ref="R15:T15" si="8">SUM(R8:R14)</f>
        <v>2561479.2302766633</v>
      </c>
      <c r="S15" s="28">
        <f t="shared" si="8"/>
        <v>4672.7965354915586</v>
      </c>
      <c r="T15" s="28">
        <f t="shared" si="8"/>
        <v>0</v>
      </c>
      <c r="U15" s="28">
        <f>SUM(U8:U14)</f>
        <v>9.3223206931725144E-11</v>
      </c>
    </row>
    <row r="16" spans="1:21">
      <c r="A16" s="13"/>
      <c r="B16" s="9"/>
      <c r="C16" s="18"/>
      <c r="D16" s="33"/>
      <c r="E16" s="33"/>
      <c r="F16" s="5"/>
      <c r="G16" s="33"/>
      <c r="H16" s="6"/>
      <c r="I16" s="33"/>
      <c r="J16" s="33"/>
      <c r="K16" s="34">
        <f>K15/I15</f>
        <v>0.86053542353795598</v>
      </c>
      <c r="L16" s="34">
        <f>L15/I15</f>
        <v>8.532970837997797E-3</v>
      </c>
      <c r="M16" s="34">
        <f>M15/I15</f>
        <v>0.13093160562404621</v>
      </c>
      <c r="N16" s="8"/>
      <c r="O16" s="9"/>
      <c r="P16" s="18">
        <f t="shared" si="3"/>
        <v>-1</v>
      </c>
      <c r="R16" s="849">
        <f>R15/K15</f>
        <v>0.99817906480728003</v>
      </c>
      <c r="S16" s="849">
        <f>S15/K15</f>
        <v>1.8209351927198239E-3</v>
      </c>
    </row>
    <row r="17" spans="1:21">
      <c r="A17" s="13"/>
      <c r="B17" s="9"/>
      <c r="C17" s="18"/>
      <c r="D17" s="33"/>
      <c r="E17" s="33"/>
      <c r="F17" s="5"/>
      <c r="G17" s="33"/>
      <c r="H17" s="6"/>
      <c r="I17" s="33"/>
      <c r="J17" s="33"/>
      <c r="K17" s="33"/>
      <c r="L17" s="33"/>
      <c r="M17" s="33"/>
      <c r="N17" s="8"/>
      <c r="O17" s="9"/>
      <c r="P17" s="22">
        <f t="shared" si="3"/>
        <v>0</v>
      </c>
    </row>
    <row r="18" spans="1:21">
      <c r="A18" s="13"/>
      <c r="B18" s="9"/>
      <c r="C18" s="18"/>
      <c r="D18" s="33"/>
      <c r="E18" s="33"/>
      <c r="F18" s="5"/>
      <c r="G18" s="33"/>
      <c r="H18" s="6"/>
      <c r="I18" s="33"/>
      <c r="J18" s="33"/>
      <c r="K18" s="33"/>
      <c r="L18" s="33"/>
      <c r="M18" s="33"/>
      <c r="N18" s="7"/>
      <c r="O18" s="9"/>
      <c r="P18" s="22">
        <f t="shared" si="3"/>
        <v>0</v>
      </c>
    </row>
    <row r="19" spans="1:21">
      <c r="A19" s="13"/>
      <c r="B19" s="2" t="s">
        <v>19</v>
      </c>
      <c r="C19" s="18"/>
      <c r="D19" s="33"/>
      <c r="E19" s="33"/>
      <c r="F19" s="5"/>
      <c r="G19" s="33"/>
      <c r="H19" s="6"/>
      <c r="I19" s="33"/>
      <c r="J19" s="33"/>
      <c r="K19" s="33"/>
      <c r="L19" s="33"/>
      <c r="M19" s="33"/>
      <c r="N19" s="8"/>
      <c r="O19" s="9"/>
      <c r="P19" s="22">
        <f t="shared" si="3"/>
        <v>0</v>
      </c>
    </row>
    <row r="20" spans="1:21">
      <c r="A20" s="13">
        <v>52010</v>
      </c>
      <c r="B20" s="9" t="s">
        <v>223</v>
      </c>
      <c r="C20" s="18">
        <f>IFERROR(VLOOKUP(A20,'2120 IS'!$A$48:$AE$241,31,FALSE),0)</f>
        <v>28151.769999999997</v>
      </c>
      <c r="D20" s="19"/>
      <c r="E20" s="19">
        <f t="shared" ref="E20" si="9">SUM(C20:D20)</f>
        <v>28151.769999999997</v>
      </c>
      <c r="F20" s="5"/>
      <c r="G20" s="19"/>
      <c r="H20" s="473"/>
      <c r="I20" s="19">
        <f t="shared" ref="I20" si="10">E20+G20</f>
        <v>28151.769999999997</v>
      </c>
      <c r="J20" s="19"/>
      <c r="K20" s="18">
        <f>I20*Ratios!$C$49</f>
        <v>24985.948177935941</v>
      </c>
      <c r="L20" s="18">
        <f>I20*Ratios!$D$49</f>
        <v>100.18423487544483</v>
      </c>
      <c r="M20" s="18">
        <f>I20-K20-L20</f>
        <v>3065.6375871886107</v>
      </c>
      <c r="N20" s="8" t="s">
        <v>21</v>
      </c>
      <c r="O20" s="9"/>
      <c r="P20" s="22">
        <f t="shared" si="3"/>
        <v>0</v>
      </c>
      <c r="R20" s="849">
        <f>K20*Ratios!$N$43</f>
        <v>24925.837637010674</v>
      </c>
      <c r="S20" s="849">
        <f>K20-R20</f>
        <v>60.110540925266832</v>
      </c>
      <c r="T20" s="8" t="s">
        <v>21</v>
      </c>
      <c r="U20" s="475">
        <f t="shared" ref="U20:U24" si="11">K20-R20-S20</f>
        <v>0</v>
      </c>
    </row>
    <row r="21" spans="1:21">
      <c r="A21" s="39">
        <v>52020</v>
      </c>
      <c r="B21" s="36" t="s">
        <v>22</v>
      </c>
      <c r="C21" s="18">
        <f>IFERROR(VLOOKUP(A21,'2120 IS'!$A$48:$AE$241,31,FALSE),0)</f>
        <v>50095.74</v>
      </c>
      <c r="D21" s="19">
        <f>'Restating Adj''s'!R18</f>
        <v>537.55549247671229</v>
      </c>
      <c r="E21" s="19">
        <f t="shared" ref="E21:E24" si="12">SUM(C21:D21)</f>
        <v>50633.295492476711</v>
      </c>
      <c r="F21" s="5" t="s">
        <v>570</v>
      </c>
      <c r="G21" s="19">
        <f>'Pro Forma Adj''s'!B8</f>
        <v>1605.936107849534</v>
      </c>
      <c r="H21" s="473" t="s">
        <v>1657</v>
      </c>
      <c r="I21" s="19">
        <f t="shared" ref="I21:I24" si="13">E21+G21</f>
        <v>52239.231600326246</v>
      </c>
      <c r="J21" s="19"/>
      <c r="K21" s="18">
        <f>I21*Ratios!$C$49</f>
        <v>46364.641854524431</v>
      </c>
      <c r="L21" s="18">
        <f>I21*Ratios!$D$49</f>
        <v>185.90473879119659</v>
      </c>
      <c r="M21" s="18">
        <f t="shared" ref="M21:M24" si="14">I21-K21-L21</f>
        <v>5688.6850070106184</v>
      </c>
      <c r="N21" s="8" t="s">
        <v>21</v>
      </c>
      <c r="O21" s="9"/>
      <c r="P21" s="22">
        <f t="shared" si="3"/>
        <v>0</v>
      </c>
      <c r="R21" s="849">
        <f>K21*Ratios!$N$43</f>
        <v>46253.099011249717</v>
      </c>
      <c r="S21" s="849">
        <f t="shared" ref="S21:S24" si="15">K21-R21</f>
        <v>111.54284327471396</v>
      </c>
      <c r="T21" s="8" t="s">
        <v>21</v>
      </c>
      <c r="U21" s="475">
        <f t="shared" si="11"/>
        <v>0</v>
      </c>
    </row>
    <row r="22" spans="1:21">
      <c r="A22" s="39">
        <v>52025</v>
      </c>
      <c r="B22" s="9" t="s">
        <v>23</v>
      </c>
      <c r="C22" s="18">
        <f>IFERROR(VLOOKUP(A22,'2120 IS'!$A$48:$AE$241,31,FALSE),0)</f>
        <v>1428.79</v>
      </c>
      <c r="D22" s="19"/>
      <c r="E22" s="19">
        <f t="shared" si="12"/>
        <v>1428.79</v>
      </c>
      <c r="G22" s="19"/>
      <c r="H22" s="6"/>
      <c r="I22" s="19">
        <f t="shared" si="13"/>
        <v>1428.79</v>
      </c>
      <c r="J22" s="19"/>
      <c r="K22" s="18">
        <f>I22*Ratios!$C$49</f>
        <v>1268.1146832740212</v>
      </c>
      <c r="L22" s="18">
        <f>I22*Ratios!$D$49</f>
        <v>5.084661921708185</v>
      </c>
      <c r="M22" s="18">
        <f t="shared" si="14"/>
        <v>155.59065480427057</v>
      </c>
      <c r="N22" s="8" t="s">
        <v>21</v>
      </c>
      <c r="O22" s="9"/>
      <c r="P22" s="22">
        <f t="shared" si="3"/>
        <v>0</v>
      </c>
      <c r="R22" s="849">
        <f>K22*Ratios!$N$43</f>
        <v>1265.0638861209964</v>
      </c>
      <c r="S22" s="849">
        <f t="shared" si="15"/>
        <v>3.0507971530248597</v>
      </c>
      <c r="T22" s="8" t="s">
        <v>21</v>
      </c>
      <c r="U22" s="475">
        <f t="shared" si="11"/>
        <v>0</v>
      </c>
    </row>
    <row r="23" spans="1:21">
      <c r="A23" s="13">
        <v>52065</v>
      </c>
      <c r="B23" s="9" t="s">
        <v>26</v>
      </c>
      <c r="C23" s="18">
        <f>IFERROR(VLOOKUP(A23,'2120 IS'!$A$48:$AE$241,31,FALSE),0)</f>
        <v>2481.96</v>
      </c>
      <c r="D23" s="19"/>
      <c r="E23" s="19">
        <f t="shared" si="12"/>
        <v>2481.96</v>
      </c>
      <c r="F23" s="5"/>
      <c r="G23" s="40"/>
      <c r="H23" s="6"/>
      <c r="I23" s="19">
        <f t="shared" si="13"/>
        <v>2481.96</v>
      </c>
      <c r="J23" s="19"/>
      <c r="K23" s="18">
        <f>I23*Ratios!$C$49</f>
        <v>2202.8499074733095</v>
      </c>
      <c r="L23" s="18">
        <f>I23*Ratios!$D$49</f>
        <v>8.8325978647686831</v>
      </c>
      <c r="M23" s="18">
        <f t="shared" si="14"/>
        <v>270.27749466192188</v>
      </c>
      <c r="N23" s="8" t="s">
        <v>21</v>
      </c>
      <c r="O23" s="9"/>
      <c r="P23" s="22">
        <f t="shared" si="3"/>
        <v>0</v>
      </c>
      <c r="R23" s="849">
        <f>K23*Ratios!$N$43</f>
        <v>2197.5503487544484</v>
      </c>
      <c r="S23" s="849">
        <f t="shared" si="15"/>
        <v>5.2995587188611353</v>
      </c>
      <c r="T23" s="8" t="s">
        <v>21</v>
      </c>
      <c r="U23" s="475">
        <f t="shared" si="11"/>
        <v>0</v>
      </c>
    </row>
    <row r="24" spans="1:21">
      <c r="A24" s="13">
        <v>52070</v>
      </c>
      <c r="B24" s="9" t="s">
        <v>27</v>
      </c>
      <c r="C24" s="23">
        <f>IFERROR(VLOOKUP(A24,'2120 IS'!$A$48:$AE$241,31,FALSE),0)</f>
        <v>356.11</v>
      </c>
      <c r="D24" s="24"/>
      <c r="E24" s="24">
        <f t="shared" si="12"/>
        <v>356.11</v>
      </c>
      <c r="F24" s="14"/>
      <c r="G24" s="41"/>
      <c r="H24" s="37"/>
      <c r="I24" s="24">
        <f t="shared" si="13"/>
        <v>356.11</v>
      </c>
      <c r="J24" s="24"/>
      <c r="K24" s="23">
        <f>I24*Ratios!$C$49</f>
        <v>316.06346619217084</v>
      </c>
      <c r="L24" s="23">
        <f>I24*Ratios!$D$49</f>
        <v>1.2672953736654804</v>
      </c>
      <c r="M24" s="23">
        <f t="shared" si="14"/>
        <v>38.779238434163695</v>
      </c>
      <c r="N24" s="8" t="s">
        <v>21</v>
      </c>
      <c r="O24" s="9"/>
      <c r="P24" s="22">
        <f t="shared" si="3"/>
        <v>0</v>
      </c>
      <c r="R24" s="850">
        <f>K24*Ratios!$N$43</f>
        <v>315.30308896797158</v>
      </c>
      <c r="S24" s="850">
        <f t="shared" si="15"/>
        <v>0.76037722419926013</v>
      </c>
      <c r="T24" s="848" t="s">
        <v>21</v>
      </c>
      <c r="U24" s="847">
        <f t="shared" si="11"/>
        <v>0</v>
      </c>
    </row>
    <row r="25" spans="1:21">
      <c r="A25" s="42">
        <v>41150</v>
      </c>
      <c r="B25" s="2" t="s">
        <v>28</v>
      </c>
      <c r="C25" s="28">
        <f>SUM(C20:C24)</f>
        <v>82514.37</v>
      </c>
      <c r="D25" s="28">
        <f>SUM(D20:D24)</f>
        <v>537.55549247671229</v>
      </c>
      <c r="E25" s="28">
        <f>SUM(E20:E24)</f>
        <v>83051.925492476716</v>
      </c>
      <c r="F25" s="30"/>
      <c r="G25" s="28">
        <f>SUM(G20:G24)</f>
        <v>1605.936107849534</v>
      </c>
      <c r="H25" s="43"/>
      <c r="I25" s="28">
        <f>SUM(I20:I24)</f>
        <v>84657.861600326243</v>
      </c>
      <c r="J25" s="29"/>
      <c r="K25" s="28">
        <f>SUM(K20:K24)</f>
        <v>75137.618089399868</v>
      </c>
      <c r="L25" s="28">
        <f t="shared" ref="L25:M25" si="16">SUM(L20:L24)</f>
        <v>301.27352882678377</v>
      </c>
      <c r="M25" s="28">
        <f t="shared" si="16"/>
        <v>9218.9699820995847</v>
      </c>
      <c r="N25" s="44"/>
      <c r="O25" s="44"/>
      <c r="P25" s="22">
        <f t="shared" si="3"/>
        <v>0</v>
      </c>
      <c r="R25" s="28">
        <f t="shared" ref="R25:U25" si="17">SUM(R20:R24)</f>
        <v>74956.853972103811</v>
      </c>
      <c r="S25" s="28">
        <f t="shared" si="17"/>
        <v>180.76411729606605</v>
      </c>
      <c r="T25" s="28">
        <f t="shared" si="17"/>
        <v>0</v>
      </c>
      <c r="U25" s="28">
        <f t="shared" si="17"/>
        <v>0</v>
      </c>
    </row>
    <row r="26" spans="1:21">
      <c r="A26" s="42"/>
      <c r="B26" s="2"/>
      <c r="C26" s="28"/>
      <c r="D26" s="19"/>
      <c r="E26" s="33"/>
      <c r="F26" s="5"/>
      <c r="G26" s="40"/>
      <c r="H26" s="6"/>
      <c r="I26" s="33"/>
      <c r="J26" s="33"/>
      <c r="K26" s="29"/>
      <c r="L26" s="29"/>
      <c r="M26" s="29"/>
      <c r="N26" s="8"/>
      <c r="O26" s="9"/>
      <c r="P26" s="22">
        <f t="shared" si="3"/>
        <v>0</v>
      </c>
    </row>
    <row r="27" spans="1:21">
      <c r="A27" s="35">
        <v>57147</v>
      </c>
      <c r="B27" s="36" t="s">
        <v>20</v>
      </c>
      <c r="C27" s="23">
        <f>IFERROR(VLOOKUP(A27,'2120 IS'!$A$48:$AE$241,31,FALSE),0)</f>
        <v>17031.239999999998</v>
      </c>
      <c r="D27" s="25"/>
      <c r="E27" s="24">
        <f t="shared" ref="E27" si="18">SUM(C27:D27)</f>
        <v>17031.239999999998</v>
      </c>
      <c r="F27" s="14"/>
      <c r="G27" s="25"/>
      <c r="H27" s="37"/>
      <c r="I27" s="24">
        <f t="shared" ref="I27" si="19">E27+G27</f>
        <v>17031.239999999998</v>
      </c>
      <c r="J27" s="24"/>
      <c r="K27" s="23">
        <f>I27*Ratios!$C$49</f>
        <v>15115.983117437721</v>
      </c>
      <c r="L27" s="23">
        <f>I27*Ratios!$D$49</f>
        <v>60.609395017793581</v>
      </c>
      <c r="M27" s="23">
        <f t="shared" ref="M27" si="20">I27-K27-L27</f>
        <v>1854.6474875444831</v>
      </c>
      <c r="N27" s="8" t="s">
        <v>21</v>
      </c>
      <c r="O27" s="9"/>
      <c r="P27" s="22">
        <f t="shared" si="3"/>
        <v>0</v>
      </c>
      <c r="R27" s="850">
        <f>K27*Ratios!$N$43</f>
        <v>15079.617480427047</v>
      </c>
      <c r="S27" s="850">
        <f>K27-R27</f>
        <v>36.365637010674618</v>
      </c>
      <c r="T27" s="848" t="s">
        <v>21</v>
      </c>
      <c r="U27" s="847">
        <f t="shared" ref="U27" si="21">K27-R27-S27</f>
        <v>0</v>
      </c>
    </row>
    <row r="28" spans="1:21">
      <c r="A28" s="38">
        <v>41200</v>
      </c>
      <c r="B28" s="2" t="s">
        <v>224</v>
      </c>
      <c r="C28" s="28">
        <f>SUM(C27:C27)</f>
        <v>17031.239999999998</v>
      </c>
      <c r="D28" s="29">
        <f>SUM(D27:D27)</f>
        <v>0</v>
      </c>
      <c r="E28" s="29">
        <f>SUM(E27:E27)</f>
        <v>17031.239999999998</v>
      </c>
      <c r="F28" s="30"/>
      <c r="G28" s="28">
        <f>SUM(G27:G27)</f>
        <v>0</v>
      </c>
      <c r="H28" s="31"/>
      <c r="I28" s="28">
        <f>SUM(I27:I27)</f>
        <v>17031.239999999998</v>
      </c>
      <c r="J28" s="28"/>
      <c r="K28" s="28">
        <f>SUM(K27:K27)</f>
        <v>15115.983117437721</v>
      </c>
      <c r="L28" s="28">
        <f t="shared" ref="L28:M28" si="22">SUM(L27:L27)</f>
        <v>60.609395017793581</v>
      </c>
      <c r="M28" s="28">
        <f t="shared" si="22"/>
        <v>1854.6474875444831</v>
      </c>
      <c r="N28" s="32"/>
      <c r="O28" s="3"/>
      <c r="P28" s="22">
        <f t="shared" si="3"/>
        <v>0</v>
      </c>
      <c r="R28" s="28">
        <f t="shared" ref="R28:U28" si="23">SUM(R27:R27)</f>
        <v>15079.617480427047</v>
      </c>
      <c r="S28" s="28">
        <f t="shared" si="23"/>
        <v>36.365637010674618</v>
      </c>
      <c r="T28" s="28">
        <f t="shared" si="23"/>
        <v>0</v>
      </c>
      <c r="U28" s="28">
        <f t="shared" si="23"/>
        <v>0</v>
      </c>
    </row>
    <row r="29" spans="1:21">
      <c r="A29" s="42"/>
      <c r="B29" s="2"/>
      <c r="C29" s="28"/>
      <c r="D29" s="33"/>
      <c r="E29" s="33"/>
      <c r="F29" s="5"/>
      <c r="G29" s="33"/>
      <c r="H29" s="6"/>
      <c r="I29" s="33"/>
      <c r="J29" s="33"/>
      <c r="K29" s="29"/>
      <c r="L29" s="29"/>
      <c r="M29" s="29"/>
      <c r="N29" s="8"/>
      <c r="O29" s="9"/>
      <c r="P29" s="22">
        <f t="shared" si="3"/>
        <v>0</v>
      </c>
    </row>
    <row r="30" spans="1:21">
      <c r="A30" s="39">
        <v>52120</v>
      </c>
      <c r="B30" s="9" t="s">
        <v>29</v>
      </c>
      <c r="C30" s="18">
        <f>IFERROR(VLOOKUP(A30,'2120 IS'!$A$48:$AE$241,31,FALSE),0)</f>
        <v>94497.159999999989</v>
      </c>
      <c r="D30" s="19"/>
      <c r="E30" s="19">
        <f t="shared" ref="E30:E33" si="24">SUM(C30:D30)</f>
        <v>94497.159999999989</v>
      </c>
      <c r="F30" s="5"/>
      <c r="G30" s="33"/>
      <c r="H30" s="6"/>
      <c r="I30" s="19">
        <f t="shared" ref="I30:I33" si="25">E30+G30</f>
        <v>94497.159999999989</v>
      </c>
      <c r="J30" s="19"/>
      <c r="K30" s="18">
        <f>I30*Ratios!$C$49</f>
        <v>83870.433110320271</v>
      </c>
      <c r="L30" s="18">
        <f>I30*Ratios!$D$49</f>
        <v>336.28882562277573</v>
      </c>
      <c r="M30" s="18">
        <f t="shared" ref="M30:M33" si="26">I30-K30-L30</f>
        <v>10290.438064056942</v>
      </c>
      <c r="N30" s="8" t="s">
        <v>21</v>
      </c>
      <c r="O30" s="9"/>
      <c r="P30" s="22">
        <f t="shared" si="3"/>
        <v>0</v>
      </c>
      <c r="R30" s="849">
        <f>K30*Ratios!$N$43</f>
        <v>83668.659814946615</v>
      </c>
      <c r="S30" s="849">
        <f t="shared" ref="S30:S33" si="27">K30-R30</f>
        <v>201.77329537365586</v>
      </c>
      <c r="T30" s="8" t="s">
        <v>21</v>
      </c>
      <c r="U30" s="475">
        <f t="shared" ref="U30:U33" si="28">K30-R30-S30</f>
        <v>0</v>
      </c>
    </row>
    <row r="31" spans="1:21">
      <c r="A31" s="39">
        <v>52125</v>
      </c>
      <c r="B31" s="9" t="s">
        <v>30</v>
      </c>
      <c r="C31" s="18">
        <f>IFERROR(VLOOKUP(A31,'2120 IS'!$A$48:$AE$241,31,FALSE),0)</f>
        <v>5015.7900000000009</v>
      </c>
      <c r="D31" s="19"/>
      <c r="E31" s="19">
        <f t="shared" si="24"/>
        <v>5015.7900000000009</v>
      </c>
      <c r="F31" s="5"/>
      <c r="G31" s="33"/>
      <c r="H31" s="6"/>
      <c r="I31" s="19">
        <f t="shared" si="25"/>
        <v>5015.7900000000009</v>
      </c>
      <c r="J31" s="19"/>
      <c r="K31" s="18">
        <f>I31*Ratios!$C$49</f>
        <v>4451.7367473309614</v>
      </c>
      <c r="L31" s="18">
        <f>I31*Ratios!$D$49</f>
        <v>17.849786476868328</v>
      </c>
      <c r="M31" s="18">
        <f t="shared" si="26"/>
        <v>546.20346619217116</v>
      </c>
      <c r="N31" s="8" t="s">
        <v>21</v>
      </c>
      <c r="O31" s="9"/>
      <c r="P31" s="22">
        <f t="shared" si="3"/>
        <v>0</v>
      </c>
      <c r="R31" s="849">
        <f>K31*Ratios!$N$43</f>
        <v>4441.0268754448407</v>
      </c>
      <c r="S31" s="849">
        <f t="shared" si="27"/>
        <v>10.709871886120709</v>
      </c>
      <c r="T31" s="8" t="s">
        <v>21</v>
      </c>
      <c r="U31" s="475">
        <f t="shared" si="28"/>
        <v>0</v>
      </c>
    </row>
    <row r="32" spans="1:21">
      <c r="A32" s="39">
        <v>55120</v>
      </c>
      <c r="B32" s="9" t="s">
        <v>29</v>
      </c>
      <c r="C32" s="18">
        <f>IFERROR(VLOOKUP(A32,'2120 IS'!$A$48:$AE$241,31,FALSE),0)</f>
        <v>27692.82</v>
      </c>
      <c r="D32" s="33"/>
      <c r="E32" s="19">
        <f t="shared" ref="E32" si="29">SUM(C32:D32)</f>
        <v>27692.82</v>
      </c>
      <c r="F32" s="5"/>
      <c r="G32" s="33"/>
      <c r="H32" s="6"/>
      <c r="I32" s="19">
        <f t="shared" ref="I32" si="30">E32+G32</f>
        <v>27692.82</v>
      </c>
      <c r="J32" s="19"/>
      <c r="K32" s="18">
        <f>I32*Ratios!$C$49</f>
        <v>24578.609637010675</v>
      </c>
      <c r="L32" s="18">
        <f>I32*Ratios!$D$49</f>
        <v>98.550960854092523</v>
      </c>
      <c r="M32" s="18">
        <f t="shared" si="26"/>
        <v>3015.6594021352321</v>
      </c>
      <c r="N32" s="8" t="s">
        <v>21</v>
      </c>
      <c r="O32" s="9"/>
      <c r="P32" s="22">
        <f t="shared" si="3"/>
        <v>0</v>
      </c>
      <c r="R32" s="849">
        <f>K32*Ratios!$N$43</f>
        <v>24519.479060498219</v>
      </c>
      <c r="S32" s="849">
        <f t="shared" si="27"/>
        <v>59.130576512456173</v>
      </c>
      <c r="T32" s="8" t="s">
        <v>21</v>
      </c>
      <c r="U32" s="475">
        <f t="shared" si="28"/>
        <v>0</v>
      </c>
    </row>
    <row r="33" spans="1:21">
      <c r="A33" s="39">
        <v>55125</v>
      </c>
      <c r="B33" s="9" t="s">
        <v>30</v>
      </c>
      <c r="C33" s="23">
        <f>IFERROR(VLOOKUP(A33,'2120 IS'!$A$48:$AE$241,31,FALSE),0)</f>
        <v>2341.94</v>
      </c>
      <c r="D33" s="25"/>
      <c r="E33" s="24">
        <f t="shared" si="24"/>
        <v>2341.94</v>
      </c>
      <c r="F33" s="14"/>
      <c r="G33" s="25"/>
      <c r="H33" s="37"/>
      <c r="I33" s="24">
        <f t="shared" si="25"/>
        <v>2341.94</v>
      </c>
      <c r="J33" s="24"/>
      <c r="K33" s="23">
        <f>I33*Ratios!$C$49</f>
        <v>2078.5759288256227</v>
      </c>
      <c r="L33" s="23">
        <f>I33*Ratios!$D$49</f>
        <v>8.3343060498220645</v>
      </c>
      <c r="M33" s="23">
        <f t="shared" si="26"/>
        <v>255.02976512455533</v>
      </c>
      <c r="N33" s="8" t="s">
        <v>21</v>
      </c>
      <c r="O33" s="9"/>
      <c r="P33" s="22">
        <f t="shared" si="3"/>
        <v>0</v>
      </c>
      <c r="R33" s="850">
        <f>K33*Ratios!$N$43</f>
        <v>2073.5753451957294</v>
      </c>
      <c r="S33" s="850">
        <f t="shared" si="27"/>
        <v>5.0005836298932991</v>
      </c>
      <c r="T33" s="848" t="s">
        <v>21</v>
      </c>
      <c r="U33" s="847">
        <f t="shared" si="28"/>
        <v>0</v>
      </c>
    </row>
    <row r="34" spans="1:21">
      <c r="A34" s="42">
        <v>41300</v>
      </c>
      <c r="B34" s="2" t="s">
        <v>31</v>
      </c>
      <c r="C34" s="28">
        <f>SUM(C30:C33)</f>
        <v>129547.70999999999</v>
      </c>
      <c r="D34" s="29">
        <f>SUM(D30:D33)</f>
        <v>0</v>
      </c>
      <c r="E34" s="29">
        <f>SUM(E30:E33)</f>
        <v>129547.70999999999</v>
      </c>
      <c r="F34" s="30"/>
      <c r="G34" s="28">
        <f>SUM(G30:G33)</f>
        <v>0</v>
      </c>
      <c r="H34" s="31"/>
      <c r="I34" s="28">
        <f>SUM(I30:I33)</f>
        <v>129547.70999999999</v>
      </c>
      <c r="J34" s="28"/>
      <c r="K34" s="28">
        <f>SUM(K30:K33)</f>
        <v>114979.35542348752</v>
      </c>
      <c r="L34" s="28">
        <f t="shared" ref="L34:M34" si="31">SUM(L30:L33)</f>
        <v>461.02387900355865</v>
      </c>
      <c r="M34" s="28">
        <f t="shared" si="31"/>
        <v>14107.3306975089</v>
      </c>
      <c r="N34" s="32"/>
      <c r="O34" s="3"/>
      <c r="P34" s="22">
        <f t="shared" si="3"/>
        <v>1.4551915228366852E-11</v>
      </c>
      <c r="R34" s="28">
        <f t="shared" ref="R34:U34" si="32">SUM(R30:R33)</f>
        <v>114702.74109608539</v>
      </c>
      <c r="S34" s="28">
        <f t="shared" si="32"/>
        <v>276.61432740212604</v>
      </c>
      <c r="T34" s="28">
        <f t="shared" si="32"/>
        <v>0</v>
      </c>
      <c r="U34" s="28">
        <f t="shared" si="32"/>
        <v>0</v>
      </c>
    </row>
    <row r="35" spans="1:21">
      <c r="A35" s="13"/>
      <c r="B35" s="9"/>
      <c r="C35" s="18"/>
      <c r="D35" s="33"/>
      <c r="E35" s="33"/>
      <c r="F35" s="5"/>
      <c r="G35" s="33"/>
      <c r="H35" s="6"/>
      <c r="I35" s="33"/>
      <c r="J35" s="33"/>
      <c r="K35" s="21"/>
      <c r="L35" s="21"/>
      <c r="M35" s="21"/>
      <c r="N35" s="8"/>
      <c r="O35" s="9"/>
      <c r="P35" s="22">
        <f t="shared" si="3"/>
        <v>0</v>
      </c>
    </row>
    <row r="36" spans="1:21">
      <c r="A36" s="13">
        <v>52147</v>
      </c>
      <c r="B36" s="9" t="s">
        <v>32</v>
      </c>
      <c r="C36" s="23">
        <f>IFERROR(VLOOKUP(A36,'2120 IS'!$A$48:$AE$241,31,FALSE),0)</f>
        <v>45354.890000000007</v>
      </c>
      <c r="D36" s="25"/>
      <c r="E36" s="24">
        <f t="shared" ref="E36" si="33">SUM(C36:D36)</f>
        <v>45354.890000000007</v>
      </c>
      <c r="F36" s="14"/>
      <c r="G36" s="25"/>
      <c r="H36" s="37"/>
      <c r="I36" s="24">
        <f t="shared" ref="I36" si="34">E36+G36</f>
        <v>45354.890000000007</v>
      </c>
      <c r="J36" s="24"/>
      <c r="K36" s="23">
        <f>I36*Ratios!$C$49</f>
        <v>40254.482441281143</v>
      </c>
      <c r="L36" s="23">
        <f>I36*Ratios!$D$49</f>
        <v>161.40530249110321</v>
      </c>
      <c r="M36" s="23">
        <f t="shared" ref="M36" si="35">I36-K36-L36</f>
        <v>4939.00225622776</v>
      </c>
      <c r="N36" s="8" t="s">
        <v>21</v>
      </c>
      <c r="O36" s="9"/>
      <c r="P36" s="22">
        <f t="shared" si="3"/>
        <v>0</v>
      </c>
      <c r="R36" s="850">
        <f>K36*Ratios!$N$43</f>
        <v>40157.639259786483</v>
      </c>
      <c r="S36" s="850">
        <f>K36-R36</f>
        <v>96.843181494659802</v>
      </c>
      <c r="T36" s="848" t="s">
        <v>21</v>
      </c>
      <c r="U36" s="847">
        <f t="shared" ref="U36" si="36">K36-R36-S36</f>
        <v>0</v>
      </c>
    </row>
    <row r="37" spans="1:21">
      <c r="A37" s="42">
        <v>41330</v>
      </c>
      <c r="B37" s="2" t="s">
        <v>3</v>
      </c>
      <c r="C37" s="28">
        <f>SUM(C36:C36)</f>
        <v>45354.890000000007</v>
      </c>
      <c r="D37" s="29">
        <f>SUM(D36:D36)</f>
        <v>0</v>
      </c>
      <c r="E37" s="29">
        <f>SUM(E36:E36)</f>
        <v>45354.890000000007</v>
      </c>
      <c r="F37" s="30"/>
      <c r="G37" s="28">
        <f>SUM(G36:G36)</f>
        <v>0</v>
      </c>
      <c r="H37" s="31"/>
      <c r="I37" s="28">
        <f>SUM(I36:I36)</f>
        <v>45354.890000000007</v>
      </c>
      <c r="J37" s="28"/>
      <c r="K37" s="28">
        <f>SUM(K36:K36)</f>
        <v>40254.482441281143</v>
      </c>
      <c r="L37" s="28">
        <f t="shared" ref="L37:M37" si="37">SUM(L36:L36)</f>
        <v>161.40530249110321</v>
      </c>
      <c r="M37" s="28">
        <f t="shared" si="37"/>
        <v>4939.00225622776</v>
      </c>
      <c r="N37" s="32"/>
      <c r="O37" s="3"/>
      <c r="P37" s="22">
        <f t="shared" si="3"/>
        <v>0</v>
      </c>
      <c r="R37" s="28">
        <f t="shared" ref="R37:U37" si="38">SUM(R36:R36)</f>
        <v>40157.639259786483</v>
      </c>
      <c r="S37" s="28">
        <f t="shared" si="38"/>
        <v>96.843181494659802</v>
      </c>
      <c r="T37" s="28">
        <f t="shared" si="38"/>
        <v>0</v>
      </c>
      <c r="U37" s="28">
        <f t="shared" si="38"/>
        <v>0</v>
      </c>
    </row>
    <row r="38" spans="1:21">
      <c r="A38" s="13"/>
      <c r="B38" s="9"/>
      <c r="C38" s="18"/>
      <c r="D38" s="33"/>
      <c r="E38" s="33"/>
      <c r="F38" s="5"/>
      <c r="G38" s="33"/>
      <c r="H38" s="6"/>
      <c r="I38" s="33"/>
      <c r="J38" s="33"/>
      <c r="K38" s="21"/>
      <c r="L38" s="21"/>
      <c r="M38" s="21"/>
      <c r="N38" s="8"/>
      <c r="O38" s="9"/>
      <c r="P38" s="22">
        <f t="shared" si="3"/>
        <v>0</v>
      </c>
    </row>
    <row r="39" spans="1:21">
      <c r="A39" s="13">
        <v>52140</v>
      </c>
      <c r="B39" s="9" t="s">
        <v>33</v>
      </c>
      <c r="C39" s="23">
        <f>IFERROR(VLOOKUP(A39,'2120 IS'!$A$48:$AE$241,31,FALSE),0)</f>
        <v>30635.949999999997</v>
      </c>
      <c r="D39" s="25"/>
      <c r="E39" s="24">
        <f t="shared" ref="E39" si="39">SUM(C39:D39)</f>
        <v>30635.949999999997</v>
      </c>
      <c r="F39" s="14"/>
      <c r="G39" s="25"/>
      <c r="H39" s="37"/>
      <c r="I39" s="24">
        <f t="shared" ref="I39" si="40">E39+G39</f>
        <v>30635.949999999997</v>
      </c>
      <c r="J39" s="24"/>
      <c r="K39" s="23">
        <f>I39*Ratios!$C$49</f>
        <v>27190.7684341637</v>
      </c>
      <c r="L39" s="23">
        <f>I39*Ratios!$D$49</f>
        <v>109.0247330960854</v>
      </c>
      <c r="M39" s="23">
        <f t="shared" ref="M39" si="41">I39-K39-L39</f>
        <v>3336.1568327402119</v>
      </c>
      <c r="N39" s="8" t="s">
        <v>21</v>
      </c>
      <c r="O39" s="9"/>
      <c r="P39" s="22">
        <f t="shared" si="3"/>
        <v>0</v>
      </c>
      <c r="R39" s="850">
        <f>K39*Ratios!$N$43</f>
        <v>27125.353594306049</v>
      </c>
      <c r="S39" s="850">
        <f>K39-R39</f>
        <v>65.414839857650804</v>
      </c>
      <c r="T39" s="848" t="s">
        <v>21</v>
      </c>
      <c r="U39" s="847">
        <f t="shared" ref="U39" si="42">K39-R39-S39</f>
        <v>0</v>
      </c>
    </row>
    <row r="40" spans="1:21">
      <c r="A40" s="42">
        <v>41600</v>
      </c>
      <c r="B40" s="2" t="s">
        <v>3</v>
      </c>
      <c r="C40" s="28">
        <f>SUM(C39)</f>
        <v>30635.949999999997</v>
      </c>
      <c r="D40" s="29">
        <f>SUM(D39:D39)</f>
        <v>0</v>
      </c>
      <c r="E40" s="29">
        <f>SUM(E39)</f>
        <v>30635.949999999997</v>
      </c>
      <c r="F40" s="30"/>
      <c r="G40" s="28">
        <f>SUM(G39:G39)</f>
        <v>0</v>
      </c>
      <c r="H40" s="31"/>
      <c r="I40" s="28">
        <f>SUM(I39:I39)</f>
        <v>30635.949999999997</v>
      </c>
      <c r="J40" s="28"/>
      <c r="K40" s="28">
        <f>SUM(K39:K39)</f>
        <v>27190.7684341637</v>
      </c>
      <c r="L40" s="28">
        <f t="shared" ref="L40:M40" si="43">SUM(L39:L39)</f>
        <v>109.0247330960854</v>
      </c>
      <c r="M40" s="28">
        <f t="shared" si="43"/>
        <v>3336.1568327402119</v>
      </c>
      <c r="N40" s="32"/>
      <c r="O40" s="3"/>
      <c r="P40" s="22">
        <f t="shared" si="3"/>
        <v>0</v>
      </c>
      <c r="R40" s="28">
        <f t="shared" ref="R40:U40" si="44">SUM(R39:R39)</f>
        <v>27125.353594306049</v>
      </c>
      <c r="S40" s="28">
        <f t="shared" si="44"/>
        <v>65.414839857650804</v>
      </c>
      <c r="T40" s="28">
        <f t="shared" si="44"/>
        <v>0</v>
      </c>
      <c r="U40" s="28">
        <f t="shared" si="44"/>
        <v>0</v>
      </c>
    </row>
    <row r="41" spans="1:21">
      <c r="A41" s="42"/>
      <c r="B41" s="2"/>
      <c r="C41" s="28"/>
      <c r="D41" s="33"/>
      <c r="E41" s="33"/>
      <c r="F41" s="5"/>
      <c r="G41" s="33"/>
      <c r="H41" s="6"/>
      <c r="I41" s="33"/>
      <c r="J41" s="33"/>
      <c r="K41" s="29"/>
      <c r="L41" s="29"/>
      <c r="M41" s="29"/>
      <c r="N41" s="8"/>
      <c r="O41" s="9"/>
      <c r="P41" s="22">
        <f t="shared" si="3"/>
        <v>0</v>
      </c>
    </row>
    <row r="42" spans="1:21">
      <c r="A42" s="39">
        <v>52087</v>
      </c>
      <c r="B42" s="8" t="s">
        <v>152</v>
      </c>
      <c r="C42" s="18">
        <f>IFERROR(VLOOKUP(A42,'2120 IS'!$A$48:$AE$241,31,FALSE),0)</f>
        <v>1119.6399999999999</v>
      </c>
      <c r="D42" s="33"/>
      <c r="E42" s="19">
        <f t="shared" ref="E42:E43" si="45">SUM(C42:D42)</f>
        <v>1119.6399999999999</v>
      </c>
      <c r="F42" s="5"/>
      <c r="G42" s="33"/>
      <c r="H42" s="6"/>
      <c r="I42" s="19">
        <f t="shared" ref="I42:I43" si="46">E42+G42</f>
        <v>1119.6399999999999</v>
      </c>
      <c r="J42" s="19"/>
      <c r="K42" s="18">
        <f>I42*Ratios!$C$49</f>
        <v>993.73030604982193</v>
      </c>
      <c r="L42" s="18">
        <f>I42*Ratios!$D$49</f>
        <v>3.9844839857651237</v>
      </c>
      <c r="M42" s="18">
        <f t="shared" ref="M42:M47" si="47">I42-K42-L42</f>
        <v>121.92520996441282</v>
      </c>
      <c r="N42" s="8" t="s">
        <v>21</v>
      </c>
      <c r="O42" s="9"/>
      <c r="P42" s="22">
        <f t="shared" si="3"/>
        <v>0</v>
      </c>
      <c r="R42" s="849">
        <f>K42*Ratios!$N$43</f>
        <v>991.33961565836285</v>
      </c>
      <c r="S42" s="849">
        <f t="shared" ref="S42:S47" si="48">K42-R42</f>
        <v>2.3906903914590885</v>
      </c>
      <c r="T42" s="8" t="s">
        <v>21</v>
      </c>
      <c r="U42" s="475">
        <f t="shared" ref="U42:U47" si="49">K42-R42-S42</f>
        <v>0</v>
      </c>
    </row>
    <row r="43" spans="1:21">
      <c r="A43" s="39">
        <v>52090</v>
      </c>
      <c r="B43" s="8" t="s">
        <v>46</v>
      </c>
      <c r="C43" s="18">
        <f>IFERROR(VLOOKUP(A43,'2120 IS'!$A$48:$AE$241,31,FALSE),0)</f>
        <v>3816.8899999999994</v>
      </c>
      <c r="D43" s="33"/>
      <c r="E43" s="19">
        <f t="shared" si="45"/>
        <v>3816.8899999999994</v>
      </c>
      <c r="F43" s="5"/>
      <c r="G43" s="33"/>
      <c r="H43" s="6"/>
      <c r="I43" s="19">
        <f t="shared" si="46"/>
        <v>3816.8899999999994</v>
      </c>
      <c r="J43" s="19"/>
      <c r="K43" s="18">
        <f>I43*Ratios!$C$49</f>
        <v>3387.6596654804266</v>
      </c>
      <c r="L43" s="18">
        <f>I43*Ratios!$D$49</f>
        <v>13.583238434163698</v>
      </c>
      <c r="M43" s="18">
        <f t="shared" si="47"/>
        <v>415.64709608540909</v>
      </c>
      <c r="N43" s="8" t="s">
        <v>21</v>
      </c>
      <c r="O43" s="9"/>
      <c r="P43" s="22">
        <f t="shared" si="3"/>
        <v>0</v>
      </c>
      <c r="R43" s="849">
        <f>K43*Ratios!$N$43</f>
        <v>3379.5097224199285</v>
      </c>
      <c r="S43" s="849">
        <f t="shared" si="48"/>
        <v>8.1499430604981171</v>
      </c>
      <c r="T43" s="8" t="s">
        <v>21</v>
      </c>
      <c r="U43" s="475">
        <f t="shared" si="49"/>
        <v>0</v>
      </c>
    </row>
    <row r="44" spans="1:21">
      <c r="A44" s="39">
        <v>52165</v>
      </c>
      <c r="B44" s="8" t="s">
        <v>157</v>
      </c>
      <c r="C44" s="18">
        <f>IFERROR(VLOOKUP(A44,'2120 IS'!$A$48:$AE$241,31,FALSE),0)</f>
        <v>323.39999999999998</v>
      </c>
      <c r="D44" s="33"/>
      <c r="E44" s="19">
        <f t="shared" ref="E44" si="50">SUM(C44:D44)</f>
        <v>323.39999999999998</v>
      </c>
      <c r="F44" s="5"/>
      <c r="G44" s="33"/>
      <c r="H44" s="6"/>
      <c r="I44" s="19">
        <f t="shared" ref="I44" si="51">E44+G44</f>
        <v>323.39999999999998</v>
      </c>
      <c r="J44" s="19"/>
      <c r="K44" s="18">
        <f>I44*Ratios!$C$49</f>
        <v>287.03188612099643</v>
      </c>
      <c r="L44" s="18">
        <f>I44*Ratios!$D$49</f>
        <v>1.1508896797153023</v>
      </c>
      <c r="M44" s="18">
        <f t="shared" si="47"/>
        <v>35.217224199288239</v>
      </c>
      <c r="N44" s="8" t="s">
        <v>21</v>
      </c>
      <c r="O44" s="9"/>
      <c r="P44" s="22">
        <f t="shared" si="3"/>
        <v>0</v>
      </c>
      <c r="R44" s="849">
        <f>K44*Ratios!$N$43</f>
        <v>286.34135231316725</v>
      </c>
      <c r="S44" s="849">
        <f t="shared" si="48"/>
        <v>0.69053380782918339</v>
      </c>
      <c r="T44" s="8" t="s">
        <v>21</v>
      </c>
      <c r="U44" s="475">
        <f t="shared" si="49"/>
        <v>0</v>
      </c>
    </row>
    <row r="45" spans="1:21">
      <c r="A45" s="39">
        <v>52182</v>
      </c>
      <c r="B45" s="8" t="s">
        <v>34</v>
      </c>
      <c r="C45" s="18">
        <f>IFERROR(VLOOKUP(A45,'2120 IS'!$A$48:$AE$241,31,FALSE),0)</f>
        <v>9036.6799999999985</v>
      </c>
      <c r="D45" s="33"/>
      <c r="E45" s="19">
        <f t="shared" ref="E45:E47" si="52">SUM(C45:D45)</f>
        <v>9036.6799999999985</v>
      </c>
      <c r="F45" s="5"/>
      <c r="G45" s="33"/>
      <c r="H45" s="6"/>
      <c r="I45" s="19">
        <f t="shared" ref="I45:I47" si="53">E45+G45</f>
        <v>9036.6799999999985</v>
      </c>
      <c r="J45" s="19"/>
      <c r="K45" s="18">
        <f>I45*Ratios!$C$49</f>
        <v>8020.4554875444828</v>
      </c>
      <c r="L45" s="18">
        <f>I45*Ratios!$D$49</f>
        <v>32.159003558718851</v>
      </c>
      <c r="M45" s="18">
        <f t="shared" si="47"/>
        <v>984.06550889679681</v>
      </c>
      <c r="N45" s="8" t="s">
        <v>21</v>
      </c>
      <c r="O45" s="9"/>
      <c r="P45" s="22">
        <f t="shared" si="3"/>
        <v>0</v>
      </c>
      <c r="R45" s="849">
        <f>K45*Ratios!$N$43</f>
        <v>8001.1600854092521</v>
      </c>
      <c r="S45" s="849">
        <f t="shared" si="48"/>
        <v>19.295402135230688</v>
      </c>
      <c r="T45" s="8" t="s">
        <v>21</v>
      </c>
      <c r="U45" s="475">
        <f t="shared" si="49"/>
        <v>0</v>
      </c>
    </row>
    <row r="46" spans="1:21">
      <c r="A46" s="39">
        <v>57135</v>
      </c>
      <c r="B46" s="8" t="s">
        <v>164</v>
      </c>
      <c r="C46" s="18">
        <f>IFERROR(VLOOKUP(A46,'2120 IS'!$A$48:$AE$241,31,FALSE),0)</f>
        <v>913.07</v>
      </c>
      <c r="D46" s="33"/>
      <c r="E46" s="19">
        <f t="shared" ref="E46" si="54">SUM(C46:D46)</f>
        <v>913.07</v>
      </c>
      <c r="F46" s="5"/>
      <c r="G46" s="33"/>
      <c r="H46" s="6"/>
      <c r="I46" s="19">
        <f t="shared" ref="I46" si="55">E46+G46</f>
        <v>913.07</v>
      </c>
      <c r="J46" s="19"/>
      <c r="K46" s="18">
        <f>I46*Ratios!$C$49</f>
        <v>810.39024199288258</v>
      </c>
      <c r="L46" s="18">
        <f>I46*Ratios!$D$49</f>
        <v>3.249359430604982</v>
      </c>
      <c r="M46" s="18">
        <f t="shared" si="47"/>
        <v>99.430398576512488</v>
      </c>
      <c r="N46" s="8" t="s">
        <v>21</v>
      </c>
      <c r="O46" s="9"/>
      <c r="P46" s="22">
        <f t="shared" si="3"/>
        <v>0</v>
      </c>
      <c r="R46" s="849">
        <f>K46*Ratios!$N$43</f>
        <v>808.44062633451961</v>
      </c>
      <c r="S46" s="849">
        <f t="shared" si="48"/>
        <v>1.9496156583629727</v>
      </c>
      <c r="T46" s="8" t="s">
        <v>21</v>
      </c>
      <c r="U46" s="475">
        <f t="shared" si="49"/>
        <v>0</v>
      </c>
    </row>
    <row r="47" spans="1:21">
      <c r="A47" s="39">
        <v>57254</v>
      </c>
      <c r="B47" s="8" t="s">
        <v>35</v>
      </c>
      <c r="C47" s="23">
        <f>IFERROR(VLOOKUP(A47,'2120 IS'!$A$48:$AE$241,31,FALSE),0)</f>
        <v>13033.859999999999</v>
      </c>
      <c r="D47" s="25"/>
      <c r="E47" s="24">
        <f t="shared" si="52"/>
        <v>13033.859999999999</v>
      </c>
      <c r="F47" s="14"/>
      <c r="G47" s="25"/>
      <c r="H47" s="37"/>
      <c r="I47" s="24">
        <f t="shared" si="53"/>
        <v>13033.859999999999</v>
      </c>
      <c r="J47" s="24"/>
      <c r="K47" s="23">
        <f>I47*Ratios!$C$49</f>
        <v>11568.130548042704</v>
      </c>
      <c r="L47" s="23">
        <f>I47*Ratios!$D$49</f>
        <v>46.383843416370098</v>
      </c>
      <c r="M47" s="23">
        <f t="shared" si="47"/>
        <v>1419.345608540925</v>
      </c>
      <c r="N47" s="8" t="s">
        <v>21</v>
      </c>
      <c r="O47" s="9"/>
      <c r="P47" s="22">
        <f t="shared" si="3"/>
        <v>0</v>
      </c>
      <c r="R47" s="850">
        <f>K47*Ratios!$N$43</f>
        <v>11540.300241992882</v>
      </c>
      <c r="S47" s="850">
        <f t="shared" si="48"/>
        <v>27.830306049821957</v>
      </c>
      <c r="T47" s="848" t="s">
        <v>21</v>
      </c>
      <c r="U47" s="847">
        <f t="shared" si="49"/>
        <v>0</v>
      </c>
    </row>
    <row r="48" spans="1:21">
      <c r="A48" s="42">
        <v>41800</v>
      </c>
      <c r="B48" s="45" t="s">
        <v>36</v>
      </c>
      <c r="C48" s="29">
        <f>SUM(C42:C47)</f>
        <v>28243.539999999994</v>
      </c>
      <c r="D48" s="29">
        <f>SUM(D42:D47)</f>
        <v>0</v>
      </c>
      <c r="E48" s="29">
        <f>SUM(E42:E47)</f>
        <v>28243.539999999994</v>
      </c>
      <c r="F48" s="30"/>
      <c r="G48" s="29">
        <f>SUM(G42:G47)</f>
        <v>0</v>
      </c>
      <c r="H48" s="43"/>
      <c r="I48" s="29">
        <f>SUM(I42:I47)</f>
        <v>28243.539999999994</v>
      </c>
      <c r="J48" s="29"/>
      <c r="K48" s="29">
        <f>SUM(K42:K47)</f>
        <v>25067.398135231313</v>
      </c>
      <c r="L48" s="29">
        <f t="shared" ref="L48:M48" si="56">SUM(L42:L47)</f>
        <v>100.51081850533805</v>
      </c>
      <c r="M48" s="29">
        <f t="shared" si="56"/>
        <v>3075.6310462633446</v>
      </c>
      <c r="N48" s="32"/>
      <c r="O48" s="3"/>
      <c r="P48" s="22">
        <f t="shared" si="3"/>
        <v>0</v>
      </c>
      <c r="R48" s="29">
        <f t="shared" ref="R48:U48" si="57">SUM(R42:R47)</f>
        <v>25007.091644128112</v>
      </c>
      <c r="S48" s="29">
        <f t="shared" si="57"/>
        <v>60.306491103202006</v>
      </c>
      <c r="T48" s="29">
        <f t="shared" si="57"/>
        <v>0</v>
      </c>
      <c r="U48" s="29">
        <f t="shared" si="57"/>
        <v>0</v>
      </c>
    </row>
    <row r="49" spans="1:21">
      <c r="A49" s="13"/>
      <c r="B49" s="8"/>
      <c r="C49" s="21"/>
      <c r="D49" s="33"/>
      <c r="E49" s="33"/>
      <c r="F49" s="5"/>
      <c r="G49" s="33"/>
      <c r="H49" s="6"/>
      <c r="I49" s="33"/>
      <c r="J49" s="33"/>
      <c r="K49" s="21"/>
      <c r="L49" s="21"/>
      <c r="M49" s="21"/>
      <c r="N49" s="8"/>
      <c r="O49" s="9"/>
      <c r="P49" s="22">
        <f t="shared" si="3"/>
        <v>0</v>
      </c>
    </row>
    <row r="50" spans="1:21">
      <c r="A50" s="13">
        <v>56010</v>
      </c>
      <c r="B50" s="8" t="s">
        <v>37</v>
      </c>
      <c r="C50" s="18">
        <f>IFERROR(VLOOKUP(A50,'2120 IS'!$A$48:$AE$241,31,FALSE),0)</f>
        <v>110939.20999999998</v>
      </c>
      <c r="D50" s="19">
        <f>'Restating Adj''s'!R24</f>
        <v>455.5212328767123</v>
      </c>
      <c r="E50" s="19">
        <f t="shared" ref="E50:E51" si="58">SUM(C50:D50)</f>
        <v>111394.73123287669</v>
      </c>
      <c r="F50" s="5" t="s">
        <v>570</v>
      </c>
      <c r="G50" s="19">
        <f>'Pro Forma Adj''s'!B9</f>
        <v>1360.8604246575342</v>
      </c>
      <c r="H50" s="473" t="s">
        <v>1657</v>
      </c>
      <c r="I50" s="19">
        <f t="shared" ref="I50:I51" si="59">E50+G50</f>
        <v>112755.59165753421</v>
      </c>
      <c r="J50" s="19"/>
      <c r="K50" s="18">
        <f>I50*Ratios!$C$49</f>
        <v>100075.60341419585</v>
      </c>
      <c r="L50" s="18">
        <f>I50*Ratios!$D$49</f>
        <v>401.2654507385559</v>
      </c>
      <c r="M50" s="18">
        <f t="shared" ref="M50:M51" si="60">I50-K50-L50</f>
        <v>12278.722792599805</v>
      </c>
      <c r="N50" s="8" t="s">
        <v>21</v>
      </c>
      <c r="O50" s="9"/>
      <c r="P50" s="22">
        <f t="shared" si="3"/>
        <v>0</v>
      </c>
      <c r="R50" s="849">
        <f>K50*Ratios!$N$43</f>
        <v>99834.844143752722</v>
      </c>
      <c r="S50" s="849">
        <f t="shared" ref="S50:S51" si="61">K50-R50</f>
        <v>240.75927044312994</v>
      </c>
      <c r="T50" s="8" t="s">
        <v>21</v>
      </c>
      <c r="U50" s="475">
        <f t="shared" ref="U50:U51" si="62">K50-R50-S50</f>
        <v>0</v>
      </c>
    </row>
    <row r="51" spans="1:21">
      <c r="A51" s="13">
        <v>56065</v>
      </c>
      <c r="B51" s="8" t="s">
        <v>26</v>
      </c>
      <c r="C51" s="23">
        <f>IFERROR(VLOOKUP(A51,'2120 IS'!$A$48:$AE$241,31,FALSE),0)</f>
        <v>-1012.0099999999995</v>
      </c>
      <c r="D51" s="24"/>
      <c r="E51" s="24">
        <f t="shared" si="58"/>
        <v>-1012.0099999999995</v>
      </c>
      <c r="F51" s="14"/>
      <c r="G51" s="24"/>
      <c r="H51" s="46"/>
      <c r="I51" s="24">
        <f t="shared" si="59"/>
        <v>-1012.0099999999995</v>
      </c>
      <c r="J51" s="24"/>
      <c r="K51" s="23">
        <f>I51*Ratios!$C$49</f>
        <v>-898.20389323843381</v>
      </c>
      <c r="L51" s="23">
        <f>I51*Ratios!$D$49</f>
        <v>-3.6014590747330941</v>
      </c>
      <c r="M51" s="23">
        <f t="shared" si="60"/>
        <v>-110.20464768683263</v>
      </c>
      <c r="N51" s="8" t="s">
        <v>21</v>
      </c>
      <c r="O51" s="9"/>
      <c r="P51" s="22">
        <f t="shared" si="3"/>
        <v>0</v>
      </c>
      <c r="R51" s="850">
        <f>K51*Ratios!$N$43</f>
        <v>-896.043017793594</v>
      </c>
      <c r="S51" s="850">
        <f t="shared" si="61"/>
        <v>-2.1608754448398031</v>
      </c>
      <c r="T51" s="848" t="s">
        <v>21</v>
      </c>
      <c r="U51" s="847">
        <f t="shared" si="62"/>
        <v>0</v>
      </c>
    </row>
    <row r="52" spans="1:21">
      <c r="A52" s="38">
        <v>42100</v>
      </c>
      <c r="B52" s="47" t="s">
        <v>38</v>
      </c>
      <c r="C52" s="29">
        <f>SUM(C50:C51)</f>
        <v>109927.19999999998</v>
      </c>
      <c r="D52" s="29">
        <f>SUM(D50:D51)</f>
        <v>455.5212328767123</v>
      </c>
      <c r="E52" s="29">
        <f>SUM(E50:E51)</f>
        <v>110382.72123287669</v>
      </c>
      <c r="F52" s="30"/>
      <c r="G52" s="29">
        <f>SUM(G50:G51)</f>
        <v>1360.8604246575342</v>
      </c>
      <c r="H52" s="43"/>
      <c r="I52" s="29">
        <f>SUM(I50:I51)</f>
        <v>111743.58165753422</v>
      </c>
      <c r="J52" s="29"/>
      <c r="K52" s="29">
        <f>SUM(K50:K51)</f>
        <v>99177.39952095742</v>
      </c>
      <c r="L52" s="29">
        <f t="shared" ref="L52:M52" si="63">SUM(L50:L51)</f>
        <v>397.6639916638228</v>
      </c>
      <c r="M52" s="29">
        <f t="shared" si="63"/>
        <v>12168.518144912972</v>
      </c>
      <c r="N52" s="32"/>
      <c r="O52" s="3"/>
      <c r="P52" s="22">
        <f t="shared" si="3"/>
        <v>0</v>
      </c>
      <c r="R52" s="29">
        <f t="shared" ref="R52:U52" si="64">SUM(R50:R51)</f>
        <v>98938.801125959129</v>
      </c>
      <c r="S52" s="29">
        <f t="shared" si="64"/>
        <v>238.59839499829013</v>
      </c>
      <c r="T52" s="29">
        <f t="shared" si="64"/>
        <v>0</v>
      </c>
      <c r="U52" s="29">
        <f t="shared" si="64"/>
        <v>0</v>
      </c>
    </row>
    <row r="53" spans="1:21">
      <c r="A53" s="13"/>
      <c r="B53" s="8"/>
      <c r="C53" s="21"/>
      <c r="D53" s="33"/>
      <c r="E53" s="33"/>
      <c r="F53" s="5"/>
      <c r="G53" s="33"/>
      <c r="H53" s="6"/>
      <c r="I53" s="33"/>
      <c r="J53" s="33"/>
      <c r="K53" s="21"/>
      <c r="L53" s="21"/>
      <c r="M53" s="21"/>
      <c r="N53" s="8"/>
      <c r="O53" s="9"/>
      <c r="P53" s="22">
        <f t="shared" si="3"/>
        <v>0</v>
      </c>
    </row>
    <row r="54" spans="1:21">
      <c r="A54" s="39">
        <v>50020</v>
      </c>
      <c r="B54" s="8" t="s">
        <v>39</v>
      </c>
      <c r="C54" s="18">
        <f>IFERROR(VLOOKUP(A54,'2120 IS'!$A$48:$AE$241,31,FALSE),0)</f>
        <v>392880.13999999996</v>
      </c>
      <c r="D54" s="19">
        <f>'Restating Adj''s'!R25</f>
        <v>2753.1696588821919</v>
      </c>
      <c r="E54" s="19">
        <f t="shared" ref="E54:E58" si="65">SUM(C54:D54)</f>
        <v>395633.30965888215</v>
      </c>
      <c r="F54" s="5" t="s">
        <v>570</v>
      </c>
      <c r="G54" s="19">
        <f>'Pro Forma Adj''s'!B7</f>
        <v>6511.4795957749047</v>
      </c>
      <c r="H54" s="473" t="s">
        <v>1657</v>
      </c>
      <c r="I54" s="19">
        <f t="shared" ref="I54:I58" si="66">E54+G54</f>
        <v>402144.78925465705</v>
      </c>
      <c r="J54" s="19"/>
      <c r="K54" s="18">
        <f>I54*Ratios!$C$49</f>
        <v>356921.38946658885</v>
      </c>
      <c r="L54" s="18">
        <f>I54*Ratios!$D$49</f>
        <v>1431.1202464578541</v>
      </c>
      <c r="M54" s="18">
        <f t="shared" ref="M54:M58" si="67">I54-K54-L54</f>
        <v>43792.279541610347</v>
      </c>
      <c r="N54" s="8" t="s">
        <v>21</v>
      </c>
      <c r="O54" s="8"/>
      <c r="P54" s="22">
        <f t="shared" si="3"/>
        <v>0</v>
      </c>
      <c r="R54" s="849">
        <f>K54*Ratios!$N$43</f>
        <v>356062.71731871413</v>
      </c>
      <c r="S54" s="849">
        <f t="shared" ref="S54:S58" si="68">K54-R54</f>
        <v>858.67214787472039</v>
      </c>
      <c r="T54" s="8" t="s">
        <v>21</v>
      </c>
      <c r="U54" s="475">
        <f t="shared" ref="U54:U58" si="69">K54-R54-S54</f>
        <v>0</v>
      </c>
    </row>
    <row r="55" spans="1:21">
      <c r="A55" s="39">
        <v>50025</v>
      </c>
      <c r="B55" s="8" t="s">
        <v>40</v>
      </c>
      <c r="C55" s="18">
        <f>IFERROR(VLOOKUP(A55,'2120 IS'!$A$48:$AE$241,31,FALSE),0)</f>
        <v>29474.19</v>
      </c>
      <c r="D55" s="40"/>
      <c r="E55" s="19">
        <f t="shared" si="65"/>
        <v>29474.19</v>
      </c>
      <c r="F55" s="5"/>
      <c r="G55" s="33"/>
      <c r="H55" s="6"/>
      <c r="I55" s="19">
        <f t="shared" si="66"/>
        <v>29474.19</v>
      </c>
      <c r="J55" s="19"/>
      <c r="K55" s="18">
        <f>I55*Ratios!$C$49</f>
        <v>26159.654754448398</v>
      </c>
      <c r="L55" s="18">
        <f>I55*Ratios!$D$49</f>
        <v>104.89035587188611</v>
      </c>
      <c r="M55" s="18">
        <f t="shared" si="67"/>
        <v>3209.6448896797142</v>
      </c>
      <c r="N55" s="8" t="s">
        <v>21</v>
      </c>
      <c r="O55" s="8"/>
      <c r="P55" s="22">
        <f t="shared" si="3"/>
        <v>0</v>
      </c>
      <c r="R55" s="849">
        <f>K55*Ratios!$N$43</f>
        <v>26096.720540925267</v>
      </c>
      <c r="S55" s="849">
        <f t="shared" si="68"/>
        <v>62.934213523130893</v>
      </c>
      <c r="T55" s="8" t="s">
        <v>21</v>
      </c>
      <c r="U55" s="475">
        <f t="shared" si="69"/>
        <v>0</v>
      </c>
    </row>
    <row r="56" spans="1:21">
      <c r="A56" s="48">
        <v>50035</v>
      </c>
      <c r="B56" s="8" t="s">
        <v>24</v>
      </c>
      <c r="C56" s="18">
        <f>IFERROR(VLOOKUP(A56,'2120 IS'!$A$48:$AE$241,31,FALSE),0)</f>
        <v>16769</v>
      </c>
      <c r="D56" s="33"/>
      <c r="E56" s="19">
        <f t="shared" si="65"/>
        <v>16769</v>
      </c>
      <c r="F56" s="5"/>
      <c r="G56" s="33"/>
      <c r="H56" s="6"/>
      <c r="I56" s="19">
        <f t="shared" si="66"/>
        <v>16769</v>
      </c>
      <c r="J56" s="19"/>
      <c r="K56" s="18">
        <f>I56*Ratios!$C$49</f>
        <v>14883.233451957296</v>
      </c>
      <c r="L56" s="18">
        <f>I56*Ratios!$D$49</f>
        <v>59.67615658362989</v>
      </c>
      <c r="M56" s="18">
        <f t="shared" si="67"/>
        <v>1826.0903914590742</v>
      </c>
      <c r="N56" s="8" t="s">
        <v>21</v>
      </c>
      <c r="O56" s="8"/>
      <c r="P56" s="22">
        <f t="shared" si="3"/>
        <v>0</v>
      </c>
      <c r="R56" s="849">
        <f>K56*Ratios!$N$43</f>
        <v>14847.427758007119</v>
      </c>
      <c r="S56" s="849">
        <f t="shared" si="68"/>
        <v>35.805693950176646</v>
      </c>
      <c r="T56" s="8" t="s">
        <v>21</v>
      </c>
      <c r="U56" s="475">
        <f t="shared" si="69"/>
        <v>0</v>
      </c>
    </row>
    <row r="57" spans="1:21">
      <c r="A57" s="39">
        <v>50065</v>
      </c>
      <c r="B57" s="8" t="s">
        <v>26</v>
      </c>
      <c r="C57" s="18">
        <f>IFERROR(VLOOKUP(A57,'2120 IS'!$A$48:$AE$241,31,FALSE),0)</f>
        <v>19842.159999999996</v>
      </c>
      <c r="D57" s="33"/>
      <c r="E57" s="19">
        <f t="shared" si="65"/>
        <v>19842.159999999996</v>
      </c>
      <c r="F57" s="5"/>
      <c r="G57" s="33"/>
      <c r="H57" s="6"/>
      <c r="I57" s="19">
        <f t="shared" si="66"/>
        <v>19842.159999999996</v>
      </c>
      <c r="J57" s="19"/>
      <c r="K57" s="18">
        <f>I57*Ratios!$C$49</f>
        <v>17610.799658362987</v>
      </c>
      <c r="L57" s="18">
        <f>I57*Ratios!$D$49</f>
        <v>70.612669039145885</v>
      </c>
      <c r="M57" s="18">
        <f t="shared" si="67"/>
        <v>2160.747672597864</v>
      </c>
      <c r="N57" s="8" t="s">
        <v>21</v>
      </c>
      <c r="O57" s="8"/>
      <c r="P57" s="22">
        <f t="shared" si="3"/>
        <v>0</v>
      </c>
      <c r="R57" s="849">
        <f>K57*Ratios!$N$43</f>
        <v>17568.432056939499</v>
      </c>
      <c r="S57" s="849">
        <f t="shared" si="68"/>
        <v>42.36760142348794</v>
      </c>
      <c r="T57" s="8" t="s">
        <v>21</v>
      </c>
      <c r="U57" s="475">
        <f t="shared" si="69"/>
        <v>0</v>
      </c>
    </row>
    <row r="58" spans="1:21">
      <c r="A58" s="39">
        <v>50070</v>
      </c>
      <c r="B58" s="8" t="s">
        <v>27</v>
      </c>
      <c r="C58" s="23">
        <f>IFERROR(VLOOKUP(A58,'2120 IS'!$A$48:$AE$241,31,FALSE),0)</f>
        <v>3859.7000000000003</v>
      </c>
      <c r="D58" s="25"/>
      <c r="E58" s="24">
        <f t="shared" si="65"/>
        <v>3859.7000000000003</v>
      </c>
      <c r="F58" s="14"/>
      <c r="G58" s="25"/>
      <c r="H58" s="37"/>
      <c r="I58" s="24">
        <f t="shared" si="66"/>
        <v>3859.7000000000003</v>
      </c>
      <c r="J58" s="24"/>
      <c r="K58" s="23">
        <f>I58*Ratios!$C$49</f>
        <v>3425.6554448398579</v>
      </c>
      <c r="L58" s="23">
        <f>I58*Ratios!$D$49</f>
        <v>13.735587188612099</v>
      </c>
      <c r="M58" s="23">
        <f t="shared" si="67"/>
        <v>420.30896797153031</v>
      </c>
      <c r="N58" s="8" t="s">
        <v>21</v>
      </c>
      <c r="O58" s="8"/>
      <c r="P58" s="22">
        <f t="shared" si="3"/>
        <v>0</v>
      </c>
      <c r="R58" s="850">
        <f>K58*Ratios!$N$43</f>
        <v>3417.4140925266906</v>
      </c>
      <c r="S58" s="850">
        <f t="shared" si="68"/>
        <v>8.2413523131672264</v>
      </c>
      <c r="T58" s="848" t="s">
        <v>21</v>
      </c>
      <c r="U58" s="847">
        <f t="shared" si="69"/>
        <v>0</v>
      </c>
    </row>
    <row r="59" spans="1:21">
      <c r="A59" s="38">
        <v>42300</v>
      </c>
      <c r="B59" s="45" t="s">
        <v>41</v>
      </c>
      <c r="C59" s="29">
        <f>SUM(C54:C58)</f>
        <v>462825.18999999994</v>
      </c>
      <c r="D59" s="29">
        <f>SUM(D54:D58)</f>
        <v>2753.1696588821919</v>
      </c>
      <c r="E59" s="29">
        <f>SUM(E54:E58)</f>
        <v>465578.35965888214</v>
      </c>
      <c r="F59" s="30"/>
      <c r="G59" s="29">
        <f>SUM(G54:G58)</f>
        <v>6511.4795957749047</v>
      </c>
      <c r="H59" s="43"/>
      <c r="I59" s="29">
        <f>SUM(I54:I58)</f>
        <v>472089.83925465704</v>
      </c>
      <c r="J59" s="29"/>
      <c r="K59" s="29">
        <f>SUM(K54:K58)</f>
        <v>419000.73277619737</v>
      </c>
      <c r="L59" s="29">
        <f t="shared" ref="L59:M59" si="70">SUM(L54:L58)</f>
        <v>1680.035015141128</v>
      </c>
      <c r="M59" s="29">
        <f t="shared" si="70"/>
        <v>51409.071463318527</v>
      </c>
      <c r="N59" s="32"/>
      <c r="O59" s="32"/>
      <c r="P59" s="22">
        <f t="shared" si="3"/>
        <v>0</v>
      </c>
      <c r="R59" s="29">
        <f t="shared" ref="R59:U59" si="71">SUM(R54:R58)</f>
        <v>417992.71176711278</v>
      </c>
      <c r="S59" s="29">
        <f t="shared" si="71"/>
        <v>1008.0210090846831</v>
      </c>
      <c r="T59" s="29">
        <f t="shared" si="71"/>
        <v>0</v>
      </c>
      <c r="U59" s="29">
        <f t="shared" si="71"/>
        <v>0</v>
      </c>
    </row>
    <row r="60" spans="1:21">
      <c r="A60" s="38"/>
      <c r="B60" s="45"/>
      <c r="C60" s="29"/>
      <c r="D60" s="33"/>
      <c r="E60" s="33"/>
      <c r="F60" s="5"/>
      <c r="G60" s="33"/>
      <c r="H60" s="6"/>
      <c r="I60" s="33"/>
      <c r="J60" s="33"/>
      <c r="K60" s="21"/>
      <c r="L60" s="21"/>
      <c r="M60" s="21"/>
      <c r="N60" s="8"/>
      <c r="O60" s="9"/>
      <c r="P60" s="22">
        <f t="shared" si="3"/>
        <v>0</v>
      </c>
    </row>
    <row r="61" spans="1:21">
      <c r="A61" s="39">
        <v>52142</v>
      </c>
      <c r="B61" s="8" t="s">
        <v>42</v>
      </c>
      <c r="C61" s="18">
        <f>IFERROR(VLOOKUP(A61,'2120 IS'!$A$48:$AE$241,31,FALSE),0)</f>
        <v>144345.38999999998</v>
      </c>
      <c r="D61" s="19"/>
      <c r="E61" s="19">
        <f t="shared" ref="E61:E62" si="72">SUM(C61:D61)</f>
        <v>144345.38999999998</v>
      </c>
      <c r="F61" s="5"/>
      <c r="G61" s="19"/>
      <c r="H61" s="6"/>
      <c r="I61" s="19">
        <f t="shared" ref="I61:I62" si="73">E61+G61</f>
        <v>144345.38999999998</v>
      </c>
      <c r="J61" s="19"/>
      <c r="K61" s="18">
        <f>I61*Ratios!$C$49</f>
        <v>128112.95468327402</v>
      </c>
      <c r="L61" s="18">
        <f>I61*Ratios!$D$49</f>
        <v>513.68466192170808</v>
      </c>
      <c r="M61" s="18">
        <f t="shared" ref="M61:M63" si="74">I61-K61-L61</f>
        <v>15718.75065480426</v>
      </c>
      <c r="N61" s="8" t="s">
        <v>21</v>
      </c>
      <c r="O61" s="9"/>
      <c r="P61" s="22">
        <f t="shared" si="3"/>
        <v>0</v>
      </c>
      <c r="R61" s="849">
        <f>K61*Ratios!$N$43</f>
        <v>127804.743886121</v>
      </c>
      <c r="S61" s="849">
        <f t="shared" ref="S61:S63" si="75">K61-R61</f>
        <v>308.21079715302039</v>
      </c>
      <c r="T61" s="8" t="s">
        <v>21</v>
      </c>
      <c r="U61" s="475">
        <f t="shared" ref="U61:U63" si="76">K61-R61-S61</f>
        <v>0</v>
      </c>
    </row>
    <row r="62" spans="1:21">
      <c r="A62" s="39">
        <v>52146</v>
      </c>
      <c r="B62" s="8" t="s">
        <v>43</v>
      </c>
      <c r="C62" s="18">
        <f>IFERROR(VLOOKUP(A62,'2120 IS'!$A$48:$AE$241,31,FALSE),0)</f>
        <v>9363.02</v>
      </c>
      <c r="D62" s="33"/>
      <c r="E62" s="19">
        <f t="shared" si="72"/>
        <v>9363.02</v>
      </c>
      <c r="F62" s="5"/>
      <c r="G62" s="33"/>
      <c r="H62" s="6"/>
      <c r="I62" s="19">
        <f t="shared" si="73"/>
        <v>9363.02</v>
      </c>
      <c r="J62" s="19"/>
      <c r="K62" s="18">
        <f>I62*Ratios!$C$49</f>
        <v>8310.0967544483992</v>
      </c>
      <c r="L62" s="18">
        <f>I62*Ratios!$D$49</f>
        <v>33.320355871886122</v>
      </c>
      <c r="M62" s="18">
        <f t="shared" si="74"/>
        <v>1019.6028896797151</v>
      </c>
      <c r="N62" s="8" t="s">
        <v>21</v>
      </c>
      <c r="O62" s="9"/>
      <c r="P62" s="22">
        <f t="shared" si="3"/>
        <v>0</v>
      </c>
      <c r="R62" s="849">
        <f>K62*Ratios!$N$43</f>
        <v>8290.1045409252674</v>
      </c>
      <c r="S62" s="849">
        <f t="shared" si="75"/>
        <v>19.992213523131795</v>
      </c>
      <c r="T62" s="8" t="s">
        <v>21</v>
      </c>
      <c r="U62" s="475">
        <f t="shared" si="76"/>
        <v>0</v>
      </c>
    </row>
    <row r="63" spans="1:21">
      <c r="A63" s="39">
        <v>56142</v>
      </c>
      <c r="B63" s="8" t="s">
        <v>42</v>
      </c>
      <c r="C63" s="23">
        <f>IFERROR(VLOOKUP(A63,'2120 IS'!$A$48:$AE$241,31,FALSE),0)</f>
        <v>47.01</v>
      </c>
      <c r="D63" s="25"/>
      <c r="E63" s="24">
        <f t="shared" ref="E63" si="77">SUM(C63:D63)</f>
        <v>47.01</v>
      </c>
      <c r="F63" s="14"/>
      <c r="G63" s="25"/>
      <c r="H63" s="37"/>
      <c r="I63" s="24">
        <f t="shared" ref="I63" si="78">E63+G63</f>
        <v>47.01</v>
      </c>
      <c r="J63" s="24"/>
      <c r="K63" s="23">
        <f>I63*Ratios!$C$49</f>
        <v>41.723466192170818</v>
      </c>
      <c r="L63" s="23">
        <f>I63*Ratios!$D$49</f>
        <v>0.16729537366548042</v>
      </c>
      <c r="M63" s="23">
        <f t="shared" si="74"/>
        <v>5.1192384341636998</v>
      </c>
      <c r="N63" s="8" t="s">
        <v>21</v>
      </c>
      <c r="O63" s="9"/>
      <c r="P63" s="22">
        <f t="shared" si="3"/>
        <v>0</v>
      </c>
      <c r="R63" s="850">
        <f>K63*Ratios!$N$43</f>
        <v>41.623088967971533</v>
      </c>
      <c r="S63" s="850">
        <f t="shared" si="75"/>
        <v>0.10037722419928485</v>
      </c>
      <c r="T63" s="848" t="s">
        <v>21</v>
      </c>
      <c r="U63" s="847">
        <f t="shared" si="76"/>
        <v>0</v>
      </c>
    </row>
    <row r="64" spans="1:21">
      <c r="A64" s="38">
        <v>42400</v>
      </c>
      <c r="B64" s="45" t="s">
        <v>44</v>
      </c>
      <c r="C64" s="29">
        <f>SUM(C61:C63)</f>
        <v>153755.41999999998</v>
      </c>
      <c r="D64" s="29">
        <f t="shared" ref="D64:E64" si="79">SUM(D61:D63)</f>
        <v>0</v>
      </c>
      <c r="E64" s="29">
        <f t="shared" si="79"/>
        <v>153755.41999999998</v>
      </c>
      <c r="F64" s="30"/>
      <c r="G64" s="29">
        <f>SUM(G61:G62)</f>
        <v>0</v>
      </c>
      <c r="H64" s="43"/>
      <c r="I64" s="29">
        <f>SUM(I61:I63)</f>
        <v>153755.41999999998</v>
      </c>
      <c r="J64" s="29"/>
      <c r="K64" s="29">
        <f t="shared" ref="K64" si="80">SUM(K61:K63)</f>
        <v>136464.77490391457</v>
      </c>
      <c r="L64" s="29">
        <f t="shared" ref="L64" si="81">SUM(L61:L63)</f>
        <v>547.17231316725974</v>
      </c>
      <c r="M64" s="29">
        <f t="shared" ref="M64" si="82">SUM(M61:M63)</f>
        <v>16743.472782918139</v>
      </c>
      <c r="N64" s="32"/>
      <c r="O64" s="3"/>
      <c r="P64" s="22">
        <f t="shared" si="3"/>
        <v>0</v>
      </c>
      <c r="R64" s="29">
        <f t="shared" ref="R64:U64" si="83">SUM(R61:R63)</f>
        <v>136136.47151601422</v>
      </c>
      <c r="S64" s="29">
        <f t="shared" si="83"/>
        <v>328.30338790035148</v>
      </c>
      <c r="T64" s="29">
        <f t="shared" si="83"/>
        <v>0</v>
      </c>
      <c r="U64" s="29">
        <f t="shared" si="83"/>
        <v>0</v>
      </c>
    </row>
    <row r="65" spans="1:21">
      <c r="A65" s="13"/>
      <c r="B65" s="8"/>
      <c r="C65" s="21"/>
      <c r="D65" s="33"/>
      <c r="E65" s="33"/>
      <c r="F65" s="5"/>
      <c r="G65" s="33"/>
      <c r="H65" s="6"/>
      <c r="I65" s="33"/>
      <c r="J65" s="33"/>
      <c r="K65" s="21"/>
      <c r="L65" s="21"/>
      <c r="M65" s="21"/>
      <c r="N65" s="8"/>
      <c r="O65" s="8"/>
      <c r="P65" s="22">
        <f t="shared" si="3"/>
        <v>0</v>
      </c>
    </row>
    <row r="66" spans="1:21">
      <c r="A66" s="39">
        <v>50086</v>
      </c>
      <c r="B66" s="8" t="s">
        <v>45</v>
      </c>
      <c r="C66" s="18">
        <f>IFERROR(VLOOKUP(A66,'2120 IS'!$A$48:$AE$241,31,FALSE),0)</f>
        <v>4191.5800000000008</v>
      </c>
      <c r="D66" s="33"/>
      <c r="E66" s="19">
        <f t="shared" ref="E66:E67" si="84">SUM(C66:D66)</f>
        <v>4191.5800000000008</v>
      </c>
      <c r="F66" s="5"/>
      <c r="G66" s="33"/>
      <c r="H66" s="6"/>
      <c r="I66" s="19">
        <f t="shared" ref="I66:I67" si="85">E66+G66</f>
        <v>4191.5800000000008</v>
      </c>
      <c r="J66" s="19"/>
      <c r="K66" s="18">
        <f>I66*Ratios!$C$49</f>
        <v>3720.2137081850542</v>
      </c>
      <c r="L66" s="18">
        <f>I66*Ratios!$D$49</f>
        <v>14.916654804270465</v>
      </c>
      <c r="M66" s="18">
        <f t="shared" ref="M66:M70" si="86">I66-K66-L66</f>
        <v>456.44963701067616</v>
      </c>
      <c r="N66" s="8" t="s">
        <v>21</v>
      </c>
      <c r="O66" s="9"/>
      <c r="P66" s="22">
        <f t="shared" si="3"/>
        <v>0</v>
      </c>
      <c r="R66" s="849">
        <f>K66*Ratios!$N$43</f>
        <v>3711.2637153024921</v>
      </c>
      <c r="S66" s="849">
        <f t="shared" ref="S66:S70" si="87">K66-R66</f>
        <v>8.9499928825621282</v>
      </c>
      <c r="T66" s="8" t="s">
        <v>21</v>
      </c>
      <c r="U66" s="475">
        <f t="shared" ref="U66:U70" si="88">K66-R66-S66</f>
        <v>0</v>
      </c>
    </row>
    <row r="67" spans="1:21">
      <c r="A67" s="39">
        <v>50090</v>
      </c>
      <c r="B67" s="8" t="s">
        <v>46</v>
      </c>
      <c r="C67" s="18">
        <f>IFERROR(VLOOKUP(A67,'2120 IS'!$A$48:$AE$241,31,FALSE),0)</f>
        <v>7221.5499999999993</v>
      </c>
      <c r="D67" s="33"/>
      <c r="E67" s="19">
        <f t="shared" si="84"/>
        <v>7221.5499999999993</v>
      </c>
      <c r="F67" s="5"/>
      <c r="G67" s="33"/>
      <c r="H67" s="6"/>
      <c r="I67" s="19">
        <f t="shared" si="85"/>
        <v>7221.5499999999993</v>
      </c>
      <c r="J67" s="19"/>
      <c r="K67" s="18">
        <f>I67*Ratios!$C$49</f>
        <v>6409.4468683274017</v>
      </c>
      <c r="L67" s="18">
        <f>I67*Ratios!$D$49</f>
        <v>25.699466192170814</v>
      </c>
      <c r="M67" s="18">
        <f t="shared" si="86"/>
        <v>786.40366548042675</v>
      </c>
      <c r="N67" s="8" t="s">
        <v>21</v>
      </c>
      <c r="O67" s="9"/>
      <c r="P67" s="22">
        <f t="shared" si="3"/>
        <v>0</v>
      </c>
      <c r="R67" s="849">
        <f>K67*Ratios!$N$43</f>
        <v>6394.0271886120991</v>
      </c>
      <c r="S67" s="849">
        <f t="shared" si="87"/>
        <v>15.419679715302664</v>
      </c>
      <c r="T67" s="8" t="s">
        <v>21</v>
      </c>
      <c r="U67" s="475">
        <f t="shared" si="88"/>
        <v>0</v>
      </c>
    </row>
    <row r="68" spans="1:21">
      <c r="A68" s="39">
        <v>56090</v>
      </c>
      <c r="B68" s="8" t="s">
        <v>46</v>
      </c>
      <c r="C68" s="18">
        <f>IFERROR(VLOOKUP(A68,'2120 IS'!$A$48:$AE$241,31,FALSE),0)</f>
        <v>349.17</v>
      </c>
      <c r="D68" s="33"/>
      <c r="E68" s="19">
        <f t="shared" ref="E68:E69" si="89">SUM(C68:D68)</f>
        <v>349.17</v>
      </c>
      <c r="F68" s="5"/>
      <c r="G68" s="33"/>
      <c r="H68" s="6"/>
      <c r="I68" s="19">
        <f t="shared" ref="I68:I69" si="90">E68+G68</f>
        <v>349.17</v>
      </c>
      <c r="J68" s="19"/>
      <c r="K68" s="18">
        <f>I68*Ratios!$C$49</f>
        <v>309.90390747330963</v>
      </c>
      <c r="L68" s="18">
        <f>I68*Ratios!$D$49</f>
        <v>1.2425978647686833</v>
      </c>
      <c r="M68" s="18">
        <f t="shared" si="86"/>
        <v>38.023494661921703</v>
      </c>
      <c r="N68" s="8" t="s">
        <v>21</v>
      </c>
      <c r="O68" s="9"/>
      <c r="P68" s="22">
        <f t="shared" si="3"/>
        <v>0</v>
      </c>
      <c r="R68" s="849">
        <f>K68*Ratios!$N$43</f>
        <v>309.15834875444841</v>
      </c>
      <c r="S68" s="849">
        <f t="shared" si="87"/>
        <v>0.74555871886121849</v>
      </c>
      <c r="T68" s="8" t="s">
        <v>21</v>
      </c>
      <c r="U68" s="475">
        <f t="shared" si="88"/>
        <v>0</v>
      </c>
    </row>
    <row r="69" spans="1:21">
      <c r="A69" s="39">
        <v>56095</v>
      </c>
      <c r="B69" s="8" t="s">
        <v>162</v>
      </c>
      <c r="C69" s="18">
        <f>IFERROR(VLOOKUP(A69,'2120 IS'!$A$48:$AE$241,31,FALSE),0)</f>
        <v>86.23</v>
      </c>
      <c r="D69" s="33"/>
      <c r="E69" s="19">
        <f t="shared" si="89"/>
        <v>86.23</v>
      </c>
      <c r="F69" s="5"/>
      <c r="G69" s="33"/>
      <c r="H69" s="6"/>
      <c r="I69" s="19">
        <f t="shared" si="90"/>
        <v>86.23</v>
      </c>
      <c r="J69" s="19"/>
      <c r="K69" s="18">
        <f>I69*Ratios!$C$49</f>
        <v>76.532960854092536</v>
      </c>
      <c r="L69" s="18">
        <f>I69*Ratios!$D$49</f>
        <v>0.30686832740213521</v>
      </c>
      <c r="M69" s="18">
        <f t="shared" si="86"/>
        <v>9.3901708185053323</v>
      </c>
      <c r="N69" s="8" t="s">
        <v>21</v>
      </c>
      <c r="O69" s="9"/>
      <c r="P69" s="22">
        <f t="shared" si="3"/>
        <v>0</v>
      </c>
      <c r="R69" s="849">
        <f>K69*Ratios!$N$43</f>
        <v>76.348839857651257</v>
      </c>
      <c r="S69" s="849">
        <f t="shared" si="87"/>
        <v>0.18412099644127977</v>
      </c>
      <c r="T69" s="8" t="s">
        <v>21</v>
      </c>
      <c r="U69" s="475">
        <f t="shared" si="88"/>
        <v>0</v>
      </c>
    </row>
    <row r="70" spans="1:21">
      <c r="A70" s="39">
        <v>57255</v>
      </c>
      <c r="B70" s="8" t="s">
        <v>167</v>
      </c>
      <c r="C70" s="23">
        <f>IFERROR(VLOOKUP(A70,'2120 IS'!$A$48:$AE$241,31,FALSE),0)</f>
        <v>19808.75</v>
      </c>
      <c r="D70" s="25"/>
      <c r="E70" s="24">
        <f t="shared" ref="E70" si="91">SUM(C70:D70)</f>
        <v>19808.75</v>
      </c>
      <c r="F70" s="14"/>
      <c r="G70" s="25"/>
      <c r="H70" s="37"/>
      <c r="I70" s="24">
        <f t="shared" ref="I70" si="92">E70+G70</f>
        <v>19808.75</v>
      </c>
      <c r="J70" s="24"/>
      <c r="K70" s="23">
        <f>I70*Ratios!$C$49</f>
        <v>17581.146797153026</v>
      </c>
      <c r="L70" s="23">
        <f>I70*Ratios!$D$49</f>
        <v>70.493772241992886</v>
      </c>
      <c r="M70" s="23">
        <f t="shared" si="86"/>
        <v>2157.1094306049818</v>
      </c>
      <c r="N70" s="8" t="s">
        <v>21</v>
      </c>
      <c r="O70" s="9"/>
      <c r="P70" s="22">
        <f t="shared" si="3"/>
        <v>0</v>
      </c>
      <c r="R70" s="850">
        <f>K70*Ratios!$N$43</f>
        <v>17538.850533807832</v>
      </c>
      <c r="S70" s="850">
        <f t="shared" si="87"/>
        <v>42.296263345193438</v>
      </c>
      <c r="T70" s="848" t="s">
        <v>21</v>
      </c>
      <c r="U70" s="847">
        <f t="shared" si="88"/>
        <v>0</v>
      </c>
    </row>
    <row r="71" spans="1:21">
      <c r="A71" s="42">
        <v>42800</v>
      </c>
      <c r="B71" s="45" t="s">
        <v>47</v>
      </c>
      <c r="C71" s="29">
        <f>SUM(C66:C70)</f>
        <v>31657.279999999999</v>
      </c>
      <c r="D71" s="29">
        <f>SUM(D66:D70)</f>
        <v>0</v>
      </c>
      <c r="E71" s="29">
        <f>SUM(E66:E70)</f>
        <v>31657.279999999999</v>
      </c>
      <c r="F71" s="30"/>
      <c r="G71" s="29">
        <f>SUM(G66:G70)</f>
        <v>0</v>
      </c>
      <c r="H71" s="43"/>
      <c r="I71" s="29">
        <f>SUM(I66:I70)</f>
        <v>31657.279999999999</v>
      </c>
      <c r="J71" s="29"/>
      <c r="K71" s="29">
        <f>SUM(K66:K70)</f>
        <v>28097.244241992885</v>
      </c>
      <c r="L71" s="29">
        <f t="shared" ref="L71:M71" si="93">SUM(L66:L70)</f>
        <v>112.65935943060498</v>
      </c>
      <c r="M71" s="29">
        <f t="shared" si="93"/>
        <v>3447.3763985765117</v>
      </c>
      <c r="N71" s="32"/>
      <c r="O71" s="32"/>
      <c r="P71" s="22">
        <f t="shared" si="3"/>
        <v>0</v>
      </c>
      <c r="R71" s="29">
        <f t="shared" ref="R71:U71" si="94">SUM(R66:R70)</f>
        <v>28029.648626334521</v>
      </c>
      <c r="S71" s="29">
        <f t="shared" si="94"/>
        <v>67.595615658360728</v>
      </c>
      <c r="T71" s="29">
        <f t="shared" si="94"/>
        <v>0</v>
      </c>
      <c r="U71" s="29">
        <f t="shared" si="94"/>
        <v>0</v>
      </c>
    </row>
    <row r="72" spans="1:21">
      <c r="A72" s="13"/>
      <c r="B72" s="8"/>
      <c r="C72" s="21"/>
      <c r="D72" s="33"/>
      <c r="E72" s="33"/>
      <c r="F72" s="5"/>
      <c r="G72" s="33"/>
      <c r="H72" s="6"/>
      <c r="I72" s="33"/>
      <c r="J72" s="33"/>
      <c r="K72" s="21"/>
      <c r="L72" s="21"/>
      <c r="M72" s="21"/>
      <c r="N72" s="8"/>
      <c r="O72" s="9"/>
      <c r="P72" s="22">
        <f t="shared" si="3"/>
        <v>0</v>
      </c>
    </row>
    <row r="73" spans="1:21">
      <c r="A73" s="39">
        <v>40101</v>
      </c>
      <c r="B73" s="8" t="s">
        <v>48</v>
      </c>
      <c r="C73" s="18">
        <f>IFERROR(VLOOKUP(A73,'2120 IS'!$A$48:$AE$241,31,FALSE),0)</f>
        <v>724168.79</v>
      </c>
      <c r="D73" s="19">
        <f>-D74</f>
        <v>-52305.05999999999</v>
      </c>
      <c r="E73" s="19">
        <f t="shared" ref="E73:E74" si="95">SUM(C73:D73)</f>
        <v>671863.7300000001</v>
      </c>
      <c r="F73" s="5" t="s">
        <v>564</v>
      </c>
      <c r="G73" s="49"/>
      <c r="H73" s="473"/>
      <c r="I73" s="19">
        <f>E73+G73</f>
        <v>671863.7300000001</v>
      </c>
      <c r="J73" s="19"/>
      <c r="K73" s="21">
        <f>I73*Disposal!C74</f>
        <v>611807.5870573154</v>
      </c>
      <c r="L73" s="21"/>
      <c r="M73" s="21">
        <f>I73-K73</f>
        <v>60056.142942684703</v>
      </c>
      <c r="N73" s="8" t="s">
        <v>49</v>
      </c>
      <c r="O73" s="9"/>
      <c r="P73" s="22">
        <f t="shared" ref="P73:P138" si="96">I73-K73-L73-M73</f>
        <v>0</v>
      </c>
      <c r="R73" s="849">
        <f>K73</f>
        <v>611807.5870573154</v>
      </c>
      <c r="T73" s="465" t="s">
        <v>13</v>
      </c>
      <c r="U73" s="475">
        <f t="shared" ref="U73:U78" si="97">K73-R73-S73</f>
        <v>0</v>
      </c>
    </row>
    <row r="74" spans="1:21">
      <c r="A74" s="39"/>
      <c r="B74" s="8" t="s">
        <v>50</v>
      </c>
      <c r="C74" s="18">
        <f>IFERROR(VLOOKUP(A74,'2120 IS'!$A$48:$AE$241,31,FALSE),0)</f>
        <v>0</v>
      </c>
      <c r="D74" s="19">
        <f>'Restating Adj''s'!B34</f>
        <v>52305.05999999999</v>
      </c>
      <c r="E74" s="19">
        <f t="shared" si="95"/>
        <v>52305.05999999999</v>
      </c>
      <c r="F74" s="5" t="s">
        <v>564</v>
      </c>
      <c r="G74" s="49"/>
      <c r="H74" s="473"/>
      <c r="I74" s="19">
        <f t="shared" ref="I74:I78" si="98">E74+G74</f>
        <v>52305.05999999999</v>
      </c>
      <c r="J74" s="19"/>
      <c r="K74" s="21">
        <f>K11</f>
        <v>65549.09</v>
      </c>
      <c r="L74" s="21"/>
      <c r="M74" s="21">
        <f>M11</f>
        <v>7304.6699999999983</v>
      </c>
      <c r="N74" s="8"/>
      <c r="O74" s="9"/>
      <c r="P74" s="22">
        <f t="shared" si="96"/>
        <v>-20548.700000000004</v>
      </c>
      <c r="R74" s="849">
        <f t="shared" ref="R74:R78" si="99">K74</f>
        <v>65549.09</v>
      </c>
      <c r="T74" s="465" t="s">
        <v>13</v>
      </c>
      <c r="U74" s="475">
        <f t="shared" si="97"/>
        <v>0</v>
      </c>
    </row>
    <row r="75" spans="1:21">
      <c r="A75" s="39">
        <v>40121</v>
      </c>
      <c r="B75" s="8" t="s">
        <v>132</v>
      </c>
      <c r="C75" s="18">
        <f>IFERROR(VLOOKUP(A75,'2120 IS'!$A$48:$AE$241,31,FALSE),0)</f>
        <v>58409.780000000013</v>
      </c>
      <c r="D75" s="19">
        <f>-D76+'Restating Adj''s'!B27</f>
        <v>-8565.0617165872209</v>
      </c>
      <c r="E75" s="19">
        <f t="shared" ref="E75:E78" si="100">SUM(C75:D75)</f>
        <v>49844.718283412789</v>
      </c>
      <c r="F75" s="5" t="s">
        <v>564</v>
      </c>
      <c r="G75" s="49"/>
      <c r="H75" s="473"/>
      <c r="I75" s="19">
        <f t="shared" si="98"/>
        <v>49844.718283412789</v>
      </c>
      <c r="J75" s="19"/>
      <c r="K75" s="21">
        <f>I75*Disposal!$C$68</f>
        <v>37659.698008391075</v>
      </c>
      <c r="L75" s="21"/>
      <c r="M75" s="21">
        <f>I75-K75</f>
        <v>12185.020275021714</v>
      </c>
      <c r="N75" s="8"/>
      <c r="O75" s="9"/>
      <c r="P75" s="22">
        <f t="shared" si="96"/>
        <v>0</v>
      </c>
      <c r="R75" s="849">
        <f t="shared" si="99"/>
        <v>37659.698008391075</v>
      </c>
      <c r="T75" s="465" t="s">
        <v>13</v>
      </c>
      <c r="U75" s="475">
        <f t="shared" si="97"/>
        <v>0</v>
      </c>
    </row>
    <row r="76" spans="1:21">
      <c r="A76" s="39"/>
      <c r="B76" s="8" t="s">
        <v>50</v>
      </c>
      <c r="C76" s="18"/>
      <c r="D76" s="19">
        <f>'Restating Adj''s'!B35</f>
        <v>9319.5200000000023</v>
      </c>
      <c r="E76" s="19">
        <f t="shared" si="100"/>
        <v>9319.5200000000023</v>
      </c>
      <c r="F76" s="5" t="s">
        <v>564</v>
      </c>
      <c r="G76" s="49"/>
      <c r="H76" s="473"/>
      <c r="I76" s="19">
        <f t="shared" si="98"/>
        <v>9319.5200000000023</v>
      </c>
      <c r="J76" s="19"/>
      <c r="K76" s="21"/>
      <c r="L76" s="21"/>
      <c r="M76" s="21"/>
      <c r="N76" s="8"/>
      <c r="O76" s="9"/>
      <c r="P76" s="22">
        <f t="shared" si="96"/>
        <v>9319.5200000000023</v>
      </c>
      <c r="R76" s="849">
        <f t="shared" si="99"/>
        <v>0</v>
      </c>
      <c r="T76" s="465" t="s">
        <v>13</v>
      </c>
      <c r="U76" s="475">
        <f t="shared" si="97"/>
        <v>0</v>
      </c>
    </row>
    <row r="77" spans="1:21">
      <c r="A77" s="39">
        <v>40131</v>
      </c>
      <c r="B77" s="8" t="s">
        <v>133</v>
      </c>
      <c r="C77" s="18">
        <f>IFERROR(VLOOKUP(A77,'2120 IS'!$A$48:$AE$241,31,FALSE),0)</f>
        <v>148473.49000000002</v>
      </c>
      <c r="D77" s="19">
        <f>-D78</f>
        <v>-11229.179999999998</v>
      </c>
      <c r="E77" s="19">
        <f t="shared" si="100"/>
        <v>137244.31000000003</v>
      </c>
      <c r="F77" s="5" t="s">
        <v>564</v>
      </c>
      <c r="G77" s="49"/>
      <c r="H77" s="473"/>
      <c r="I77" s="19">
        <f t="shared" si="98"/>
        <v>137244.31000000003</v>
      </c>
      <c r="J77" s="19"/>
      <c r="K77" s="21">
        <f>(I77-L77)*Disposal!$C$68</f>
        <v>95373.065035478648</v>
      </c>
      <c r="L77" s="21">
        <f>GETPIVOTDATA("Amount USD",'40131 Disposal'!$B$110,"Further Description","STERICYCLE~LAWHEAD")</f>
        <v>11012.72</v>
      </c>
      <c r="M77" s="21">
        <f>I77-K77-L77</f>
        <v>30858.524964521377</v>
      </c>
      <c r="N77" s="8"/>
      <c r="O77" s="9"/>
      <c r="P77" s="22">
        <f t="shared" si="96"/>
        <v>0</v>
      </c>
      <c r="R77" s="849">
        <f t="shared" si="99"/>
        <v>95373.065035478648</v>
      </c>
      <c r="T77" s="465" t="s">
        <v>13</v>
      </c>
      <c r="U77" s="475">
        <f t="shared" si="97"/>
        <v>0</v>
      </c>
    </row>
    <row r="78" spans="1:21">
      <c r="A78" s="39"/>
      <c r="B78" s="8" t="s">
        <v>50</v>
      </c>
      <c r="C78" s="23"/>
      <c r="D78" s="24">
        <f>'Restating Adj''s'!B36</f>
        <v>11229.179999999998</v>
      </c>
      <c r="E78" s="24">
        <f t="shared" si="100"/>
        <v>11229.179999999998</v>
      </c>
      <c r="F78" s="14" t="s">
        <v>564</v>
      </c>
      <c r="G78" s="51"/>
      <c r="H78" s="476"/>
      <c r="I78" s="24">
        <f t="shared" si="98"/>
        <v>11229.179999999998</v>
      </c>
      <c r="J78" s="24"/>
      <c r="K78" s="27"/>
      <c r="L78" s="27"/>
      <c r="M78" s="27"/>
      <c r="N78" s="8"/>
      <c r="O78" s="9"/>
      <c r="P78" s="22">
        <f t="shared" si="96"/>
        <v>11229.179999999998</v>
      </c>
      <c r="R78" s="850">
        <f t="shared" si="99"/>
        <v>0</v>
      </c>
      <c r="S78" s="850"/>
      <c r="T78" s="846" t="s">
        <v>13</v>
      </c>
      <c r="U78" s="847">
        <f t="shared" si="97"/>
        <v>0</v>
      </c>
    </row>
    <row r="79" spans="1:21">
      <c r="A79" s="42">
        <v>43600</v>
      </c>
      <c r="B79" s="45" t="s">
        <v>51</v>
      </c>
      <c r="C79" s="29">
        <f>SUM(C73:C78)</f>
        <v>931052.06</v>
      </c>
      <c r="D79" s="29">
        <f t="shared" ref="D79" si="101">SUM(D73:D78)</f>
        <v>754.45828341278138</v>
      </c>
      <c r="E79" s="29">
        <f>SUM(E73:E78)</f>
        <v>931806.51828341291</v>
      </c>
      <c r="F79" s="30"/>
      <c r="G79" s="29">
        <f>SUM(G73:G78)</f>
        <v>0</v>
      </c>
      <c r="H79" s="29"/>
      <c r="I79" s="29">
        <f>SUM(I73:I78)</f>
        <v>931806.51828341291</v>
      </c>
      <c r="J79" s="29"/>
      <c r="K79" s="29">
        <f t="shared" ref="K79:M79" si="102">SUM(K73:K78)</f>
        <v>810389.44010118512</v>
      </c>
      <c r="L79" s="29">
        <f t="shared" si="102"/>
        <v>11012.72</v>
      </c>
      <c r="M79" s="29">
        <f t="shared" si="102"/>
        <v>110404.35818222779</v>
      </c>
      <c r="N79" s="52">
        <f>SUM(N73:N73)</f>
        <v>0</v>
      </c>
      <c r="O79" s="52"/>
      <c r="P79" s="1029">
        <f>I79-K79-L79-M79</f>
        <v>0</v>
      </c>
      <c r="R79" s="29">
        <f t="shared" ref="R79:U79" si="103">SUM(R73:R78)</f>
        <v>810389.44010118512</v>
      </c>
      <c r="S79" s="29">
        <f t="shared" si="103"/>
        <v>0</v>
      </c>
      <c r="T79" s="29">
        <f t="shared" si="103"/>
        <v>0</v>
      </c>
      <c r="U79" s="29">
        <f t="shared" si="103"/>
        <v>0</v>
      </c>
    </row>
    <row r="80" spans="1:21">
      <c r="A80" s="42"/>
      <c r="B80" s="8"/>
      <c r="C80" s="29"/>
      <c r="D80" s="33"/>
      <c r="E80" s="33"/>
      <c r="F80" s="5"/>
      <c r="G80" s="33"/>
      <c r="H80" s="6"/>
      <c r="I80" s="33"/>
      <c r="J80" s="33"/>
      <c r="K80" s="29"/>
      <c r="L80" s="29"/>
      <c r="M80" s="29"/>
      <c r="N80" s="8"/>
      <c r="O80" s="9"/>
      <c r="P80" s="22">
        <f t="shared" si="96"/>
        <v>0</v>
      </c>
    </row>
    <row r="81" spans="1:21">
      <c r="A81" s="39">
        <v>44161</v>
      </c>
      <c r="B81" s="8" t="s">
        <v>140</v>
      </c>
      <c r="C81" s="18">
        <f>IFERROR(VLOOKUP(A81,'2120 IS'!$A$48:$AE$241,31,FALSE),0)</f>
        <v>7891.8400000000011</v>
      </c>
      <c r="D81" s="19"/>
      <c r="E81" s="19">
        <f t="shared" ref="E81:E82" si="104">SUM(C81:D81)</f>
        <v>7891.8400000000011</v>
      </c>
      <c r="F81" s="5"/>
      <c r="G81" s="33"/>
      <c r="H81" s="6"/>
      <c r="I81" s="19">
        <f t="shared" ref="I81:I82" si="105">E81+G81</f>
        <v>7891.8400000000011</v>
      </c>
      <c r="J81" s="19"/>
      <c r="K81" s="21">
        <v>0</v>
      </c>
      <c r="L81" s="21">
        <v>0</v>
      </c>
      <c r="M81" s="21">
        <f>I81</f>
        <v>7891.8400000000011</v>
      </c>
      <c r="N81" s="8" t="s">
        <v>13</v>
      </c>
      <c r="O81" s="9"/>
      <c r="P81" s="22">
        <f t="shared" si="96"/>
        <v>0</v>
      </c>
      <c r="S81" s="849">
        <f>K81</f>
        <v>0</v>
      </c>
      <c r="T81" s="465" t="s">
        <v>13</v>
      </c>
      <c r="U81" s="475">
        <f t="shared" ref="U81:U82" si="106">K81-R81-S81</f>
        <v>0</v>
      </c>
    </row>
    <row r="82" spans="1:21">
      <c r="A82" s="39">
        <v>44168</v>
      </c>
      <c r="B82" s="8" t="s">
        <v>141</v>
      </c>
      <c r="C82" s="23">
        <f>IFERROR(VLOOKUP(A82,'2120 IS'!$A$48:$AE$241,31,FALSE),0)</f>
        <v>2626.06</v>
      </c>
      <c r="D82" s="24"/>
      <c r="E82" s="24">
        <f t="shared" si="104"/>
        <v>2626.06</v>
      </c>
      <c r="F82" s="14"/>
      <c r="G82" s="25"/>
      <c r="H82" s="37"/>
      <c r="I82" s="24">
        <f t="shared" si="105"/>
        <v>2626.06</v>
      </c>
      <c r="J82" s="24"/>
      <c r="K82" s="27">
        <f>I82*Ratios!$H$45</f>
        <v>342.52956521739128</v>
      </c>
      <c r="L82" s="27"/>
      <c r="M82" s="27">
        <f t="shared" ref="M82" si="107">I82-K82-L82</f>
        <v>2283.5304347826086</v>
      </c>
      <c r="N82" s="8" t="s">
        <v>987</v>
      </c>
      <c r="O82" s="9"/>
      <c r="P82" s="22">
        <f t="shared" si="96"/>
        <v>0</v>
      </c>
      <c r="R82" s="850"/>
      <c r="S82" s="850">
        <f>K82</f>
        <v>342.52956521739128</v>
      </c>
      <c r="T82" s="846" t="s">
        <v>13</v>
      </c>
      <c r="U82" s="847">
        <f t="shared" si="106"/>
        <v>0</v>
      </c>
    </row>
    <row r="83" spans="1:21">
      <c r="A83" s="53">
        <v>43650</v>
      </c>
      <c r="B83" s="47" t="s">
        <v>221</v>
      </c>
      <c r="C83" s="29">
        <f>SUM(C81:C82)</f>
        <v>10517.900000000001</v>
      </c>
      <c r="D83" s="29">
        <f t="shared" ref="D83:E83" si="108">SUM(D81:D82)</f>
        <v>0</v>
      </c>
      <c r="E83" s="29">
        <f t="shared" si="108"/>
        <v>10517.900000000001</v>
      </c>
      <c r="F83" s="30"/>
      <c r="G83" s="29">
        <f>SUM(G81:G82)</f>
        <v>0</v>
      </c>
      <c r="H83" s="43"/>
      <c r="I83" s="29">
        <f>SUM(I81:I82)</f>
        <v>10517.900000000001</v>
      </c>
      <c r="J83" s="29"/>
      <c r="K83" s="29">
        <f>SUM(K81:K82)</f>
        <v>342.52956521739128</v>
      </c>
      <c r="L83" s="29">
        <f t="shared" ref="L83:M83" si="109">SUM(L81:L82)</f>
        <v>0</v>
      </c>
      <c r="M83" s="29">
        <f t="shared" si="109"/>
        <v>10175.37043478261</v>
      </c>
      <c r="N83" s="32"/>
      <c r="O83" s="32"/>
      <c r="P83" s="22">
        <f t="shared" si="96"/>
        <v>0</v>
      </c>
      <c r="R83" s="29">
        <f t="shared" ref="R83:U83" si="110">SUM(R81:R82)</f>
        <v>0</v>
      </c>
      <c r="S83" s="29">
        <f t="shared" si="110"/>
        <v>342.52956521739128</v>
      </c>
      <c r="T83" s="29">
        <f t="shared" si="110"/>
        <v>0</v>
      </c>
      <c r="U83" s="29">
        <f t="shared" si="110"/>
        <v>0</v>
      </c>
    </row>
    <row r="84" spans="1:21">
      <c r="A84" s="42"/>
      <c r="B84" s="8"/>
      <c r="C84" s="29"/>
      <c r="D84" s="33"/>
      <c r="E84" s="33"/>
      <c r="F84" s="5"/>
      <c r="G84" s="33"/>
      <c r="H84" s="6"/>
      <c r="I84" s="33"/>
      <c r="J84" s="33"/>
      <c r="K84" s="29"/>
      <c r="L84" s="29"/>
      <c r="M84" s="29"/>
      <c r="N84" s="8"/>
      <c r="O84" s="9"/>
      <c r="P84" s="22">
        <f t="shared" si="96"/>
        <v>0</v>
      </c>
    </row>
    <row r="85" spans="1:21">
      <c r="A85" s="39">
        <v>59340</v>
      </c>
      <c r="B85" s="8" t="s">
        <v>54</v>
      </c>
      <c r="C85" s="18">
        <f>IFERROR(VLOOKUP(A85,'2120 IS'!$A$48:$AE$241,31,FALSE),0)</f>
        <v>20360.100000000002</v>
      </c>
      <c r="D85" s="33"/>
      <c r="E85" s="19">
        <f t="shared" ref="E85" si="111">SUM(C85:D85)</f>
        <v>20360.100000000002</v>
      </c>
      <c r="F85" s="5"/>
      <c r="G85" s="33"/>
      <c r="H85" s="6"/>
      <c r="I85" s="19">
        <f t="shared" ref="I85" si="112">E85+G85</f>
        <v>20360.100000000002</v>
      </c>
      <c r="J85" s="19"/>
      <c r="K85" s="18">
        <f>I85*Ratios!$C$49</f>
        <v>18070.494448398578</v>
      </c>
      <c r="L85" s="18">
        <f>I85*Ratios!$D$49</f>
        <v>72.455871886121002</v>
      </c>
      <c r="M85" s="18">
        <f t="shared" ref="M85:M87" si="113">I85-K85-L85</f>
        <v>2217.1496797153031</v>
      </c>
      <c r="N85" s="8" t="s">
        <v>21</v>
      </c>
      <c r="O85" s="9"/>
      <c r="P85" s="22">
        <f t="shared" si="96"/>
        <v>0</v>
      </c>
      <c r="R85" s="849">
        <f>K85*Ratios!$N$43</f>
        <v>18027.020925266905</v>
      </c>
      <c r="S85" s="849">
        <f t="shared" ref="S85:S87" si="114">K85-R85</f>
        <v>43.473523131673574</v>
      </c>
      <c r="T85" s="8" t="s">
        <v>21</v>
      </c>
      <c r="U85" s="475">
        <f t="shared" ref="U85:U87" si="115">K85-R85-S85</f>
        <v>0</v>
      </c>
    </row>
    <row r="86" spans="1:21">
      <c r="A86" s="39">
        <v>59343</v>
      </c>
      <c r="B86" s="8" t="s">
        <v>173</v>
      </c>
      <c r="C86" s="18">
        <f>IFERROR(VLOOKUP(A86,'2120 IS'!$A$48:$AE$241,31,FALSE),0)</f>
        <v>4580</v>
      </c>
      <c r="D86" s="33"/>
      <c r="E86" s="19">
        <f t="shared" ref="E86:E87" si="116">SUM(C86:D86)</f>
        <v>4580</v>
      </c>
      <c r="F86" s="5"/>
      <c r="G86" s="33"/>
      <c r="H86" s="6"/>
      <c r="I86" s="19">
        <f t="shared" ref="I86:I87" si="117">E86+G86</f>
        <v>4580</v>
      </c>
      <c r="J86" s="19"/>
      <c r="K86" s="18">
        <f>I86*Ratios!$C$49</f>
        <v>4064.9537366548043</v>
      </c>
      <c r="L86" s="18">
        <f>I86*Ratios!$D$49</f>
        <v>16.298932384341636</v>
      </c>
      <c r="M86" s="18">
        <f t="shared" si="113"/>
        <v>498.74733096085407</v>
      </c>
      <c r="N86" s="8" t="s">
        <v>21</v>
      </c>
      <c r="O86" s="9"/>
      <c r="P86" s="22">
        <f t="shared" si="96"/>
        <v>0</v>
      </c>
      <c r="R86" s="849">
        <f>K86*Ratios!$N$43</f>
        <v>4055.1743772241994</v>
      </c>
      <c r="S86" s="849">
        <f t="shared" si="114"/>
        <v>9.7793594306049272</v>
      </c>
      <c r="T86" s="8" t="s">
        <v>21</v>
      </c>
      <c r="U86" s="475">
        <f t="shared" si="115"/>
        <v>0</v>
      </c>
    </row>
    <row r="87" spans="1:21" s="468" customFormat="1">
      <c r="A87" s="39">
        <v>59344</v>
      </c>
      <c r="B87" s="8" t="s">
        <v>174</v>
      </c>
      <c r="C87" s="27">
        <f>IFERROR(VLOOKUP(A87,'2120 IS'!$A$48:$AE$241,31,FALSE),0)</f>
        <v>-1983.380000000001</v>
      </c>
      <c r="D87" s="51">
        <f>'Restating Adj''s'!Q34</f>
        <v>1983.380000000001</v>
      </c>
      <c r="E87" s="24">
        <f t="shared" si="116"/>
        <v>0</v>
      </c>
      <c r="F87" s="14"/>
      <c r="G87" s="25"/>
      <c r="H87" s="37"/>
      <c r="I87" s="24">
        <f t="shared" si="117"/>
        <v>0</v>
      </c>
      <c r="J87" s="24"/>
      <c r="K87" s="27">
        <f>I87*Ratios!$C$49</f>
        <v>0</v>
      </c>
      <c r="L87" s="27">
        <f>I87*Ratios!$D$49</f>
        <v>0</v>
      </c>
      <c r="M87" s="27">
        <f t="shared" si="113"/>
        <v>0</v>
      </c>
      <c r="N87" s="8" t="s">
        <v>21</v>
      </c>
      <c r="O87" s="8"/>
      <c r="P87" s="1029">
        <f t="shared" si="96"/>
        <v>0</v>
      </c>
      <c r="R87" s="1030">
        <f>K87*Ratios!$N$43</f>
        <v>0</v>
      </c>
      <c r="S87" s="1030">
        <f t="shared" si="114"/>
        <v>0</v>
      </c>
      <c r="T87" s="848" t="s">
        <v>21</v>
      </c>
      <c r="U87" s="1031">
        <f t="shared" si="115"/>
        <v>0</v>
      </c>
    </row>
    <row r="88" spans="1:21">
      <c r="A88" s="53">
        <v>45300</v>
      </c>
      <c r="B88" s="45" t="s">
        <v>55</v>
      </c>
      <c r="C88" s="29">
        <f>SUM(C85:C87)</f>
        <v>22956.720000000001</v>
      </c>
      <c r="D88" s="29">
        <f t="shared" ref="D88:E88" si="118">SUM(D85:D87)</f>
        <v>1983.380000000001</v>
      </c>
      <c r="E88" s="29">
        <f t="shared" si="118"/>
        <v>24940.100000000002</v>
      </c>
      <c r="F88" s="30"/>
      <c r="G88" s="29">
        <f>SUM(G85:G87)</f>
        <v>0</v>
      </c>
      <c r="H88" s="43"/>
      <c r="I88" s="29">
        <f>SUM(I85:I87)</f>
        <v>24940.100000000002</v>
      </c>
      <c r="J88" s="29"/>
      <c r="K88" s="29">
        <f t="shared" ref="K88" si="119">SUM(K85:K87)</f>
        <v>22135.448185053381</v>
      </c>
      <c r="L88" s="29">
        <f t="shared" ref="L88" si="120">SUM(L85:L87)</f>
        <v>88.754804270462643</v>
      </c>
      <c r="M88" s="29">
        <f t="shared" ref="M88" si="121">SUM(M85:M87)</f>
        <v>2715.8970106761572</v>
      </c>
      <c r="N88" s="32"/>
      <c r="O88" s="3"/>
      <c r="P88" s="22">
        <f t="shared" si="96"/>
        <v>0</v>
      </c>
      <c r="R88" s="29">
        <f t="shared" ref="R88:U88" si="122">SUM(R85:R87)</f>
        <v>22082.195302491105</v>
      </c>
      <c r="S88" s="29">
        <f t="shared" si="122"/>
        <v>53.252882562278501</v>
      </c>
      <c r="T88" s="29">
        <f t="shared" si="122"/>
        <v>0</v>
      </c>
      <c r="U88" s="29">
        <f t="shared" si="122"/>
        <v>0</v>
      </c>
    </row>
    <row r="89" spans="1:21">
      <c r="A89" s="39"/>
      <c r="B89" s="8"/>
      <c r="C89" s="21"/>
      <c r="D89" s="33"/>
      <c r="E89" s="33"/>
      <c r="F89" s="5"/>
      <c r="G89" s="33"/>
      <c r="H89" s="6"/>
      <c r="I89" s="33"/>
      <c r="J89" s="33"/>
      <c r="K89" s="21"/>
      <c r="L89" s="21"/>
      <c r="M89" s="21"/>
      <c r="N89" s="8"/>
      <c r="O89" s="9"/>
      <c r="P89" s="22">
        <f t="shared" si="96"/>
        <v>0</v>
      </c>
    </row>
    <row r="90" spans="1:21">
      <c r="A90" s="13">
        <v>57370</v>
      </c>
      <c r="B90" s="8" t="s">
        <v>56</v>
      </c>
      <c r="C90" s="18">
        <f>IFERROR(VLOOKUP(A90,'2120 IS'!$A$48:$AE$241,31,FALSE),0)</f>
        <v>148.70999999999998</v>
      </c>
      <c r="D90" s="33"/>
      <c r="E90" s="19">
        <f t="shared" ref="E90" si="123">SUM(C90:D90)</f>
        <v>148.70999999999998</v>
      </c>
      <c r="F90" s="5"/>
      <c r="G90" s="33"/>
      <c r="H90" s="6"/>
      <c r="I90" s="19">
        <f t="shared" ref="I90" si="124">E90+G90</f>
        <v>148.70999999999998</v>
      </c>
      <c r="J90" s="19"/>
      <c r="K90" s="18">
        <f>I90*Ratios!$C$49</f>
        <v>131.98674021352312</v>
      </c>
      <c r="L90" s="18">
        <f>I90*Ratios!$D$49</f>
        <v>0.52921708185053373</v>
      </c>
      <c r="M90" s="18">
        <f t="shared" ref="M90:M91" si="125">I90-K90-L90</f>
        <v>16.194042704626327</v>
      </c>
      <c r="N90" s="8" t="s">
        <v>21</v>
      </c>
      <c r="O90" s="9"/>
      <c r="P90" s="22">
        <f t="shared" si="96"/>
        <v>0</v>
      </c>
      <c r="R90" s="849">
        <f>K90*Ratios!$N$43</f>
        <v>131.6692099644128</v>
      </c>
      <c r="S90" s="849">
        <f t="shared" ref="S90:S91" si="126">K90-R90</f>
        <v>0.31753024911031957</v>
      </c>
      <c r="T90" s="8" t="s">
        <v>21</v>
      </c>
      <c r="U90" s="475">
        <f t="shared" ref="U90:U91" si="127">K90-R90-S90</f>
        <v>0</v>
      </c>
    </row>
    <row r="91" spans="1:21">
      <c r="A91" s="13">
        <v>59500</v>
      </c>
      <c r="B91" s="8" t="s">
        <v>175</v>
      </c>
      <c r="C91" s="23">
        <f>IFERROR(VLOOKUP(A91,'2120 IS'!$A$48:$AE$241,31,FALSE),0)</f>
        <v>-1613.9099999999999</v>
      </c>
      <c r="D91" s="25"/>
      <c r="E91" s="24">
        <f t="shared" ref="E91" si="128">SUM(C91:D91)</f>
        <v>-1613.9099999999999</v>
      </c>
      <c r="F91" s="14"/>
      <c r="G91" s="25"/>
      <c r="H91" s="37"/>
      <c r="I91" s="24">
        <f t="shared" ref="I91" si="129">E91+G91</f>
        <v>-1613.9099999999999</v>
      </c>
      <c r="J91" s="24"/>
      <c r="K91" s="23">
        <f>I91*Ratios!$C$49</f>
        <v>-1432.416918149466</v>
      </c>
      <c r="L91" s="23">
        <f>I91*Ratios!$D$49</f>
        <v>-5.7434519572953731</v>
      </c>
      <c r="M91" s="23">
        <f t="shared" si="125"/>
        <v>-175.74962989323845</v>
      </c>
      <c r="N91" s="8" t="s">
        <v>21</v>
      </c>
      <c r="O91" s="9"/>
      <c r="P91" s="22">
        <f t="shared" si="96"/>
        <v>0</v>
      </c>
      <c r="R91" s="850">
        <f>K91*Ratios!$N$43</f>
        <v>-1428.9708469750888</v>
      </c>
      <c r="S91" s="850">
        <f t="shared" si="126"/>
        <v>-3.4460711743772663</v>
      </c>
      <c r="T91" s="848" t="s">
        <v>21</v>
      </c>
      <c r="U91" s="847">
        <f t="shared" si="127"/>
        <v>0</v>
      </c>
    </row>
    <row r="92" spans="1:21">
      <c r="A92" s="42">
        <v>45400</v>
      </c>
      <c r="B92" s="45" t="s">
        <v>57</v>
      </c>
      <c r="C92" s="29">
        <f>SUM(C90:C91)</f>
        <v>-1465.1999999999998</v>
      </c>
      <c r="D92" s="29">
        <f t="shared" ref="D92:E92" si="130">SUM(D90:D91)</f>
        <v>0</v>
      </c>
      <c r="E92" s="29">
        <f t="shared" si="130"/>
        <v>-1465.1999999999998</v>
      </c>
      <c r="F92" s="30"/>
      <c r="G92" s="29">
        <f>SUM(G90:G91)</f>
        <v>0</v>
      </c>
      <c r="H92" s="43"/>
      <c r="I92" s="29">
        <f>SUM(I90:I91)</f>
        <v>-1465.1999999999998</v>
      </c>
      <c r="J92" s="29"/>
      <c r="K92" s="29">
        <f t="shared" ref="K92" si="131">SUM(K90:K91)</f>
        <v>-1300.430177935943</v>
      </c>
      <c r="L92" s="29">
        <f t="shared" ref="L92" si="132">SUM(L90:L91)</f>
        <v>-5.2142348754448395</v>
      </c>
      <c r="M92" s="29">
        <f t="shared" ref="M92" si="133">SUM(M90:M91)</f>
        <v>-159.55558718861212</v>
      </c>
      <c r="N92" s="32"/>
      <c r="O92" s="3"/>
      <c r="P92" s="22">
        <f t="shared" si="96"/>
        <v>0</v>
      </c>
      <c r="R92" s="29">
        <f t="shared" ref="R92:U92" si="134">SUM(R90:R91)</f>
        <v>-1297.3016370106759</v>
      </c>
      <c r="S92" s="29">
        <f t="shared" si="134"/>
        <v>-3.1285409252669467</v>
      </c>
      <c r="T92" s="29">
        <f t="shared" si="134"/>
        <v>0</v>
      </c>
      <c r="U92" s="29">
        <f t="shared" si="134"/>
        <v>0</v>
      </c>
    </row>
    <row r="93" spans="1:21">
      <c r="A93" s="42"/>
      <c r="B93" s="45"/>
      <c r="C93" s="29"/>
      <c r="D93" s="29"/>
      <c r="E93" s="29"/>
      <c r="F93" s="30"/>
      <c r="G93" s="29"/>
      <c r="H93" s="43"/>
      <c r="I93" s="29"/>
      <c r="J93" s="29"/>
      <c r="K93" s="29"/>
      <c r="L93" s="29"/>
      <c r="M93" s="29"/>
      <c r="N93" s="32"/>
      <c r="O93" s="3"/>
      <c r="P93" s="22">
        <f t="shared" si="96"/>
        <v>0</v>
      </c>
    </row>
    <row r="94" spans="1:21">
      <c r="A94" s="39">
        <v>52150</v>
      </c>
      <c r="B94" s="8" t="s">
        <v>156</v>
      </c>
      <c r="C94" s="23">
        <f>IFERROR(VLOOKUP(A94,'2120 IS'!$A$48:$AE$241,31,FALSE),0)</f>
        <v>1372.46</v>
      </c>
      <c r="D94" s="24"/>
      <c r="E94" s="24">
        <f t="shared" ref="E94" si="135">SUM(C94:D94)</f>
        <v>1372.46</v>
      </c>
      <c r="F94" s="14"/>
      <c r="G94" s="25"/>
      <c r="H94" s="37"/>
      <c r="I94" s="24">
        <f t="shared" ref="I94" si="136">E94+G94</f>
        <v>1372.46</v>
      </c>
      <c r="J94" s="24"/>
      <c r="K94" s="23">
        <f>I94*Ratios!$C$49</f>
        <v>1218.1193024911033</v>
      </c>
      <c r="L94" s="23">
        <f>I94*Ratios!$D$49</f>
        <v>4.8841992882562275</v>
      </c>
      <c r="M94" s="23">
        <f t="shared" ref="M94" si="137">I94-K94-L94</f>
        <v>149.45649822064047</v>
      </c>
      <c r="N94" s="8" t="s">
        <v>21</v>
      </c>
      <c r="O94" s="9"/>
      <c r="P94" s="22">
        <f t="shared" si="96"/>
        <v>0</v>
      </c>
      <c r="R94" s="850">
        <f>K94*Ratios!$N$43</f>
        <v>1215.1887829181496</v>
      </c>
      <c r="S94" s="850">
        <f>K94-R94</f>
        <v>2.930519572953699</v>
      </c>
      <c r="T94" s="848" t="s">
        <v>21</v>
      </c>
      <c r="U94" s="847">
        <f t="shared" ref="U94" si="138">K94-R94-S94</f>
        <v>0</v>
      </c>
    </row>
    <row r="95" spans="1:21">
      <c r="A95" s="53">
        <v>46400</v>
      </c>
      <c r="B95" s="47" t="s">
        <v>226</v>
      </c>
      <c r="C95" s="29">
        <f>SUM(C94)</f>
        <v>1372.46</v>
      </c>
      <c r="D95" s="29">
        <f>SUM(D94)</f>
        <v>0</v>
      </c>
      <c r="E95" s="29">
        <f>SUM(E94)</f>
        <v>1372.46</v>
      </c>
      <c r="F95" s="30"/>
      <c r="G95" s="29">
        <f>SUM(G94)</f>
        <v>0</v>
      </c>
      <c r="H95" s="43"/>
      <c r="I95" s="29">
        <f>SUM(I94)</f>
        <v>1372.46</v>
      </c>
      <c r="J95" s="29"/>
      <c r="K95" s="29">
        <f>SUM(K94)</f>
        <v>1218.1193024911033</v>
      </c>
      <c r="L95" s="29">
        <f t="shared" ref="L95:M95" si="139">SUM(L94)</f>
        <v>4.8841992882562275</v>
      </c>
      <c r="M95" s="29">
        <f t="shared" si="139"/>
        <v>149.45649822064047</v>
      </c>
      <c r="N95" s="32"/>
      <c r="O95" s="32"/>
      <c r="P95" s="22">
        <f t="shared" si="96"/>
        <v>0</v>
      </c>
      <c r="R95" s="29">
        <f t="shared" ref="R95:U95" si="140">SUM(R94)</f>
        <v>1215.1887829181496</v>
      </c>
      <c r="S95" s="29">
        <f t="shared" si="140"/>
        <v>2.930519572953699</v>
      </c>
      <c r="T95" s="29">
        <f t="shared" si="140"/>
        <v>0</v>
      </c>
      <c r="U95" s="29">
        <f t="shared" si="140"/>
        <v>0</v>
      </c>
    </row>
    <row r="96" spans="1:21">
      <c r="A96" s="13"/>
      <c r="B96" s="8"/>
      <c r="C96" s="21"/>
      <c r="D96" s="33"/>
      <c r="E96" s="33"/>
      <c r="F96" s="5"/>
      <c r="G96" s="33"/>
      <c r="H96" s="6"/>
      <c r="I96" s="33"/>
      <c r="J96" s="33"/>
      <c r="K96" s="18"/>
      <c r="L96" s="18"/>
      <c r="M96" s="18"/>
      <c r="N96" s="8"/>
      <c r="O96" s="9"/>
      <c r="P96" s="22">
        <f t="shared" si="96"/>
        <v>0</v>
      </c>
    </row>
    <row r="97" spans="1:21">
      <c r="A97" s="39">
        <v>43002</v>
      </c>
      <c r="B97" s="8" t="s">
        <v>52</v>
      </c>
      <c r="C97" s="23">
        <f>IFERROR(VLOOKUP(A97,'2120 IS'!$A$48:$AE$241,31,FALSE),0)</f>
        <v>11070.81</v>
      </c>
      <c r="D97" s="24">
        <f>'Restating Adj''s'!T37</f>
        <v>-129.49787836956239</v>
      </c>
      <c r="E97" s="24">
        <f t="shared" ref="E97" si="141">SUM(C97:D97)</f>
        <v>10941.312121630437</v>
      </c>
      <c r="F97" s="14" t="s">
        <v>574</v>
      </c>
      <c r="G97" s="25"/>
      <c r="H97" s="37"/>
      <c r="I97" s="24">
        <f t="shared" ref="I97" si="142">E97+G97</f>
        <v>10941.312121630437</v>
      </c>
      <c r="J97" s="24"/>
      <c r="K97" s="27">
        <f>I97</f>
        <v>10941.312121630437</v>
      </c>
      <c r="L97" s="27">
        <f>'[17]Restating Expl'!E71</f>
        <v>0</v>
      </c>
      <c r="M97" s="27"/>
      <c r="N97" s="8" t="s">
        <v>13</v>
      </c>
      <c r="O97" s="8"/>
      <c r="P97" s="22">
        <f t="shared" si="96"/>
        <v>0</v>
      </c>
      <c r="R97" s="850">
        <f>K97*$R$16</f>
        <v>10921.388701333626</v>
      </c>
      <c r="S97" s="850">
        <f>K97-R97</f>
        <v>19.923420296810946</v>
      </c>
      <c r="T97" s="846" t="s">
        <v>64</v>
      </c>
      <c r="U97" s="847">
        <f t="shared" ref="U97" si="143">K97-R97-S97</f>
        <v>0</v>
      </c>
    </row>
    <row r="98" spans="1:21">
      <c r="A98" s="53">
        <v>46800</v>
      </c>
      <c r="B98" s="47" t="s">
        <v>53</v>
      </c>
      <c r="C98" s="29">
        <f>SUM(C97)</f>
        <v>11070.81</v>
      </c>
      <c r="D98" s="29">
        <f>SUM(D97)</f>
        <v>-129.49787836956239</v>
      </c>
      <c r="E98" s="29">
        <f>SUM(E97)</f>
        <v>10941.312121630437</v>
      </c>
      <c r="F98" s="30"/>
      <c r="G98" s="29">
        <f>SUM(G97)</f>
        <v>0</v>
      </c>
      <c r="H98" s="43"/>
      <c r="I98" s="29">
        <f>SUM(I97)</f>
        <v>10941.312121630437</v>
      </c>
      <c r="J98" s="29"/>
      <c r="K98" s="29">
        <f>SUM(K97)</f>
        <v>10941.312121630437</v>
      </c>
      <c r="L98" s="29">
        <f>SUM(L97)</f>
        <v>0</v>
      </c>
      <c r="M98" s="29"/>
      <c r="N98" s="32"/>
      <c r="O98" s="32"/>
      <c r="P98" s="22">
        <f t="shared" si="96"/>
        <v>0</v>
      </c>
      <c r="R98" s="29">
        <f t="shared" ref="R98:U98" si="144">SUM(R97)</f>
        <v>10921.388701333626</v>
      </c>
      <c r="S98" s="29">
        <f t="shared" si="144"/>
        <v>19.923420296810946</v>
      </c>
      <c r="T98" s="29">
        <f t="shared" si="144"/>
        <v>0</v>
      </c>
      <c r="U98" s="29">
        <f t="shared" si="144"/>
        <v>0</v>
      </c>
    </row>
    <row r="99" spans="1:21">
      <c r="A99" s="13"/>
      <c r="B99" s="8"/>
      <c r="C99" s="21"/>
      <c r="D99" s="33"/>
      <c r="E99" s="33"/>
      <c r="F99" s="5"/>
      <c r="G99" s="33"/>
      <c r="H99" s="6"/>
      <c r="I99" s="33"/>
      <c r="J99" s="33"/>
      <c r="K99" s="18"/>
      <c r="L99" s="18"/>
      <c r="M99" s="18"/>
      <c r="N99" s="8"/>
      <c r="O99" s="9"/>
      <c r="P99" s="22">
        <f t="shared" si="96"/>
        <v>0</v>
      </c>
    </row>
    <row r="100" spans="1:21">
      <c r="A100" s="39">
        <v>70010</v>
      </c>
      <c r="B100" s="8" t="s">
        <v>58</v>
      </c>
      <c r="C100" s="18">
        <f>IFERROR(VLOOKUP(A100,'2120 IS'!$A$48:$AE$241,31,FALSE),0)</f>
        <v>48235.45</v>
      </c>
      <c r="D100" s="19">
        <f>'Restating Adj''s'!W38</f>
        <v>3212.8791844762518</v>
      </c>
      <c r="E100" s="19">
        <f t="shared" ref="E100:E105" si="145">SUM(C100:D100)</f>
        <v>51448.32918447625</v>
      </c>
      <c r="F100" s="5" t="s">
        <v>2133</v>
      </c>
      <c r="G100" s="19"/>
      <c r="H100" s="473"/>
      <c r="I100" s="19">
        <f t="shared" ref="I100:I105" si="146">E100+G100</f>
        <v>51448.32918447625</v>
      </c>
      <c r="J100" s="19"/>
      <c r="K100" s="18">
        <f>I100*Ratios!$C$17</f>
        <v>43427.989175074246</v>
      </c>
      <c r="L100" s="18">
        <f>I100*Ratios!$D$17</f>
        <v>24.527128528945436</v>
      </c>
      <c r="M100" s="18">
        <f>I100-K100-L100</f>
        <v>7995.812880873058</v>
      </c>
      <c r="N100" s="8" t="s">
        <v>59</v>
      </c>
      <c r="O100" s="9"/>
      <c r="P100" s="22">
        <f t="shared" si="96"/>
        <v>0</v>
      </c>
      <c r="R100" s="849">
        <f>K100*Ratios!$J$9</f>
        <v>43175.904798526753</v>
      </c>
      <c r="S100" s="849">
        <f>K100-R100</f>
        <v>252.08437654749287</v>
      </c>
      <c r="T100" s="8" t="s">
        <v>59</v>
      </c>
      <c r="U100" s="475">
        <f t="shared" ref="U100" si="147">K100-R100-S100</f>
        <v>0</v>
      </c>
    </row>
    <row r="101" spans="1:21">
      <c r="A101" s="39">
        <v>70020</v>
      </c>
      <c r="B101" s="8" t="s">
        <v>39</v>
      </c>
      <c r="C101" s="18">
        <f>IFERROR(VLOOKUP(A101,'2120 IS'!$A$48:$AE$241,31,FALSE),0)</f>
        <v>59350.219999999994</v>
      </c>
      <c r="D101" s="19">
        <f>'Restating Adj''s'!R38</f>
        <v>406.61602512328761</v>
      </c>
      <c r="E101" s="19">
        <f t="shared" si="145"/>
        <v>59756.836025123281</v>
      </c>
      <c r="F101" s="5" t="s">
        <v>570</v>
      </c>
      <c r="G101" s="19">
        <f>'Pro Forma Adj''s'!B10</f>
        <v>1214.7571105024658</v>
      </c>
      <c r="H101" s="473" t="s">
        <v>1657</v>
      </c>
      <c r="I101" s="19">
        <f t="shared" si="146"/>
        <v>60971.59313562575</v>
      </c>
      <c r="J101" s="19"/>
      <c r="K101" s="18">
        <f>I101*Ratios!$C$17</f>
        <v>51466.660407699725</v>
      </c>
      <c r="L101" s="18">
        <f>I101*Ratios!$D$17</f>
        <v>29.067184982623143</v>
      </c>
      <c r="M101" s="18">
        <f t="shared" ref="M101:M105" si="148">I101-K101-L101</f>
        <v>9475.865542943402</v>
      </c>
      <c r="N101" s="8" t="s">
        <v>59</v>
      </c>
      <c r="O101" s="9"/>
      <c r="P101" s="22">
        <f t="shared" si="96"/>
        <v>0</v>
      </c>
      <c r="R101" s="849">
        <f>K101*Ratios!$J$9</f>
        <v>51167.914339822768</v>
      </c>
      <c r="S101" s="849">
        <f t="shared" ref="S101:S105" si="149">K101-R101</f>
        <v>298.74606787695666</v>
      </c>
      <c r="T101" s="8" t="s">
        <v>59</v>
      </c>
      <c r="U101" s="475">
        <f t="shared" ref="U101:U105" si="150">K101-R101-S101</f>
        <v>0</v>
      </c>
    </row>
    <row r="102" spans="1:21">
      <c r="A102" s="39">
        <v>70025</v>
      </c>
      <c r="B102" s="8" t="s">
        <v>40</v>
      </c>
      <c r="C102" s="18">
        <f>IFERROR(VLOOKUP(A102,'2120 IS'!$A$48:$AE$241,31,FALSE),0)</f>
        <v>657.2</v>
      </c>
      <c r="D102" s="33"/>
      <c r="E102" s="19">
        <f t="shared" si="145"/>
        <v>657.2</v>
      </c>
      <c r="F102" s="5"/>
      <c r="G102" s="33"/>
      <c r="H102" s="6"/>
      <c r="I102" s="19">
        <f t="shared" si="146"/>
        <v>657.2</v>
      </c>
      <c r="J102" s="19"/>
      <c r="K102" s="18">
        <f>I102*Ratios!$C$17</f>
        <v>554.74832590813401</v>
      </c>
      <c r="L102" s="18">
        <f>I102*Ratios!$D$17</f>
        <v>0.31330908359384918</v>
      </c>
      <c r="M102" s="18">
        <f t="shared" si="148"/>
        <v>102.13836500827219</v>
      </c>
      <c r="N102" s="8" t="s">
        <v>59</v>
      </c>
      <c r="O102" s="9"/>
      <c r="P102" s="22">
        <f t="shared" si="96"/>
        <v>0</v>
      </c>
      <c r="R102" s="849">
        <f>K102*Ratios!$J$9</f>
        <v>551.52820477119724</v>
      </c>
      <c r="S102" s="849">
        <f t="shared" si="149"/>
        <v>3.2201211369367684</v>
      </c>
      <c r="T102" s="8" t="s">
        <v>59</v>
      </c>
      <c r="U102" s="475">
        <f t="shared" si="150"/>
        <v>0</v>
      </c>
    </row>
    <row r="103" spans="1:21">
      <c r="A103" s="39">
        <v>70036</v>
      </c>
      <c r="B103" s="9" t="s">
        <v>25</v>
      </c>
      <c r="C103" s="18">
        <f>IFERROR(VLOOKUP(A103,'2120 IS'!$A$48:$AE$241,31,FALSE),0)</f>
        <v>7266.25</v>
      </c>
      <c r="D103" s="33"/>
      <c r="E103" s="19">
        <f t="shared" si="145"/>
        <v>7266.25</v>
      </c>
      <c r="F103" s="5"/>
      <c r="G103" s="33"/>
      <c r="H103" s="6"/>
      <c r="I103" s="19">
        <f t="shared" si="146"/>
        <v>7266.25</v>
      </c>
      <c r="J103" s="19"/>
      <c r="K103" s="18">
        <f>I103*Ratios!$C$17</f>
        <v>6133.5058173006373</v>
      </c>
      <c r="L103" s="18">
        <f>I103*Ratios!$D$17</f>
        <v>3.4640628859765772</v>
      </c>
      <c r="M103" s="18">
        <f t="shared" si="148"/>
        <v>1129.2801198133861</v>
      </c>
      <c r="N103" s="8" t="s">
        <v>59</v>
      </c>
      <c r="O103" s="9"/>
      <c r="P103" s="22">
        <f t="shared" si="96"/>
        <v>0</v>
      </c>
      <c r="R103" s="849">
        <f>K103*Ratios!$J$9</f>
        <v>6097.902948750323</v>
      </c>
      <c r="S103" s="849">
        <f t="shared" si="149"/>
        <v>35.60286855031427</v>
      </c>
      <c r="T103" s="8" t="s">
        <v>59</v>
      </c>
      <c r="U103" s="475">
        <f t="shared" si="150"/>
        <v>0</v>
      </c>
    </row>
    <row r="104" spans="1:21">
      <c r="A104" s="39">
        <v>70065</v>
      </c>
      <c r="B104" s="8" t="s">
        <v>60</v>
      </c>
      <c r="C104" s="18">
        <f>IFERROR(VLOOKUP(A104,'2120 IS'!$A$48:$AE$241,31,FALSE),0)</f>
        <v>3521.7100000000005</v>
      </c>
      <c r="D104" s="33"/>
      <c r="E104" s="19">
        <f t="shared" si="145"/>
        <v>3521.7100000000005</v>
      </c>
      <c r="F104" s="5"/>
      <c r="G104" s="33"/>
      <c r="H104" s="6"/>
      <c r="I104" s="19">
        <f t="shared" si="146"/>
        <v>3521.7100000000005</v>
      </c>
      <c r="J104" s="19"/>
      <c r="K104" s="18">
        <f>I104*Ratios!$C$17</f>
        <v>2972.7065228757378</v>
      </c>
      <c r="L104" s="18">
        <f>I104*Ratios!$D$17</f>
        <v>1.6789162093476793</v>
      </c>
      <c r="M104" s="18">
        <f t="shared" si="148"/>
        <v>547.32456091491497</v>
      </c>
      <c r="N104" s="8" t="s">
        <v>59</v>
      </c>
      <c r="O104" s="9"/>
      <c r="P104" s="22">
        <f t="shared" si="96"/>
        <v>0</v>
      </c>
      <c r="R104" s="849">
        <f>K104*Ratios!$J$9</f>
        <v>2955.4509951685536</v>
      </c>
      <c r="S104" s="849">
        <f t="shared" si="149"/>
        <v>17.255527707184228</v>
      </c>
      <c r="T104" s="8" t="s">
        <v>59</v>
      </c>
      <c r="U104" s="475">
        <f t="shared" si="150"/>
        <v>0</v>
      </c>
    </row>
    <row r="105" spans="1:21">
      <c r="A105" s="13">
        <v>70070</v>
      </c>
      <c r="B105" s="8" t="s">
        <v>61</v>
      </c>
      <c r="C105" s="23">
        <f>IFERROR(VLOOKUP(A105,'2120 IS'!$A$48:$AE$241,31,FALSE),0)</f>
        <v>461.54000000000008</v>
      </c>
      <c r="D105" s="25"/>
      <c r="E105" s="24">
        <f t="shared" si="145"/>
        <v>461.54000000000008</v>
      </c>
      <c r="F105" s="14"/>
      <c r="G105" s="25"/>
      <c r="H105" s="37"/>
      <c r="I105" s="24">
        <f t="shared" si="146"/>
        <v>461.54000000000008</v>
      </c>
      <c r="J105" s="24"/>
      <c r="K105" s="23">
        <f>I105*Ratios!$C$17</f>
        <v>389.58999138715797</v>
      </c>
      <c r="L105" s="23">
        <f>I105*Ratios!$D$17</f>
        <v>0.22003145837173643</v>
      </c>
      <c r="M105" s="23">
        <f t="shared" si="148"/>
        <v>71.729977154470376</v>
      </c>
      <c r="N105" s="8" t="s">
        <v>59</v>
      </c>
      <c r="O105" s="9"/>
      <c r="P105" s="22">
        <f t="shared" si="96"/>
        <v>0</v>
      </c>
      <c r="R105" s="850">
        <f>K105*Ratios!$J$9</f>
        <v>387.32855695389293</v>
      </c>
      <c r="S105" s="850">
        <f t="shared" si="149"/>
        <v>2.2614344332650376</v>
      </c>
      <c r="T105" s="848" t="s">
        <v>59</v>
      </c>
      <c r="U105" s="847">
        <f t="shared" si="150"/>
        <v>0</v>
      </c>
    </row>
    <row r="106" spans="1:21">
      <c r="A106" s="42">
        <v>46130</v>
      </c>
      <c r="B106" s="45" t="s">
        <v>62</v>
      </c>
      <c r="C106" s="29">
        <f>SUM(C100:C105)</f>
        <v>119492.36999999998</v>
      </c>
      <c r="D106" s="29">
        <f>SUM(D100:D105)</f>
        <v>3619.4952095995395</v>
      </c>
      <c r="E106" s="29">
        <f>SUM(E100:E105)</f>
        <v>123111.86520959953</v>
      </c>
      <c r="F106" s="30"/>
      <c r="G106" s="29">
        <f>SUM(G100:G105)</f>
        <v>1214.7571105024658</v>
      </c>
      <c r="H106" s="43"/>
      <c r="I106" s="29">
        <f>SUM(I100:I105)</f>
        <v>124326.62232010199</v>
      </c>
      <c r="J106" s="29"/>
      <c r="K106" s="29">
        <f>SUM(K100:K105)</f>
        <v>104945.20024024564</v>
      </c>
      <c r="L106" s="29">
        <f t="shared" ref="L106:M106" si="151">SUM(L100:L105)</f>
        <v>59.270633148858415</v>
      </c>
      <c r="M106" s="29">
        <f t="shared" si="151"/>
        <v>19322.151446707507</v>
      </c>
      <c r="N106" s="32"/>
      <c r="O106" s="3"/>
      <c r="P106" s="22">
        <f t="shared" si="96"/>
        <v>0</v>
      </c>
      <c r="R106" s="29">
        <f t="shared" ref="R106:U106" si="152">SUM(R100:R105)</f>
        <v>104336.02984399348</v>
      </c>
      <c r="S106" s="29">
        <f t="shared" si="152"/>
        <v>609.17039625214989</v>
      </c>
      <c r="T106" s="29">
        <f t="shared" si="152"/>
        <v>0</v>
      </c>
      <c r="U106" s="29">
        <f t="shared" si="152"/>
        <v>0</v>
      </c>
    </row>
    <row r="107" spans="1:21">
      <c r="A107" s="13"/>
      <c r="B107" s="8"/>
      <c r="C107" s="21"/>
      <c r="D107" s="33"/>
      <c r="E107" s="33"/>
      <c r="F107" s="5"/>
      <c r="G107" s="33"/>
      <c r="H107" s="6"/>
      <c r="I107" s="33"/>
      <c r="J107" s="33"/>
      <c r="K107" s="21"/>
      <c r="L107" s="21"/>
      <c r="M107" s="21"/>
      <c r="N107" s="8"/>
      <c r="O107" s="9"/>
      <c r="P107" s="22">
        <f t="shared" si="96"/>
        <v>0</v>
      </c>
    </row>
    <row r="108" spans="1:21">
      <c r="A108" s="13">
        <v>70149</v>
      </c>
      <c r="B108" s="8" t="s">
        <v>63</v>
      </c>
      <c r="C108" s="23">
        <f>IFERROR(VLOOKUP(A108,'2120 IS'!$A$48:$AE$241,31,FALSE),0)</f>
        <v>95615.599999999991</v>
      </c>
      <c r="D108" s="24">
        <f>'Restating Adj''s'!P39</f>
        <v>-15589.784431648208</v>
      </c>
      <c r="E108" s="24">
        <f t="shared" ref="E108" si="153">SUM(C108:D108)</f>
        <v>80025.815568351783</v>
      </c>
      <c r="F108" s="14" t="s">
        <v>568</v>
      </c>
      <c r="G108" s="24"/>
      <c r="H108" s="37"/>
      <c r="I108" s="24">
        <f t="shared" ref="I108" si="154">E108+G108</f>
        <v>80025.815568351783</v>
      </c>
      <c r="J108" s="24"/>
      <c r="K108" s="27">
        <f>K15*'Restating Adj''s'!$B$45</f>
        <v>68865.049094081958</v>
      </c>
      <c r="L108" s="27">
        <f>L15*'Restating Adj''s'!$B$45</f>
        <v>682.85795053173592</v>
      </c>
      <c r="M108" s="27">
        <f>M15*'Restating Adj''s'!$B$45</f>
        <v>10477.908523738093</v>
      </c>
      <c r="N108" s="8" t="s">
        <v>64</v>
      </c>
      <c r="O108" s="8"/>
      <c r="P108" s="22">
        <f t="shared" si="96"/>
        <v>0</v>
      </c>
      <c r="R108" s="850">
        <f>K108*$R$16</f>
        <v>68739.650302638154</v>
      </c>
      <c r="S108" s="850">
        <f>K108-R108</f>
        <v>125.39879144380393</v>
      </c>
      <c r="T108" s="846" t="s">
        <v>64</v>
      </c>
      <c r="U108" s="847">
        <f t="shared" ref="U108" si="155">K108-R108-S108</f>
        <v>0</v>
      </c>
    </row>
    <row r="109" spans="1:21">
      <c r="A109" s="42">
        <v>46100</v>
      </c>
      <c r="B109" s="45" t="s">
        <v>65</v>
      </c>
      <c r="C109" s="29">
        <f>SUM(C108)</f>
        <v>95615.599999999991</v>
      </c>
      <c r="D109" s="29">
        <f>SUM(D108)</f>
        <v>-15589.784431648208</v>
      </c>
      <c r="E109" s="29">
        <f>SUM(E108)</f>
        <v>80025.815568351783</v>
      </c>
      <c r="F109" s="30"/>
      <c r="G109" s="29">
        <f>SUM(G108)</f>
        <v>0</v>
      </c>
      <c r="H109" s="43"/>
      <c r="I109" s="29">
        <f>SUM(I108)</f>
        <v>80025.815568351783</v>
      </c>
      <c r="J109" s="29"/>
      <c r="K109" s="29">
        <f>SUM(K108)</f>
        <v>68865.049094081958</v>
      </c>
      <c r="L109" s="29">
        <f>SUM(L108)</f>
        <v>682.85795053173592</v>
      </c>
      <c r="M109" s="29">
        <f>SUM(M108)</f>
        <v>10477.908523738093</v>
      </c>
      <c r="N109" s="32"/>
      <c r="O109" s="32"/>
      <c r="P109" s="22">
        <f t="shared" si="96"/>
        <v>0</v>
      </c>
      <c r="R109" s="29">
        <f t="shared" ref="R109:U109" si="156">SUM(R108)</f>
        <v>68739.650302638154</v>
      </c>
      <c r="S109" s="29">
        <f t="shared" si="156"/>
        <v>125.39879144380393</v>
      </c>
      <c r="T109" s="29">
        <f t="shared" si="156"/>
        <v>0</v>
      </c>
      <c r="U109" s="29">
        <f t="shared" si="156"/>
        <v>0</v>
      </c>
    </row>
    <row r="110" spans="1:21">
      <c r="A110" s="13"/>
      <c r="B110" s="8"/>
      <c r="C110" s="21"/>
      <c r="D110" s="33"/>
      <c r="E110" s="33"/>
      <c r="F110" s="5"/>
      <c r="G110" s="33"/>
      <c r="H110" s="6"/>
      <c r="I110" s="33"/>
      <c r="J110" s="33"/>
      <c r="K110" s="21"/>
      <c r="L110" s="21"/>
      <c r="M110" s="21"/>
      <c r="N110" s="8"/>
      <c r="O110" s="9"/>
      <c r="P110" s="22">
        <f t="shared" si="96"/>
        <v>0</v>
      </c>
    </row>
    <row r="111" spans="1:21">
      <c r="A111" s="13">
        <v>70147</v>
      </c>
      <c r="B111" s="8" t="s">
        <v>66</v>
      </c>
      <c r="C111" s="18">
        <f>IFERROR(VLOOKUP(A111,'2120 IS'!$A$48:$AE$241,31,FALSE),0)</f>
        <v>2132.2599999999998</v>
      </c>
      <c r="D111" s="33"/>
      <c r="E111" s="19">
        <f t="shared" ref="E111:E118" si="157">SUM(C111:D111)</f>
        <v>2132.2599999999998</v>
      </c>
      <c r="F111" s="5"/>
      <c r="G111" s="33"/>
      <c r="H111" s="6"/>
      <c r="I111" s="19">
        <f t="shared" ref="I111:I118" si="158">E111+G111</f>
        <v>2132.2599999999998</v>
      </c>
      <c r="J111" s="19"/>
      <c r="K111" s="18">
        <f>I111*Ratios!$C$17</f>
        <v>1799.8595030445492</v>
      </c>
      <c r="L111" s="18">
        <f>I111*Ratios!$D$17</f>
        <v>1.0165192126960145</v>
      </c>
      <c r="M111" s="18">
        <f t="shared" ref="M111:M113" si="159">I111-K111-L111</f>
        <v>331.3839777427545</v>
      </c>
      <c r="N111" s="8" t="s">
        <v>59</v>
      </c>
      <c r="O111" s="9"/>
      <c r="P111" s="22">
        <f t="shared" si="96"/>
        <v>0</v>
      </c>
      <c r="R111" s="849">
        <f>K111*Ratios!$J$9</f>
        <v>1789.411944469618</v>
      </c>
      <c r="S111" s="849">
        <f t="shared" ref="S111:S112" si="160">K111-R111</f>
        <v>10.447558574931236</v>
      </c>
      <c r="T111" s="8" t="s">
        <v>59</v>
      </c>
      <c r="U111" s="475">
        <f t="shared" ref="U111:U113" si="161">K111-R111-S111</f>
        <v>0</v>
      </c>
    </row>
    <row r="112" spans="1:21">
      <c r="A112" s="13">
        <v>70175</v>
      </c>
      <c r="B112" s="8" t="s">
        <v>67</v>
      </c>
      <c r="C112" s="18">
        <f>IFERROR(VLOOKUP(A112,'2120 IS'!$A$48:$AE$241,31,FALSE),0)</f>
        <v>3890.6499999999996</v>
      </c>
      <c r="D112" s="33"/>
      <c r="E112" s="19">
        <f t="shared" si="157"/>
        <v>3890.6499999999996</v>
      </c>
      <c r="F112" s="5"/>
      <c r="G112" s="33"/>
      <c r="H112" s="6"/>
      <c r="I112" s="19">
        <f t="shared" si="158"/>
        <v>3890.6499999999996</v>
      </c>
      <c r="J112" s="19"/>
      <c r="K112" s="18">
        <f>I112*Ratios!$C$17</f>
        <v>3284.132036205845</v>
      </c>
      <c r="L112" s="18">
        <f>I112*Ratios!$D$17</f>
        <v>1.8548021699397583</v>
      </c>
      <c r="M112" s="18">
        <f t="shared" si="159"/>
        <v>604.66316162421492</v>
      </c>
      <c r="N112" s="8" t="s">
        <v>59</v>
      </c>
      <c r="O112" s="9"/>
      <c r="P112" s="22">
        <f t="shared" si="96"/>
        <v>0</v>
      </c>
      <c r="R112" s="849">
        <f>K112*Ratios!$J$9</f>
        <v>3265.0687916814641</v>
      </c>
      <c r="S112" s="849">
        <f t="shared" si="160"/>
        <v>19.063244524380934</v>
      </c>
      <c r="T112" s="8" t="s">
        <v>59</v>
      </c>
      <c r="U112" s="475">
        <f t="shared" si="161"/>
        <v>0</v>
      </c>
    </row>
    <row r="113" spans="1:21">
      <c r="A113" s="13">
        <v>70185</v>
      </c>
      <c r="B113" s="8" t="s">
        <v>68</v>
      </c>
      <c r="C113" s="18">
        <f>IFERROR(VLOOKUP(A113,'2120 IS'!$A$48:$AE$241,31,FALSE),0)</f>
        <v>463.34000000000003</v>
      </c>
      <c r="D113" s="33"/>
      <c r="E113" s="19">
        <f t="shared" si="157"/>
        <v>463.34000000000003</v>
      </c>
      <c r="F113" s="5"/>
      <c r="G113" s="33"/>
      <c r="H113" s="6"/>
      <c r="I113" s="19">
        <f t="shared" si="158"/>
        <v>463.34000000000003</v>
      </c>
      <c r="J113" s="19"/>
      <c r="K113" s="18">
        <f>I113*Ratios!$C$31</f>
        <v>454.28243519611124</v>
      </c>
      <c r="L113" s="18">
        <f>I113*Ratios!$D$31</f>
        <v>0.25656826134820221</v>
      </c>
      <c r="M113" s="18">
        <f t="shared" si="159"/>
        <v>8.8009965425405934</v>
      </c>
      <c r="N113" s="8" t="s">
        <v>560</v>
      </c>
      <c r="O113" s="9"/>
      <c r="P113" s="22">
        <f t="shared" si="96"/>
        <v>0</v>
      </c>
      <c r="R113" s="849">
        <f>K113*Ratios!$J$9</f>
        <v>451.64548362114363</v>
      </c>
      <c r="S113" s="849">
        <f t="shared" ref="S113:S118" si="162">K113-R113</f>
        <v>2.6369515749676111</v>
      </c>
      <c r="T113" s="8" t="s">
        <v>59</v>
      </c>
      <c r="U113" s="475">
        <f t="shared" si="161"/>
        <v>0</v>
      </c>
    </row>
    <row r="114" spans="1:21">
      <c r="A114" s="39">
        <v>70210</v>
      </c>
      <c r="B114" s="8" t="s">
        <v>69</v>
      </c>
      <c r="C114" s="18">
        <f>IFERROR(VLOOKUP(A114,'2120 IS'!$A$48:$AE$241,31,FALSE),0)</f>
        <v>7395.9000000000015</v>
      </c>
      <c r="D114" s="33"/>
      <c r="E114" s="19">
        <f t="shared" si="157"/>
        <v>7395.9000000000015</v>
      </c>
      <c r="F114" s="5"/>
      <c r="G114" s="33"/>
      <c r="H114" s="6"/>
      <c r="I114" s="19">
        <f t="shared" si="158"/>
        <v>7395.9000000000015</v>
      </c>
      <c r="J114" s="19"/>
      <c r="K114" s="18">
        <f>I114*Ratios!$C$17</f>
        <v>6242.9445276688512</v>
      </c>
      <c r="L114" s="18">
        <f>I114*Ratios!$D$17</f>
        <v>3.5258713502004713</v>
      </c>
      <c r="M114" s="18">
        <f>I114-K114-L114</f>
        <v>1149.4296009809498</v>
      </c>
      <c r="N114" s="8" t="s">
        <v>59</v>
      </c>
      <c r="O114" s="9"/>
      <c r="P114" s="22">
        <f t="shared" si="96"/>
        <v>0</v>
      </c>
      <c r="R114" s="849">
        <f>K114*Ratios!$J$9</f>
        <v>6206.706405458458</v>
      </c>
      <c r="S114" s="849">
        <f t="shared" si="162"/>
        <v>36.238122210393158</v>
      </c>
      <c r="T114" s="8" t="s">
        <v>59</v>
      </c>
      <c r="U114" s="475">
        <f t="shared" ref="U114:U115" si="163">K114-R114-S114</f>
        <v>0</v>
      </c>
    </row>
    <row r="115" spans="1:21">
      <c r="A115" s="13">
        <v>70245</v>
      </c>
      <c r="B115" s="8" t="s">
        <v>70</v>
      </c>
      <c r="C115" s="18">
        <f>IFERROR(VLOOKUP(A115,'2120 IS'!$A$48:$AE$241,31,FALSE),0)</f>
        <v>605.64</v>
      </c>
      <c r="D115" s="33"/>
      <c r="E115" s="19">
        <f t="shared" si="157"/>
        <v>605.64</v>
      </c>
      <c r="F115" s="5"/>
      <c r="G115" s="33"/>
      <c r="H115" s="6"/>
      <c r="I115" s="19">
        <f t="shared" si="158"/>
        <v>605.64</v>
      </c>
      <c r="J115" s="19"/>
      <c r="K115" s="18">
        <f>I115*Ratios!$C$49</f>
        <v>537.53244128113874</v>
      </c>
      <c r="L115" s="18">
        <f>I115*Ratios!$D$49</f>
        <v>2.1553024911032028</v>
      </c>
      <c r="M115" s="18">
        <f t="shared" ref="M115:M116" si="164">I115-K115-L115</f>
        <v>65.952256227758042</v>
      </c>
      <c r="N115" s="8" t="s">
        <v>21</v>
      </c>
      <c r="O115" s="9"/>
      <c r="P115" s="22">
        <f t="shared" si="96"/>
        <v>0</v>
      </c>
      <c r="R115" s="849">
        <f>K115*Ratios!$N$43</f>
        <v>536.23925978647685</v>
      </c>
      <c r="S115" s="849">
        <f t="shared" si="162"/>
        <v>1.2931814946618942</v>
      </c>
      <c r="T115" s="8" t="s">
        <v>21</v>
      </c>
      <c r="U115" s="475">
        <f t="shared" si="163"/>
        <v>0</v>
      </c>
    </row>
    <row r="116" spans="1:21">
      <c r="A116" s="13">
        <v>70300</v>
      </c>
      <c r="B116" s="8" t="s">
        <v>71</v>
      </c>
      <c r="C116" s="18">
        <f>IFERROR(VLOOKUP(A116,'2120 IS'!$A$48:$AE$241,31,FALSE),0)</f>
        <v>17143.679999999997</v>
      </c>
      <c r="D116" s="33"/>
      <c r="E116" s="19">
        <f t="shared" si="157"/>
        <v>17143.679999999997</v>
      </c>
      <c r="F116" s="5"/>
      <c r="G116" s="33"/>
      <c r="H116" s="6"/>
      <c r="I116" s="19">
        <f t="shared" si="158"/>
        <v>17143.679999999997</v>
      </c>
      <c r="J116" s="19"/>
      <c r="K116" s="18">
        <f>I116*Ratios!$C$31</f>
        <v>16808.548147414134</v>
      </c>
      <c r="L116" s="18">
        <f>I116*Ratios!$D$31</f>
        <v>9.4930810435316317</v>
      </c>
      <c r="M116" s="18">
        <f t="shared" si="164"/>
        <v>325.63877154233074</v>
      </c>
      <c r="N116" s="8" t="s">
        <v>560</v>
      </c>
      <c r="O116" s="9"/>
      <c r="P116" s="22">
        <f t="shared" si="96"/>
        <v>0</v>
      </c>
      <c r="R116" s="849">
        <f>K116*Ratios!$J$9</f>
        <v>16710.98037002228</v>
      </c>
      <c r="S116" s="849">
        <f t="shared" si="162"/>
        <v>97.567777391854179</v>
      </c>
      <c r="T116" s="8" t="s">
        <v>59</v>
      </c>
      <c r="U116" s="475">
        <f t="shared" ref="U116:U117" si="165">K116-R116-S116</f>
        <v>0</v>
      </c>
    </row>
    <row r="117" spans="1:21">
      <c r="A117" s="13"/>
      <c r="B117" s="8" t="s">
        <v>72</v>
      </c>
      <c r="C117" s="18">
        <f>IFERROR(VLOOKUP(A117,'2120 IS'!$A$48:$AE$241,31,FALSE),0)</f>
        <v>0</v>
      </c>
      <c r="D117" s="33"/>
      <c r="E117" s="19">
        <f t="shared" si="157"/>
        <v>0</v>
      </c>
      <c r="F117" s="5"/>
      <c r="G117" s="19">
        <f>'Pro Forma Adj''s'!B30</f>
        <v>1062.3662478179576</v>
      </c>
      <c r="H117" s="5"/>
      <c r="I117" s="19">
        <f t="shared" si="158"/>
        <v>1062.3662478179576</v>
      </c>
      <c r="J117" s="19"/>
      <c r="K117" s="21">
        <f>I117</f>
        <v>1062.3662478179576</v>
      </c>
      <c r="L117" s="21"/>
      <c r="M117" s="21"/>
      <c r="N117" s="8" t="s">
        <v>13</v>
      </c>
      <c r="O117" s="9"/>
      <c r="P117" s="22">
        <f t="shared" si="96"/>
        <v>0</v>
      </c>
      <c r="R117" s="849">
        <f>K117*Ratios!$J$9</f>
        <v>1056.1995811512909</v>
      </c>
      <c r="S117" s="849">
        <f t="shared" si="162"/>
        <v>6.1666666666667425</v>
      </c>
      <c r="T117" s="8" t="s">
        <v>59</v>
      </c>
      <c r="U117" s="475">
        <f t="shared" si="165"/>
        <v>0</v>
      </c>
    </row>
    <row r="118" spans="1:21">
      <c r="A118" s="13">
        <v>70320</v>
      </c>
      <c r="B118" s="8" t="s">
        <v>73</v>
      </c>
      <c r="C118" s="23">
        <f>IFERROR(VLOOKUP(A118,'2120 IS'!$A$48:$AE$241,31,FALSE),0)</f>
        <v>2045.3000000000002</v>
      </c>
      <c r="D118" s="25"/>
      <c r="E118" s="24">
        <f t="shared" si="157"/>
        <v>2045.3000000000002</v>
      </c>
      <c r="F118" s="14"/>
      <c r="G118" s="25"/>
      <c r="H118" s="37"/>
      <c r="I118" s="24">
        <f t="shared" si="158"/>
        <v>2045.3000000000002</v>
      </c>
      <c r="J118" s="24"/>
      <c r="K118" s="23">
        <f>I118*Ratios!$C$31</f>
        <v>2005.3176170989043</v>
      </c>
      <c r="L118" s="23">
        <f>I118*Ratios!$D$31</f>
        <v>1.1325572256560581</v>
      </c>
      <c r="M118" s="23">
        <f t="shared" ref="M118" si="166">I118-K118-L118</f>
        <v>38.849825675439831</v>
      </c>
      <c r="N118" s="8" t="s">
        <v>560</v>
      </c>
      <c r="O118" s="9"/>
      <c r="P118" s="22">
        <f t="shared" si="96"/>
        <v>0</v>
      </c>
      <c r="R118" s="850">
        <f>K118*Ratios!$J$9</f>
        <v>1993.6774456129949</v>
      </c>
      <c r="S118" s="850">
        <f t="shared" si="162"/>
        <v>11.640171485909377</v>
      </c>
      <c r="T118" s="848" t="s">
        <v>59</v>
      </c>
      <c r="U118" s="847">
        <f t="shared" ref="U118" si="167">K118-R118-S118</f>
        <v>0</v>
      </c>
    </row>
    <row r="119" spans="1:21">
      <c r="A119" s="42">
        <v>46200</v>
      </c>
      <c r="B119" s="45" t="s">
        <v>74</v>
      </c>
      <c r="C119" s="29">
        <f>SUM(C111:C118)</f>
        <v>33676.769999999997</v>
      </c>
      <c r="D119" s="29">
        <f>SUM(D111:D118)</f>
        <v>0</v>
      </c>
      <c r="E119" s="29">
        <f>SUM(E111:E118)</f>
        <v>33676.769999999997</v>
      </c>
      <c r="F119" s="30"/>
      <c r="G119" s="29">
        <f>SUM(G111:G118)</f>
        <v>1062.3662478179576</v>
      </c>
      <c r="H119" s="43"/>
      <c r="I119" s="29">
        <f>SUM(I111:I118)</f>
        <v>34739.136247817958</v>
      </c>
      <c r="J119" s="29"/>
      <c r="K119" s="29">
        <f>SUM(K111:K118)</f>
        <v>32194.98295572749</v>
      </c>
      <c r="L119" s="29">
        <f>SUM(L111:L118)</f>
        <v>19.434701754475341</v>
      </c>
      <c r="M119" s="29">
        <f>SUM(M111:M118)</f>
        <v>2524.7185903359882</v>
      </c>
      <c r="N119" s="52"/>
      <c r="O119" s="52"/>
      <c r="P119" s="22">
        <f t="shared" si="96"/>
        <v>4.5474735088646412E-12</v>
      </c>
      <c r="R119" s="29">
        <f t="shared" ref="R119:U119" si="168">SUM(R111:R118)</f>
        <v>32009.929281803721</v>
      </c>
      <c r="S119" s="29">
        <f t="shared" si="168"/>
        <v>185.05367392376513</v>
      </c>
      <c r="T119" s="29">
        <f t="shared" si="168"/>
        <v>0</v>
      </c>
      <c r="U119" s="29">
        <f t="shared" si="168"/>
        <v>0</v>
      </c>
    </row>
    <row r="120" spans="1:21">
      <c r="A120" s="13"/>
      <c r="B120" s="8"/>
      <c r="C120" s="21"/>
      <c r="D120" s="33"/>
      <c r="E120" s="33"/>
      <c r="F120" s="5"/>
      <c r="G120" s="33"/>
      <c r="H120" s="6"/>
      <c r="I120" s="33"/>
      <c r="J120" s="33"/>
      <c r="K120" s="21"/>
      <c r="L120" s="21"/>
      <c r="M120" s="21"/>
      <c r="N120" s="8"/>
      <c r="O120" s="9"/>
      <c r="P120" s="22">
        <f t="shared" si="96"/>
        <v>0</v>
      </c>
    </row>
    <row r="121" spans="1:21">
      <c r="A121" s="13">
        <v>70165</v>
      </c>
      <c r="B121" s="8" t="s">
        <v>75</v>
      </c>
      <c r="C121" s="23">
        <f>IFERROR(VLOOKUP(A121,'2120 IS'!$A$48:$AE$241,31,FALSE),0)</f>
        <v>12082.51</v>
      </c>
      <c r="D121" s="25"/>
      <c r="E121" s="24">
        <f t="shared" ref="E121" si="169">SUM(C121:D121)</f>
        <v>12082.51</v>
      </c>
      <c r="F121" s="14"/>
      <c r="G121" s="25"/>
      <c r="H121" s="37"/>
      <c r="I121" s="24">
        <f t="shared" ref="I121" si="170">E121+G121</f>
        <v>12082.51</v>
      </c>
      <c r="J121" s="24"/>
      <c r="K121" s="23">
        <f>I121*Ratios!$C$17</f>
        <v>10198.953431631602</v>
      </c>
      <c r="L121" s="23">
        <f>I121*Ratios!$D$17</f>
        <v>5.760134107750333</v>
      </c>
      <c r="M121" s="23">
        <f>I121-K121-L121</f>
        <v>1877.7964342606476</v>
      </c>
      <c r="N121" s="8" t="s">
        <v>59</v>
      </c>
      <c r="O121" s="9"/>
      <c r="P121" s="22">
        <f t="shared" si="96"/>
        <v>0</v>
      </c>
      <c r="R121" s="850">
        <f>K121*Ratios!$J$9</f>
        <v>10139.752053301947</v>
      </c>
      <c r="S121" s="850">
        <f>K121-R121</f>
        <v>59.201378329655199</v>
      </c>
      <c r="T121" s="848" t="s">
        <v>59</v>
      </c>
      <c r="U121" s="847">
        <f t="shared" ref="U121" si="171">K121-R121-S121</f>
        <v>0</v>
      </c>
    </row>
    <row r="122" spans="1:21">
      <c r="A122" s="42">
        <v>46410</v>
      </c>
      <c r="B122" s="45" t="s">
        <v>75</v>
      </c>
      <c r="C122" s="29">
        <f>SUM(C121:C121)</f>
        <v>12082.51</v>
      </c>
      <c r="D122" s="29">
        <f>SUM(D121:D121)</f>
        <v>0</v>
      </c>
      <c r="E122" s="29">
        <f>SUM(E121:E121)</f>
        <v>12082.51</v>
      </c>
      <c r="F122" s="30"/>
      <c r="G122" s="29">
        <f>SUM(G121:G121)</f>
        <v>0</v>
      </c>
      <c r="H122" s="43"/>
      <c r="I122" s="29">
        <f>SUM(I121:I121)</f>
        <v>12082.51</v>
      </c>
      <c r="J122" s="29"/>
      <c r="K122" s="29">
        <f>SUM(K121:K121)</f>
        <v>10198.953431631602</v>
      </c>
      <c r="L122" s="29">
        <f t="shared" ref="L122:M122" si="172">SUM(L121:L121)</f>
        <v>5.760134107750333</v>
      </c>
      <c r="M122" s="29">
        <f t="shared" si="172"/>
        <v>1877.7964342606476</v>
      </c>
      <c r="N122" s="32"/>
      <c r="O122" s="3"/>
      <c r="P122" s="22">
        <f t="shared" si="96"/>
        <v>0</v>
      </c>
      <c r="R122" s="29">
        <f t="shared" ref="R122:U122" si="173">SUM(R121:R121)</f>
        <v>10139.752053301947</v>
      </c>
      <c r="S122" s="29">
        <f t="shared" si="173"/>
        <v>59.201378329655199</v>
      </c>
      <c r="T122" s="29">
        <f t="shared" si="173"/>
        <v>0</v>
      </c>
      <c r="U122" s="29">
        <f t="shared" si="173"/>
        <v>0</v>
      </c>
    </row>
    <row r="123" spans="1:21">
      <c r="A123" s="13"/>
      <c r="B123" s="8"/>
      <c r="C123" s="21"/>
      <c r="D123" s="33"/>
      <c r="E123" s="33"/>
      <c r="F123" s="5"/>
      <c r="G123" s="33"/>
      <c r="H123" s="6"/>
      <c r="I123" s="33"/>
      <c r="J123" s="33"/>
      <c r="K123" s="21"/>
      <c r="L123" s="21"/>
      <c r="M123" s="21"/>
      <c r="N123" s="8"/>
      <c r="O123" s="9"/>
      <c r="P123" s="22">
        <f t="shared" si="96"/>
        <v>0</v>
      </c>
    </row>
    <row r="124" spans="1:21">
      <c r="A124" s="13">
        <v>50060</v>
      </c>
      <c r="B124" s="8" t="s">
        <v>76</v>
      </c>
      <c r="C124" s="18">
        <f>IFERROR(VLOOKUP(A124,'2120 IS'!$A$48:$AE$241,31,FALSE),0)</f>
        <v>88584.890000000014</v>
      </c>
      <c r="D124" s="19"/>
      <c r="E124" s="19">
        <f t="shared" ref="E124:E127" si="174">SUM(C124:D124)</f>
        <v>88584.890000000014</v>
      </c>
      <c r="F124" s="5"/>
      <c r="G124" s="33"/>
      <c r="H124" s="6"/>
      <c r="I124" s="19">
        <f t="shared" ref="I124:I127" si="175">E124+G124</f>
        <v>88584.890000000014</v>
      </c>
      <c r="J124" s="19"/>
      <c r="K124" s="18">
        <f>I124*Ratios!$C$49</f>
        <v>78623.030483985785</v>
      </c>
      <c r="L124" s="18">
        <f>I124*Ratios!$D$49</f>
        <v>315.24871886121002</v>
      </c>
      <c r="M124" s="18">
        <f t="shared" ref="M124:M126" si="176">I124-K124-L124</f>
        <v>9646.6107971530182</v>
      </c>
      <c r="N124" s="8" t="s">
        <v>21</v>
      </c>
      <c r="O124" s="8"/>
      <c r="P124" s="22">
        <f t="shared" si="96"/>
        <v>0</v>
      </c>
      <c r="R124" s="849">
        <f>K124*Ratios!$N$43</f>
        <v>78433.88125266906</v>
      </c>
      <c r="S124" s="849">
        <f t="shared" ref="S124:S126" si="177">K124-R124</f>
        <v>189.14923131672549</v>
      </c>
      <c r="T124" s="8" t="s">
        <v>21</v>
      </c>
      <c r="U124" s="475">
        <f t="shared" ref="U124:U126" si="178">K124-R124-S124</f>
        <v>0</v>
      </c>
    </row>
    <row r="125" spans="1:21">
      <c r="A125" s="13">
        <v>52060</v>
      </c>
      <c r="B125" s="8" t="s">
        <v>76</v>
      </c>
      <c r="C125" s="18">
        <f>IFERROR(VLOOKUP(A125,'2120 IS'!$A$48:$AE$241,31,FALSE),0)</f>
        <v>20058.560000000005</v>
      </c>
      <c r="D125" s="33"/>
      <c r="E125" s="19">
        <f t="shared" si="174"/>
        <v>20058.560000000005</v>
      </c>
      <c r="F125" s="5"/>
      <c r="G125" s="33"/>
      <c r="H125" s="6"/>
      <c r="I125" s="19">
        <f t="shared" si="175"/>
        <v>20058.560000000005</v>
      </c>
      <c r="J125" s="19"/>
      <c r="K125" s="18">
        <f>I125*Ratios!$C$49</f>
        <v>17802.864284697513</v>
      </c>
      <c r="L125" s="18">
        <f>I125*Ratios!$D$49</f>
        <v>71.382775800711755</v>
      </c>
      <c r="M125" s="18">
        <f t="shared" si="176"/>
        <v>2184.3129395017804</v>
      </c>
      <c r="N125" s="8" t="s">
        <v>21</v>
      </c>
      <c r="O125" s="8"/>
      <c r="P125" s="22">
        <f t="shared" si="96"/>
        <v>0</v>
      </c>
      <c r="R125" s="849">
        <f>K125*Ratios!$N$43</f>
        <v>17760.034619217087</v>
      </c>
      <c r="S125" s="849">
        <f t="shared" si="177"/>
        <v>42.829665480425319</v>
      </c>
      <c r="T125" s="8" t="s">
        <v>21</v>
      </c>
      <c r="U125" s="475">
        <f t="shared" si="178"/>
        <v>0</v>
      </c>
    </row>
    <row r="126" spans="1:21">
      <c r="A126" s="13">
        <v>56060</v>
      </c>
      <c r="B126" s="8" t="s">
        <v>76</v>
      </c>
      <c r="C126" s="18">
        <f>IFERROR(VLOOKUP(A126,'2120 IS'!$A$48:$AE$241,31,FALSE),0)</f>
        <v>10466.36</v>
      </c>
      <c r="D126" s="19"/>
      <c r="E126" s="19">
        <f>SUM(C126:D126)</f>
        <v>10466.36</v>
      </c>
      <c r="F126" s="5"/>
      <c r="G126" s="19"/>
      <c r="H126" s="54"/>
      <c r="I126" s="19">
        <f t="shared" si="175"/>
        <v>10466.36</v>
      </c>
      <c r="J126" s="19"/>
      <c r="K126" s="18">
        <f>I126*Ratios!$C$49</f>
        <v>9289.3600854092529</v>
      </c>
      <c r="L126" s="18">
        <f>I126*Ratios!$D$49</f>
        <v>37.24683274021352</v>
      </c>
      <c r="M126" s="18">
        <f t="shared" si="176"/>
        <v>1139.7530818505343</v>
      </c>
      <c r="N126" s="8" t="s">
        <v>21</v>
      </c>
      <c r="O126" s="9"/>
      <c r="P126" s="22">
        <f t="shared" si="96"/>
        <v>0</v>
      </c>
      <c r="R126" s="849">
        <f>K126*Ratios!$N$43</f>
        <v>9267.0119857651243</v>
      </c>
      <c r="S126" s="849">
        <f t="shared" si="177"/>
        <v>22.348099644128524</v>
      </c>
      <c r="T126" s="8" t="s">
        <v>21</v>
      </c>
      <c r="U126" s="475">
        <f t="shared" si="178"/>
        <v>0</v>
      </c>
    </row>
    <row r="127" spans="1:21">
      <c r="A127" s="13">
        <v>70060</v>
      </c>
      <c r="B127" s="8" t="s">
        <v>76</v>
      </c>
      <c r="C127" s="23">
        <f>IFERROR(VLOOKUP(A127,'2120 IS'!$A$48:$AE$241,31,FALSE),0)</f>
        <v>27066.01</v>
      </c>
      <c r="D127" s="24"/>
      <c r="E127" s="24">
        <f t="shared" si="174"/>
        <v>27066.01</v>
      </c>
      <c r="F127" s="14"/>
      <c r="G127" s="25"/>
      <c r="H127" s="37"/>
      <c r="I127" s="24">
        <f t="shared" si="175"/>
        <v>27066.01</v>
      </c>
      <c r="J127" s="24"/>
      <c r="K127" s="23">
        <f>I127*Ratios!$C$17</f>
        <v>22846.65815050641</v>
      </c>
      <c r="L127" s="23">
        <f>I127*Ratios!$D$17</f>
        <v>12.903266569753434</v>
      </c>
      <c r="M127" s="23">
        <f>I127-K127-L127</f>
        <v>4206.4485829238356</v>
      </c>
      <c r="N127" s="8" t="s">
        <v>59</v>
      </c>
      <c r="O127" s="8"/>
      <c r="P127" s="22">
        <f t="shared" si="96"/>
        <v>0</v>
      </c>
      <c r="R127" s="850">
        <f>K127*Ratios!$J$9</f>
        <v>22714.041244095057</v>
      </c>
      <c r="S127" s="850">
        <f>K127-R127</f>
        <v>132.61690641135283</v>
      </c>
      <c r="T127" s="848" t="s">
        <v>59</v>
      </c>
      <c r="U127" s="847">
        <f t="shared" ref="U127" si="179">K127-R127-S127</f>
        <v>0</v>
      </c>
    </row>
    <row r="128" spans="1:21">
      <c r="A128" s="42">
        <v>46500</v>
      </c>
      <c r="B128" s="45" t="s">
        <v>77</v>
      </c>
      <c r="C128" s="29">
        <f>SUM(C124:C127)</f>
        <v>146175.82</v>
      </c>
      <c r="D128" s="29">
        <f>SUM(D124:D127)</f>
        <v>0</v>
      </c>
      <c r="E128" s="29">
        <f>SUM(E124:E127)</f>
        <v>146175.82</v>
      </c>
      <c r="F128" s="30"/>
      <c r="G128" s="29">
        <f>SUM(G124:G127)</f>
        <v>0</v>
      </c>
      <c r="H128" s="43"/>
      <c r="I128" s="29">
        <f>SUM(I124:I127)</f>
        <v>146175.82</v>
      </c>
      <c r="J128" s="29"/>
      <c r="K128" s="29">
        <f>SUM(K124:K127)</f>
        <v>128561.91300459896</v>
      </c>
      <c r="L128" s="29">
        <f t="shared" ref="L128:M128" si="180">SUM(L124:L127)</f>
        <v>436.78159397188875</v>
      </c>
      <c r="M128" s="29">
        <f t="shared" si="180"/>
        <v>17177.12540142917</v>
      </c>
      <c r="N128" s="32"/>
      <c r="O128" s="32"/>
      <c r="P128" s="22">
        <f t="shared" si="96"/>
        <v>0</v>
      </c>
      <c r="R128" s="29">
        <f t="shared" ref="R128:U128" si="181">SUM(R124:R127)</f>
        <v>128174.96910174633</v>
      </c>
      <c r="S128" s="29">
        <f t="shared" si="181"/>
        <v>386.94390285263216</v>
      </c>
      <c r="T128" s="29">
        <f t="shared" si="181"/>
        <v>0</v>
      </c>
      <c r="U128" s="29">
        <f t="shared" si="181"/>
        <v>0</v>
      </c>
    </row>
    <row r="129" spans="1:21">
      <c r="A129" s="13"/>
      <c r="B129" s="8"/>
      <c r="C129" s="21"/>
      <c r="D129" s="33"/>
      <c r="E129" s="33"/>
      <c r="F129" s="5"/>
      <c r="G129" s="33"/>
      <c r="H129" s="6"/>
      <c r="I129" s="33"/>
      <c r="J129" s="33"/>
      <c r="K129" s="21"/>
      <c r="L129" s="21"/>
      <c r="M129" s="21"/>
      <c r="N129" s="8"/>
      <c r="O129" s="8"/>
      <c r="P129" s="22">
        <f t="shared" si="96"/>
        <v>0</v>
      </c>
    </row>
    <row r="130" spans="1:21">
      <c r="A130" s="13">
        <v>50115</v>
      </c>
      <c r="B130" s="8" t="s">
        <v>78</v>
      </c>
      <c r="C130" s="18">
        <f>IFERROR(VLOOKUP(A130,'2120 IS'!$A$48:$AE$241,31,FALSE),0)</f>
        <v>6324.99</v>
      </c>
      <c r="D130" s="33"/>
      <c r="E130" s="19">
        <f t="shared" ref="E130" si="182">SUM(C130:D130)</f>
        <v>6324.99</v>
      </c>
      <c r="F130" s="5"/>
      <c r="G130" s="33"/>
      <c r="H130" s="6"/>
      <c r="I130" s="19">
        <f t="shared" ref="I130" si="183">E130+G130</f>
        <v>6324.99</v>
      </c>
      <c r="J130" s="19"/>
      <c r="K130" s="18">
        <f>I130*Ratios!$C$49</f>
        <v>5613.7099857651247</v>
      </c>
      <c r="L130" s="18">
        <f>I130*Ratios!$D$49</f>
        <v>22.508861209964412</v>
      </c>
      <c r="M130" s="18">
        <f t="shared" ref="M130:M132" si="184">I130-K130-L130</f>
        <v>688.77115302491075</v>
      </c>
      <c r="N130" s="8" t="s">
        <v>21</v>
      </c>
      <c r="O130" s="8"/>
      <c r="P130" s="22">
        <f t="shared" si="96"/>
        <v>0</v>
      </c>
      <c r="R130" s="849">
        <f>K130*Ratios!$N$43</f>
        <v>5600.2046690391462</v>
      </c>
      <c r="S130" s="849">
        <f t="shared" ref="S130:S132" si="185">K130-R130</f>
        <v>13.505316725978446</v>
      </c>
      <c r="T130" s="8" t="s">
        <v>21</v>
      </c>
      <c r="U130" s="475">
        <f t="shared" ref="U130:U132" si="186">K130-R130-S130</f>
        <v>0</v>
      </c>
    </row>
    <row r="131" spans="1:21">
      <c r="A131" s="13">
        <v>52115</v>
      </c>
      <c r="B131" s="8" t="s">
        <v>78</v>
      </c>
      <c r="C131" s="18">
        <f>IFERROR(VLOOKUP(A131,'2120 IS'!$A$48:$AE$241,31,FALSE),0)</f>
        <v>1132.52</v>
      </c>
      <c r="D131" s="33"/>
      <c r="E131" s="19">
        <f t="shared" ref="E131" si="187">SUM(C131:D131)</f>
        <v>1132.52</v>
      </c>
      <c r="F131" s="5"/>
      <c r="G131" s="33"/>
      <c r="H131" s="6"/>
      <c r="I131" s="19">
        <f t="shared" ref="I131" si="188">E131+G131</f>
        <v>1132.52</v>
      </c>
      <c r="J131" s="19"/>
      <c r="K131" s="18">
        <f>I131*Ratios!$C$49</f>
        <v>1005.1618790035587</v>
      </c>
      <c r="L131" s="18">
        <f>I131*Ratios!$D$49</f>
        <v>4.0303202846975088</v>
      </c>
      <c r="M131" s="18">
        <f t="shared" si="184"/>
        <v>123.32780071174373</v>
      </c>
      <c r="N131" s="8" t="s">
        <v>21</v>
      </c>
      <c r="O131" s="8"/>
      <c r="P131" s="22">
        <f t="shared" si="96"/>
        <v>0</v>
      </c>
      <c r="R131" s="849">
        <f>K131*Ratios!$N$43</f>
        <v>1002.7436868327403</v>
      </c>
      <c r="S131" s="849">
        <f t="shared" si="185"/>
        <v>2.4181921708184291</v>
      </c>
      <c r="T131" s="8" t="s">
        <v>21</v>
      </c>
      <c r="U131" s="475">
        <f t="shared" si="186"/>
        <v>0</v>
      </c>
    </row>
    <row r="132" spans="1:21">
      <c r="A132" s="13">
        <v>56115</v>
      </c>
      <c r="B132" s="8" t="s">
        <v>78</v>
      </c>
      <c r="C132" s="18">
        <f>IFERROR(VLOOKUP(A132,'2120 IS'!$A$48:$AE$241,31,FALSE),0)</f>
        <v>2027.7399999999998</v>
      </c>
      <c r="D132" s="33"/>
      <c r="E132" s="19">
        <f t="shared" ref="E132" si="189">SUM(C132:D132)</f>
        <v>2027.7399999999998</v>
      </c>
      <c r="F132" s="5"/>
      <c r="G132" s="33"/>
      <c r="H132" s="6"/>
      <c r="I132" s="19">
        <f t="shared" ref="I132" si="190">E132+G132</f>
        <v>2027.7399999999998</v>
      </c>
      <c r="J132" s="19"/>
      <c r="K132" s="18">
        <f>I132*Ratios!$C$49</f>
        <v>1799.7094519572952</v>
      </c>
      <c r="L132" s="18">
        <f>I132*Ratios!$D$49</f>
        <v>7.2161565836298918</v>
      </c>
      <c r="M132" s="18">
        <f t="shared" si="184"/>
        <v>220.8143914590747</v>
      </c>
      <c r="N132" s="8" t="s">
        <v>21</v>
      </c>
      <c r="O132" s="8"/>
      <c r="P132" s="22">
        <f t="shared" si="96"/>
        <v>0</v>
      </c>
      <c r="R132" s="849">
        <f>K132*Ratios!$N$43</f>
        <v>1795.3797580071173</v>
      </c>
      <c r="S132" s="849">
        <f t="shared" si="185"/>
        <v>4.3296939501778979</v>
      </c>
      <c r="T132" s="8" t="s">
        <v>21</v>
      </c>
      <c r="U132" s="475">
        <f t="shared" si="186"/>
        <v>0</v>
      </c>
    </row>
    <row r="133" spans="1:21">
      <c r="A133" s="13">
        <v>70116</v>
      </c>
      <c r="B133" s="8" t="s">
        <v>78</v>
      </c>
      <c r="C133" s="23">
        <f>IFERROR(VLOOKUP(A133,'2120 IS'!$A$48:$AE$241,31,FALSE),0)</f>
        <v>2287.37</v>
      </c>
      <c r="D133" s="25"/>
      <c r="E133" s="24">
        <f t="shared" ref="E133" si="191">SUM(C133:D133)</f>
        <v>2287.37</v>
      </c>
      <c r="F133" s="14"/>
      <c r="G133" s="25"/>
      <c r="H133" s="37"/>
      <c r="I133" s="24">
        <f t="shared" ref="I133" si="192">E133+G133</f>
        <v>2287.37</v>
      </c>
      <c r="J133" s="24"/>
      <c r="K133" s="23">
        <f>I133*Ratios!$C$17</f>
        <v>1930.7892243342794</v>
      </c>
      <c r="L133" s="23">
        <f>I133*Ratios!$D$17</f>
        <v>1.0904653051431266</v>
      </c>
      <c r="M133" s="23">
        <f>I133-K133-L133</f>
        <v>355.49031036057733</v>
      </c>
      <c r="N133" s="8" t="s">
        <v>59</v>
      </c>
      <c r="O133" s="9"/>
      <c r="P133" s="22">
        <f t="shared" si="96"/>
        <v>0</v>
      </c>
      <c r="R133" s="850">
        <f>K133*Ratios!$J$9</f>
        <v>1919.5816642536417</v>
      </c>
      <c r="S133" s="850">
        <f>K133-R133</f>
        <v>11.207560080637677</v>
      </c>
      <c r="T133" s="848" t="s">
        <v>59</v>
      </c>
      <c r="U133" s="847">
        <f t="shared" ref="U133" si="193">K133-R133-S133</f>
        <v>0</v>
      </c>
    </row>
    <row r="134" spans="1:21">
      <c r="A134" s="42">
        <v>46510</v>
      </c>
      <c r="B134" s="45" t="s">
        <v>78</v>
      </c>
      <c r="C134" s="29">
        <f>SUM(C130:C133)</f>
        <v>11772.619999999999</v>
      </c>
      <c r="D134" s="29">
        <f t="shared" ref="D134:E134" si="194">SUM(D130:D133)</f>
        <v>0</v>
      </c>
      <c r="E134" s="29">
        <f t="shared" si="194"/>
        <v>11772.619999999999</v>
      </c>
      <c r="F134" s="30"/>
      <c r="G134" s="29">
        <f>SUM(G130:G133)</f>
        <v>0</v>
      </c>
      <c r="H134" s="43"/>
      <c r="I134" s="29">
        <f>SUM(I130:I133)</f>
        <v>11772.619999999999</v>
      </c>
      <c r="J134" s="29"/>
      <c r="K134" s="29">
        <f t="shared" ref="K134" si="195">SUM(K130:K133)</f>
        <v>10349.370541060258</v>
      </c>
      <c r="L134" s="29">
        <f t="shared" ref="L134" si="196">SUM(L130:L133)</f>
        <v>34.845803383434941</v>
      </c>
      <c r="M134" s="29">
        <f t="shared" ref="M134" si="197">SUM(M130:M133)</f>
        <v>1388.4036555563064</v>
      </c>
      <c r="N134" s="32"/>
      <c r="O134" s="32"/>
      <c r="P134" s="22">
        <f t="shared" si="96"/>
        <v>0</v>
      </c>
      <c r="R134" s="29">
        <f t="shared" ref="R134:U134" si="198">SUM(R130:R133)</f>
        <v>10317.909778132645</v>
      </c>
      <c r="S134" s="29">
        <f t="shared" si="198"/>
        <v>31.46076292761245</v>
      </c>
      <c r="T134" s="29">
        <f t="shared" si="198"/>
        <v>0</v>
      </c>
      <c r="U134" s="29">
        <f t="shared" si="198"/>
        <v>0</v>
      </c>
    </row>
    <row r="135" spans="1:21">
      <c r="A135" s="13"/>
      <c r="B135" s="8"/>
      <c r="C135" s="21"/>
      <c r="D135" s="33"/>
      <c r="E135" s="33"/>
      <c r="F135" s="5"/>
      <c r="G135" s="33"/>
      <c r="H135" s="6"/>
      <c r="I135" s="33"/>
      <c r="J135" s="33"/>
      <c r="K135" s="21"/>
      <c r="L135" s="21"/>
      <c r="M135" s="21"/>
      <c r="N135" s="8"/>
      <c r="O135" s="9"/>
      <c r="P135" s="22">
        <f t="shared" si="96"/>
        <v>0</v>
      </c>
    </row>
    <row r="136" spans="1:21">
      <c r="A136" s="13">
        <v>70310</v>
      </c>
      <c r="B136" s="8" t="s">
        <v>79</v>
      </c>
      <c r="C136" s="23">
        <f>IFERROR(VLOOKUP(A136,'2120 IS'!$A$48:$AE$241,31,FALSE),0)</f>
        <v>12392.52</v>
      </c>
      <c r="D136" s="24">
        <f>'Restating Adj''s'!V44</f>
        <v>691.6100000000115</v>
      </c>
      <c r="E136" s="24">
        <f t="shared" ref="E136" si="199">SUM(C136:D136)</f>
        <v>13084.130000000012</v>
      </c>
      <c r="F136" s="14" t="s">
        <v>1782</v>
      </c>
      <c r="G136" s="25"/>
      <c r="H136" s="37"/>
      <c r="I136" s="24">
        <f t="shared" ref="I136" si="200">E136+G136</f>
        <v>13084.130000000012</v>
      </c>
      <c r="J136" s="24"/>
      <c r="K136" s="23">
        <f>I136*Ratios!$C$17</f>
        <v>11044.429722252587</v>
      </c>
      <c r="L136" s="23">
        <f>I136*Ratios!$D$17</f>
        <v>6.237639652956168</v>
      </c>
      <c r="M136" s="23">
        <f>I136-K136-L136</f>
        <v>2033.4626380944683</v>
      </c>
      <c r="N136" s="8" t="s">
        <v>59</v>
      </c>
      <c r="O136" s="9"/>
      <c r="P136" s="22">
        <f t="shared" si="96"/>
        <v>0</v>
      </c>
      <c r="R136" s="850">
        <f>K136*Ratios!$J$9</f>
        <v>10980.320648041648</v>
      </c>
      <c r="S136" s="850">
        <f>K136-R136</f>
        <v>64.10907421093907</v>
      </c>
      <c r="T136" s="848" t="s">
        <v>59</v>
      </c>
      <c r="U136" s="847">
        <f t="shared" ref="U136" si="201">K136-R136-S136</f>
        <v>0</v>
      </c>
    </row>
    <row r="137" spans="1:21">
      <c r="A137" s="42">
        <v>46700</v>
      </c>
      <c r="B137" s="45" t="s">
        <v>80</v>
      </c>
      <c r="C137" s="29">
        <f>SUM(C136:C136)</f>
        <v>12392.52</v>
      </c>
      <c r="D137" s="29">
        <f>SUM(D136:D136)</f>
        <v>691.6100000000115</v>
      </c>
      <c r="E137" s="29">
        <f>SUM(E136:E136)</f>
        <v>13084.130000000012</v>
      </c>
      <c r="F137" s="30"/>
      <c r="G137" s="29">
        <f>SUM(G136:G136)</f>
        <v>0</v>
      </c>
      <c r="H137" s="43"/>
      <c r="I137" s="29">
        <f>SUM(I136:I136)</f>
        <v>13084.130000000012</v>
      </c>
      <c r="J137" s="29"/>
      <c r="K137" s="29">
        <f>SUM(K136:K136)</f>
        <v>11044.429722252587</v>
      </c>
      <c r="L137" s="29">
        <f t="shared" ref="L137:M137" si="202">SUM(L136:L136)</f>
        <v>6.237639652956168</v>
      </c>
      <c r="M137" s="29">
        <f t="shared" si="202"/>
        <v>2033.4626380944683</v>
      </c>
      <c r="N137" s="32"/>
      <c r="O137" s="32"/>
      <c r="P137" s="22">
        <f t="shared" si="96"/>
        <v>0</v>
      </c>
      <c r="R137" s="29">
        <f t="shared" ref="R137:U137" si="203">SUM(R136:R136)</f>
        <v>10980.320648041648</v>
      </c>
      <c r="S137" s="29">
        <f t="shared" si="203"/>
        <v>64.10907421093907</v>
      </c>
      <c r="T137" s="29">
        <f t="shared" si="203"/>
        <v>0</v>
      </c>
      <c r="U137" s="29">
        <f t="shared" si="203"/>
        <v>0</v>
      </c>
    </row>
    <row r="138" spans="1:21">
      <c r="A138" s="13"/>
      <c r="B138" s="8"/>
      <c r="C138" s="21"/>
      <c r="D138" s="33"/>
      <c r="E138" s="33"/>
      <c r="F138" s="5"/>
      <c r="G138" s="33"/>
      <c r="H138" s="6"/>
      <c r="I138" s="33"/>
      <c r="J138" s="33"/>
      <c r="K138" s="21"/>
      <c r="L138" s="21"/>
      <c r="M138" s="21"/>
      <c r="N138" s="8"/>
      <c r="O138" s="9"/>
      <c r="P138" s="22">
        <f t="shared" si="96"/>
        <v>0</v>
      </c>
    </row>
    <row r="139" spans="1:21">
      <c r="A139" s="13">
        <v>60225</v>
      </c>
      <c r="B139" s="8" t="s">
        <v>181</v>
      </c>
      <c r="C139" s="18">
        <f>IFERROR(VLOOKUP(A139,'2120 IS'!$A$48:$AE$241,31,FALSE),0)</f>
        <v>586.5</v>
      </c>
      <c r="D139" s="33"/>
      <c r="E139" s="19">
        <f t="shared" ref="E139" si="204">SUM(C139:D139)</f>
        <v>586.5</v>
      </c>
      <c r="F139" s="5"/>
      <c r="G139" s="33"/>
      <c r="H139" s="6"/>
      <c r="I139" s="19">
        <f t="shared" ref="I139" si="205">E139+G139</f>
        <v>586.5</v>
      </c>
      <c r="J139" s="19"/>
      <c r="K139" s="18">
        <f>I139*Ratios!$C$17</f>
        <v>495.06983132245983</v>
      </c>
      <c r="L139" s="18">
        <f>I139*Ratios!$D$17</f>
        <v>0.27960404371240499</v>
      </c>
      <c r="M139" s="18">
        <f>I139-K139-L139</f>
        <v>91.150564633827756</v>
      </c>
      <c r="N139" s="8" t="s">
        <v>59</v>
      </c>
      <c r="O139" s="9"/>
      <c r="P139" s="22">
        <f t="shared" ref="P139:P194" si="206">I139-K139-L139-M139</f>
        <v>0</v>
      </c>
      <c r="R139" s="849">
        <f>K139*Ratios!$J$9</f>
        <v>492.19612309541566</v>
      </c>
      <c r="S139" s="849">
        <f>K139-R139</f>
        <v>2.8737082270441761</v>
      </c>
      <c r="T139" s="8" t="s">
        <v>59</v>
      </c>
      <c r="U139" s="475">
        <f t="shared" ref="U139:U159" si="207">K139-R139-S139</f>
        <v>0</v>
      </c>
    </row>
    <row r="140" spans="1:21">
      <c r="A140" s="13">
        <v>70086</v>
      </c>
      <c r="B140" s="8" t="s">
        <v>45</v>
      </c>
      <c r="C140" s="18">
        <f>IFERROR(VLOOKUP(A140,'2120 IS'!$A$48:$AE$241,31,FALSE),0)</f>
        <v>186.9</v>
      </c>
      <c r="D140" s="33"/>
      <c r="E140" s="19">
        <f t="shared" ref="E140:E159" si="208">SUM(C140:D140)</f>
        <v>186.9</v>
      </c>
      <c r="F140" s="5"/>
      <c r="G140" s="33"/>
      <c r="H140" s="6"/>
      <c r="I140" s="19">
        <f t="shared" ref="I140:I159" si="209">E140+G140</f>
        <v>186.9</v>
      </c>
      <c r="J140" s="19"/>
      <c r="K140" s="18">
        <f>I140*Ratios!$C$49</f>
        <v>165.8820640569395</v>
      </c>
      <c r="L140" s="18">
        <f>I140*Ratios!$D$49</f>
        <v>0.66512455516014235</v>
      </c>
      <c r="M140" s="18">
        <f t="shared" ref="M140:M142" si="210">I140-K140-L140</f>
        <v>20.352811387900367</v>
      </c>
      <c r="N140" s="8" t="s">
        <v>21</v>
      </c>
      <c r="O140" s="8"/>
      <c r="P140" s="22">
        <f t="shared" si="206"/>
        <v>0</v>
      </c>
      <c r="R140" s="849">
        <f>K140*Ratios!$N$43</f>
        <v>165.48298932384341</v>
      </c>
      <c r="S140" s="849">
        <f t="shared" ref="S140:S142" si="211">K140-R140</f>
        <v>0.39907473309608577</v>
      </c>
      <c r="T140" s="8" t="s">
        <v>21</v>
      </c>
      <c r="U140" s="475">
        <f t="shared" si="207"/>
        <v>0</v>
      </c>
    </row>
    <row r="141" spans="1:21">
      <c r="A141" s="39">
        <v>70095</v>
      </c>
      <c r="B141" s="8" t="s">
        <v>81</v>
      </c>
      <c r="C141" s="18">
        <f>IFERROR(VLOOKUP(A141,'2120 IS'!$A$48:$AE$241,31,FALSE),0)</f>
        <v>2921.9299999999994</v>
      </c>
      <c r="D141" s="19">
        <f>'Restating Adj''s'!D60</f>
        <v>-40</v>
      </c>
      <c r="E141" s="19">
        <f t="shared" si="208"/>
        <v>2881.9299999999994</v>
      </c>
      <c r="F141" s="603" t="s">
        <v>566</v>
      </c>
      <c r="G141" s="33"/>
      <c r="H141" s="6"/>
      <c r="I141" s="19">
        <f t="shared" si="209"/>
        <v>2881.9299999999994</v>
      </c>
      <c r="J141" s="19"/>
      <c r="K141" s="18">
        <f>I141*Ratios!$C$49</f>
        <v>2557.8410747330954</v>
      </c>
      <c r="L141" s="18">
        <f>I141*Ratios!$D$49</f>
        <v>10.255978647686829</v>
      </c>
      <c r="M141" s="18">
        <f t="shared" si="210"/>
        <v>313.83294661921713</v>
      </c>
      <c r="N141" s="8" t="s">
        <v>21</v>
      </c>
      <c r="O141" s="8"/>
      <c r="P141" s="22">
        <f t="shared" si="206"/>
        <v>0</v>
      </c>
      <c r="R141" s="849">
        <f>K141*Ratios!$N$43</f>
        <v>2551.6874875444832</v>
      </c>
      <c r="S141" s="849">
        <f t="shared" si="211"/>
        <v>6.153587188612164</v>
      </c>
      <c r="T141" s="8" t="s">
        <v>21</v>
      </c>
      <c r="U141" s="475">
        <f t="shared" si="207"/>
        <v>0</v>
      </c>
    </row>
    <row r="142" spans="1:21">
      <c r="A142" s="39">
        <v>70105</v>
      </c>
      <c r="B142" s="8" t="s">
        <v>184</v>
      </c>
      <c r="C142" s="18">
        <f>IFERROR(VLOOKUP(A142,'2120 IS'!$A$48:$AE$241,31,FALSE),0)</f>
        <v>2474.6399999999994</v>
      </c>
      <c r="D142" s="19"/>
      <c r="E142" s="19">
        <f t="shared" ref="E142" si="212">SUM(C142:D142)</f>
        <v>2474.6399999999994</v>
      </c>
      <c r="F142" s="5"/>
      <c r="G142" s="33"/>
      <c r="H142" s="6"/>
      <c r="I142" s="19">
        <f t="shared" ref="I142" si="213">E142+G142</f>
        <v>2474.6399999999994</v>
      </c>
      <c r="J142" s="19"/>
      <c r="K142" s="18">
        <f>I142*Ratios!$C$49</f>
        <v>2196.3530818505333</v>
      </c>
      <c r="L142" s="18">
        <f>I142*Ratios!$D$49</f>
        <v>8.8065480427046232</v>
      </c>
      <c r="M142" s="18">
        <f t="shared" si="210"/>
        <v>269.48037010676154</v>
      </c>
      <c r="N142" s="8" t="s">
        <v>21</v>
      </c>
      <c r="O142" s="8"/>
      <c r="P142" s="22">
        <f t="shared" si="206"/>
        <v>0</v>
      </c>
      <c r="R142" s="849">
        <f>K142*Ratios!$N$43</f>
        <v>2191.0691530249105</v>
      </c>
      <c r="S142" s="849">
        <f t="shared" si="211"/>
        <v>5.2839288256227519</v>
      </c>
      <c r="T142" s="8" t="s">
        <v>21</v>
      </c>
      <c r="U142" s="475">
        <f t="shared" si="207"/>
        <v>0</v>
      </c>
    </row>
    <row r="143" spans="1:21">
      <c r="A143" s="39">
        <v>70110</v>
      </c>
      <c r="B143" s="8" t="s">
        <v>82</v>
      </c>
      <c r="C143" s="18">
        <f>IFERROR(VLOOKUP(A143,'2120 IS'!$A$48:$AE$241,31,FALSE),0)</f>
        <v>1885</v>
      </c>
      <c r="D143" s="19">
        <f>'Restating Adj''s'!D61</f>
        <v>-1885</v>
      </c>
      <c r="E143" s="19">
        <f t="shared" si="208"/>
        <v>0</v>
      </c>
      <c r="F143" s="603" t="s">
        <v>566</v>
      </c>
      <c r="G143" s="33"/>
      <c r="H143" s="6"/>
      <c r="I143" s="19">
        <f t="shared" si="209"/>
        <v>0</v>
      </c>
      <c r="J143" s="19"/>
      <c r="K143" s="21">
        <f>I143</f>
        <v>0</v>
      </c>
      <c r="L143" s="21"/>
      <c r="M143" s="21"/>
      <c r="N143" s="8" t="s">
        <v>13</v>
      </c>
      <c r="O143" s="8"/>
      <c r="P143" s="22">
        <f t="shared" si="206"/>
        <v>0</v>
      </c>
      <c r="U143" s="475">
        <f t="shared" si="207"/>
        <v>0</v>
      </c>
    </row>
    <row r="144" spans="1:21">
      <c r="A144" s="13">
        <v>70148</v>
      </c>
      <c r="B144" s="8" t="s">
        <v>83</v>
      </c>
      <c r="C144" s="18">
        <f>IFERROR(VLOOKUP(A144,'2120 IS'!$A$48:$AE$241,31,FALSE),0)</f>
        <v>14347.96</v>
      </c>
      <c r="D144" s="19">
        <f>'Restating Adj''s'!P45</f>
        <v>-2189.6335861912557</v>
      </c>
      <c r="E144" s="19">
        <f t="shared" si="208"/>
        <v>12158.326413808743</v>
      </c>
      <c r="F144" s="603" t="s">
        <v>568</v>
      </c>
      <c r="G144" s="33"/>
      <c r="H144" s="6"/>
      <c r="I144" s="19">
        <f t="shared" si="209"/>
        <v>12158.326413808743</v>
      </c>
      <c r="J144" s="19"/>
      <c r="K144" s="18">
        <f>I144*Ratios!$C$17</f>
        <v>10262.950736313218</v>
      </c>
      <c r="L144" s="18">
        <f>I144*Ratios!$D$17</f>
        <v>5.7962783121504993</v>
      </c>
      <c r="M144" s="18">
        <f>I144-K144-L144</f>
        <v>1889.579399183375</v>
      </c>
      <c r="N144" s="8" t="s">
        <v>59</v>
      </c>
      <c r="O144" s="8"/>
      <c r="P144" s="22">
        <f t="shared" si="206"/>
        <v>0</v>
      </c>
      <c r="R144" s="849">
        <f>K144*Ratios!$J$9</f>
        <v>10203.377875882783</v>
      </c>
      <c r="S144" s="849">
        <f>K144-R144</f>
        <v>59.572860430434957</v>
      </c>
      <c r="T144" s="8" t="s">
        <v>59</v>
      </c>
      <c r="U144" s="475">
        <f t="shared" si="207"/>
        <v>0</v>
      </c>
    </row>
    <row r="145" spans="1:21">
      <c r="A145" s="13">
        <v>70150</v>
      </c>
      <c r="B145" s="8" t="s">
        <v>84</v>
      </c>
      <c r="C145" s="18">
        <f>IFERROR(VLOOKUP(A145,'2120 IS'!$A$48:$AE$241,31,FALSE),0)</f>
        <v>13256.41</v>
      </c>
      <c r="D145" s="19"/>
      <c r="E145" s="19">
        <f t="shared" si="208"/>
        <v>13256.41</v>
      </c>
      <c r="F145" s="5"/>
      <c r="G145" s="33"/>
      <c r="H145" s="6"/>
      <c r="I145" s="19">
        <f t="shared" si="209"/>
        <v>13256.41</v>
      </c>
      <c r="J145" s="19"/>
      <c r="K145" s="18">
        <f>I145*Ratios!$C$49</f>
        <v>11765.653572953737</v>
      </c>
      <c r="L145" s="18">
        <f>I145*Ratios!$D$49</f>
        <v>47.175836298932381</v>
      </c>
      <c r="M145" s="18">
        <f t="shared" ref="M145:M148" si="214">I145-K145-L145</f>
        <v>1443.5805907473302</v>
      </c>
      <c r="N145" s="8" t="s">
        <v>21</v>
      </c>
      <c r="O145" s="8"/>
      <c r="P145" s="22">
        <f t="shared" si="206"/>
        <v>0</v>
      </c>
      <c r="R145" s="849">
        <f>K145*Ratios!$N$43</f>
        <v>11737.348071174378</v>
      </c>
      <c r="S145" s="849">
        <f>K145-R145</f>
        <v>28.305501779359474</v>
      </c>
      <c r="T145" s="8" t="s">
        <v>21</v>
      </c>
      <c r="U145" s="475">
        <f t="shared" si="207"/>
        <v>0</v>
      </c>
    </row>
    <row r="146" spans="1:21">
      <c r="A146" s="13">
        <v>70167</v>
      </c>
      <c r="B146" s="8" t="s">
        <v>85</v>
      </c>
      <c r="C146" s="18">
        <f>IFERROR(VLOOKUP(A146,'2120 IS'!$A$48:$AE$241,31,FALSE),0)</f>
        <v>906.5</v>
      </c>
      <c r="D146" s="19"/>
      <c r="E146" s="19">
        <f t="shared" si="208"/>
        <v>906.5</v>
      </c>
      <c r="F146" s="5"/>
      <c r="G146" s="33"/>
      <c r="H146" s="6"/>
      <c r="I146" s="19">
        <f t="shared" si="209"/>
        <v>906.5</v>
      </c>
      <c r="J146" s="19"/>
      <c r="K146" s="18">
        <f>I146*Ratios!$C$17</f>
        <v>765.18465830146602</v>
      </c>
      <c r="L146" s="18">
        <f>I146*Ratios!$D$17</f>
        <v>0.43215867966802235</v>
      </c>
      <c r="M146" s="18">
        <f t="shared" si="214"/>
        <v>140.88318301886596</v>
      </c>
      <c r="N146" s="8" t="s">
        <v>59</v>
      </c>
      <c r="O146" s="8"/>
      <c r="P146" s="22">
        <f t="shared" si="206"/>
        <v>0</v>
      </c>
      <c r="R146" s="849">
        <f>K146*Ratios!$J$9</f>
        <v>760.74302742710029</v>
      </c>
      <c r="S146" s="849">
        <f t="shared" ref="S146:S148" si="215">K146-R146</f>
        <v>4.4416308743657282</v>
      </c>
      <c r="T146" s="8" t="s">
        <v>59</v>
      </c>
      <c r="U146" s="475">
        <f t="shared" si="207"/>
        <v>0</v>
      </c>
    </row>
    <row r="147" spans="1:21">
      <c r="A147" s="13">
        <v>70195</v>
      </c>
      <c r="B147" s="8" t="s">
        <v>187</v>
      </c>
      <c r="C147" s="18">
        <f>IFERROR(VLOOKUP(A147,'2120 IS'!$A$48:$AE$241,31,FALSE),0)</f>
        <v>3988.0399999999995</v>
      </c>
      <c r="D147" s="19">
        <f>'Restating Adj''s'!D62</f>
        <v>-422.7</v>
      </c>
      <c r="E147" s="19">
        <f t="shared" ref="E147:E148" si="216">SUM(C147:D147)</f>
        <v>3565.3399999999997</v>
      </c>
      <c r="F147" s="603" t="s">
        <v>566</v>
      </c>
      <c r="G147" s="33"/>
      <c r="H147" s="6"/>
      <c r="I147" s="19">
        <f t="shared" ref="I147:I148" si="217">E147+G147</f>
        <v>3565.3399999999997</v>
      </c>
      <c r="J147" s="19"/>
      <c r="K147" s="18">
        <f>I147*Ratios!$C$17</f>
        <v>3009.534991316656</v>
      </c>
      <c r="L147" s="18">
        <f>I147*Ratios!$D$17</f>
        <v>1.6997160804937526</v>
      </c>
      <c r="M147" s="18">
        <f t="shared" si="214"/>
        <v>554.10529260284989</v>
      </c>
      <c r="N147" s="8" t="s">
        <v>59</v>
      </c>
      <c r="O147" s="8"/>
      <c r="P147" s="22">
        <f t="shared" si="206"/>
        <v>0</v>
      </c>
      <c r="R147" s="849">
        <f>K147*Ratios!$J$9</f>
        <v>2992.0656871560259</v>
      </c>
      <c r="S147" s="849">
        <f t="shared" si="215"/>
        <v>17.469304160630145</v>
      </c>
      <c r="T147" s="8" t="s">
        <v>59</v>
      </c>
      <c r="U147" s="475">
        <f t="shared" si="207"/>
        <v>0</v>
      </c>
    </row>
    <row r="148" spans="1:21">
      <c r="A148" s="13">
        <v>70200</v>
      </c>
      <c r="B148" s="8" t="s">
        <v>188</v>
      </c>
      <c r="C148" s="18">
        <f>IFERROR(VLOOKUP(A148,'2120 IS'!$A$48:$AE$241,31,FALSE),0)</f>
        <v>885.59999999999991</v>
      </c>
      <c r="D148" s="19"/>
      <c r="E148" s="19">
        <f t="shared" si="216"/>
        <v>885.59999999999991</v>
      </c>
      <c r="F148" s="5"/>
      <c r="G148" s="33"/>
      <c r="H148" s="6"/>
      <c r="I148" s="19">
        <f t="shared" si="217"/>
        <v>885.59999999999991</v>
      </c>
      <c r="J148" s="19"/>
      <c r="K148" s="18">
        <f>I148*Ratios!$C$17</f>
        <v>747.54278366439962</v>
      </c>
      <c r="L148" s="18">
        <f>I148*Ratios!$D$17</f>
        <v>0.42219495500717102</v>
      </c>
      <c r="M148" s="18">
        <f t="shared" si="214"/>
        <v>137.63502138059312</v>
      </c>
      <c r="N148" s="8" t="s">
        <v>59</v>
      </c>
      <c r="O148" s="8"/>
      <c r="P148" s="22">
        <f t="shared" si="206"/>
        <v>0</v>
      </c>
      <c r="R148" s="849">
        <f>K148*Ratios!$J$9</f>
        <v>743.20355773793699</v>
      </c>
      <c r="S148" s="849">
        <f t="shared" si="215"/>
        <v>4.3392259264626318</v>
      </c>
      <c r="T148" s="8" t="s">
        <v>59</v>
      </c>
      <c r="U148" s="475">
        <f t="shared" si="207"/>
        <v>0</v>
      </c>
    </row>
    <row r="149" spans="1:21">
      <c r="A149" s="39">
        <v>70201</v>
      </c>
      <c r="B149" s="8" t="s">
        <v>86</v>
      </c>
      <c r="C149" s="18">
        <f>IFERROR(VLOOKUP(A149,'2120 IS'!$A$48:$AE$241,31,FALSE),0)</f>
        <v>462.1</v>
      </c>
      <c r="D149" s="33"/>
      <c r="E149" s="19">
        <f t="shared" si="208"/>
        <v>462.1</v>
      </c>
      <c r="F149" s="5"/>
      <c r="G149" s="33"/>
      <c r="H149" s="6"/>
      <c r="I149" s="19">
        <f t="shared" si="209"/>
        <v>462.1</v>
      </c>
      <c r="J149" s="19"/>
      <c r="K149" s="18">
        <f>I149*Ratios!$C$49</f>
        <v>410.1343060498221</v>
      </c>
      <c r="L149" s="18">
        <f>I149*Ratios!$D$49</f>
        <v>1.6444839857651246</v>
      </c>
      <c r="M149" s="18">
        <f t="shared" ref="M149:M158" si="218">I149-K149-L149</f>
        <v>50.321209964412795</v>
      </c>
      <c r="N149" s="8" t="s">
        <v>21</v>
      </c>
      <c r="O149" s="8"/>
      <c r="P149" s="22">
        <f t="shared" si="206"/>
        <v>0</v>
      </c>
      <c r="R149" s="849">
        <f>K149*Ratios!$N$43</f>
        <v>409.14761565836307</v>
      </c>
      <c r="S149" s="849">
        <f t="shared" ref="S149:S158" si="219">K149-R149</f>
        <v>0.98669039145903525</v>
      </c>
      <c r="T149" s="8" t="s">
        <v>21</v>
      </c>
      <c r="U149" s="475">
        <f t="shared" si="207"/>
        <v>0</v>
      </c>
    </row>
    <row r="150" spans="1:21">
      <c r="A150" s="39">
        <v>70202</v>
      </c>
      <c r="B150" s="8" t="s">
        <v>87</v>
      </c>
      <c r="C150" s="18">
        <f>IFERROR(VLOOKUP(A150,'2120 IS'!$A$48:$AE$241,31,FALSE),0)</f>
        <v>3428.74</v>
      </c>
      <c r="D150" s="33"/>
      <c r="E150" s="19">
        <f t="shared" si="208"/>
        <v>3428.74</v>
      </c>
      <c r="F150" s="5"/>
      <c r="G150" s="33"/>
      <c r="H150" s="6"/>
      <c r="I150" s="19">
        <f t="shared" si="209"/>
        <v>3428.74</v>
      </c>
      <c r="J150" s="19"/>
      <c r="K150" s="18">
        <f>I150*Ratios!$C$49</f>
        <v>3043.1592740213523</v>
      </c>
      <c r="L150" s="18">
        <f>I150*Ratios!$D$49</f>
        <v>12.201921708185052</v>
      </c>
      <c r="M150" s="18">
        <f t="shared" si="218"/>
        <v>373.37880427046241</v>
      </c>
      <c r="N150" s="8" t="s">
        <v>21</v>
      </c>
      <c r="O150" s="8"/>
      <c r="P150" s="22">
        <f t="shared" si="206"/>
        <v>0</v>
      </c>
      <c r="R150" s="849">
        <f>K150*Ratios!$N$43</f>
        <v>3035.8381209964414</v>
      </c>
      <c r="S150" s="849">
        <f t="shared" si="219"/>
        <v>7.3211530249109273</v>
      </c>
      <c r="T150" s="8" t="s">
        <v>21</v>
      </c>
      <c r="U150" s="475">
        <f t="shared" si="207"/>
        <v>0</v>
      </c>
    </row>
    <row r="151" spans="1:21">
      <c r="A151" s="39">
        <v>70203</v>
      </c>
      <c r="B151" s="8" t="s">
        <v>88</v>
      </c>
      <c r="C151" s="18">
        <f>IFERROR(VLOOKUP(A151,'2120 IS'!$A$48:$AE$241,31,FALSE),0)</f>
        <v>2335.1</v>
      </c>
      <c r="D151" s="33"/>
      <c r="E151" s="19">
        <f t="shared" si="208"/>
        <v>2335.1</v>
      </c>
      <c r="F151" s="5"/>
      <c r="G151" s="33"/>
      <c r="H151" s="6"/>
      <c r="I151" s="19">
        <f t="shared" si="209"/>
        <v>2335.1</v>
      </c>
      <c r="J151" s="19"/>
      <c r="K151" s="18">
        <f>I151*Ratios!$C$49</f>
        <v>2072.5051245551599</v>
      </c>
      <c r="L151" s="18">
        <f>I151*Ratios!$D$49</f>
        <v>8.3099644128113876</v>
      </c>
      <c r="M151" s="18">
        <f t="shared" si="218"/>
        <v>254.28491103202862</v>
      </c>
      <c r="N151" s="8" t="s">
        <v>21</v>
      </c>
      <c r="O151" s="8"/>
      <c r="P151" s="22">
        <f t="shared" si="206"/>
        <v>0</v>
      </c>
      <c r="R151" s="849">
        <f>K151*Ratios!$N$43</f>
        <v>2067.5191459074731</v>
      </c>
      <c r="S151" s="849">
        <f t="shared" si="219"/>
        <v>4.9859786476868067</v>
      </c>
      <c r="T151" s="8" t="s">
        <v>21</v>
      </c>
      <c r="U151" s="475">
        <f t="shared" si="207"/>
        <v>0</v>
      </c>
    </row>
    <row r="152" spans="1:21">
      <c r="A152" s="39">
        <v>70205</v>
      </c>
      <c r="B152" s="8" t="s">
        <v>89</v>
      </c>
      <c r="C152" s="18">
        <f>IFERROR(VLOOKUP(A152,'2120 IS'!$A$48:$AE$241,31,FALSE),0)</f>
        <v>6469.3200000000024</v>
      </c>
      <c r="D152" s="33"/>
      <c r="E152" s="19">
        <f t="shared" si="208"/>
        <v>6469.3200000000024</v>
      </c>
      <c r="F152" s="5"/>
      <c r="G152" s="33"/>
      <c r="H152" s="6"/>
      <c r="I152" s="19">
        <f t="shared" si="209"/>
        <v>6469.3200000000024</v>
      </c>
      <c r="J152" s="19"/>
      <c r="K152" s="18">
        <f>I152*Ratios!$C$49</f>
        <v>5741.8092811387924</v>
      </c>
      <c r="L152" s="18">
        <f>I152*Ratios!$D$49</f>
        <v>23.022491103202853</v>
      </c>
      <c r="M152" s="18">
        <f t="shared" si="218"/>
        <v>704.48822775800727</v>
      </c>
      <c r="N152" s="8" t="s">
        <v>21</v>
      </c>
      <c r="O152" s="8"/>
      <c r="P152" s="22">
        <f t="shared" si="206"/>
        <v>0</v>
      </c>
      <c r="R152" s="849">
        <f>K152*Ratios!$N$43</f>
        <v>5727.9957864768712</v>
      </c>
      <c r="S152" s="849">
        <f t="shared" si="219"/>
        <v>13.813494661921141</v>
      </c>
      <c r="T152" s="8" t="s">
        <v>21</v>
      </c>
      <c r="U152" s="475">
        <f t="shared" si="207"/>
        <v>0</v>
      </c>
    </row>
    <row r="153" spans="1:21">
      <c r="A153" s="39">
        <v>70206</v>
      </c>
      <c r="B153" s="8" t="s">
        <v>191</v>
      </c>
      <c r="C153" s="18">
        <f>IFERROR(VLOOKUP(A153,'2120 IS'!$A$48:$AE$241,31,FALSE),0)</f>
        <v>2106.5200000000004</v>
      </c>
      <c r="D153" s="33"/>
      <c r="E153" s="19">
        <f t="shared" ref="E153" si="220">SUM(C153:D153)</f>
        <v>2106.5200000000004</v>
      </c>
      <c r="F153" s="5"/>
      <c r="G153" s="33"/>
      <c r="H153" s="6"/>
      <c r="I153" s="19">
        <f t="shared" ref="I153" si="221">E153+G153</f>
        <v>2106.5200000000004</v>
      </c>
      <c r="J153" s="19"/>
      <c r="K153" s="18">
        <f>I153*Ratios!$C$49</f>
        <v>1869.6302064056943</v>
      </c>
      <c r="L153" s="18">
        <f>I153*Ratios!$D$49</f>
        <v>7.4965124555160152</v>
      </c>
      <c r="M153" s="18">
        <f t="shared" si="218"/>
        <v>229.39328113879017</v>
      </c>
      <c r="N153" s="8" t="s">
        <v>21</v>
      </c>
      <c r="O153" s="8"/>
      <c r="P153" s="22">
        <f t="shared" si="206"/>
        <v>0</v>
      </c>
      <c r="R153" s="849">
        <f>K153*Ratios!$N$43</f>
        <v>1865.1322989323846</v>
      </c>
      <c r="S153" s="849">
        <f t="shared" si="219"/>
        <v>4.497907473309624</v>
      </c>
      <c r="T153" s="8" t="s">
        <v>21</v>
      </c>
      <c r="U153" s="475">
        <f t="shared" si="207"/>
        <v>0</v>
      </c>
    </row>
    <row r="154" spans="1:21">
      <c r="A154" s="39">
        <v>70214</v>
      </c>
      <c r="B154" s="8" t="s">
        <v>90</v>
      </c>
      <c r="C154" s="18">
        <f>IFERROR(VLOOKUP(A154,'2120 IS'!$A$48:$AE$241,31,FALSE),0)</f>
        <v>5021.1399999999994</v>
      </c>
      <c r="D154" s="33"/>
      <c r="E154" s="19">
        <f t="shared" si="208"/>
        <v>5021.1399999999994</v>
      </c>
      <c r="F154" s="5"/>
      <c r="G154" s="33"/>
      <c r="H154" s="6"/>
      <c r="I154" s="19">
        <f t="shared" si="209"/>
        <v>5021.1399999999994</v>
      </c>
      <c r="J154" s="19"/>
      <c r="K154" s="18">
        <f>I154*Ratios!$C$17</f>
        <v>4238.3886323042725</v>
      </c>
      <c r="L154" s="18">
        <f>I154*Ratios!$D$17</f>
        <v>2.3937443274443391</v>
      </c>
      <c r="M154" s="18">
        <f t="shared" si="218"/>
        <v>780.35762336828259</v>
      </c>
      <c r="N154" s="8" t="s">
        <v>59</v>
      </c>
      <c r="O154" s="8"/>
      <c r="P154" s="22">
        <f t="shared" si="206"/>
        <v>0</v>
      </c>
      <c r="R154" s="849">
        <f>K154*Ratios!$J$9</f>
        <v>4213.7862600499839</v>
      </c>
      <c r="S154" s="849">
        <f t="shared" si="219"/>
        <v>24.602372254288639</v>
      </c>
      <c r="T154" s="8" t="s">
        <v>59</v>
      </c>
      <c r="U154" s="475">
        <f t="shared" si="207"/>
        <v>0</v>
      </c>
    </row>
    <row r="155" spans="1:21">
      <c r="A155" s="39">
        <v>70215</v>
      </c>
      <c r="B155" s="8" t="s">
        <v>193</v>
      </c>
      <c r="C155" s="18">
        <f>IFERROR(VLOOKUP(A155,'2120 IS'!$A$48:$AE$241,31,FALSE),0)</f>
        <v>57.5</v>
      </c>
      <c r="D155" s="33"/>
      <c r="E155" s="19">
        <f t="shared" ref="E155:E156" si="222">SUM(C155:D155)</f>
        <v>57.5</v>
      </c>
      <c r="F155" s="5"/>
      <c r="G155" s="33"/>
      <c r="H155" s="6"/>
      <c r="I155" s="19">
        <f t="shared" ref="I155:I156" si="223">E155+G155</f>
        <v>57.5</v>
      </c>
      <c r="J155" s="19"/>
      <c r="K155" s="18">
        <f>I155*Ratios!$C$17</f>
        <v>48.536257972790182</v>
      </c>
      <c r="L155" s="18">
        <f>I155*Ratios!$D$17</f>
        <v>2.7412161148274997E-2</v>
      </c>
      <c r="M155" s="18">
        <f t="shared" si="218"/>
        <v>8.9363298660615431</v>
      </c>
      <c r="N155" s="8" t="s">
        <v>59</v>
      </c>
      <c r="O155" s="8"/>
      <c r="P155" s="22">
        <f t="shared" si="206"/>
        <v>0</v>
      </c>
      <c r="R155" s="849">
        <f>K155*Ratios!$J$9</f>
        <v>48.254521872099581</v>
      </c>
      <c r="S155" s="849">
        <f t="shared" si="219"/>
        <v>0.28173610069060118</v>
      </c>
      <c r="T155" s="8" t="s">
        <v>59</v>
      </c>
      <c r="U155" s="475">
        <f t="shared" si="207"/>
        <v>0</v>
      </c>
    </row>
    <row r="156" spans="1:21">
      <c r="A156" s="39">
        <v>70225</v>
      </c>
      <c r="B156" s="8" t="s">
        <v>181</v>
      </c>
      <c r="C156" s="18">
        <f>IFERROR(VLOOKUP(A156,'2120 IS'!$A$48:$AE$241,31,FALSE),0)</f>
        <v>300</v>
      </c>
      <c r="D156" s="33"/>
      <c r="E156" s="19">
        <f t="shared" si="222"/>
        <v>300</v>
      </c>
      <c r="F156" s="5"/>
      <c r="G156" s="33"/>
      <c r="H156" s="6"/>
      <c r="I156" s="19">
        <f t="shared" si="223"/>
        <v>300</v>
      </c>
      <c r="J156" s="19"/>
      <c r="K156" s="18">
        <f>I156*Ratios!$C$17</f>
        <v>253.23265029281833</v>
      </c>
      <c r="L156" s="18">
        <f>I156*Ratios!$D$17</f>
        <v>0.1430199712083913</v>
      </c>
      <c r="M156" s="18">
        <f t="shared" si="218"/>
        <v>46.624329735973276</v>
      </c>
      <c r="N156" s="8" t="s">
        <v>59</v>
      </c>
      <c r="O156" s="8"/>
      <c r="P156" s="22">
        <f t="shared" si="206"/>
        <v>0</v>
      </c>
      <c r="R156" s="849">
        <f>K156*Ratios!$J$9</f>
        <v>251.76272281095433</v>
      </c>
      <c r="S156" s="849">
        <f t="shared" si="219"/>
        <v>1.4699274818640049</v>
      </c>
      <c r="T156" s="8" t="s">
        <v>59</v>
      </c>
      <c r="U156" s="475">
        <f t="shared" si="207"/>
        <v>0</v>
      </c>
    </row>
    <row r="157" spans="1:21">
      <c r="A157" s="39">
        <v>70255</v>
      </c>
      <c r="B157" s="8" t="s">
        <v>91</v>
      </c>
      <c r="C157" s="18">
        <f>IFERROR(VLOOKUP(A157,'2120 IS'!$A$48:$AE$241,31,FALSE),0)</f>
        <v>1190.7800000000002</v>
      </c>
      <c r="D157" s="19"/>
      <c r="E157" s="19">
        <f t="shared" si="208"/>
        <v>1190.7800000000002</v>
      </c>
      <c r="F157" s="5"/>
      <c r="G157" s="33"/>
      <c r="H157" s="6"/>
      <c r="I157" s="19">
        <f t="shared" si="209"/>
        <v>1190.7800000000002</v>
      </c>
      <c r="J157" s="19"/>
      <c r="K157" s="18">
        <f>I157*Ratios!$C$17</f>
        <v>1005.1479177189409</v>
      </c>
      <c r="L157" s="18">
        <f>I157*Ratios!$D$17</f>
        <v>0.56768440438509404</v>
      </c>
      <c r="M157" s="18">
        <f t="shared" si="218"/>
        <v>185.06439787667421</v>
      </c>
      <c r="N157" s="8" t="s">
        <v>59</v>
      </c>
      <c r="O157" s="8"/>
      <c r="P157" s="22">
        <f t="shared" si="206"/>
        <v>0</v>
      </c>
      <c r="R157" s="849">
        <f>K157*Ratios!$J$9</f>
        <v>999.31338356276081</v>
      </c>
      <c r="S157" s="849">
        <f t="shared" si="219"/>
        <v>5.8345341561800979</v>
      </c>
      <c r="T157" s="8" t="s">
        <v>59</v>
      </c>
      <c r="U157" s="475">
        <f t="shared" si="207"/>
        <v>0</v>
      </c>
    </row>
    <row r="158" spans="1:21">
      <c r="A158" s="39">
        <v>70301</v>
      </c>
      <c r="B158" s="8" t="s">
        <v>195</v>
      </c>
      <c r="C158" s="18">
        <f>IFERROR(VLOOKUP(A158,'2120 IS'!$A$48:$AE$241,31,FALSE),0)</f>
        <v>907.68</v>
      </c>
      <c r="D158" s="19"/>
      <c r="E158" s="19">
        <f t="shared" ref="E158" si="224">SUM(C158:D158)</f>
        <v>907.68</v>
      </c>
      <c r="F158" s="5"/>
      <c r="G158" s="33"/>
      <c r="H158" s="6"/>
      <c r="I158" s="19">
        <f t="shared" ref="I158" si="225">E158+G158</f>
        <v>907.68</v>
      </c>
      <c r="J158" s="19"/>
      <c r="K158" s="18">
        <f>I158*Ratios!$C$17</f>
        <v>766.18070672595104</v>
      </c>
      <c r="L158" s="18">
        <f>I158*Ratios!$D$17</f>
        <v>0.43272122488810866</v>
      </c>
      <c r="M158" s="18">
        <f t="shared" si="218"/>
        <v>141.06657204916081</v>
      </c>
      <c r="N158" s="8" t="s">
        <v>59</v>
      </c>
      <c r="O158" s="8"/>
      <c r="P158" s="22">
        <f t="shared" si="206"/>
        <v>0</v>
      </c>
      <c r="R158" s="849">
        <f>K158*Ratios!$J$9</f>
        <v>761.73329413682325</v>
      </c>
      <c r="S158" s="849">
        <f t="shared" si="219"/>
        <v>4.4474125891277936</v>
      </c>
      <c r="T158" s="8" t="s">
        <v>59</v>
      </c>
      <c r="U158" s="475">
        <f t="shared" si="207"/>
        <v>0</v>
      </c>
    </row>
    <row r="159" spans="1:21">
      <c r="A159" s="39">
        <v>70336</v>
      </c>
      <c r="B159" s="8" t="s">
        <v>92</v>
      </c>
      <c r="C159" s="23">
        <f>IFERROR(VLOOKUP(A159,'2120 IS'!$A$48:$AE$241,31,FALSE),0)</f>
        <v>671.75</v>
      </c>
      <c r="D159" s="25"/>
      <c r="E159" s="24">
        <f t="shared" si="208"/>
        <v>671.75</v>
      </c>
      <c r="F159" s="14"/>
      <c r="G159" s="25"/>
      <c r="H159" s="37"/>
      <c r="I159" s="24">
        <f t="shared" si="209"/>
        <v>671.75</v>
      </c>
      <c r="J159" s="24"/>
      <c r="K159" s="23">
        <f>I159*Ratios!$C$49</f>
        <v>596.20800711743777</v>
      </c>
      <c r="L159" s="23">
        <f>I159*Ratios!$D$49</f>
        <v>2.3905693950177933</v>
      </c>
      <c r="M159" s="23">
        <f t="shared" ref="M159" si="226">I159-K159-L159</f>
        <v>73.151423487544434</v>
      </c>
      <c r="N159" s="8" t="s">
        <v>21</v>
      </c>
      <c r="O159" s="8"/>
      <c r="P159" s="22">
        <f t="shared" si="206"/>
        <v>0</v>
      </c>
      <c r="R159" s="850">
        <f>K159*Ratios!$N$43</f>
        <v>594.7736654804271</v>
      </c>
      <c r="S159" s="850">
        <f>K159-R159</f>
        <v>1.4343416370106752</v>
      </c>
      <c r="T159" s="848" t="s">
        <v>21</v>
      </c>
      <c r="U159" s="847">
        <f t="shared" si="207"/>
        <v>0</v>
      </c>
    </row>
    <row r="160" spans="1:21">
      <c r="A160" s="42">
        <v>46900</v>
      </c>
      <c r="B160" s="45" t="s">
        <v>93</v>
      </c>
      <c r="C160" s="29">
        <f>SUM(C139:C159)</f>
        <v>64390.109999999993</v>
      </c>
      <c r="D160" s="29">
        <f>SUM(D139:D159)</f>
        <v>-4537.3335861912556</v>
      </c>
      <c r="E160" s="29">
        <f>SUM(E139:E159)</f>
        <v>59852.77641380873</v>
      </c>
      <c r="F160" s="30"/>
      <c r="G160" s="29">
        <f>SUM(G139:G159)</f>
        <v>0</v>
      </c>
      <c r="H160" s="43"/>
      <c r="I160" s="29">
        <f>SUM(I139:I159)</f>
        <v>59852.77641380873</v>
      </c>
      <c r="J160" s="29"/>
      <c r="K160" s="29">
        <f>SUM(K139:K159)</f>
        <v>52010.945158815535</v>
      </c>
      <c r="L160" s="29">
        <f t="shared" ref="L160:M160" si="227">SUM(L139:L159)</f>
        <v>134.16396476508825</v>
      </c>
      <c r="M160" s="29">
        <f t="shared" si="227"/>
        <v>7707.6672902281189</v>
      </c>
      <c r="N160" s="32"/>
      <c r="O160" s="3"/>
      <c r="P160" s="22">
        <f t="shared" si="206"/>
        <v>-1.2732925824820995E-11</v>
      </c>
      <c r="R160" s="29">
        <f t="shared" ref="R160:U160" si="228">SUM(R139:R159)</f>
        <v>51812.430788251448</v>
      </c>
      <c r="S160" s="29">
        <f t="shared" si="228"/>
        <v>198.51437056407747</v>
      </c>
      <c r="T160" s="29">
        <f t="shared" si="228"/>
        <v>0</v>
      </c>
      <c r="U160" s="29">
        <f t="shared" si="228"/>
        <v>0</v>
      </c>
    </row>
    <row r="161" spans="1:21">
      <c r="A161" s="13"/>
      <c r="B161" s="8"/>
      <c r="C161" s="21"/>
      <c r="D161" s="33"/>
      <c r="E161" s="33"/>
      <c r="F161" s="5"/>
      <c r="G161" s="33"/>
      <c r="H161" s="6"/>
      <c r="I161" s="33"/>
      <c r="J161" s="33"/>
      <c r="K161" s="21"/>
      <c r="L161" s="21"/>
      <c r="M161" s="21"/>
      <c r="N161" s="8"/>
      <c r="O161" s="9"/>
      <c r="P161" s="22">
        <f t="shared" si="206"/>
        <v>0</v>
      </c>
    </row>
    <row r="162" spans="1:21">
      <c r="A162" s="13">
        <v>51260</v>
      </c>
      <c r="B162" s="8" t="s">
        <v>94</v>
      </c>
      <c r="C162" s="18">
        <f>IFERROR(VLOOKUP(A162,'2120 IS'!$A$48:$AE$241,31,FALSE),0)</f>
        <v>133195.47999999998</v>
      </c>
      <c r="D162" s="19">
        <f>'Restating Adj''s'!U46</f>
        <v>-2915.5786428626743</v>
      </c>
      <c r="E162" s="19">
        <f t="shared" ref="E162:E168" si="229">SUM(C162:D162)</f>
        <v>130279.90135713731</v>
      </c>
      <c r="F162" s="5"/>
      <c r="G162" s="33"/>
      <c r="H162" s="6"/>
      <c r="I162" s="19">
        <f t="shared" ref="I162:I168" si="230">E162+G162</f>
        <v>130279.90135713731</v>
      </c>
      <c r="J162" s="19"/>
      <c r="K162" s="21">
        <f>'2120 Depr Summary'!K15</f>
        <v>117977.89417275296</v>
      </c>
      <c r="L162" s="21">
        <f>'2120 Depr Summary'!L15</f>
        <v>0</v>
      </c>
      <c r="M162" s="21">
        <f>'2120 Depr Summary'!M15</f>
        <v>12302.007184384336</v>
      </c>
      <c r="N162" s="8"/>
      <c r="O162" s="9"/>
      <c r="P162" s="22">
        <f t="shared" si="206"/>
        <v>0</v>
      </c>
      <c r="R162" s="849">
        <f>'2120 Depr Summary'!W15</f>
        <v>117977.89417275296</v>
      </c>
      <c r="S162" s="849">
        <f>'2120 Depr Summary'!X15</f>
        <v>0</v>
      </c>
      <c r="U162" s="475">
        <f t="shared" ref="U162:U168" si="231">K162-R162-S162</f>
        <v>0</v>
      </c>
    </row>
    <row r="163" spans="1:21">
      <c r="A163" s="13">
        <v>54260</v>
      </c>
      <c r="B163" s="8" t="s">
        <v>95</v>
      </c>
      <c r="C163" s="18">
        <f>IFERROR(VLOOKUP(A163,'2120 IS'!$A$48:$AE$241,31,FALSE),0)</f>
        <v>33022.28</v>
      </c>
      <c r="D163" s="19">
        <f>'Restating Adj''s'!U47</f>
        <v>-2799.6373333334632</v>
      </c>
      <c r="E163" s="19">
        <f t="shared" si="229"/>
        <v>30222.642666666536</v>
      </c>
      <c r="F163" s="5"/>
      <c r="G163" s="33"/>
      <c r="H163" s="6"/>
      <c r="I163" s="19">
        <f t="shared" si="230"/>
        <v>30222.642666666536</v>
      </c>
      <c r="J163" s="19"/>
      <c r="K163" s="21">
        <f>'2120 Depr Summary'!K26</f>
        <v>22978.441149117501</v>
      </c>
      <c r="L163" s="21">
        <f>'2120 Depr Summary'!L26</f>
        <v>0</v>
      </c>
      <c r="M163" s="21">
        <f>'2120 Depr Summary'!M26</f>
        <v>7244.2015175490324</v>
      </c>
      <c r="N163" s="8"/>
      <c r="O163" s="9"/>
      <c r="P163" s="22">
        <f t="shared" si="206"/>
        <v>0</v>
      </c>
      <c r="R163" s="849">
        <f>'2120 Depr Summary'!W26</f>
        <v>22950.754311466098</v>
      </c>
      <c r="S163" s="849">
        <f>'2120 Depr Summary'!X26</f>
        <v>27.686837651402584</v>
      </c>
      <c r="U163" s="475">
        <f t="shared" si="231"/>
        <v>4.5474735088646412E-13</v>
      </c>
    </row>
    <row r="164" spans="1:21">
      <c r="A164" s="13"/>
      <c r="B164" s="8" t="s">
        <v>96</v>
      </c>
      <c r="C164" s="18">
        <f>IFERROR(VLOOKUP(A164,'2120 IS'!$A$48:$AE$241,31,FALSE),0)</f>
        <v>0</v>
      </c>
      <c r="D164" s="19">
        <f>'Restating Adj''s'!U48</f>
        <v>0</v>
      </c>
      <c r="E164" s="19">
        <f t="shared" si="229"/>
        <v>0</v>
      </c>
      <c r="F164" s="5"/>
      <c r="G164" s="33"/>
      <c r="H164" s="6"/>
      <c r="I164" s="19">
        <f t="shared" si="230"/>
        <v>0</v>
      </c>
      <c r="J164" s="19"/>
      <c r="K164" s="21">
        <f>'2120 Depr Summary'!K28</f>
        <v>0</v>
      </c>
      <c r="L164" s="21">
        <f>'2120 Depr Summary'!L28</f>
        <v>0</v>
      </c>
      <c r="M164" s="21">
        <f>'2120 Depr Summary'!M28</f>
        <v>0</v>
      </c>
      <c r="N164" s="8"/>
      <c r="O164" s="9"/>
      <c r="P164" s="22">
        <f t="shared" si="206"/>
        <v>0</v>
      </c>
      <c r="R164" s="849">
        <f>'2120 Depr Summary'!W28</f>
        <v>0</v>
      </c>
      <c r="S164" s="849">
        <f>'2120 Depr Summary'!X28</f>
        <v>0</v>
      </c>
      <c r="U164" s="475">
        <f t="shared" si="231"/>
        <v>0</v>
      </c>
    </row>
    <row r="165" spans="1:21">
      <c r="A165" s="13">
        <v>57260</v>
      </c>
      <c r="B165" s="8" t="s">
        <v>97</v>
      </c>
      <c r="C165" s="18">
        <f>IFERROR(VLOOKUP(A165,'2120 IS'!$A$48:$AE$241,31,FALSE),0)</f>
        <v>24945.439999999999</v>
      </c>
      <c r="D165" s="19">
        <f>'Restating Adj''s'!U49</f>
        <v>-18296.187859999998</v>
      </c>
      <c r="E165" s="19">
        <f t="shared" si="229"/>
        <v>6649.2521400000005</v>
      </c>
      <c r="F165" s="5"/>
      <c r="G165" s="33"/>
      <c r="H165" s="6"/>
      <c r="I165" s="19">
        <f t="shared" si="230"/>
        <v>6649.2521400000005</v>
      </c>
      <c r="J165" s="19"/>
      <c r="K165" s="21">
        <f>'2120 Depr Summary'!K30</f>
        <v>5901.5070594875433</v>
      </c>
      <c r="L165" s="21">
        <f>'2120 Depr Summary'!L30</f>
        <v>23.662819003558713</v>
      </c>
      <c r="M165" s="21">
        <f>'2120 Depr Summary'!M30</f>
        <v>724.08226150889664</v>
      </c>
      <c r="N165" s="8"/>
      <c r="O165" s="9"/>
      <c r="P165" s="22">
        <f t="shared" si="206"/>
        <v>1.8189894035458565E-12</v>
      </c>
      <c r="R165" s="849">
        <f>'2120 Depr Summary'!W30</f>
        <v>5887.3093680854081</v>
      </c>
      <c r="S165" s="849">
        <f>'2120 Depr Summary'!X30</f>
        <v>14.197691402135206</v>
      </c>
      <c r="U165" s="475">
        <f t="shared" si="231"/>
        <v>0</v>
      </c>
    </row>
    <row r="166" spans="1:21">
      <c r="A166" s="13">
        <v>70260</v>
      </c>
      <c r="B166" s="8" t="s">
        <v>98</v>
      </c>
      <c r="C166" s="18">
        <f>IFERROR(VLOOKUP(A166,'2120 IS'!$A$48:$AE$241,31,FALSE),0)</f>
        <v>2683.79</v>
      </c>
      <c r="D166" s="19">
        <f>'Restating Adj''s'!U50</f>
        <v>-699.88466666662566</v>
      </c>
      <c r="E166" s="19">
        <f t="shared" si="229"/>
        <v>1983.9053333333743</v>
      </c>
      <c r="F166" s="5"/>
      <c r="G166" s="33"/>
      <c r="H166" s="6"/>
      <c r="I166" s="19">
        <f t="shared" si="230"/>
        <v>1983.9053333333743</v>
      </c>
      <c r="J166" s="19"/>
      <c r="K166" s="21">
        <f>'2120 Depr Summary'!K32</f>
        <v>1674.6320183002251</v>
      </c>
      <c r="L166" s="21">
        <f>'2120 Depr Summary'!L32</f>
        <v>0.9457936121783771</v>
      </c>
      <c r="M166" s="21">
        <f>'2120 Depr Summary'!M32</f>
        <v>308.32752142097053</v>
      </c>
      <c r="N166" s="8"/>
      <c r="O166" s="9"/>
      <c r="P166" s="22">
        <f t="shared" si="206"/>
        <v>0</v>
      </c>
      <c r="R166" s="849">
        <f>'2120 Depr Summary'!W32</f>
        <v>1664.9113617306141</v>
      </c>
      <c r="S166" s="849">
        <f>'2120 Depr Summary'!X32</f>
        <v>9.7206565696110374</v>
      </c>
      <c r="U166" s="475">
        <f t="shared" si="231"/>
        <v>0</v>
      </c>
    </row>
    <row r="167" spans="1:21">
      <c r="A167" s="13"/>
      <c r="B167" s="8" t="s">
        <v>99</v>
      </c>
      <c r="C167" s="18">
        <f>IFERROR(VLOOKUP(A167,'2120 IS'!$A$48:$AE$241,31,FALSE),0)</f>
        <v>0</v>
      </c>
      <c r="D167" s="19">
        <f>'Restating Adj''s'!U51</f>
        <v>18270.283800000001</v>
      </c>
      <c r="E167" s="19">
        <f t="shared" si="229"/>
        <v>18270.283800000001</v>
      </c>
      <c r="F167" s="5"/>
      <c r="G167" s="33"/>
      <c r="H167" s="6"/>
      <c r="I167" s="19">
        <f t="shared" si="230"/>
        <v>18270.283800000001</v>
      </c>
      <c r="J167" s="19"/>
      <c r="K167" s="21">
        <f>'2120 Depr Summary'!K36</f>
        <v>16215.689607544486</v>
      </c>
      <c r="L167" s="21">
        <f>'2120 Depr Summary'!L36</f>
        <v>65.018803558718858</v>
      </c>
      <c r="M167" s="21">
        <f>'2120 Depr Summary'!M36</f>
        <v>1989.5753888967974</v>
      </c>
      <c r="N167" s="8"/>
      <c r="O167" s="9"/>
      <c r="P167" s="22">
        <f t="shared" si="206"/>
        <v>0</v>
      </c>
      <c r="R167" s="849">
        <f>'2120 Depr Summary'!W36</f>
        <v>16176.678325409255</v>
      </c>
      <c r="S167" s="849">
        <f>'2120 Depr Summary'!X36</f>
        <v>39.011282135230431</v>
      </c>
      <c r="U167" s="475">
        <f t="shared" si="231"/>
        <v>0</v>
      </c>
    </row>
    <row r="168" spans="1:21">
      <c r="A168" s="13">
        <v>91010</v>
      </c>
      <c r="B168" s="8" t="s">
        <v>100</v>
      </c>
      <c r="C168" s="23">
        <f>IFERROR(VLOOKUP(A168,'2120 IS'!$A$48:$AE$241,31,FALSE),0)</f>
        <v>-2500</v>
      </c>
      <c r="D168" s="24"/>
      <c r="E168" s="24">
        <f t="shared" si="229"/>
        <v>-2500</v>
      </c>
      <c r="F168" s="14"/>
      <c r="G168" s="24"/>
      <c r="H168" s="26"/>
      <c r="I168" s="24">
        <f t="shared" si="230"/>
        <v>-2500</v>
      </c>
      <c r="J168" s="24"/>
      <c r="K168" s="23">
        <f>I168*Ratios!$C$49</f>
        <v>-2218.8612099644129</v>
      </c>
      <c r="L168" s="23">
        <f>I168*Ratios!$D$49</f>
        <v>-8.8967971530249113</v>
      </c>
      <c r="M168" s="23">
        <f t="shared" ref="M168" si="232">I168-K168-L168</f>
        <v>-272.24199288256222</v>
      </c>
      <c r="N168" s="8" t="s">
        <v>21</v>
      </c>
      <c r="O168" s="8"/>
      <c r="P168" s="22">
        <f t="shared" si="206"/>
        <v>0</v>
      </c>
      <c r="R168" s="850">
        <f>K168*Ratios!$N$43</f>
        <v>-2213.5231316725981</v>
      </c>
      <c r="S168" s="850">
        <f>K168-R168</f>
        <v>-5.3380782918147816</v>
      </c>
      <c r="T168" s="848" t="s">
        <v>21</v>
      </c>
      <c r="U168" s="847">
        <f t="shared" si="231"/>
        <v>0</v>
      </c>
    </row>
    <row r="169" spans="1:21">
      <c r="A169" s="42"/>
      <c r="B169" s="45" t="s">
        <v>3</v>
      </c>
      <c r="C169" s="29">
        <f>SUM(C162:C168)</f>
        <v>191346.99</v>
      </c>
      <c r="D169" s="29">
        <f>SUM(D162:D168)</f>
        <v>-6441.0047028627596</v>
      </c>
      <c r="E169" s="29">
        <f>SUM(E162:E168)</f>
        <v>184905.98529713723</v>
      </c>
      <c r="F169" s="30"/>
      <c r="G169" s="29">
        <f>SUM(G162:G168)</f>
        <v>0</v>
      </c>
      <c r="H169" s="43"/>
      <c r="I169" s="29">
        <f>SUM(I162:I168)</f>
        <v>184905.98529713723</v>
      </c>
      <c r="J169" s="29"/>
      <c r="K169" s="29">
        <f>SUM(K162:K168)</f>
        <v>162529.30279723831</v>
      </c>
      <c r="L169" s="29">
        <f t="shared" ref="L169:M169" si="233">SUM(L162:L168)</f>
        <v>80.730619021431039</v>
      </c>
      <c r="M169" s="29">
        <f t="shared" si="233"/>
        <v>22295.951880877474</v>
      </c>
      <c r="N169" s="32"/>
      <c r="O169" s="32"/>
      <c r="P169" s="22">
        <f t="shared" si="206"/>
        <v>0</v>
      </c>
      <c r="R169" s="29">
        <f t="shared" ref="R169:U169" si="234">SUM(R162:R168)</f>
        <v>162444.02440777177</v>
      </c>
      <c r="S169" s="29">
        <f t="shared" si="234"/>
        <v>85.278389466564477</v>
      </c>
      <c r="T169" s="29">
        <f t="shared" si="234"/>
        <v>0</v>
      </c>
      <c r="U169" s="29">
        <f t="shared" si="234"/>
        <v>4.5474735088646412E-13</v>
      </c>
    </row>
    <row r="170" spans="1:21">
      <c r="A170" s="13"/>
      <c r="B170" s="8"/>
      <c r="C170" s="21"/>
      <c r="D170" s="33"/>
      <c r="E170" s="33"/>
      <c r="F170" s="5"/>
      <c r="G170" s="33"/>
      <c r="H170" s="6"/>
      <c r="I170" s="33"/>
      <c r="J170" s="33"/>
      <c r="K170" s="21"/>
      <c r="L170" s="21"/>
      <c r="M170" s="21"/>
      <c r="N170" s="8"/>
      <c r="O170" s="9"/>
      <c r="P170" s="22">
        <f t="shared" si="206"/>
        <v>0</v>
      </c>
    </row>
    <row r="171" spans="1:21">
      <c r="A171" s="13">
        <v>43001</v>
      </c>
      <c r="B171" s="8" t="s">
        <v>101</v>
      </c>
      <c r="C171" s="23">
        <f>IFERROR(VLOOKUP(A171,'2120 IS'!$A$48:$AE$241,31,FALSE),0)</f>
        <v>47028.340000000004</v>
      </c>
      <c r="D171" s="24">
        <f>'Restating Adj''s'!S54</f>
        <v>34.722057199997266</v>
      </c>
      <c r="E171" s="24">
        <f t="shared" ref="E171" si="235">SUM(C171:D171)</f>
        <v>47063.062057200004</v>
      </c>
      <c r="F171" s="14"/>
      <c r="G171" s="24"/>
      <c r="H171" s="37"/>
      <c r="I171" s="24">
        <f t="shared" ref="I171" si="236">E171+G171</f>
        <v>47063.062057200004</v>
      </c>
      <c r="J171" s="24"/>
      <c r="K171" s="27">
        <f>$I$171*K16</f>
        <v>40499.432040385713</v>
      </c>
      <c r="L171" s="27">
        <f>$I$171*L16</f>
        <v>401.58773608096823</v>
      </c>
      <c r="M171" s="27">
        <f>I171-K171-L171</f>
        <v>6162.0422807333234</v>
      </c>
      <c r="N171" s="8" t="s">
        <v>64</v>
      </c>
      <c r="O171" s="9"/>
      <c r="P171" s="22">
        <f t="shared" si="206"/>
        <v>0</v>
      </c>
      <c r="R171" s="850">
        <f>K171*$R$16</f>
        <v>40425.685199298205</v>
      </c>
      <c r="S171" s="850">
        <f>K171-R171</f>
        <v>73.746841087508074</v>
      </c>
      <c r="T171" s="846" t="s">
        <v>64</v>
      </c>
      <c r="U171" s="847">
        <f t="shared" ref="U171" si="237">K171-R171-S171</f>
        <v>0</v>
      </c>
    </row>
    <row r="172" spans="1:21">
      <c r="A172" s="42">
        <v>52030</v>
      </c>
      <c r="B172" s="45" t="s">
        <v>102</v>
      </c>
      <c r="C172" s="29">
        <f>SUM(C171)</f>
        <v>47028.340000000004</v>
      </c>
      <c r="D172" s="29">
        <f>SUM(D171)</f>
        <v>34.722057199997266</v>
      </c>
      <c r="E172" s="29">
        <f>SUM(E171)</f>
        <v>47063.062057200004</v>
      </c>
      <c r="F172" s="30"/>
      <c r="G172" s="29">
        <f>SUM(G171)</f>
        <v>0</v>
      </c>
      <c r="H172" s="43"/>
      <c r="I172" s="29">
        <f>SUM(I171)</f>
        <v>47063.062057200004</v>
      </c>
      <c r="J172" s="29"/>
      <c r="K172" s="29">
        <f>SUM(K171)</f>
        <v>40499.432040385713</v>
      </c>
      <c r="L172" s="29">
        <f>SUM(L171)</f>
        <v>401.58773608096823</v>
      </c>
      <c r="M172" s="29">
        <f>SUM(M171)</f>
        <v>6162.0422807333234</v>
      </c>
      <c r="N172" s="32"/>
      <c r="O172" s="32"/>
      <c r="P172" s="22">
        <f t="shared" si="206"/>
        <v>0</v>
      </c>
      <c r="R172" s="29">
        <f t="shared" ref="R172" si="238">SUM(R171)</f>
        <v>40425.685199298205</v>
      </c>
      <c r="S172" s="29">
        <f t="shared" ref="S172" si="239">SUM(S171)</f>
        <v>73.746841087508074</v>
      </c>
      <c r="T172" s="29">
        <f t="shared" ref="T172" si="240">SUM(T171)</f>
        <v>0</v>
      </c>
      <c r="U172" s="29">
        <f t="shared" ref="U172" si="241">SUM(U171)</f>
        <v>0</v>
      </c>
    </row>
    <row r="173" spans="1:21">
      <c r="A173" s="13"/>
      <c r="B173" s="8"/>
      <c r="C173" s="21"/>
      <c r="D173" s="33"/>
      <c r="E173" s="33"/>
      <c r="F173" s="5"/>
      <c r="G173" s="33"/>
      <c r="H173" s="6"/>
      <c r="I173" s="33"/>
      <c r="J173" s="33"/>
      <c r="K173" s="21"/>
      <c r="L173" s="21"/>
      <c r="M173" s="21"/>
      <c r="N173" s="8"/>
      <c r="O173" s="9"/>
      <c r="P173" s="22">
        <f t="shared" si="206"/>
        <v>0</v>
      </c>
    </row>
    <row r="174" spans="1:21">
      <c r="A174" s="13">
        <v>51295</v>
      </c>
      <c r="B174" s="8" t="s">
        <v>103</v>
      </c>
      <c r="C174" s="18">
        <f>IFERROR(VLOOKUP(A174,'2120 IS'!$A$48:$AE$241,31,FALSE),0)</f>
        <v>8136.1000000000013</v>
      </c>
      <c r="D174" s="33"/>
      <c r="E174" s="19">
        <f t="shared" ref="E174:E175" si="242">SUM(C174:D174)</f>
        <v>8136.1000000000013</v>
      </c>
      <c r="F174" s="5"/>
      <c r="G174" s="33"/>
      <c r="H174" s="6"/>
      <c r="I174" s="19">
        <f t="shared" ref="I174:I175" si="243">E174+G174</f>
        <v>8136.1000000000013</v>
      </c>
      <c r="J174" s="19"/>
      <c r="K174" s="18">
        <f>I174*Ratios!$C$49</f>
        <v>7221.1506761565852</v>
      </c>
      <c r="L174" s="18">
        <f>I174*Ratios!$D$49</f>
        <v>28.954092526690395</v>
      </c>
      <c r="M174" s="18">
        <f t="shared" ref="M174:M175" si="244">I174-K174-L174</f>
        <v>885.99523131672572</v>
      </c>
      <c r="N174" s="8" t="s">
        <v>21</v>
      </c>
      <c r="O174" s="9"/>
      <c r="P174" s="22">
        <f t="shared" si="206"/>
        <v>0</v>
      </c>
      <c r="R174" s="849">
        <f>K174*Ratios!$N$43</f>
        <v>7203.7782206405709</v>
      </c>
      <c r="S174" s="849">
        <f t="shared" ref="S174:S175" si="245">K174-R174</f>
        <v>17.37245551601427</v>
      </c>
      <c r="T174" s="8" t="s">
        <v>21</v>
      </c>
      <c r="U174" s="475">
        <f t="shared" ref="U174:U177" si="246">K174-R174-S174</f>
        <v>0</v>
      </c>
    </row>
    <row r="175" spans="1:21">
      <c r="A175" s="13">
        <v>57357</v>
      </c>
      <c r="B175" s="8" t="s">
        <v>104</v>
      </c>
      <c r="C175" s="23">
        <f>IFERROR(VLOOKUP(A175,'2120 IS'!$A$48:$AE$241,31,FALSE),0)</f>
        <v>2460</v>
      </c>
      <c r="D175" s="25"/>
      <c r="E175" s="24">
        <f t="shared" si="242"/>
        <v>2460</v>
      </c>
      <c r="F175" s="14"/>
      <c r="G175" s="25"/>
      <c r="H175" s="37"/>
      <c r="I175" s="24">
        <f t="shared" si="243"/>
        <v>2460</v>
      </c>
      <c r="J175" s="24"/>
      <c r="K175" s="23">
        <f>I175*Ratios!$C$49</f>
        <v>2183.3594306049822</v>
      </c>
      <c r="L175" s="23">
        <f>I175*Ratios!$D$49</f>
        <v>8.7544483985765122</v>
      </c>
      <c r="M175" s="23">
        <f t="shared" si="244"/>
        <v>267.88612099644126</v>
      </c>
      <c r="N175" s="8" t="s">
        <v>21</v>
      </c>
      <c r="O175" s="9"/>
      <c r="P175" s="22">
        <f t="shared" si="206"/>
        <v>0</v>
      </c>
      <c r="R175" s="850">
        <f>K175*Ratios!$N$43</f>
        <v>2178.1067615658362</v>
      </c>
      <c r="S175" s="850">
        <f t="shared" si="245"/>
        <v>5.2526690391459852</v>
      </c>
      <c r="T175" s="848" t="s">
        <v>21</v>
      </c>
      <c r="U175" s="847">
        <f t="shared" si="246"/>
        <v>0</v>
      </c>
    </row>
    <row r="176" spans="1:21">
      <c r="A176" s="42">
        <v>52200</v>
      </c>
      <c r="B176" s="45" t="s">
        <v>105</v>
      </c>
      <c r="C176" s="29">
        <f>SUM(C174:C175)</f>
        <v>10596.100000000002</v>
      </c>
      <c r="D176" s="29">
        <f>SUM(D174:D175)</f>
        <v>0</v>
      </c>
      <c r="E176" s="29">
        <f>SUM(E174:E175)</f>
        <v>10596.100000000002</v>
      </c>
      <c r="F176" s="30"/>
      <c r="G176" s="29">
        <f>SUM(G174:G175)</f>
        <v>0</v>
      </c>
      <c r="H176" s="43"/>
      <c r="I176" s="29">
        <f>SUM(I174:I175)</f>
        <v>10596.100000000002</v>
      </c>
      <c r="J176" s="29"/>
      <c r="K176" s="29">
        <f t="shared" ref="K176:M176" si="247">SUM(K174:K175)</f>
        <v>9404.5101067615669</v>
      </c>
      <c r="L176" s="29">
        <f t="shared" si="247"/>
        <v>37.708540925266909</v>
      </c>
      <c r="M176" s="29">
        <f t="shared" si="247"/>
        <v>1153.8813523131671</v>
      </c>
      <c r="N176" s="32"/>
      <c r="O176" s="32"/>
      <c r="P176" s="22">
        <f t="shared" si="206"/>
        <v>0</v>
      </c>
      <c r="R176" s="29">
        <f t="shared" ref="R176:U176" si="248">SUM(R174:R175)</f>
        <v>9381.8849822064076</v>
      </c>
      <c r="S176" s="29">
        <f t="shared" si="248"/>
        <v>22.625124555160255</v>
      </c>
      <c r="T176" s="29">
        <f t="shared" si="248"/>
        <v>0</v>
      </c>
      <c r="U176" s="29">
        <f t="shared" si="248"/>
        <v>0</v>
      </c>
    </row>
    <row r="177" spans="1:21">
      <c r="A177" s="13"/>
      <c r="B177" s="8"/>
      <c r="C177" s="21"/>
      <c r="D177" s="33"/>
      <c r="E177" s="33"/>
      <c r="F177" s="5"/>
      <c r="G177" s="33"/>
      <c r="H177" s="6"/>
      <c r="I177" s="33"/>
      <c r="J177" s="33"/>
      <c r="K177" s="21"/>
      <c r="L177" s="21"/>
      <c r="M177" s="21"/>
      <c r="N177" s="8"/>
      <c r="O177" s="9"/>
      <c r="P177" s="22">
        <f t="shared" si="206"/>
        <v>0</v>
      </c>
      <c r="U177" s="475">
        <f t="shared" si="246"/>
        <v>0</v>
      </c>
    </row>
    <row r="178" spans="1:21">
      <c r="A178" s="13">
        <v>57275</v>
      </c>
      <c r="B178" s="8" t="s">
        <v>168</v>
      </c>
      <c r="C178" s="23">
        <f>IFERROR(VLOOKUP(A178,'2120 IS'!$A$48:$AE$241,31,FALSE),0)</f>
        <v>4766.03</v>
      </c>
      <c r="D178" s="24"/>
      <c r="E178" s="24">
        <f t="shared" ref="E178" si="249">SUM(C178:D178)</f>
        <v>4766.03</v>
      </c>
      <c r="F178" s="14"/>
      <c r="G178" s="24"/>
      <c r="H178" s="37"/>
      <c r="I178" s="24">
        <f t="shared" ref="I178" si="250">E178+G178</f>
        <v>4766.03</v>
      </c>
      <c r="J178" s="24"/>
      <c r="K178" s="23">
        <f>I178*Ratios!$C$49</f>
        <v>4230.0636370106758</v>
      </c>
      <c r="L178" s="23">
        <f>I178*Ratios!$D$49</f>
        <v>16.960960854092527</v>
      </c>
      <c r="M178" s="23">
        <f t="shared" ref="M178" si="251">I178-K178-L178</f>
        <v>519.00540213523141</v>
      </c>
      <c r="N178" s="8" t="s">
        <v>21</v>
      </c>
      <c r="O178" s="9"/>
      <c r="P178" s="22">
        <f t="shared" si="206"/>
        <v>0</v>
      </c>
      <c r="R178" s="850">
        <f>K178*Ratios!$N$43</f>
        <v>4219.8870604982203</v>
      </c>
      <c r="S178" s="850">
        <f>K178-R178</f>
        <v>10.17657651245554</v>
      </c>
      <c r="T178" s="848" t="s">
        <v>21</v>
      </c>
      <c r="U178" s="846"/>
    </row>
    <row r="179" spans="1:21">
      <c r="A179" s="42">
        <v>52300</v>
      </c>
      <c r="B179" s="45" t="s">
        <v>168</v>
      </c>
      <c r="C179" s="29">
        <f>SUM(C178)</f>
        <v>4766.03</v>
      </c>
      <c r="D179" s="29">
        <f>SUM(D178)</f>
        <v>0</v>
      </c>
      <c r="E179" s="29">
        <f>SUM(E178)</f>
        <v>4766.03</v>
      </c>
      <c r="F179" s="30"/>
      <c r="G179" s="29">
        <f>SUM(G178)</f>
        <v>0</v>
      </c>
      <c r="H179" s="43"/>
      <c r="I179" s="29">
        <f>SUM(I178)</f>
        <v>4766.03</v>
      </c>
      <c r="J179" s="29"/>
      <c r="K179" s="29">
        <f>SUM(K178)</f>
        <v>4230.0636370106758</v>
      </c>
      <c r="L179" s="29">
        <f t="shared" ref="L179:M179" si="252">SUM(L178)</f>
        <v>16.960960854092527</v>
      </c>
      <c r="M179" s="29">
        <f t="shared" si="252"/>
        <v>519.00540213523141</v>
      </c>
      <c r="N179" s="32"/>
      <c r="O179" s="32"/>
      <c r="P179" s="22">
        <f t="shared" si="206"/>
        <v>0</v>
      </c>
      <c r="R179" s="29">
        <f t="shared" ref="R179:U179" si="253">SUM(R178)</f>
        <v>4219.8870604982203</v>
      </c>
      <c r="S179" s="29">
        <f t="shared" si="253"/>
        <v>10.17657651245554</v>
      </c>
      <c r="T179" s="29">
        <f t="shared" si="253"/>
        <v>0</v>
      </c>
      <c r="U179" s="29">
        <f t="shared" si="253"/>
        <v>0</v>
      </c>
    </row>
    <row r="180" spans="1:21">
      <c r="A180" s="13"/>
      <c r="B180" s="8"/>
      <c r="C180" s="21"/>
      <c r="D180" s="33"/>
      <c r="E180" s="33"/>
      <c r="F180" s="5"/>
      <c r="G180" s="33"/>
      <c r="H180" s="6"/>
      <c r="I180" s="33"/>
      <c r="J180" s="33"/>
      <c r="K180" s="21"/>
      <c r="L180" s="21"/>
      <c r="M180" s="21"/>
      <c r="N180" s="8"/>
      <c r="O180" s="9"/>
      <c r="P180" s="22">
        <f t="shared" si="206"/>
        <v>0</v>
      </c>
    </row>
    <row r="181" spans="1:21">
      <c r="A181" s="13">
        <v>50050</v>
      </c>
      <c r="B181" s="8" t="s">
        <v>106</v>
      </c>
      <c r="C181" s="18">
        <f>IFERROR(VLOOKUP(A181,'2120 IS'!$A$48:$AE$241,31,FALSE),0)</f>
        <v>36604.350000000006</v>
      </c>
      <c r="D181" s="19">
        <f>'Restating Adj''s'!B80</f>
        <v>210.61747890448768</v>
      </c>
      <c r="E181" s="19">
        <f t="shared" ref="E181:E184" si="254">SUM(C181:D181)</f>
        <v>36814.967478904495</v>
      </c>
      <c r="F181" s="603" t="s">
        <v>570</v>
      </c>
      <c r="G181" s="19">
        <f>'Pro Forma Adj''s'!B15</f>
        <v>498.12818907678019</v>
      </c>
      <c r="H181" s="603" t="s">
        <v>1657</v>
      </c>
      <c r="I181" s="19">
        <f t="shared" ref="I181:I184" si="255">E181+G181</f>
        <v>37313.095667981273</v>
      </c>
      <c r="J181" s="19"/>
      <c r="K181" s="18">
        <f>I181*Ratios!$C$49</f>
        <v>33117.032240549925</v>
      </c>
      <c r="L181" s="18">
        <f>I181*Ratios!$D$49</f>
        <v>132.78681732377677</v>
      </c>
      <c r="M181" s="18">
        <f t="shared" ref="M181:M183" si="256">I181-K181-L181</f>
        <v>4063.2766101075722</v>
      </c>
      <c r="N181" s="8" t="s">
        <v>21</v>
      </c>
      <c r="O181" s="9"/>
      <c r="P181" s="22">
        <f t="shared" si="206"/>
        <v>0</v>
      </c>
      <c r="R181" s="849">
        <f>K181*Ratios!$N$43</f>
        <v>33037.360150155662</v>
      </c>
      <c r="S181" s="849">
        <f t="shared" ref="S181:S184" si="257">K181-R181</f>
        <v>79.672090394262341</v>
      </c>
      <c r="T181" s="8" t="s">
        <v>21</v>
      </c>
      <c r="U181" s="475">
        <f t="shared" ref="U181:U184" si="258">K181-R181-S181</f>
        <v>0</v>
      </c>
    </row>
    <row r="182" spans="1:21">
      <c r="A182" s="13">
        <v>52050</v>
      </c>
      <c r="B182" s="8" t="s">
        <v>106</v>
      </c>
      <c r="C182" s="18">
        <f>IFERROR(VLOOKUP(A182,'2120 IS'!$A$48:$AE$241,31,FALSE),0)</f>
        <v>6845.9699999999993</v>
      </c>
      <c r="D182" s="19">
        <f>'Restating Adj''s'!B81</f>
        <v>41.122995174468493</v>
      </c>
      <c r="E182" s="19">
        <f>SUM(C182:D182)</f>
        <v>6887.0929951744674</v>
      </c>
      <c r="F182" s="603" t="s">
        <v>570</v>
      </c>
      <c r="G182" s="19">
        <f>'Pro Forma Adj''s'!B16</f>
        <v>122.85411225048935</v>
      </c>
      <c r="H182" s="603" t="s">
        <v>1657</v>
      </c>
      <c r="I182" s="19">
        <f t="shared" si="255"/>
        <v>7009.9471074249568</v>
      </c>
      <c r="J182" s="19"/>
      <c r="K182" s="18">
        <f>I182*Ratios!$C$49</f>
        <v>6221.6398882269905</v>
      </c>
      <c r="L182" s="18">
        <f>I182*Ratios!$D$49</f>
        <v>24.946430987277424</v>
      </c>
      <c r="M182" s="18">
        <f t="shared" si="256"/>
        <v>763.36078821068895</v>
      </c>
      <c r="N182" s="8" t="s">
        <v>21</v>
      </c>
      <c r="O182" s="9"/>
      <c r="P182" s="22">
        <f t="shared" si="206"/>
        <v>0</v>
      </c>
      <c r="R182" s="849">
        <f>K182*Ratios!$N$43</f>
        <v>6206.6720296346239</v>
      </c>
      <c r="S182" s="849">
        <f t="shared" si="257"/>
        <v>14.967858592366611</v>
      </c>
      <c r="T182" s="8" t="s">
        <v>21</v>
      </c>
      <c r="U182" s="475">
        <f t="shared" si="258"/>
        <v>0</v>
      </c>
    </row>
    <row r="183" spans="1:21">
      <c r="A183" s="13">
        <v>56050</v>
      </c>
      <c r="B183" s="8" t="s">
        <v>106</v>
      </c>
      <c r="C183" s="18">
        <f>IFERROR(VLOOKUP(A183,'2120 IS'!$A$48:$AE$241,31,FALSE),0)</f>
        <v>6579.9</v>
      </c>
      <c r="D183" s="19">
        <f>'Restating Adj''s'!B82</f>
        <v>34.847374315068492</v>
      </c>
      <c r="E183" s="19">
        <f>SUM(C183:D183)</f>
        <v>6614.7473743150686</v>
      </c>
      <c r="F183" s="603" t="s">
        <v>570</v>
      </c>
      <c r="G183" s="19">
        <f>'Pro Forma Adj''s'!B17</f>
        <v>104.10582248630136</v>
      </c>
      <c r="H183" s="603" t="s">
        <v>1657</v>
      </c>
      <c r="I183" s="19">
        <f t="shared" si="255"/>
        <v>6718.8531968013704</v>
      </c>
      <c r="J183" s="19"/>
      <c r="K183" s="18">
        <f>I183*Ratios!$C$49</f>
        <v>5963.2810935311809</v>
      </c>
      <c r="L183" s="18">
        <f>I183*Ratios!$D$49</f>
        <v>23.910509597157901</v>
      </c>
      <c r="M183" s="18">
        <f t="shared" si="256"/>
        <v>731.66159367303158</v>
      </c>
      <c r="N183" s="8" t="s">
        <v>21</v>
      </c>
      <c r="O183" s="9"/>
      <c r="P183" s="22">
        <f t="shared" si="206"/>
        <v>0</v>
      </c>
      <c r="R183" s="885">
        <f>K183*Ratios!$N$43</f>
        <v>5948.934787772886</v>
      </c>
      <c r="S183" s="885">
        <f t="shared" si="257"/>
        <v>14.346305758294875</v>
      </c>
      <c r="T183" s="8" t="s">
        <v>21</v>
      </c>
      <c r="U183" s="886">
        <f t="shared" si="258"/>
        <v>0</v>
      </c>
    </row>
    <row r="184" spans="1:21">
      <c r="A184" s="13">
        <v>70050</v>
      </c>
      <c r="B184" s="8" t="s">
        <v>106</v>
      </c>
      <c r="C184" s="23">
        <f>IFERROR(VLOOKUP(A184,'2120 IS'!$A$48:$AE$241,31,FALSE),0)</f>
        <v>8885.9500000000007</v>
      </c>
      <c r="D184" s="24">
        <f>'Restating Adj''s'!B83+'Restating Adj''s'!W57</f>
        <v>276.89138353436476</v>
      </c>
      <c r="E184" s="24">
        <f t="shared" si="254"/>
        <v>9162.8413835343654</v>
      </c>
      <c r="F184" s="842" t="s">
        <v>570</v>
      </c>
      <c r="G184" s="24">
        <f>'Pro Forma Adj''s'!B18</f>
        <v>92.92891895343864</v>
      </c>
      <c r="H184" s="842" t="s">
        <v>1657</v>
      </c>
      <c r="I184" s="24">
        <f t="shared" si="255"/>
        <v>9255.7703024878047</v>
      </c>
      <c r="J184" s="24"/>
      <c r="K184" s="23">
        <f>I184*Ratios!$C$17</f>
        <v>7812.8774806684914</v>
      </c>
      <c r="L184" s="23">
        <f>I184*Ratios!$D$17</f>
        <v>4.4125333405776299</v>
      </c>
      <c r="M184" s="23">
        <f>I184-K184-L184</f>
        <v>1438.4802884787355</v>
      </c>
      <c r="N184" s="8" t="s">
        <v>59</v>
      </c>
      <c r="O184" s="9"/>
      <c r="P184" s="22">
        <f t="shared" si="206"/>
        <v>0</v>
      </c>
      <c r="R184" s="850">
        <f>K184*Ratios!$J$9</f>
        <v>7767.5264435569989</v>
      </c>
      <c r="S184" s="850">
        <f t="shared" si="257"/>
        <v>45.351037111492587</v>
      </c>
      <c r="T184" s="848" t="s">
        <v>59</v>
      </c>
      <c r="U184" s="847">
        <f t="shared" si="258"/>
        <v>0</v>
      </c>
    </row>
    <row r="185" spans="1:21">
      <c r="A185" s="42">
        <v>52400</v>
      </c>
      <c r="B185" s="45" t="s">
        <v>106</v>
      </c>
      <c r="C185" s="29">
        <f>SUM(C181:C184)</f>
        <v>58916.170000000013</v>
      </c>
      <c r="D185" s="29">
        <f>SUM(D181:D184)</f>
        <v>563.47923192838948</v>
      </c>
      <c r="E185" s="29">
        <f>SUM(E181:E184)</f>
        <v>59479.649231928401</v>
      </c>
      <c r="F185" s="5"/>
      <c r="G185" s="29">
        <f>SUM(G181:G184)</f>
        <v>818.01704276700946</v>
      </c>
      <c r="H185" s="473"/>
      <c r="I185" s="29">
        <f>SUM(I181:I184)</f>
        <v>60297.66627469541</v>
      </c>
      <c r="J185" s="29"/>
      <c r="K185" s="29">
        <f>SUM(K181:K184)</f>
        <v>53114.830702976586</v>
      </c>
      <c r="L185" s="29">
        <f t="shared" ref="L185:M185" si="259">SUM(L181:L184)</f>
        <v>186.05629124878971</v>
      </c>
      <c r="M185" s="29">
        <f t="shared" si="259"/>
        <v>6996.7792804700275</v>
      </c>
      <c r="N185" s="32"/>
      <c r="O185" s="32"/>
      <c r="P185" s="22">
        <f t="shared" si="206"/>
        <v>7.2759576141834259E-12</v>
      </c>
      <c r="R185" s="29">
        <f>SUM(R181:R184)</f>
        <v>52960.493411120173</v>
      </c>
      <c r="S185" s="29">
        <f>SUM(S181:S184)</f>
        <v>154.33729185641641</v>
      </c>
      <c r="T185" s="29">
        <f>SUM(T180:T183)</f>
        <v>0</v>
      </c>
      <c r="U185" s="29">
        <f>SUM(U181:U184)</f>
        <v>0</v>
      </c>
    </row>
    <row r="186" spans="1:21">
      <c r="A186" s="13"/>
      <c r="B186" s="8"/>
      <c r="C186" s="21"/>
      <c r="D186" s="33"/>
      <c r="E186" s="33"/>
      <c r="F186" s="5"/>
      <c r="G186" s="33"/>
      <c r="H186" s="6"/>
      <c r="I186" s="33"/>
      <c r="J186" s="33"/>
      <c r="K186" s="21"/>
      <c r="L186" s="21"/>
      <c r="M186" s="21"/>
      <c r="N186" s="8"/>
      <c r="O186" s="9"/>
      <c r="P186" s="22">
        <f t="shared" si="206"/>
        <v>0</v>
      </c>
    </row>
    <row r="187" spans="1:21">
      <c r="A187" s="13">
        <v>41201</v>
      </c>
      <c r="B187" s="8" t="s">
        <v>136</v>
      </c>
      <c r="C187" s="23">
        <f>IFERROR(VLOOKUP(A187,'2120 IS'!$A$48:$AE$241,31,FALSE),0)</f>
        <v>29291.059999999998</v>
      </c>
      <c r="D187" s="25"/>
      <c r="E187" s="24">
        <f t="shared" ref="E187" si="260">SUM(C187:D187)</f>
        <v>29291.059999999998</v>
      </c>
      <c r="F187" s="14"/>
      <c r="G187" s="25"/>
      <c r="H187" s="37"/>
      <c r="I187" s="24">
        <f t="shared" ref="I187" si="261">E187+G187</f>
        <v>29291.059999999998</v>
      </c>
      <c r="J187" s="24"/>
      <c r="K187" s="23">
        <v>0</v>
      </c>
      <c r="L187" s="23">
        <v>0</v>
      </c>
      <c r="M187" s="23">
        <f>I187</f>
        <v>29291.059999999998</v>
      </c>
      <c r="N187" s="8" t="s">
        <v>13</v>
      </c>
      <c r="O187" s="9"/>
      <c r="P187" s="22">
        <f t="shared" si="206"/>
        <v>0</v>
      </c>
      <c r="R187" s="850"/>
      <c r="S187" s="850"/>
      <c r="T187" s="846"/>
      <c r="U187" s="847">
        <f t="shared" ref="U187" si="262">K187-R187-S187</f>
        <v>0</v>
      </c>
    </row>
    <row r="188" spans="1:21">
      <c r="A188" s="42">
        <v>52700</v>
      </c>
      <c r="B188" s="45" t="s">
        <v>222</v>
      </c>
      <c r="C188" s="29">
        <f>SUM(C187:C187)</f>
        <v>29291.059999999998</v>
      </c>
      <c r="D188" s="29">
        <f>SUM(D187:D187)</f>
        <v>0</v>
      </c>
      <c r="E188" s="29">
        <f>SUM(E187:E187)</f>
        <v>29291.059999999998</v>
      </c>
      <c r="F188" s="30"/>
      <c r="G188" s="29">
        <f>SUM(G187:G187)</f>
        <v>0</v>
      </c>
      <c r="H188" s="43"/>
      <c r="I188" s="29">
        <f>SUM(I187:I187)</f>
        <v>29291.059999999998</v>
      </c>
      <c r="J188" s="29"/>
      <c r="K188" s="29">
        <f>SUM(K187:K187)</f>
        <v>0</v>
      </c>
      <c r="L188" s="29">
        <f t="shared" ref="L188:M188" si="263">SUM(L187:L187)</f>
        <v>0</v>
      </c>
      <c r="M188" s="29">
        <f t="shared" si="263"/>
        <v>29291.059999999998</v>
      </c>
      <c r="N188" s="32"/>
      <c r="O188" s="32"/>
      <c r="P188" s="22">
        <f t="shared" si="206"/>
        <v>0</v>
      </c>
      <c r="R188" s="29">
        <f t="shared" ref="R188:U188" si="264">SUM(R187:R187)</f>
        <v>0</v>
      </c>
      <c r="S188" s="29">
        <f t="shared" si="264"/>
        <v>0</v>
      </c>
      <c r="T188" s="29">
        <f t="shared" si="264"/>
        <v>0</v>
      </c>
      <c r="U188" s="29">
        <f t="shared" si="264"/>
        <v>0</v>
      </c>
    </row>
    <row r="189" spans="1:21">
      <c r="A189" s="13"/>
      <c r="B189" s="8"/>
      <c r="C189" s="21"/>
      <c r="D189" s="33"/>
      <c r="E189" s="33"/>
      <c r="F189" s="5"/>
      <c r="G189" s="33"/>
      <c r="H189" s="6"/>
      <c r="I189" s="33"/>
      <c r="J189" s="33"/>
      <c r="K189" s="21"/>
      <c r="L189" s="21"/>
      <c r="M189" s="21"/>
      <c r="N189" s="8"/>
      <c r="O189" s="9"/>
      <c r="P189" s="22">
        <f t="shared" si="206"/>
        <v>0</v>
      </c>
    </row>
    <row r="190" spans="1:21">
      <c r="A190" s="13">
        <v>57170</v>
      </c>
      <c r="B190" s="9" t="s">
        <v>107</v>
      </c>
      <c r="C190" s="23">
        <f>IFERROR(VLOOKUP(A190,'2120 IS'!$A$48:$AE$241,31,FALSE),0)</f>
        <v>6175</v>
      </c>
      <c r="D190" s="25"/>
      <c r="E190" s="24">
        <f t="shared" ref="E190" si="265">SUM(C190:D190)</f>
        <v>6175</v>
      </c>
      <c r="F190" s="14"/>
      <c r="G190" s="25"/>
      <c r="H190" s="37"/>
      <c r="I190" s="24">
        <f t="shared" ref="I190" si="266">E190+G190</f>
        <v>6175</v>
      </c>
      <c r="J190" s="24"/>
      <c r="K190" s="23">
        <f>I190*Ratios!$C$49</f>
        <v>5480.5871886120995</v>
      </c>
      <c r="L190" s="23">
        <f>I190*Ratios!$D$49</f>
        <v>21.97508896797153</v>
      </c>
      <c r="M190" s="23">
        <f t="shared" ref="M190" si="267">I190-K190-L190</f>
        <v>672.43772241992906</v>
      </c>
      <c r="N190" s="8" t="s">
        <v>21</v>
      </c>
      <c r="O190" s="9"/>
      <c r="P190" s="22">
        <f t="shared" si="206"/>
        <v>0</v>
      </c>
      <c r="R190" s="850">
        <f>K190*Ratios!$N$43</f>
        <v>5467.4021352313166</v>
      </c>
      <c r="S190" s="850">
        <f>K190-R190</f>
        <v>13.185053380782847</v>
      </c>
      <c r="T190" s="848" t="s">
        <v>21</v>
      </c>
      <c r="U190" s="847">
        <f t="shared" ref="U190" si="268">K190-R190-S190</f>
        <v>0</v>
      </c>
    </row>
    <row r="191" spans="1:21">
      <c r="A191" s="42">
        <v>53200</v>
      </c>
      <c r="B191" s="2" t="s">
        <v>108</v>
      </c>
      <c r="C191" s="28">
        <f>SUM(C190:C190)</f>
        <v>6175</v>
      </c>
      <c r="D191" s="29">
        <f t="shared" ref="D191:E191" si="269">SUM(D190:D190)</f>
        <v>0</v>
      </c>
      <c r="E191" s="29">
        <f t="shared" si="269"/>
        <v>6175</v>
      </c>
      <c r="F191" s="30"/>
      <c r="G191" s="28">
        <f>SUM(G190:G190)</f>
        <v>0</v>
      </c>
      <c r="H191" s="31"/>
      <c r="I191" s="28">
        <f>SUM(I190:I190)</f>
        <v>6175</v>
      </c>
      <c r="J191" s="28"/>
      <c r="K191" s="28">
        <f>SUM(K190:K190)</f>
        <v>5480.5871886120995</v>
      </c>
      <c r="L191" s="28">
        <f t="shared" ref="L191:M191" si="270">SUM(L190:L190)</f>
        <v>21.97508896797153</v>
      </c>
      <c r="M191" s="28">
        <f t="shared" si="270"/>
        <v>672.43772241992906</v>
      </c>
      <c r="N191" s="32"/>
      <c r="O191" s="3"/>
      <c r="P191" s="22">
        <f t="shared" si="206"/>
        <v>0</v>
      </c>
      <c r="R191" s="28">
        <f t="shared" ref="R191:U191" si="271">SUM(R190:R190)</f>
        <v>5467.4021352313166</v>
      </c>
      <c r="S191" s="28">
        <f t="shared" si="271"/>
        <v>13.185053380782847</v>
      </c>
      <c r="T191" s="28">
        <f t="shared" si="271"/>
        <v>0</v>
      </c>
      <c r="U191" s="28">
        <f t="shared" si="271"/>
        <v>0</v>
      </c>
    </row>
    <row r="192" spans="1:21">
      <c r="A192" s="42"/>
      <c r="B192" s="2"/>
      <c r="C192" s="28"/>
      <c r="D192" s="33"/>
      <c r="E192" s="33"/>
      <c r="F192" s="5"/>
      <c r="G192" s="33"/>
      <c r="H192" s="6"/>
      <c r="I192" s="33"/>
      <c r="J192" s="33"/>
      <c r="K192" s="29"/>
      <c r="L192" s="29"/>
      <c r="M192" s="29"/>
      <c r="N192" s="8"/>
      <c r="O192" s="9"/>
      <c r="P192" s="22">
        <f t="shared" si="206"/>
        <v>0</v>
      </c>
    </row>
    <row r="193" spans="1:21" ht="14.25" customHeight="1">
      <c r="A193" s="42">
        <v>70269</v>
      </c>
      <c r="B193" s="8" t="s">
        <v>225</v>
      </c>
      <c r="C193" s="21">
        <f>IFERROR(VLOOKUP(A193,'2120 IS'!$A$48:$AE$241,31,FALSE),0)</f>
        <v>7820.51</v>
      </c>
      <c r="D193" s="21">
        <f>'Restating Adj''s'!D65</f>
        <v>-7820.51</v>
      </c>
      <c r="E193" s="19">
        <f t="shared" ref="E193" si="272">SUM(C193:D193)</f>
        <v>0</v>
      </c>
      <c r="F193" s="603" t="s">
        <v>566</v>
      </c>
      <c r="G193" s="29"/>
      <c r="H193" s="43"/>
      <c r="I193" s="19">
        <f t="shared" ref="I193" si="273">E193+G193</f>
        <v>0</v>
      </c>
      <c r="J193" s="29"/>
      <c r="K193" s="29"/>
      <c r="L193" s="29"/>
      <c r="M193" s="29"/>
      <c r="N193" s="32"/>
      <c r="O193" s="32"/>
      <c r="P193" s="22">
        <f t="shared" si="206"/>
        <v>0</v>
      </c>
    </row>
    <row r="194" spans="1:21">
      <c r="A194" s="13"/>
      <c r="B194" s="9"/>
      <c r="C194" s="18"/>
      <c r="D194" s="33"/>
      <c r="E194" s="33"/>
      <c r="F194" s="5"/>
      <c r="G194" s="33"/>
      <c r="H194" s="6"/>
      <c r="I194" s="33"/>
      <c r="J194" s="33"/>
      <c r="K194" s="21"/>
      <c r="L194" s="21"/>
      <c r="M194" s="21"/>
      <c r="N194" s="8"/>
      <c r="O194" s="9"/>
      <c r="P194" s="22">
        <f t="shared" si="206"/>
        <v>0</v>
      </c>
    </row>
    <row r="195" spans="1:21">
      <c r="A195" s="13"/>
      <c r="B195" s="2" t="s">
        <v>3</v>
      </c>
      <c r="C195" s="28">
        <f>C28+C25+C34+C37+C40+C48+C52+C59+C64+C71+C79+C88+C92+C106+C109+C119+C122+C128+C134+C137+C160+C169+C172+C176+C185+C191+C193+C83+C188+C179+C98+C95</f>
        <v>2918536.0599999991</v>
      </c>
      <c r="D195" s="28">
        <f t="shared" ref="D195:L195" si="274">D28+D25+D34+D37+D40+D48+D52+D59+D64+D71+D79+D88+D92+D106+D109+D119+D122+D128+D134+D137+D160+D169+D172+D176+D185+D191+D193+D83+D188+D179+D98+D95</f>
        <v>-23124.739432695449</v>
      </c>
      <c r="E195" s="28">
        <f t="shared" si="274"/>
        <v>2895411.3205673043</v>
      </c>
      <c r="F195" s="5"/>
      <c r="G195" s="28">
        <f t="shared" si="274"/>
        <v>12573.416529369406</v>
      </c>
      <c r="H195" s="3"/>
      <c r="I195" s="28">
        <f t="shared" si="274"/>
        <v>2907984.7370966729</v>
      </c>
      <c r="J195" s="28"/>
      <c r="K195" s="28">
        <f t="shared" si="274"/>
        <v>2517641.7468031049</v>
      </c>
      <c r="L195" s="28">
        <f t="shared" si="274"/>
        <v>17156.894763441462</v>
      </c>
      <c r="M195" s="28">
        <f t="shared" ref="M195" si="275">M28+M25+M34+M37+M40+M48+M52+M59+M64+M71+M79+M88+M92+M106+M109+M119+M122+M128+M134+M137+M160+M169+M172+M176+M185+M191+M193+M83+M188+M179+M98+M95</f>
        <v>373186.09553012846</v>
      </c>
      <c r="N195" s="29"/>
      <c r="O195" s="3"/>
      <c r="P195" s="22">
        <f>I195-K195-L195-M195</f>
        <v>-1.9208528101444244E-9</v>
      </c>
      <c r="R195" s="28">
        <f>R28+R25+R34+R37+R40+R48+R52+R59+R64+R71+R79+R88+R92+R106+R109+R119+R122+R128+R134+R137+R160+R169+R172+R176+R185+R191+R193+R83+R188+R179+R98+R95</f>
        <v>2512848.2103272113</v>
      </c>
      <c r="S195" s="28">
        <f>S28+S25+S34+S37+S40+S48+S52+S59+S64+S71+S79+S88+S92+S106+S109+S119+S122+S128+S134+S137+S160+S169+S172+S176+S185+S191+S193+S83+S188+S179+S98+S95</f>
        <v>4793.5364758937549</v>
      </c>
      <c r="T195" s="28"/>
      <c r="U195" s="847">
        <f t="shared" ref="U195" si="276">K195-R195-S195</f>
        <v>-1.7917045624926686E-10</v>
      </c>
    </row>
    <row r="196" spans="1:21">
      <c r="A196" s="13"/>
      <c r="B196" s="2"/>
      <c r="C196" s="28"/>
      <c r="D196" s="4"/>
      <c r="E196" s="4"/>
      <c r="F196" s="5"/>
      <c r="G196" s="4"/>
      <c r="H196" s="6"/>
      <c r="I196" s="4"/>
      <c r="J196" s="4"/>
      <c r="K196" s="7"/>
      <c r="L196" s="7"/>
      <c r="M196" s="7"/>
      <c r="N196" s="8"/>
      <c r="O196" s="9"/>
      <c r="P196" s="9"/>
      <c r="R196" s="7"/>
      <c r="S196" s="7"/>
      <c r="T196" s="7"/>
    </row>
    <row r="197" spans="1:21">
      <c r="A197" s="13"/>
      <c r="B197" s="2" t="s">
        <v>109</v>
      </c>
      <c r="C197" s="55">
        <f>C195/C15</f>
        <v>0.9822303845824476</v>
      </c>
      <c r="D197" s="4"/>
      <c r="E197" s="55">
        <f>E195/E15</f>
        <v>0.97094949209077608</v>
      </c>
      <c r="F197" s="5"/>
      <c r="G197" s="4"/>
      <c r="H197" s="6"/>
      <c r="I197" s="55">
        <f>I195/I15</f>
        <v>0.9751658714032132</v>
      </c>
      <c r="J197" s="55"/>
      <c r="K197" s="55">
        <f>K195/K15</f>
        <v>0.9810961005029335</v>
      </c>
      <c r="L197" s="55">
        <f>L195/L15</f>
        <v>0.67425596431304269</v>
      </c>
      <c r="M197" s="55">
        <f>M195/M15</f>
        <v>0.95580067126032553</v>
      </c>
      <c r="N197" s="8"/>
      <c r="O197" s="9"/>
      <c r="P197" s="9"/>
      <c r="R197" s="55">
        <f>R195/R15</f>
        <v>0.98101447812863996</v>
      </c>
      <c r="S197" s="55">
        <f>S195/S15</f>
        <v>1.0258389038523577</v>
      </c>
      <c r="T197" s="55"/>
    </row>
    <row r="198" spans="1:21">
      <c r="A198" s="13"/>
      <c r="B198" s="9"/>
      <c r="C198" s="3"/>
      <c r="D198" s="4"/>
      <c r="E198" s="3"/>
      <c r="F198" s="5"/>
      <c r="G198" s="4"/>
      <c r="H198" s="6"/>
      <c r="I198" s="3"/>
      <c r="J198" s="4"/>
      <c r="K198" s="7"/>
      <c r="L198" s="7"/>
      <c r="M198" s="7"/>
      <c r="N198" s="8"/>
      <c r="O198" s="9"/>
      <c r="P198" s="9"/>
      <c r="R198" s="7"/>
      <c r="S198" s="7"/>
      <c r="T198" s="7"/>
    </row>
    <row r="199" spans="1:21">
      <c r="A199" s="13"/>
      <c r="B199" s="2" t="s">
        <v>110</v>
      </c>
      <c r="C199" s="28">
        <f>C15-C195</f>
        <v>52799.490000001621</v>
      </c>
      <c r="D199" s="4"/>
      <c r="E199" s="28">
        <f>E15-E195</f>
        <v>86629.809432696085</v>
      </c>
      <c r="F199" s="5"/>
      <c r="G199" s="4"/>
      <c r="H199" s="6"/>
      <c r="I199" s="28">
        <f>I15-I195</f>
        <v>74056.392903327476</v>
      </c>
      <c r="J199" s="4"/>
      <c r="K199" s="56">
        <f>K15-K195</f>
        <v>48510.280009050388</v>
      </c>
      <c r="L199" s="56">
        <f>L15-L195</f>
        <v>8288.7752365585402</v>
      </c>
      <c r="M199" s="56">
        <f>M15-M195</f>
        <v>17257.337657716707</v>
      </c>
      <c r="N199" s="43"/>
      <c r="O199" s="31"/>
      <c r="P199" s="9"/>
      <c r="R199" s="56">
        <f>R15-R195</f>
        <v>48631.01994945202</v>
      </c>
      <c r="S199" s="56">
        <f>S15-S195</f>
        <v>-120.73994040219623</v>
      </c>
      <c r="T199" s="56"/>
      <c r="U199" s="847">
        <f t="shared" ref="U199" si="277">K199-R199-S199</f>
        <v>5.6388671509921551E-10</v>
      </c>
    </row>
    <row r="200" spans="1:21">
      <c r="A200" s="13"/>
      <c r="B200" s="9"/>
      <c r="C200" s="3"/>
      <c r="D200" s="4"/>
      <c r="E200" s="4"/>
      <c r="F200" s="5"/>
      <c r="G200" s="4"/>
      <c r="H200" s="6"/>
      <c r="I200" s="4"/>
      <c r="J200" s="4"/>
      <c r="K200" s="7"/>
      <c r="L200" s="7"/>
      <c r="M200" s="7"/>
      <c r="N200" s="8"/>
      <c r="O200" s="9"/>
      <c r="P200" s="9"/>
    </row>
    <row r="201" spans="1:21">
      <c r="A201" s="42"/>
      <c r="B201" s="2" t="s">
        <v>111</v>
      </c>
      <c r="C201" s="29"/>
      <c r="D201" s="4"/>
      <c r="E201" s="4"/>
      <c r="F201" s="5"/>
      <c r="G201" s="4"/>
      <c r="H201" s="6"/>
      <c r="I201" s="4"/>
      <c r="J201" s="4"/>
      <c r="K201" s="18">
        <f>'2120 Depr Summary'!Q44</f>
        <v>942817.78183782089</v>
      </c>
      <c r="L201" s="18">
        <f>'2120 Depr Summary'!R44</f>
        <v>9075.598624180333</v>
      </c>
      <c r="M201" s="18">
        <f>'2120 Depr Summary'!S44</f>
        <v>115377.84422784341</v>
      </c>
      <c r="N201" s="57"/>
      <c r="O201" s="2"/>
      <c r="P201" s="2"/>
      <c r="R201" s="849">
        <f>'2120 Depr Summary'!AB44</f>
        <v>917048.83329191431</v>
      </c>
      <c r="S201" s="849">
        <f>'2120 Depr Summary'!AC44</f>
        <v>25768.94854590666</v>
      </c>
    </row>
    <row r="203" spans="1:21">
      <c r="C203" s="477"/>
      <c r="G203" s="21"/>
      <c r="K203" s="478">
        <v>0.863573819993942</v>
      </c>
      <c r="L203" s="478">
        <v>2.1913445607053147E-3</v>
      </c>
      <c r="M203" s="478">
        <v>0.10196566676190473</v>
      </c>
      <c r="N203" s="479" t="s">
        <v>988</v>
      </c>
    </row>
    <row r="204" spans="1:21">
      <c r="C204" s="477">
        <f>C199-'2120 IS'!AE279</f>
        <v>1.0186340659856796E-9</v>
      </c>
    </row>
  </sheetData>
  <pageMargins left="0.7" right="0.7" top="0.75" bottom="0.75" header="0.3" footer="0.3"/>
  <pageSetup scale="64"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5"/>
  <sheetViews>
    <sheetView zoomScaleNormal="100" workbookViewId="0">
      <selection activeCell="B25" sqref="B25"/>
    </sheetView>
  </sheetViews>
  <sheetFormatPr defaultRowHeight="15"/>
  <cols>
    <col min="1" max="1" width="21.42578125" customWidth="1"/>
    <col min="2" max="2" width="21.5703125" customWidth="1"/>
    <col min="3" max="3" width="15.85546875" customWidth="1"/>
    <col min="4" max="4" width="12.28515625" customWidth="1"/>
    <col min="5" max="5" width="13.85546875" bestFit="1" customWidth="1"/>
    <col min="6" max="7" width="14.28515625" bestFit="1" customWidth="1"/>
    <col min="8" max="8" width="13.28515625" customWidth="1"/>
    <col min="13" max="13" width="25.7109375" style="128" bestFit="1" customWidth="1"/>
    <col min="14" max="14" width="12.28515625" bestFit="1" customWidth="1"/>
    <col min="15" max="15" width="9" bestFit="1" customWidth="1"/>
    <col min="16" max="17" width="12.28515625" bestFit="1" customWidth="1"/>
    <col min="18" max="18" width="10.5703125" bestFit="1" customWidth="1"/>
    <col min="19" max="19" width="8.5703125" bestFit="1" customWidth="1"/>
    <col min="20" max="20" width="9.7109375" bestFit="1" customWidth="1"/>
    <col min="21" max="21" width="15.85546875" bestFit="1" customWidth="1"/>
    <col min="22" max="22" width="9" bestFit="1" customWidth="1"/>
    <col min="23" max="23" width="12.85546875" customWidth="1"/>
    <col min="24" max="24" width="2.42578125" customWidth="1"/>
    <col min="25" max="25" width="12.28515625" bestFit="1" customWidth="1"/>
  </cols>
  <sheetData>
    <row r="1" spans="1:25">
      <c r="A1" s="127" t="s">
        <v>227</v>
      </c>
    </row>
    <row r="2" spans="1:25">
      <c r="A2" s="127" t="s">
        <v>112</v>
      </c>
    </row>
    <row r="3" spans="1:25">
      <c r="A3" s="127" t="s">
        <v>529</v>
      </c>
    </row>
    <row r="5" spans="1:25">
      <c r="A5" s="132" t="s">
        <v>228</v>
      </c>
      <c r="B5" s="132"/>
      <c r="C5" s="132"/>
      <c r="D5" s="132"/>
      <c r="E5" s="132"/>
      <c r="F5" s="132"/>
      <c r="G5" s="132"/>
      <c r="H5" s="132"/>
      <c r="I5" s="132"/>
      <c r="N5" s="1128" t="s">
        <v>562</v>
      </c>
      <c r="O5" s="1128"/>
      <c r="P5" s="1128"/>
      <c r="Q5" s="1128"/>
      <c r="R5" s="1128"/>
      <c r="S5" s="1128"/>
      <c r="T5" s="1128"/>
      <c r="U5" s="1128"/>
      <c r="V5" s="1128"/>
      <c r="W5" s="1128"/>
      <c r="X5" s="1128"/>
      <c r="Y5" s="1128"/>
    </row>
    <row r="6" spans="1:25">
      <c r="N6" s="231" t="s">
        <v>12</v>
      </c>
      <c r="O6" s="231" t="s">
        <v>564</v>
      </c>
      <c r="P6" s="231" t="s">
        <v>568</v>
      </c>
      <c r="Q6" s="231" t="s">
        <v>566</v>
      </c>
      <c r="R6" s="231" t="s">
        <v>570</v>
      </c>
      <c r="S6" s="231" t="s">
        <v>572</v>
      </c>
      <c r="T6" s="231" t="s">
        <v>574</v>
      </c>
      <c r="U6" s="231" t="s">
        <v>575</v>
      </c>
      <c r="V6" s="231" t="s">
        <v>1782</v>
      </c>
      <c r="W6" s="231" t="s">
        <v>2133</v>
      </c>
      <c r="X6" s="231"/>
    </row>
    <row r="7" spans="1:25" ht="48" customHeight="1">
      <c r="N7" s="129" t="s">
        <v>563</v>
      </c>
      <c r="O7" s="129" t="s">
        <v>565</v>
      </c>
      <c r="P7" s="129" t="s">
        <v>567</v>
      </c>
      <c r="Q7" s="129" t="s">
        <v>569</v>
      </c>
      <c r="R7" s="129" t="s">
        <v>571</v>
      </c>
      <c r="S7" s="129" t="s">
        <v>573</v>
      </c>
      <c r="T7" s="129" t="s">
        <v>53</v>
      </c>
      <c r="U7" s="129" t="s">
        <v>576</v>
      </c>
      <c r="V7" s="129" t="s">
        <v>1783</v>
      </c>
      <c r="W7" s="129" t="s">
        <v>2134</v>
      </c>
      <c r="X7" s="129"/>
    </row>
    <row r="8" spans="1:25" ht="45">
      <c r="B8" s="129" t="s">
        <v>238</v>
      </c>
      <c r="C8" s="129" t="s">
        <v>239</v>
      </c>
      <c r="D8" s="129" t="s">
        <v>241</v>
      </c>
      <c r="E8" s="129" t="s">
        <v>240</v>
      </c>
      <c r="F8" s="130" t="s">
        <v>242</v>
      </c>
      <c r="G8" s="130" t="s">
        <v>243</v>
      </c>
      <c r="H8" s="130" t="s">
        <v>244</v>
      </c>
      <c r="L8" s="242"/>
      <c r="M8" s="272" t="s">
        <v>10</v>
      </c>
    </row>
    <row r="9" spans="1:25">
      <c r="A9" s="128" t="s">
        <v>229</v>
      </c>
      <c r="B9" s="191">
        <f>'Spokane Reg - Price out'!I31</f>
        <v>348339.96499999997</v>
      </c>
      <c r="C9" s="191">
        <f>'Whitman Reg - Price Out'!H37</f>
        <v>983997.78999999992</v>
      </c>
      <c r="E9" s="195">
        <f>'[35]Revenue Summary'!$M$6</f>
        <v>201306.84999999998</v>
      </c>
      <c r="F9" s="191">
        <f>SUM(B9:E9)</f>
        <v>1533644.605</v>
      </c>
      <c r="G9" s="195">
        <f>'Consolidated IS'!C8</f>
        <v>1536054.7500000002</v>
      </c>
      <c r="H9" s="191">
        <f>F9-G9</f>
        <v>-2410.1450000002515</v>
      </c>
      <c r="I9" s="198">
        <f>H9/G9</f>
        <v>-1.5690488896963153E-3</v>
      </c>
      <c r="L9" s="242">
        <v>31000</v>
      </c>
      <c r="M9" s="273" t="s">
        <v>11</v>
      </c>
      <c r="N9" s="191">
        <f>H9+H10</f>
        <v>1282.4549999997485</v>
      </c>
      <c r="Y9" s="191">
        <f>SUM(N9:X9)</f>
        <v>1282.4549999997485</v>
      </c>
    </row>
    <row r="10" spans="1:25">
      <c r="A10" s="128" t="s">
        <v>230</v>
      </c>
      <c r="C10" s="191">
        <f>'Whitman Reg - Price Out'!H42</f>
        <v>3692.6</v>
      </c>
      <c r="F10" s="191">
        <f t="shared" ref="F10:F17" si="0">SUM(B10:E10)</f>
        <v>3692.6</v>
      </c>
      <c r="G10" s="195"/>
      <c r="H10" s="191">
        <f t="shared" ref="H10:H17" si="1">F10-G10</f>
        <v>3692.6</v>
      </c>
      <c r="I10" s="198"/>
      <c r="L10" s="242">
        <v>32000</v>
      </c>
      <c r="M10" s="273" t="s">
        <v>14</v>
      </c>
      <c r="N10" s="191">
        <f>H11+H12+H13</f>
        <v>8535.1650000003465</v>
      </c>
      <c r="Y10" s="191">
        <f t="shared" ref="Y10:Y16" si="2">SUM(N10:X10)</f>
        <v>8535.1650000003465</v>
      </c>
    </row>
    <row r="11" spans="1:25">
      <c r="A11" s="128" t="s">
        <v>231</v>
      </c>
      <c r="B11" s="191">
        <f>'Spokane Reg - Price out'!I77</f>
        <v>128922.62000000002</v>
      </c>
      <c r="C11" s="191">
        <f>'Whitman Reg - Price Out'!H123</f>
        <v>948089.98500000034</v>
      </c>
      <c r="E11" s="195">
        <f>'[35]Revenue Summary'!$M$9</f>
        <v>149429.79</v>
      </c>
      <c r="F11" s="191">
        <f t="shared" si="0"/>
        <v>1226442.3950000005</v>
      </c>
      <c r="G11" s="195">
        <f>'Consolidated IS'!C9</f>
        <v>1250487.9000000001</v>
      </c>
      <c r="H11" s="191">
        <f t="shared" si="1"/>
        <v>-24045.504999999655</v>
      </c>
      <c r="I11" s="198">
        <f t="shared" ref="I11:I18" si="3">H11/G11</f>
        <v>-1.9228898576307416E-2</v>
      </c>
      <c r="L11" s="242">
        <v>33000</v>
      </c>
      <c r="M11" s="273" t="s">
        <v>15</v>
      </c>
      <c r="N11" s="191">
        <f>H14+H15</f>
        <v>724.98999999997613</v>
      </c>
      <c r="Y11" s="191">
        <f t="shared" si="2"/>
        <v>724.98999999997613</v>
      </c>
    </row>
    <row r="12" spans="1:25">
      <c r="A12" s="128" t="s">
        <v>232</v>
      </c>
      <c r="E12" s="191">
        <f>'Whitman Reg - Price Out'!H129</f>
        <v>7135</v>
      </c>
      <c r="F12" s="191">
        <f t="shared" si="0"/>
        <v>7135</v>
      </c>
      <c r="G12" s="195"/>
      <c r="H12" s="191">
        <f t="shared" si="1"/>
        <v>7135</v>
      </c>
      <c r="I12" s="198"/>
      <c r="L12" s="242">
        <v>33100</v>
      </c>
      <c r="M12" s="273" t="s">
        <v>16</v>
      </c>
      <c r="N12" s="191">
        <f>H16</f>
        <v>545.44999999999709</v>
      </c>
      <c r="Y12" s="191">
        <f t="shared" si="2"/>
        <v>545.44999999999709</v>
      </c>
    </row>
    <row r="13" spans="1:25">
      <c r="A13" s="128" t="s">
        <v>233</v>
      </c>
      <c r="D13" s="191">
        <f>'Whitman Reg - Price Out'!H134</f>
        <v>25445.670000000002</v>
      </c>
      <c r="F13" s="191">
        <f t="shared" si="0"/>
        <v>25445.670000000002</v>
      </c>
      <c r="G13" s="195"/>
      <c r="H13" s="191">
        <f t="shared" si="1"/>
        <v>25445.670000000002</v>
      </c>
      <c r="I13" s="198"/>
      <c r="L13" s="242">
        <v>34000</v>
      </c>
      <c r="M13" s="273" t="s">
        <v>127</v>
      </c>
      <c r="Y13" s="191">
        <f t="shared" si="2"/>
        <v>0</v>
      </c>
    </row>
    <row r="14" spans="1:25">
      <c r="A14" s="128" t="s">
        <v>234</v>
      </c>
      <c r="B14" s="191">
        <f>'Spokane Reg - Price out'!I91</f>
        <v>24200.54</v>
      </c>
      <c r="C14" s="191">
        <f>'Whitman Reg - Price Out'!H150</f>
        <v>55637.83</v>
      </c>
      <c r="E14" s="195">
        <f>'[35]Revenue Summary'!$M$14</f>
        <v>14558.050000000001</v>
      </c>
      <c r="F14" s="191">
        <f t="shared" si="0"/>
        <v>94396.42</v>
      </c>
      <c r="G14" s="195">
        <f>'Consolidated IS'!C10</f>
        <v>97696.430000000022</v>
      </c>
      <c r="H14" s="191">
        <f t="shared" si="1"/>
        <v>-3300.0100000000239</v>
      </c>
      <c r="I14" s="198">
        <f t="shared" si="3"/>
        <v>-3.3778204587414533E-2</v>
      </c>
      <c r="L14" s="242">
        <v>35000</v>
      </c>
      <c r="M14" s="273" t="s">
        <v>17</v>
      </c>
      <c r="N14" s="191">
        <f>H17</f>
        <v>-382.47999999999956</v>
      </c>
      <c r="Y14" s="191">
        <f t="shared" si="2"/>
        <v>-382.47999999999956</v>
      </c>
    </row>
    <row r="15" spans="1:25">
      <c r="A15" s="128" t="s">
        <v>235</v>
      </c>
      <c r="E15" s="191">
        <f>'Spokane Reg - Price out'!I96</f>
        <v>4025</v>
      </c>
      <c r="F15" s="191">
        <f t="shared" si="0"/>
        <v>4025</v>
      </c>
      <c r="G15" s="195"/>
      <c r="H15" s="191">
        <f t="shared" si="1"/>
        <v>4025</v>
      </c>
      <c r="I15" s="198"/>
      <c r="L15" s="242">
        <v>39000</v>
      </c>
      <c r="M15" s="273" t="s">
        <v>18</v>
      </c>
      <c r="N15" s="131"/>
      <c r="O15" s="131"/>
      <c r="P15" s="131"/>
      <c r="Q15" s="131"/>
      <c r="R15" s="131"/>
      <c r="S15" s="131"/>
      <c r="T15" s="131"/>
      <c r="U15" s="131"/>
      <c r="V15" s="131"/>
      <c r="W15" s="131"/>
      <c r="X15" s="131"/>
      <c r="Y15" s="192">
        <f t="shared" si="2"/>
        <v>0</v>
      </c>
    </row>
    <row r="16" spans="1:25">
      <c r="A16" s="128" t="s">
        <v>236</v>
      </c>
      <c r="B16" s="191">
        <f>'Spokane Reg - Price out'!I101</f>
        <v>23991.480000000003</v>
      </c>
      <c r="C16" s="191">
        <f>'Whitman Reg - Price Out'!H155</f>
        <v>41557.61</v>
      </c>
      <c r="E16" s="195">
        <f>'[35]Revenue Summary'!$M$16</f>
        <v>7304.67</v>
      </c>
      <c r="F16" s="191">
        <f t="shared" si="0"/>
        <v>72853.759999999995</v>
      </c>
      <c r="G16" s="195">
        <f>'Consolidated IS'!C11</f>
        <v>72308.31</v>
      </c>
      <c r="H16" s="191">
        <f t="shared" si="1"/>
        <v>545.44999999999709</v>
      </c>
      <c r="I16" s="198">
        <f t="shared" si="3"/>
        <v>7.5433930069724641E-3</v>
      </c>
      <c r="L16" s="242"/>
      <c r="M16" s="272" t="s">
        <v>3</v>
      </c>
      <c r="N16" s="285">
        <f>SUM(N9:N15)</f>
        <v>10705.580000000069</v>
      </c>
      <c r="O16" s="283"/>
      <c r="P16" s="283"/>
      <c r="Q16" s="283"/>
      <c r="R16" s="283"/>
      <c r="S16" s="283"/>
      <c r="T16" s="283"/>
      <c r="U16" s="283"/>
      <c r="V16" s="283"/>
      <c r="W16" s="283"/>
      <c r="X16" s="283"/>
      <c r="Y16" s="285">
        <f t="shared" si="2"/>
        <v>10705.580000000069</v>
      </c>
    </row>
    <row r="17" spans="1:25">
      <c r="A17" s="128" t="s">
        <v>237</v>
      </c>
      <c r="B17" s="192">
        <f>'Spokane Reg - Price out'!I107</f>
        <v>754.3</v>
      </c>
      <c r="C17" s="192">
        <f>'Whitman Reg - Price Out'!H162</f>
        <v>3419.6000000000004</v>
      </c>
      <c r="D17" s="131"/>
      <c r="E17" s="131"/>
      <c r="F17" s="192">
        <f t="shared" si="0"/>
        <v>4173.9000000000005</v>
      </c>
      <c r="G17" s="196">
        <f>'Consolidated IS'!C13</f>
        <v>4556.38</v>
      </c>
      <c r="H17" s="192">
        <f t="shared" si="1"/>
        <v>-382.47999999999956</v>
      </c>
      <c r="I17" s="198">
        <f t="shared" si="3"/>
        <v>-8.3943832603953036E-2</v>
      </c>
    </row>
    <row r="18" spans="1:25">
      <c r="B18" s="193">
        <f t="shared" ref="B18:H18" si="4">SUM(B9:B17)</f>
        <v>526208.90500000003</v>
      </c>
      <c r="C18" s="193">
        <f t="shared" si="4"/>
        <v>2036395.4150000005</v>
      </c>
      <c r="D18" s="193">
        <f t="shared" si="4"/>
        <v>25445.670000000002</v>
      </c>
      <c r="E18" s="193">
        <f t="shared" si="4"/>
        <v>383759.35999999999</v>
      </c>
      <c r="F18" s="193">
        <f t="shared" si="4"/>
        <v>2971809.35</v>
      </c>
      <c r="G18" s="193">
        <f t="shared" si="4"/>
        <v>2961103.7700000005</v>
      </c>
      <c r="H18" s="193">
        <f t="shared" si="4"/>
        <v>10705.580000000067</v>
      </c>
      <c r="I18" s="198">
        <f t="shared" si="3"/>
        <v>3.6154018337560879E-3</v>
      </c>
      <c r="L18" s="404">
        <f>'Consolidated IS'!A25</f>
        <v>41150</v>
      </c>
      <c r="M18" s="841" t="str">
        <f>'Consolidated IS'!B25</f>
        <v>Wages Mechanics</v>
      </c>
      <c r="R18" s="191">
        <f>B73</f>
        <v>537.55549247671229</v>
      </c>
      <c r="Y18" s="285">
        <f t="shared" ref="Y18:Y61" si="5">SUM(N18:X18)</f>
        <v>537.55549247671229</v>
      </c>
    </row>
    <row r="19" spans="1:25">
      <c r="H19" s="199" t="s">
        <v>12</v>
      </c>
      <c r="L19" s="242">
        <v>41200</v>
      </c>
      <c r="M19" s="273" t="s">
        <v>224</v>
      </c>
      <c r="Y19" s="285">
        <f t="shared" si="5"/>
        <v>0</v>
      </c>
    </row>
    <row r="20" spans="1:25">
      <c r="L20" s="242">
        <v>41300</v>
      </c>
      <c r="M20" s="273" t="s">
        <v>31</v>
      </c>
      <c r="Y20" s="285">
        <f t="shared" si="5"/>
        <v>0</v>
      </c>
    </row>
    <row r="21" spans="1:25">
      <c r="L21" s="242">
        <v>41330</v>
      </c>
      <c r="M21" s="273" t="s">
        <v>32</v>
      </c>
      <c r="Y21" s="285">
        <f t="shared" si="5"/>
        <v>0</v>
      </c>
    </row>
    <row r="22" spans="1:25">
      <c r="A22" s="132" t="s">
        <v>585</v>
      </c>
      <c r="B22" s="132"/>
      <c r="C22" s="132"/>
      <c r="D22" s="132"/>
      <c r="E22" s="132"/>
      <c r="F22" s="132"/>
      <c r="G22" s="132"/>
      <c r="H22" s="132"/>
      <c r="I22" s="132"/>
      <c r="L22" s="242">
        <v>41600</v>
      </c>
      <c r="M22" s="273" t="s">
        <v>33</v>
      </c>
      <c r="Y22" s="285">
        <f t="shared" si="5"/>
        <v>0</v>
      </c>
    </row>
    <row r="23" spans="1:25">
      <c r="L23" s="242">
        <v>41800</v>
      </c>
      <c r="M23" s="273" t="s">
        <v>36</v>
      </c>
      <c r="Y23" s="285">
        <f t="shared" si="5"/>
        <v>0</v>
      </c>
    </row>
    <row r="24" spans="1:25" ht="45">
      <c r="A24" s="230" t="s">
        <v>577</v>
      </c>
      <c r="B24" s="601">
        <f>SUM(Disposal!L34:L39)</f>
        <v>249.13</v>
      </c>
      <c r="E24" s="1127" t="s">
        <v>579</v>
      </c>
      <c r="F24" s="1127"/>
      <c r="L24" s="242">
        <v>42100</v>
      </c>
      <c r="M24" s="273" t="s">
        <v>38</v>
      </c>
      <c r="R24" s="191">
        <f>B74</f>
        <v>455.5212328767123</v>
      </c>
      <c r="Y24" s="285">
        <f t="shared" si="5"/>
        <v>455.5212328767123</v>
      </c>
    </row>
    <row r="25" spans="1:25">
      <c r="A25" t="s">
        <v>578</v>
      </c>
      <c r="B25" s="196">
        <f>105.36-102.39</f>
        <v>2.9699999999999989</v>
      </c>
      <c r="E25" s="286"/>
      <c r="F25" s="290"/>
      <c r="L25" s="242">
        <v>42300</v>
      </c>
      <c r="M25" s="273" t="s">
        <v>41</v>
      </c>
      <c r="R25" s="191">
        <f>B72</f>
        <v>2753.1696588821919</v>
      </c>
      <c r="Y25" s="285">
        <f t="shared" si="5"/>
        <v>2753.1696588821919</v>
      </c>
    </row>
    <row r="26" spans="1:25">
      <c r="B26" s="191">
        <f>B24*B25</f>
        <v>739.91609999999969</v>
      </c>
      <c r="E26" s="284" t="s">
        <v>580</v>
      </c>
      <c r="F26" s="287">
        <v>1.4999999999999999E-2</v>
      </c>
      <c r="L26" s="242">
        <v>42400</v>
      </c>
      <c r="M26" s="273" t="s">
        <v>44</v>
      </c>
      <c r="Y26" s="285">
        <f t="shared" si="5"/>
        <v>0</v>
      </c>
    </row>
    <row r="27" spans="1:25">
      <c r="A27" s="241" t="s">
        <v>583</v>
      </c>
      <c r="B27" s="600">
        <f>B26/F31</f>
        <v>754.45828341278104</v>
      </c>
      <c r="C27" s="283" t="s">
        <v>584</v>
      </c>
      <c r="E27" s="284" t="s">
        <v>581</v>
      </c>
      <c r="F27" s="288">
        <v>4.2750000000000002E-3</v>
      </c>
      <c r="L27" s="242">
        <v>42800</v>
      </c>
      <c r="M27" s="273" t="s">
        <v>47</v>
      </c>
      <c r="Y27" s="285">
        <f t="shared" si="5"/>
        <v>0</v>
      </c>
    </row>
    <row r="28" spans="1:25">
      <c r="B28" s="199" t="s">
        <v>564</v>
      </c>
      <c r="E28" s="284" t="s">
        <v>80</v>
      </c>
      <c r="F28" s="289"/>
      <c r="L28" s="242">
        <v>40101</v>
      </c>
      <c r="M28" s="273" t="s">
        <v>48</v>
      </c>
      <c r="O28" s="191">
        <f>B27</f>
        <v>754.45828341278104</v>
      </c>
      <c r="Y28" s="285">
        <f t="shared" si="5"/>
        <v>754.45828341278104</v>
      </c>
    </row>
    <row r="29" spans="1:25">
      <c r="E29" s="284" t="s">
        <v>3</v>
      </c>
      <c r="F29" s="291">
        <v>1.9275E-2</v>
      </c>
      <c r="L29" s="242"/>
      <c r="M29" s="273" t="s">
        <v>50</v>
      </c>
      <c r="Y29" s="285">
        <f t="shared" si="5"/>
        <v>0</v>
      </c>
    </row>
    <row r="30" spans="1:25">
      <c r="B30" s="50"/>
      <c r="E30" s="282"/>
      <c r="F30" s="282"/>
      <c r="L30" s="242">
        <v>40121</v>
      </c>
      <c r="M30" s="273" t="s">
        <v>132</v>
      </c>
      <c r="Y30" s="285">
        <f t="shared" si="5"/>
        <v>0</v>
      </c>
    </row>
    <row r="31" spans="1:25">
      <c r="E31" s="284" t="s">
        <v>582</v>
      </c>
      <c r="F31" s="293">
        <v>0.98072499999999996</v>
      </c>
      <c r="L31" s="242">
        <v>40131</v>
      </c>
      <c r="M31" s="273" t="s">
        <v>133</v>
      </c>
      <c r="Y31" s="285">
        <f t="shared" si="5"/>
        <v>0</v>
      </c>
    </row>
    <row r="32" spans="1:25">
      <c r="L32" s="242">
        <v>43600</v>
      </c>
      <c r="M32" s="273" t="s">
        <v>51</v>
      </c>
      <c r="Y32" s="285">
        <f t="shared" si="5"/>
        <v>0</v>
      </c>
    </row>
    <row r="33" spans="1:25">
      <c r="A33" s="599" t="s">
        <v>586</v>
      </c>
      <c r="B33" s="59"/>
      <c r="L33" s="242">
        <v>43650</v>
      </c>
      <c r="M33" s="273" t="s">
        <v>221</v>
      </c>
      <c r="Y33" s="285">
        <f t="shared" si="5"/>
        <v>0</v>
      </c>
    </row>
    <row r="34" spans="1:25">
      <c r="A34" s="59" t="s">
        <v>1537</v>
      </c>
      <c r="B34" s="598">
        <f>Disposal!C22+Disposal!B58</f>
        <v>52305.05999999999</v>
      </c>
      <c r="L34" s="242">
        <v>45300</v>
      </c>
      <c r="M34" s="273" t="s">
        <v>55</v>
      </c>
      <c r="Q34" s="244">
        <f>D67</f>
        <v>1983.380000000001</v>
      </c>
      <c r="Y34" s="285">
        <f t="shared" si="5"/>
        <v>1983.380000000001</v>
      </c>
    </row>
    <row r="35" spans="1:25">
      <c r="A35" s="59" t="s">
        <v>1538</v>
      </c>
      <c r="B35" s="598">
        <f>Disposal!J47</f>
        <v>9319.5200000000023</v>
      </c>
      <c r="L35" s="242">
        <v>45400</v>
      </c>
      <c r="M35" s="273" t="s">
        <v>57</v>
      </c>
      <c r="Y35" s="285">
        <f t="shared" si="5"/>
        <v>0</v>
      </c>
    </row>
    <row r="36" spans="1:25">
      <c r="A36" s="59" t="s">
        <v>1539</v>
      </c>
      <c r="B36" s="602">
        <f>Disposal!C47</f>
        <v>11229.179999999998</v>
      </c>
      <c r="L36" s="242">
        <v>46400</v>
      </c>
      <c r="M36" s="273" t="s">
        <v>226</v>
      </c>
      <c r="Y36" s="285">
        <f t="shared" si="5"/>
        <v>0</v>
      </c>
    </row>
    <row r="37" spans="1:25">
      <c r="A37" s="59"/>
      <c r="B37" s="597">
        <f>SUM(B34:B36)</f>
        <v>72853.759999999995</v>
      </c>
      <c r="L37" s="242">
        <v>46800</v>
      </c>
      <c r="M37" s="273" t="s">
        <v>53</v>
      </c>
      <c r="T37" s="244">
        <f>B109</f>
        <v>-129.49787836956239</v>
      </c>
      <c r="Y37" s="285">
        <f t="shared" si="5"/>
        <v>-129.49787836956239</v>
      </c>
    </row>
    <row r="38" spans="1:25">
      <c r="L38" s="242">
        <v>46130</v>
      </c>
      <c r="M38" s="273" t="s">
        <v>62</v>
      </c>
      <c r="R38" s="191">
        <f>B75</f>
        <v>406.61602512328761</v>
      </c>
      <c r="W38" s="191">
        <f>B144</f>
        <v>3212.8791844762518</v>
      </c>
      <c r="Y38" s="285">
        <f t="shared" si="5"/>
        <v>3619.4952095995395</v>
      </c>
    </row>
    <row r="39" spans="1:25">
      <c r="L39" s="242">
        <v>46100</v>
      </c>
      <c r="M39" s="273" t="s">
        <v>65</v>
      </c>
      <c r="P39" s="244">
        <f>B48</f>
        <v>-15589.784431648208</v>
      </c>
      <c r="Y39" s="285">
        <f t="shared" si="5"/>
        <v>-15589.784431648208</v>
      </c>
    </row>
    <row r="40" spans="1:25">
      <c r="A40" s="132" t="s">
        <v>587</v>
      </c>
      <c r="B40" s="132"/>
      <c r="C40" s="132"/>
      <c r="D40" s="132"/>
      <c r="E40" s="132"/>
      <c r="F40" s="132"/>
      <c r="G40" s="132"/>
      <c r="H40" s="132"/>
      <c r="I40" s="132"/>
      <c r="L40" s="242">
        <v>46200</v>
      </c>
      <c r="M40" s="273" t="s">
        <v>74</v>
      </c>
      <c r="Y40" s="285">
        <f t="shared" si="5"/>
        <v>0</v>
      </c>
    </row>
    <row r="41" spans="1:25">
      <c r="L41" s="242">
        <v>46410</v>
      </c>
      <c r="M41" s="273" t="s">
        <v>75</v>
      </c>
      <c r="Y41" s="285">
        <f t="shared" si="5"/>
        <v>0</v>
      </c>
    </row>
    <row r="42" spans="1:25">
      <c r="A42" s="271" t="s">
        <v>588</v>
      </c>
      <c r="L42" s="242">
        <v>46500</v>
      </c>
      <c r="M42" s="273" t="s">
        <v>77</v>
      </c>
      <c r="Y42" s="285">
        <f t="shared" si="5"/>
        <v>0</v>
      </c>
    </row>
    <row r="43" spans="1:25">
      <c r="L43" s="242">
        <v>46510</v>
      </c>
      <c r="M43" s="273" t="s">
        <v>78</v>
      </c>
      <c r="Y43" s="285">
        <f t="shared" si="5"/>
        <v>0</v>
      </c>
    </row>
    <row r="44" spans="1:25">
      <c r="A44" s="128" t="s">
        <v>64</v>
      </c>
      <c r="B44" s="243">
        <f>'Consolidated IS'!I15</f>
        <v>2982041.1300000004</v>
      </c>
      <c r="L44" s="242">
        <v>46700</v>
      </c>
      <c r="M44" s="273" t="s">
        <v>80</v>
      </c>
      <c r="V44" s="992">
        <f>B138</f>
        <v>691.6100000000115</v>
      </c>
      <c r="Y44" s="285">
        <f t="shared" si="5"/>
        <v>691.6100000000115</v>
      </c>
    </row>
    <row r="45" spans="1:25">
      <c r="A45" s="128" t="s">
        <v>589</v>
      </c>
      <c r="B45" s="236">
        <f>'Corp-OH'!G87</f>
        <v>2.6835919452375821E-2</v>
      </c>
      <c r="L45" s="242">
        <v>46900</v>
      </c>
      <c r="M45" s="273" t="s">
        <v>93</v>
      </c>
      <c r="P45" s="191">
        <f>B55</f>
        <v>-2189.6335861912557</v>
      </c>
      <c r="Q45" s="50">
        <f>D63</f>
        <v>-2347.6999999999998</v>
      </c>
      <c r="Y45" s="285">
        <f t="shared" si="5"/>
        <v>-4537.3335861912556</v>
      </c>
    </row>
    <row r="46" spans="1:25">
      <c r="A46" s="128"/>
      <c r="B46" s="244">
        <f>B44*B45</f>
        <v>80025.815568351783</v>
      </c>
      <c r="L46" s="242">
        <v>51260</v>
      </c>
      <c r="M46" s="273" t="s">
        <v>94</v>
      </c>
      <c r="U46" s="191">
        <f>E114</f>
        <v>-2915.5786428626743</v>
      </c>
      <c r="Y46" s="285">
        <f t="shared" si="5"/>
        <v>-2915.5786428626743</v>
      </c>
    </row>
    <row r="47" spans="1:25">
      <c r="A47" s="128" t="s">
        <v>243</v>
      </c>
      <c r="B47" s="292">
        <f>'Consolidated IS'!C108</f>
        <v>95615.599999999991</v>
      </c>
      <c r="L47" s="242">
        <v>54260</v>
      </c>
      <c r="M47" s="273" t="s">
        <v>95</v>
      </c>
      <c r="U47" s="191">
        <f t="shared" ref="U47:U51" si="6">E115</f>
        <v>-2799.6373333334632</v>
      </c>
      <c r="Y47" s="285">
        <f t="shared" si="5"/>
        <v>-2799.6373333334632</v>
      </c>
    </row>
    <row r="48" spans="1:25">
      <c r="A48" s="214" t="s">
        <v>590</v>
      </c>
      <c r="B48" s="238">
        <f>B46-B47</f>
        <v>-15589.784431648208</v>
      </c>
      <c r="C48" s="269" t="s">
        <v>568</v>
      </c>
      <c r="L48" s="242"/>
      <c r="M48" s="273" t="s">
        <v>96</v>
      </c>
      <c r="U48" s="191">
        <f t="shared" si="6"/>
        <v>0</v>
      </c>
      <c r="Y48" s="285">
        <f t="shared" si="5"/>
        <v>0</v>
      </c>
    </row>
    <row r="49" spans="1:25">
      <c r="L49" s="242">
        <v>57260</v>
      </c>
      <c r="M49" s="273" t="s">
        <v>97</v>
      </c>
      <c r="U49" s="191">
        <f t="shared" si="6"/>
        <v>-18296.187859999998</v>
      </c>
      <c r="Y49" s="285">
        <f t="shared" si="5"/>
        <v>-18296.187859999998</v>
      </c>
    </row>
    <row r="50" spans="1:25">
      <c r="L50" s="242">
        <v>70260</v>
      </c>
      <c r="M50" s="273" t="s">
        <v>98</v>
      </c>
      <c r="U50" s="191">
        <f t="shared" si="6"/>
        <v>-699.88466666662566</v>
      </c>
      <c r="Y50" s="285">
        <f t="shared" si="5"/>
        <v>-699.88466666662566</v>
      </c>
    </row>
    <row r="51" spans="1:25">
      <c r="A51" s="599" t="s">
        <v>638</v>
      </c>
      <c r="L51" s="242"/>
      <c r="M51" s="273" t="s">
        <v>99</v>
      </c>
      <c r="U51" s="191">
        <f t="shared" si="6"/>
        <v>18270.283800000001</v>
      </c>
      <c r="Y51" s="285">
        <f t="shared" si="5"/>
        <v>18270.283800000001</v>
      </c>
    </row>
    <row r="52" spans="1:25">
      <c r="L52" s="242">
        <v>91010</v>
      </c>
      <c r="M52" s="273" t="s">
        <v>100</v>
      </c>
      <c r="Y52" s="285">
        <f t="shared" si="5"/>
        <v>0</v>
      </c>
    </row>
    <row r="53" spans="1:25">
      <c r="A53" t="s">
        <v>243</v>
      </c>
      <c r="B53" s="292">
        <f>'Consolidated IS'!C144</f>
        <v>14347.96</v>
      </c>
      <c r="L53" s="242"/>
      <c r="M53" s="273" t="s">
        <v>3</v>
      </c>
      <c r="Y53" s="285">
        <f t="shared" si="5"/>
        <v>0</v>
      </c>
    </row>
    <row r="54" spans="1:25">
      <c r="A54" t="s">
        <v>1563</v>
      </c>
      <c r="B54" s="192">
        <f>'Region OH Calc'!AJ46</f>
        <v>12158.326413808743</v>
      </c>
      <c r="L54" s="242">
        <v>52030</v>
      </c>
      <c r="M54" s="273" t="s">
        <v>102</v>
      </c>
      <c r="S54" s="191">
        <f>B100</f>
        <v>34.722057199997266</v>
      </c>
      <c r="Y54" s="285">
        <f t="shared" si="5"/>
        <v>34.722057199997266</v>
      </c>
    </row>
    <row r="55" spans="1:25">
      <c r="A55" s="403" t="s">
        <v>1564</v>
      </c>
      <c r="B55" s="285">
        <f>B54-B53</f>
        <v>-2189.6335861912557</v>
      </c>
      <c r="C55" s="269" t="s">
        <v>568</v>
      </c>
      <c r="L55" s="242">
        <v>52200</v>
      </c>
      <c r="M55" s="273" t="s">
        <v>105</v>
      </c>
      <c r="Y55" s="285">
        <f t="shared" si="5"/>
        <v>0</v>
      </c>
    </row>
    <row r="56" spans="1:25">
      <c r="L56" s="242">
        <v>52300</v>
      </c>
      <c r="M56" s="273" t="s">
        <v>168</v>
      </c>
      <c r="Y56" s="285">
        <f t="shared" si="5"/>
        <v>0</v>
      </c>
    </row>
    <row r="57" spans="1:25">
      <c r="A57" s="132" t="s">
        <v>989</v>
      </c>
      <c r="B57" s="132"/>
      <c r="C57" s="132"/>
      <c r="D57" s="132"/>
      <c r="E57" s="132"/>
      <c r="F57" s="132"/>
      <c r="G57" s="132"/>
      <c r="H57" s="132"/>
      <c r="I57" s="132"/>
      <c r="L57" s="242">
        <v>52400</v>
      </c>
      <c r="M57" s="273" t="s">
        <v>106</v>
      </c>
      <c r="R57" s="191">
        <f>B84</f>
        <v>317.69397431595615</v>
      </c>
      <c r="W57" s="191">
        <f>B145</f>
        <v>245.78525761243327</v>
      </c>
      <c r="Y57" s="285">
        <f t="shared" si="5"/>
        <v>563.47923192838948</v>
      </c>
    </row>
    <row r="58" spans="1:25">
      <c r="L58" s="242">
        <v>52700</v>
      </c>
      <c r="M58" s="273" t="s">
        <v>222</v>
      </c>
      <c r="Y58" s="285">
        <f t="shared" si="5"/>
        <v>0</v>
      </c>
    </row>
    <row r="59" spans="1:25">
      <c r="C59" s="295" t="s">
        <v>243</v>
      </c>
      <c r="D59" s="295" t="s">
        <v>990</v>
      </c>
      <c r="E59" s="481"/>
      <c r="L59" s="242">
        <v>53200</v>
      </c>
      <c r="M59" s="273" t="s">
        <v>108</v>
      </c>
      <c r="Y59" s="285">
        <f t="shared" si="5"/>
        <v>0</v>
      </c>
    </row>
    <row r="60" spans="1:25">
      <c r="A60" s="404">
        <f>'Consolidated IS'!A141</f>
        <v>70095</v>
      </c>
      <c r="B60" s="404" t="str">
        <f>'Consolidated IS'!B141</f>
        <v>Employee Comm Activity</v>
      </c>
      <c r="C60" s="243">
        <f>'Consolidated IS'!C141</f>
        <v>2921.9299999999994</v>
      </c>
      <c r="D60" s="243">
        <f>-'70095 Detail'!F89</f>
        <v>-40</v>
      </c>
      <c r="E60" s="482" t="s">
        <v>991</v>
      </c>
      <c r="F60" s="269" t="s">
        <v>566</v>
      </c>
      <c r="L60" s="242">
        <v>70269</v>
      </c>
      <c r="M60" s="273" t="s">
        <v>225</v>
      </c>
      <c r="N60" s="131"/>
      <c r="O60" s="131"/>
      <c r="P60" s="131"/>
      <c r="Q60" s="131"/>
      <c r="R60" s="131"/>
      <c r="S60" s="131"/>
      <c r="T60" s="131"/>
      <c r="U60" s="131"/>
      <c r="V60" s="131"/>
      <c r="W60" s="131"/>
      <c r="X60" s="131"/>
      <c r="Y60" s="285">
        <f t="shared" si="5"/>
        <v>0</v>
      </c>
    </row>
    <row r="61" spans="1:25">
      <c r="A61" s="404">
        <f>'Consolidated IS'!A143</f>
        <v>70110</v>
      </c>
      <c r="B61" s="404" t="str">
        <f>'Consolidated IS'!B143</f>
        <v>Contributions</v>
      </c>
      <c r="C61" s="243">
        <f>'Consolidated IS'!C143</f>
        <v>1885</v>
      </c>
      <c r="D61" s="243">
        <f>-C61</f>
        <v>-1885</v>
      </c>
      <c r="E61" s="482" t="s">
        <v>991</v>
      </c>
      <c r="F61" s="269" t="s">
        <v>566</v>
      </c>
      <c r="N61" s="292">
        <f>SUM(N18:N60)</f>
        <v>0</v>
      </c>
      <c r="O61" s="292">
        <f t="shared" ref="O61:X61" si="7">SUM(O18:O60)</f>
        <v>754.45828341278104</v>
      </c>
      <c r="P61" s="292">
        <f t="shared" si="7"/>
        <v>-17779.418017839464</v>
      </c>
      <c r="Q61" s="292">
        <f t="shared" si="7"/>
        <v>-364.3199999999988</v>
      </c>
      <c r="R61" s="292">
        <f>SUM(R18:R60)</f>
        <v>4470.5563836748606</v>
      </c>
      <c r="S61" s="292">
        <f t="shared" si="7"/>
        <v>34.722057199997266</v>
      </c>
      <c r="T61" s="292">
        <f t="shared" si="7"/>
        <v>-129.49787836956239</v>
      </c>
      <c r="U61" s="292">
        <f t="shared" si="7"/>
        <v>-6441.0047028627596</v>
      </c>
      <c r="V61" s="292">
        <f t="shared" si="7"/>
        <v>691.6100000000115</v>
      </c>
      <c r="W61" s="292">
        <f t="shared" si="7"/>
        <v>3458.6644420886851</v>
      </c>
      <c r="X61" s="292">
        <f t="shared" si="7"/>
        <v>0</v>
      </c>
      <c r="Y61" s="285">
        <f t="shared" si="5"/>
        <v>-15304.229432695451</v>
      </c>
    </row>
    <row r="62" spans="1:25">
      <c r="A62" s="404">
        <f>'Consolidated IS'!A147</f>
        <v>70195</v>
      </c>
      <c r="B62" s="404" t="str">
        <f>'Consolidated IS'!B147</f>
        <v>Dues and Subscriptions</v>
      </c>
      <c r="C62" s="243">
        <f>'Consolidated IS'!C147</f>
        <v>3988.0399999999995</v>
      </c>
      <c r="D62" s="1032">
        <f>-'70195 Detail'!F80</f>
        <v>-422.7</v>
      </c>
      <c r="E62" s="482" t="s">
        <v>991</v>
      </c>
      <c r="F62" s="269" t="s">
        <v>566</v>
      </c>
    </row>
    <row r="63" spans="1:25">
      <c r="C63" s="243"/>
      <c r="D63" s="1033">
        <f>SUM(D60:D62)</f>
        <v>-2347.6999999999998</v>
      </c>
      <c r="E63" s="269" t="s">
        <v>566</v>
      </c>
    </row>
    <row r="64" spans="1:25">
      <c r="C64" s="243"/>
      <c r="D64" s="243"/>
      <c r="E64" s="480"/>
    </row>
    <row r="65" spans="1:13">
      <c r="A65" s="404">
        <f>'Consolidated IS'!A193</f>
        <v>70269</v>
      </c>
      <c r="B65" s="404" t="str">
        <f>'Consolidated IS'!B193</f>
        <v>Amortization</v>
      </c>
      <c r="C65" s="243">
        <f>'Consolidated IS'!C193</f>
        <v>7820.51</v>
      </c>
      <c r="D65" s="243">
        <f>-C65</f>
        <v>-7820.51</v>
      </c>
      <c r="E65" s="269" t="s">
        <v>566</v>
      </c>
    </row>
    <row r="66" spans="1:13">
      <c r="C66" s="243"/>
      <c r="D66" s="243"/>
    </row>
    <row r="67" spans="1:13">
      <c r="A67" s="404">
        <f>'Consolidated IS'!A87</f>
        <v>59344</v>
      </c>
      <c r="B67" s="404" t="str">
        <f>'Consolidated IS'!B87</f>
        <v>WC - Prior Year Claims</v>
      </c>
      <c r="C67" s="243">
        <f>'Consolidated IS'!C87</f>
        <v>-1983.380000000001</v>
      </c>
      <c r="D67" s="243">
        <f>-C67</f>
        <v>1983.380000000001</v>
      </c>
      <c r="E67" s="404">
        <f>'Consolidated IS'!A88</f>
        <v>45300</v>
      </c>
      <c r="F67" s="269" t="s">
        <v>566</v>
      </c>
      <c r="G67" t="s">
        <v>2112</v>
      </c>
    </row>
    <row r="70" spans="1:13">
      <c r="A70" s="132" t="s">
        <v>1650</v>
      </c>
      <c r="B70" s="132"/>
      <c r="C70" s="132"/>
      <c r="D70" s="132"/>
      <c r="E70" s="132"/>
      <c r="F70" s="132"/>
      <c r="G70" s="132"/>
      <c r="H70" s="132"/>
      <c r="I70" s="132"/>
    </row>
    <row r="71" spans="1:13">
      <c r="B71" s="596" t="s">
        <v>1654</v>
      </c>
    </row>
    <row r="72" spans="1:13">
      <c r="A72" s="128" t="s">
        <v>1651</v>
      </c>
      <c r="B72" s="292">
        <f>'Empire Payroll'!Y27</f>
        <v>2753.1696588821919</v>
      </c>
      <c r="C72" s="840">
        <v>42300</v>
      </c>
      <c r="D72" s="269"/>
    </row>
    <row r="73" spans="1:13">
      <c r="A73" s="128" t="s">
        <v>1652</v>
      </c>
      <c r="B73" s="292">
        <f>'Empire Payroll'!Y35</f>
        <v>537.55549247671229</v>
      </c>
      <c r="C73" s="840">
        <v>41150</v>
      </c>
      <c r="D73" s="269"/>
    </row>
    <row r="74" spans="1:13">
      <c r="A74" s="128" t="s">
        <v>1653</v>
      </c>
      <c r="B74" s="292">
        <f>'Empire Payroll'!Y57</f>
        <v>455.5212328767123</v>
      </c>
      <c r="C74" s="840">
        <v>42100</v>
      </c>
      <c r="D74" s="269"/>
    </row>
    <row r="75" spans="1:13">
      <c r="A75" s="128" t="s">
        <v>196</v>
      </c>
      <c r="B75" s="196">
        <f>'Empire Payroll'!Y50</f>
        <v>406.61602512328761</v>
      </c>
      <c r="C75" s="840">
        <v>46130</v>
      </c>
      <c r="D75" s="269"/>
    </row>
    <row r="76" spans="1:13">
      <c r="B76" s="191">
        <f>SUM(B72:B75)</f>
        <v>4152.8624093589042</v>
      </c>
      <c r="C76" s="269" t="s">
        <v>570</v>
      </c>
    </row>
    <row r="79" spans="1:13" s="401" customFormat="1">
      <c r="B79" s="596" t="s">
        <v>214</v>
      </c>
      <c r="M79" s="128"/>
    </row>
    <row r="80" spans="1:13" s="401" customFormat="1">
      <c r="A80" s="128" t="s">
        <v>1651</v>
      </c>
      <c r="B80" s="292">
        <f>B72*0.0765</f>
        <v>210.61747890448768</v>
      </c>
      <c r="C80" s="840"/>
      <c r="M80" s="128"/>
    </row>
    <row r="81" spans="1:13">
      <c r="A81" s="128" t="s">
        <v>1652</v>
      </c>
      <c r="B81" s="292">
        <f t="shared" ref="B81:B83" si="8">B73*0.0765</f>
        <v>41.122995174468493</v>
      </c>
      <c r="C81" s="840"/>
    </row>
    <row r="82" spans="1:13">
      <c r="A82" s="128" t="s">
        <v>1653</v>
      </c>
      <c r="B82" s="292">
        <f t="shared" si="8"/>
        <v>34.847374315068492</v>
      </c>
      <c r="C82" s="840"/>
    </row>
    <row r="83" spans="1:13">
      <c r="A83" s="128" t="s">
        <v>196</v>
      </c>
      <c r="B83" s="196">
        <f t="shared" si="8"/>
        <v>31.1061259219315</v>
      </c>
      <c r="C83" s="840"/>
    </row>
    <row r="84" spans="1:13">
      <c r="A84" s="401"/>
      <c r="B84" s="191">
        <f>SUM(B80:B83)</f>
        <v>317.69397431595615</v>
      </c>
      <c r="C84" s="269" t="s">
        <v>570</v>
      </c>
      <c r="D84" s="285">
        <f>B76+B84</f>
        <v>4470.5563836748606</v>
      </c>
      <c r="E84" s="269" t="s">
        <v>570</v>
      </c>
    </row>
    <row r="85" spans="1:13">
      <c r="A85" s="132" t="s">
        <v>920</v>
      </c>
      <c r="B85" s="132"/>
      <c r="C85" s="132"/>
      <c r="D85" s="132"/>
      <c r="E85" s="132"/>
      <c r="F85" s="132"/>
      <c r="G85" s="132"/>
      <c r="H85" s="132"/>
      <c r="I85" s="132"/>
    </row>
    <row r="87" spans="1:13">
      <c r="A87" s="128" t="s">
        <v>123</v>
      </c>
      <c r="B87" s="292">
        <f>SUM('Consolidated IS'!I8:I11,'Consolidated IS'!I13:I14)</f>
        <v>2974828.0500000003</v>
      </c>
    </row>
    <row r="88" spans="1:13">
      <c r="A88" s="128" t="s">
        <v>1540</v>
      </c>
      <c r="B88" s="604">
        <v>1.4999999999999999E-2</v>
      </c>
    </row>
    <row r="89" spans="1:13">
      <c r="A89" s="128"/>
      <c r="B89" s="292">
        <f>B87*B88</f>
        <v>44622.420750000005</v>
      </c>
    </row>
    <row r="90" spans="1:13">
      <c r="A90" s="128"/>
    </row>
    <row r="91" spans="1:13">
      <c r="A91" s="128" t="s">
        <v>1541</v>
      </c>
      <c r="B91" s="292">
        <f>'Consolidated IS'!I12</f>
        <v>7213.0800000000008</v>
      </c>
    </row>
    <row r="92" spans="1:13">
      <c r="A92" s="128" t="s">
        <v>1542</v>
      </c>
      <c r="B92" s="606">
        <v>4.8399999999999997E-3</v>
      </c>
    </row>
    <row r="93" spans="1:13">
      <c r="A93" s="128"/>
      <c r="B93" s="191">
        <f>B91*B92</f>
        <v>34.911307200000003</v>
      </c>
    </row>
    <row r="94" spans="1:13">
      <c r="A94" s="128"/>
    </row>
    <row r="95" spans="1:13" s="401" customFormat="1">
      <c r="A95" s="128" t="s">
        <v>1543</v>
      </c>
      <c r="B95" s="191">
        <f>B89+B93</f>
        <v>44657.332057200001</v>
      </c>
      <c r="M95" s="128"/>
    </row>
    <row r="96" spans="1:13" s="401" customFormat="1">
      <c r="A96" s="128" t="s">
        <v>243</v>
      </c>
      <c r="B96" s="192">
        <f>'Consolidated IS'!C171</f>
        <v>47028.340000000004</v>
      </c>
      <c r="M96" s="128"/>
    </row>
    <row r="97" spans="1:13">
      <c r="A97" s="1117" t="s">
        <v>923</v>
      </c>
      <c r="B97" s="1118">
        <f>B95-B96</f>
        <v>-2371.0079428000026</v>
      </c>
    </row>
    <row r="98" spans="1:13" s="401" customFormat="1">
      <c r="A98" s="1119" t="s">
        <v>2249</v>
      </c>
      <c r="B98" s="1120">
        <f>SUM('B&amp;O Taxes'!D32:D34)</f>
        <v>1765.05</v>
      </c>
      <c r="C98" s="269"/>
      <c r="M98" s="128"/>
    </row>
    <row r="99" spans="1:13" s="401" customFormat="1">
      <c r="A99" s="1119" t="s">
        <v>2250</v>
      </c>
      <c r="B99" s="1121">
        <f>SUM('B&amp;O Taxes'!D52:D63)</f>
        <v>640.67999999999995</v>
      </c>
      <c r="C99" s="269"/>
      <c r="M99" s="128"/>
    </row>
    <row r="100" spans="1:13" s="401" customFormat="1">
      <c r="A100" s="1117"/>
      <c r="B100" s="1118">
        <f>SUM(B97:B99)</f>
        <v>34.722057199997266</v>
      </c>
      <c r="C100" s="269" t="s">
        <v>572</v>
      </c>
      <c r="D100" s="840">
        <v>52030</v>
      </c>
      <c r="M100" s="128"/>
    </row>
    <row r="102" spans="1:13">
      <c r="A102" s="132" t="s">
        <v>1384</v>
      </c>
      <c r="B102" s="132"/>
      <c r="C102" s="132"/>
      <c r="D102" s="132"/>
      <c r="E102" s="132"/>
      <c r="F102" s="132"/>
      <c r="G102" s="132"/>
      <c r="H102" s="132"/>
      <c r="I102" s="132"/>
    </row>
    <row r="104" spans="1:13">
      <c r="A104" s="128" t="s">
        <v>1383</v>
      </c>
      <c r="B104" s="243">
        <f>SUM('Consolidated IS'!K8:K12)</f>
        <v>2559371.2565217395</v>
      </c>
    </row>
    <row r="105" spans="1:13">
      <c r="A105" s="128" t="s">
        <v>52</v>
      </c>
      <c r="B105" s="535">
        <v>4.2750000000000002E-3</v>
      </c>
    </row>
    <row r="106" spans="1:13">
      <c r="A106" s="128" t="s">
        <v>1385</v>
      </c>
      <c r="B106" s="243">
        <f>B104*B105</f>
        <v>10941.312121630437</v>
      </c>
    </row>
    <row r="108" spans="1:13">
      <c r="A108" s="128" t="s">
        <v>1386</v>
      </c>
      <c r="B108" s="196">
        <f>'Consolidated IS'!C97</f>
        <v>11070.81</v>
      </c>
    </row>
    <row r="109" spans="1:13">
      <c r="A109" s="403" t="s">
        <v>923</v>
      </c>
      <c r="B109" s="238">
        <f>B106-B108</f>
        <v>-129.49787836956239</v>
      </c>
      <c r="C109" s="269" t="s">
        <v>574</v>
      </c>
    </row>
    <row r="110" spans="1:13">
      <c r="C110" s="536" t="s">
        <v>1387</v>
      </c>
    </row>
    <row r="111" spans="1:13">
      <c r="A111" s="132" t="s">
        <v>921</v>
      </c>
      <c r="B111" s="132"/>
      <c r="C111" s="132"/>
      <c r="D111" s="132"/>
      <c r="E111" s="132"/>
      <c r="F111" s="132"/>
      <c r="G111" s="132"/>
      <c r="H111" s="132"/>
      <c r="I111" s="132"/>
    </row>
    <row r="113" spans="1:9">
      <c r="C113" s="405" t="s">
        <v>243</v>
      </c>
      <c r="D113" s="405" t="s">
        <v>922</v>
      </c>
      <c r="E113" s="405" t="s">
        <v>923</v>
      </c>
    </row>
    <row r="114" spans="1:9">
      <c r="A114" s="404">
        <f>'Consolidated IS'!A162</f>
        <v>51260</v>
      </c>
      <c r="B114" s="404" t="str">
        <f>'Consolidated IS'!B162</f>
        <v>Depreciation Trks</v>
      </c>
      <c r="C114" s="292">
        <f>'Consolidated IS'!C162</f>
        <v>133195.47999999998</v>
      </c>
      <c r="D114" s="292">
        <f>'2120 Depr Summary'!E15</f>
        <v>130279.90135713731</v>
      </c>
      <c r="E114" s="191">
        <f>D114-C114</f>
        <v>-2915.5786428626743</v>
      </c>
    </row>
    <row r="115" spans="1:9">
      <c r="A115" s="404">
        <f>'Consolidated IS'!A163</f>
        <v>54260</v>
      </c>
      <c r="B115" s="404" t="str">
        <f>'Consolidated IS'!B163</f>
        <v>Depreciation Cont, DB</v>
      </c>
      <c r="C115" s="292">
        <f>'Consolidated IS'!C163</f>
        <v>33022.28</v>
      </c>
      <c r="D115" s="292">
        <f>'2120 Depr Summary'!E26</f>
        <v>30222.642666666536</v>
      </c>
      <c r="E115" s="191">
        <f t="shared" ref="E115:E120" si="9">D115-C115</f>
        <v>-2799.6373333334632</v>
      </c>
    </row>
    <row r="116" spans="1:9">
      <c r="A116" s="404">
        <f>'Consolidated IS'!A164</f>
        <v>0</v>
      </c>
      <c r="B116" s="404" t="str">
        <f>'Consolidated IS'!B164</f>
        <v>Depreciation Service</v>
      </c>
      <c r="C116" s="292">
        <f>'Consolidated IS'!C164</f>
        <v>0</v>
      </c>
      <c r="D116" s="292">
        <f>'2120 Depr Summary'!E28</f>
        <v>0</v>
      </c>
      <c r="E116" s="191">
        <f t="shared" si="9"/>
        <v>0</v>
      </c>
    </row>
    <row r="117" spans="1:9">
      <c r="A117" s="404">
        <f>'Consolidated IS'!A165</f>
        <v>57260</v>
      </c>
      <c r="B117" s="404" t="str">
        <f>'Consolidated IS'!B165</f>
        <v>Depreciation Shop</v>
      </c>
      <c r="C117" s="292">
        <f>'Consolidated IS'!C165</f>
        <v>24945.439999999999</v>
      </c>
      <c r="D117" s="292">
        <f>'2120 Depr Summary'!E30</f>
        <v>6649.2521399999987</v>
      </c>
      <c r="E117" s="191">
        <f t="shared" si="9"/>
        <v>-18296.187859999998</v>
      </c>
    </row>
    <row r="118" spans="1:9">
      <c r="A118" s="404">
        <f>'Consolidated IS'!A166</f>
        <v>70260</v>
      </c>
      <c r="B118" s="404" t="str">
        <f>'Consolidated IS'!B166</f>
        <v>Depreciation Office</v>
      </c>
      <c r="C118" s="292">
        <f>'Consolidated IS'!C166</f>
        <v>2683.79</v>
      </c>
      <c r="D118" s="292">
        <f>'2120 Depr Summary'!E32</f>
        <v>1983.9053333333743</v>
      </c>
      <c r="E118" s="191">
        <f t="shared" si="9"/>
        <v>-699.88466666662566</v>
      </c>
    </row>
    <row r="119" spans="1:9">
      <c r="A119" s="404">
        <f>'Consolidated IS'!A167</f>
        <v>0</v>
      </c>
      <c r="B119" s="404" t="str">
        <f>'Consolidated IS'!B167</f>
        <v>Leasehold Improvements</v>
      </c>
      <c r="C119" s="196">
        <f>'Consolidated IS'!C167</f>
        <v>0</v>
      </c>
      <c r="D119" s="196">
        <f>'2120 Depr Summary'!E36</f>
        <v>18270.283800000001</v>
      </c>
      <c r="E119" s="192">
        <f t="shared" si="9"/>
        <v>18270.283800000001</v>
      </c>
      <c r="F119" s="197"/>
    </row>
    <row r="120" spans="1:9">
      <c r="A120" s="404"/>
      <c r="B120" s="404"/>
      <c r="C120" s="292">
        <f>SUM(C114:C119)</f>
        <v>193846.99</v>
      </c>
      <c r="D120" s="292">
        <f>SUM(D114:D119)</f>
        <v>187405.98529713723</v>
      </c>
      <c r="E120" s="191">
        <f t="shared" si="9"/>
        <v>-6441.0047028627596</v>
      </c>
      <c r="F120" s="269" t="s">
        <v>575</v>
      </c>
    </row>
    <row r="121" spans="1:9">
      <c r="A121" s="404"/>
      <c r="B121" s="404"/>
      <c r="C121" s="404"/>
    </row>
    <row r="122" spans="1:9">
      <c r="A122" s="132" t="s">
        <v>1904</v>
      </c>
      <c r="B122" s="132"/>
      <c r="C122" s="132"/>
      <c r="D122" s="132"/>
      <c r="E122" s="132"/>
      <c r="F122" s="132"/>
      <c r="G122" s="132"/>
      <c r="H122" s="132"/>
      <c r="I122" s="132"/>
    </row>
    <row r="123" spans="1:9">
      <c r="A123" s="404"/>
      <c r="B123" s="404"/>
      <c r="C123" s="404"/>
    </row>
    <row r="124" spans="1:9">
      <c r="A124" s="974" t="s">
        <v>1784</v>
      </c>
      <c r="B124" s="975"/>
      <c r="C124" s="976"/>
      <c r="D124" s="887"/>
    </row>
    <row r="125" spans="1:9">
      <c r="A125" s="977" t="s">
        <v>1785</v>
      </c>
      <c r="B125" s="975"/>
      <c r="C125" s="976"/>
      <c r="D125" s="403" t="s">
        <v>1906</v>
      </c>
      <c r="E125" s="993">
        <f>B134/('Consolidated IS'!K15-'Consolidated IS'!K14)</f>
        <v>5.1039202358942552E-3</v>
      </c>
    </row>
    <row r="126" spans="1:9">
      <c r="A126" s="978" t="s">
        <v>1786</v>
      </c>
      <c r="B126" s="979">
        <f>'Empire BS 6-30-15'!H24</f>
        <v>163263.22</v>
      </c>
      <c r="C126" s="980"/>
      <c r="D126" s="887"/>
    </row>
    <row r="127" spans="1:9">
      <c r="A127" s="981" t="s">
        <v>1787</v>
      </c>
      <c r="B127" s="989">
        <f>'2120 BS'!AC24</f>
        <v>182172.73</v>
      </c>
      <c r="C127" s="982"/>
      <c r="D127" s="887"/>
    </row>
    <row r="128" spans="1:9">
      <c r="A128" s="974"/>
      <c r="B128" s="983">
        <f>B127-B126</f>
        <v>18909.510000000009</v>
      </c>
      <c r="C128" s="982"/>
      <c r="D128" s="887"/>
    </row>
    <row r="129" spans="1:9">
      <c r="A129" s="974" t="s">
        <v>1788</v>
      </c>
      <c r="B129" s="984"/>
      <c r="C129" s="982"/>
      <c r="D129" s="887"/>
    </row>
    <row r="130" spans="1:9">
      <c r="A130" s="978" t="s">
        <v>1786</v>
      </c>
      <c r="B130" s="985">
        <f>-'Empire BS 6-30-15'!H25</f>
        <v>45717.8</v>
      </c>
      <c r="C130" s="982"/>
      <c r="D130" s="887"/>
    </row>
    <row r="131" spans="1:9">
      <c r="A131" s="981" t="s">
        <v>1787</v>
      </c>
      <c r="B131" s="990">
        <f>-'2120 BS'!AC25</f>
        <v>51543.18</v>
      </c>
      <c r="C131" s="982"/>
      <c r="D131" s="887"/>
    </row>
    <row r="132" spans="1:9">
      <c r="A132" s="981"/>
      <c r="B132" s="986">
        <f>B131-B130</f>
        <v>5825.3799999999974</v>
      </c>
      <c r="C132" s="982"/>
      <c r="D132" s="887"/>
    </row>
    <row r="133" spans="1:9">
      <c r="A133" s="981"/>
      <c r="B133" s="984"/>
      <c r="C133" s="982"/>
      <c r="D133" s="887"/>
    </row>
    <row r="134" spans="1:9">
      <c r="A134" s="974" t="s">
        <v>1789</v>
      </c>
      <c r="B134" s="983">
        <f>B128-B132</f>
        <v>13084.130000000012</v>
      </c>
      <c r="C134" s="982"/>
      <c r="D134" s="887"/>
    </row>
    <row r="135" spans="1:9">
      <c r="A135" s="981"/>
      <c r="B135" s="984"/>
      <c r="C135" s="982"/>
      <c r="D135" s="887"/>
    </row>
    <row r="136" spans="1:9">
      <c r="A136" s="981" t="s">
        <v>219</v>
      </c>
      <c r="B136" s="984">
        <f>'Consolidated IS'!C136</f>
        <v>12392.52</v>
      </c>
      <c r="C136" s="987"/>
      <c r="D136" s="887"/>
    </row>
    <row r="137" spans="1:9">
      <c r="A137" s="981"/>
      <c r="B137" s="984"/>
      <c r="C137" s="982"/>
      <c r="D137" s="887"/>
    </row>
    <row r="138" spans="1:9">
      <c r="A138" s="988" t="s">
        <v>923</v>
      </c>
      <c r="B138" s="986">
        <f>B134-B136</f>
        <v>691.6100000000115</v>
      </c>
      <c r="C138" s="269" t="s">
        <v>1782</v>
      </c>
      <c r="D138" s="887"/>
    </row>
    <row r="139" spans="1:9">
      <c r="A139" s="988"/>
      <c r="B139" s="983"/>
      <c r="C139" s="991" t="s">
        <v>1905</v>
      </c>
      <c r="D139" s="887"/>
    </row>
    <row r="142" spans="1:9">
      <c r="A142" s="132" t="s">
        <v>2130</v>
      </c>
      <c r="B142" s="132"/>
      <c r="C142" s="132"/>
      <c r="D142" s="132"/>
      <c r="E142" s="132"/>
      <c r="F142" s="132"/>
      <c r="G142" s="132"/>
      <c r="H142" s="132"/>
      <c r="I142" s="132"/>
    </row>
    <row r="144" spans="1:9">
      <c r="A144" t="s">
        <v>2131</v>
      </c>
      <c r="B144" s="191">
        <f>'DivCon-DVP Alloc In'!C24</f>
        <v>3212.8791844762518</v>
      </c>
      <c r="C144" s="269" t="s">
        <v>2133</v>
      </c>
    </row>
    <row r="145" spans="1:3">
      <c r="A145" t="s">
        <v>2132</v>
      </c>
      <c r="B145" s="191">
        <f>'DivCon-DVP Alloc In'!C25</f>
        <v>245.78525761243327</v>
      </c>
      <c r="C145" s="269" t="s">
        <v>2133</v>
      </c>
    </row>
  </sheetData>
  <mergeCells count="2">
    <mergeCell ref="E24:F24"/>
    <mergeCell ref="N5:Y5"/>
  </mergeCells>
  <pageMargins left="0.7" right="0.7" top="0.75" bottom="0.75" header="0.3" footer="0.3"/>
  <pageSetup scale="55" fitToWidth="2" fitToHeight="4" orientation="portrait" r:id="rId1"/>
  <rowBreaks count="1" manualBreakCount="1">
    <brk id="69" max="16383" man="1"/>
  </rowBreaks>
  <colBreaks count="1" manualBreakCount="1">
    <brk id="11"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L10" sqref="L10"/>
    </sheetView>
  </sheetViews>
  <sheetFormatPr defaultRowHeight="15"/>
  <cols>
    <col min="1" max="1" width="13.42578125" customWidth="1"/>
    <col min="2" max="2" width="11.5703125" bestFit="1" customWidth="1"/>
    <col min="4" max="4" width="11.5703125" bestFit="1" customWidth="1"/>
  </cols>
  <sheetData>
    <row r="1" spans="1:8">
      <c r="A1" s="283" t="s">
        <v>1655</v>
      </c>
      <c r="B1" s="401"/>
      <c r="C1" s="401"/>
      <c r="D1" s="401"/>
      <c r="E1" s="401"/>
      <c r="F1" s="401"/>
      <c r="G1" s="401"/>
      <c r="H1" s="401"/>
    </row>
    <row r="2" spans="1:8">
      <c r="A2" s="283" t="s">
        <v>112</v>
      </c>
      <c r="B2" s="401"/>
      <c r="C2" s="401"/>
      <c r="D2" s="401"/>
      <c r="E2" s="401"/>
      <c r="F2" s="401"/>
      <c r="G2" s="401"/>
      <c r="H2" s="401"/>
    </row>
    <row r="3" spans="1:8">
      <c r="A3" s="283" t="s">
        <v>529</v>
      </c>
      <c r="B3" s="401"/>
      <c r="C3" s="401"/>
      <c r="D3" s="401"/>
      <c r="E3" s="401"/>
      <c r="F3" s="401"/>
      <c r="G3" s="401"/>
      <c r="H3" s="401"/>
    </row>
    <row r="4" spans="1:8">
      <c r="A4" s="401"/>
      <c r="B4" s="401"/>
      <c r="C4" s="401"/>
      <c r="D4" s="401"/>
      <c r="E4" s="401"/>
      <c r="F4" s="401"/>
      <c r="G4" s="401"/>
      <c r="H4" s="401"/>
    </row>
    <row r="5" spans="1:8">
      <c r="A5" s="132" t="s">
        <v>1656</v>
      </c>
      <c r="B5" s="132"/>
      <c r="C5" s="132"/>
      <c r="D5" s="132"/>
      <c r="E5" s="132"/>
      <c r="F5" s="132"/>
      <c r="G5" s="132"/>
      <c r="H5" s="401"/>
    </row>
    <row r="6" spans="1:8">
      <c r="A6" s="401"/>
      <c r="B6" s="596" t="s">
        <v>1654</v>
      </c>
      <c r="C6" s="401"/>
      <c r="D6" s="401"/>
      <c r="E6" s="401"/>
    </row>
    <row r="7" spans="1:8">
      <c r="A7" s="128" t="s">
        <v>1651</v>
      </c>
      <c r="B7" s="292">
        <f>'Empire Payroll'!AD27</f>
        <v>6511.4795957749047</v>
      </c>
      <c r="C7" s="840"/>
      <c r="D7" s="269"/>
      <c r="E7" s="401"/>
    </row>
    <row r="8" spans="1:8">
      <c r="A8" s="128" t="s">
        <v>1652</v>
      </c>
      <c r="B8" s="292">
        <f>'Empire Payroll'!AD35</f>
        <v>1605.936107849534</v>
      </c>
      <c r="C8" s="840"/>
      <c r="D8" s="269"/>
      <c r="E8" s="401"/>
    </row>
    <row r="9" spans="1:8">
      <c r="A9" s="128" t="s">
        <v>1653</v>
      </c>
      <c r="B9" s="292">
        <f>'Empire Payroll'!AD57</f>
        <v>1360.8604246575342</v>
      </c>
      <c r="C9" s="840"/>
      <c r="D9" s="269"/>
      <c r="E9" s="401"/>
    </row>
    <row r="10" spans="1:8">
      <c r="A10" s="128" t="s">
        <v>196</v>
      </c>
      <c r="B10" s="196">
        <f>'Empire Payroll'!AD50</f>
        <v>1214.7571105024658</v>
      </c>
      <c r="C10" s="840"/>
      <c r="D10" s="269"/>
      <c r="E10" s="401"/>
    </row>
    <row r="11" spans="1:8">
      <c r="A11" s="401"/>
      <c r="B11" s="191">
        <f>SUM(B7:B10)</f>
        <v>10693.033238784439</v>
      </c>
      <c r="C11" s="269" t="s">
        <v>1657</v>
      </c>
      <c r="D11" s="401"/>
      <c r="E11" s="401"/>
    </row>
    <row r="12" spans="1:8">
      <c r="A12" s="401"/>
      <c r="B12" s="401"/>
      <c r="C12" s="401"/>
      <c r="D12" s="401"/>
      <c r="E12" s="401"/>
    </row>
    <row r="13" spans="1:8">
      <c r="A13" s="401"/>
      <c r="B13" s="401"/>
      <c r="C13" s="401"/>
      <c r="D13" s="401"/>
      <c r="E13" s="401"/>
    </row>
    <row r="14" spans="1:8">
      <c r="A14" s="401"/>
      <c r="B14" s="596" t="s">
        <v>214</v>
      </c>
      <c r="C14" s="401"/>
      <c r="D14" s="401"/>
      <c r="E14" s="401"/>
    </row>
    <row r="15" spans="1:8">
      <c r="A15" s="128" t="s">
        <v>1651</v>
      </c>
      <c r="B15" s="292">
        <f>B7*0.0765</f>
        <v>498.12818907678019</v>
      </c>
      <c r="C15" s="840"/>
      <c r="D15" s="401"/>
      <c r="E15" s="401"/>
    </row>
    <row r="16" spans="1:8">
      <c r="A16" s="128" t="s">
        <v>1652</v>
      </c>
      <c r="B16" s="292">
        <f t="shared" ref="B16:B18" si="0">B8*0.0765</f>
        <v>122.85411225048935</v>
      </c>
      <c r="C16" s="840"/>
      <c r="D16" s="401"/>
      <c r="E16" s="401"/>
    </row>
    <row r="17" spans="1:7">
      <c r="A17" s="128" t="s">
        <v>1653</v>
      </c>
      <c r="B17" s="292">
        <f t="shared" si="0"/>
        <v>104.10582248630136</v>
      </c>
      <c r="C17" s="840"/>
      <c r="D17" s="401"/>
      <c r="E17" s="401"/>
    </row>
    <row r="18" spans="1:7">
      <c r="A18" s="128" t="s">
        <v>196</v>
      </c>
      <c r="B18" s="196">
        <f t="shared" si="0"/>
        <v>92.92891895343864</v>
      </c>
      <c r="C18" s="840"/>
      <c r="D18" s="401"/>
      <c r="E18" s="401"/>
    </row>
    <row r="19" spans="1:7">
      <c r="A19" s="401"/>
      <c r="B19" s="191">
        <f>SUM(B15:B18)</f>
        <v>818.01704276700946</v>
      </c>
      <c r="C19" s="269" t="s">
        <v>1657</v>
      </c>
      <c r="D19" s="285">
        <f>B11+B19</f>
        <v>11511.050281551448</v>
      </c>
      <c r="E19" s="269" t="s">
        <v>1657</v>
      </c>
    </row>
    <row r="22" spans="1:7">
      <c r="A22" s="132" t="s">
        <v>1658</v>
      </c>
      <c r="B22" s="132"/>
      <c r="C22" s="132"/>
      <c r="D22" s="132"/>
      <c r="E22" s="132"/>
      <c r="F22" s="132"/>
      <c r="G22" s="132"/>
    </row>
    <row r="23" spans="1:7">
      <c r="B23" s="271" t="s">
        <v>919</v>
      </c>
    </row>
    <row r="24" spans="1:7">
      <c r="A24" s="128" t="s">
        <v>1659</v>
      </c>
      <c r="B24" s="200">
        <f>Ratios!E24+Ratios!E25</f>
        <v>5268.9979057564551</v>
      </c>
    </row>
    <row r="25" spans="1:7">
      <c r="A25" s="128" t="s">
        <v>1660</v>
      </c>
      <c r="B25" s="200">
        <f>Ratios!E27</f>
        <v>30.833333333333332</v>
      </c>
    </row>
    <row r="26" spans="1:7">
      <c r="A26" s="128" t="s">
        <v>545</v>
      </c>
      <c r="B26" s="201">
        <f>Ratios!E26</f>
        <v>12</v>
      </c>
    </row>
    <row r="27" spans="1:7">
      <c r="B27" s="58">
        <f>SUM(B24:B26)</f>
        <v>5311.8312390897881</v>
      </c>
    </row>
    <row r="28" spans="1:7">
      <c r="A28" s="128" t="s">
        <v>644</v>
      </c>
      <c r="B28" s="196">
        <v>0.6</v>
      </c>
    </row>
    <row r="29" spans="1:7">
      <c r="A29" s="128" t="s">
        <v>1661</v>
      </c>
      <c r="B29" s="843">
        <f>B27*B28</f>
        <v>3187.0987434538729</v>
      </c>
    </row>
    <row r="30" spans="1:7">
      <c r="A30" s="403" t="s">
        <v>1564</v>
      </c>
      <c r="B30" s="285">
        <f>B29/3</f>
        <v>1062.3662478179576</v>
      </c>
      <c r="C30" s="283" t="s">
        <v>1662</v>
      </c>
    </row>
    <row r="31" spans="1:7">
      <c r="A31" s="283"/>
      <c r="C31" s="269" t="s">
        <v>1663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2"/>
  <sheetViews>
    <sheetView workbookViewId="0">
      <selection activeCell="I50" sqref="I50"/>
    </sheetView>
  </sheetViews>
  <sheetFormatPr defaultRowHeight="15"/>
  <cols>
    <col min="1" max="1" width="20.28515625" customWidth="1"/>
    <col min="2" max="2" width="11.85546875" bestFit="1" customWidth="1"/>
    <col min="3" max="3" width="12.5703125" bestFit="1" customWidth="1"/>
    <col min="4" max="4" width="8.140625" customWidth="1"/>
    <col min="5" max="5" width="9.140625" bestFit="1" customWidth="1"/>
    <col min="6" max="6" width="13.85546875" bestFit="1" customWidth="1"/>
    <col min="7" max="7" width="10.42578125" customWidth="1"/>
    <col min="8" max="8" width="10.85546875" customWidth="1"/>
    <col min="9" max="9" width="11.42578125" customWidth="1"/>
    <col min="10" max="10" width="10" bestFit="1" customWidth="1"/>
    <col min="11" max="11" width="10.5703125" customWidth="1"/>
    <col min="12" max="12" width="6.28515625" bestFit="1" customWidth="1"/>
    <col min="13" max="13" width="10.28515625" customWidth="1"/>
    <col min="14" max="14" width="10.42578125" customWidth="1"/>
  </cols>
  <sheetData>
    <row r="1" spans="1:14">
      <c r="A1" s="127" t="s">
        <v>528</v>
      </c>
    </row>
    <row r="2" spans="1:14">
      <c r="A2" s="127" t="s">
        <v>112</v>
      </c>
    </row>
    <row r="3" spans="1:14">
      <c r="A3" s="127" t="s">
        <v>529</v>
      </c>
    </row>
    <row r="6" spans="1:14">
      <c r="A6" s="132" t="s">
        <v>530</v>
      </c>
      <c r="B6" s="132"/>
      <c r="C6" s="132"/>
      <c r="D6" s="132"/>
      <c r="E6" s="132"/>
      <c r="F6" s="132"/>
      <c r="G6" s="132"/>
      <c r="H6" s="132"/>
      <c r="I6" s="132"/>
      <c r="J6" s="132"/>
      <c r="K6" s="132"/>
      <c r="L6" s="132"/>
      <c r="M6" s="132"/>
      <c r="N6" s="132"/>
    </row>
    <row r="8" spans="1:14" ht="45">
      <c r="B8" s="129" t="s">
        <v>238</v>
      </c>
      <c r="C8" s="129" t="s">
        <v>239</v>
      </c>
      <c r="D8" s="129" t="s">
        <v>241</v>
      </c>
      <c r="E8" s="129" t="s">
        <v>531</v>
      </c>
      <c r="F8" s="129" t="s">
        <v>240</v>
      </c>
      <c r="G8" s="129" t="s">
        <v>3</v>
      </c>
      <c r="J8" s="130" t="s">
        <v>1665</v>
      </c>
    </row>
    <row r="9" spans="1:14">
      <c r="A9" s="128" t="s">
        <v>229</v>
      </c>
      <c r="B9" s="200">
        <f>'Spokane Reg - Price out'!M31</f>
        <v>1134.5994778716604</v>
      </c>
      <c r="C9" s="200">
        <f>'Whitman Reg - Price Out'!K37</f>
        <v>3300.0865453108131</v>
      </c>
      <c r="D9" s="200"/>
      <c r="E9" s="200">
        <f>B9+C9+D9</f>
        <v>4434.6860231824739</v>
      </c>
      <c r="F9" s="203">
        <f>O24</f>
        <v>831.18467730219686</v>
      </c>
      <c r="G9" s="200">
        <f>E9+F9</f>
        <v>5265.870700484671</v>
      </c>
      <c r="I9" s="128" t="s">
        <v>1664</v>
      </c>
      <c r="J9" s="197">
        <f>(E9+E11+E14)/SUM(E9:E11,E14)</f>
        <v>0.99419534771616414</v>
      </c>
    </row>
    <row r="10" spans="1:14">
      <c r="A10" s="128" t="s">
        <v>230</v>
      </c>
      <c r="B10" s="200"/>
      <c r="C10" s="200">
        <f>'Whitman Reg - Price Out'!K42</f>
        <v>30.833333333333332</v>
      </c>
      <c r="D10" s="200"/>
      <c r="E10" s="200">
        <f t="shared" ref="E10:E15" si="0">B10+C10+D10</f>
        <v>30.833333333333332</v>
      </c>
      <c r="F10" s="200"/>
      <c r="G10" s="200">
        <f t="shared" ref="G10:G15" si="1">E10+F10</f>
        <v>30.833333333333332</v>
      </c>
      <c r="I10" s="128" t="s">
        <v>558</v>
      </c>
      <c r="J10" s="197">
        <f>E10/SUM(E9:E11,E14)</f>
        <v>5.804652283835884E-3</v>
      </c>
    </row>
    <row r="11" spans="1:14">
      <c r="A11" s="128" t="s">
        <v>231</v>
      </c>
      <c r="B11" s="200">
        <f>'Spokane Reg - Price out'!M77</f>
        <v>82.885958149502116</v>
      </c>
      <c r="C11" s="200">
        <f>'Whitman Reg - Price Out'!K123</f>
        <v>751.42592442447904</v>
      </c>
      <c r="D11" s="200"/>
      <c r="E11" s="200">
        <f t="shared" si="0"/>
        <v>834.31188257398117</v>
      </c>
      <c r="F11" s="203">
        <f>O25</f>
        <v>111.08236191845172</v>
      </c>
      <c r="G11" s="200">
        <f t="shared" si="1"/>
        <v>945.3942444924329</v>
      </c>
    </row>
    <row r="12" spans="1:14">
      <c r="A12" s="128" t="s">
        <v>232</v>
      </c>
      <c r="B12" s="200"/>
      <c r="C12" s="200"/>
      <c r="D12" s="200"/>
      <c r="E12" s="200">
        <f t="shared" si="0"/>
        <v>0</v>
      </c>
      <c r="F12" s="200">
        <f>'Whitman Reg - Price Out'!K128</f>
        <v>29.729166666666668</v>
      </c>
      <c r="G12" s="200">
        <f t="shared" si="1"/>
        <v>29.729166666666668</v>
      </c>
    </row>
    <row r="13" spans="1:14">
      <c r="A13" s="128" t="s">
        <v>233</v>
      </c>
      <c r="B13" s="200"/>
      <c r="C13" s="203"/>
      <c r="D13" s="203">
        <v>3</v>
      </c>
      <c r="E13" s="200">
        <f t="shared" si="0"/>
        <v>3</v>
      </c>
      <c r="F13" s="200"/>
      <c r="G13" s="200">
        <f t="shared" si="1"/>
        <v>3</v>
      </c>
    </row>
    <row r="14" spans="1:14">
      <c r="A14" s="128" t="s">
        <v>234</v>
      </c>
      <c r="B14" s="204">
        <f>[36]Sheet1!$L$16</f>
        <v>3</v>
      </c>
      <c r="C14" s="204">
        <f>[36]Sheet1!$H$16</f>
        <v>9</v>
      </c>
      <c r="D14" s="200"/>
      <c r="E14" s="200">
        <f t="shared" si="0"/>
        <v>12</v>
      </c>
      <c r="F14" s="205">
        <f>[36]Sheet1!$O$16</f>
        <v>3</v>
      </c>
      <c r="G14" s="200">
        <f t="shared" si="1"/>
        <v>15</v>
      </c>
    </row>
    <row r="15" spans="1:14">
      <c r="A15" s="128" t="s">
        <v>235</v>
      </c>
      <c r="B15" s="201"/>
      <c r="C15" s="201"/>
      <c r="D15" s="201"/>
      <c r="E15" s="201">
        <f t="shared" si="0"/>
        <v>0</v>
      </c>
      <c r="F15" s="206">
        <f>[36]Sheet1!$L$17</f>
        <v>3</v>
      </c>
      <c r="G15" s="201">
        <f t="shared" si="1"/>
        <v>3</v>
      </c>
    </row>
    <row r="16" spans="1:14">
      <c r="B16" s="202">
        <f>SUM(B9:B15)</f>
        <v>1220.4854360211625</v>
      </c>
      <c r="C16" s="202">
        <f>SUM(C9:C15)</f>
        <v>4091.3458030686256</v>
      </c>
      <c r="D16" s="202">
        <f>SUM(D9:D15)</f>
        <v>3</v>
      </c>
      <c r="E16" s="202"/>
      <c r="F16" s="202">
        <f>SUM(F9:F15)</f>
        <v>977.99620588731523</v>
      </c>
      <c r="G16" s="202">
        <f>SUM(G9:G15)</f>
        <v>6292.8274449771043</v>
      </c>
    </row>
    <row r="17" spans="1:17">
      <c r="C17" s="217">
        <f>(B16+C16)/$G$16</f>
        <v>0.84410883430939443</v>
      </c>
      <c r="D17" s="217">
        <f>(D16)/$G$16</f>
        <v>4.7673323736130429E-4</v>
      </c>
      <c r="E17" s="218"/>
      <c r="F17" s="217">
        <f>(F16)/$G$16</f>
        <v>0.15541443245324416</v>
      </c>
    </row>
    <row r="19" spans="1:17">
      <c r="A19" s="59"/>
      <c r="B19" s="59"/>
      <c r="C19" s="59"/>
      <c r="D19" s="59"/>
    </row>
    <row r="20" spans="1:17">
      <c r="A20" s="132" t="s">
        <v>532</v>
      </c>
      <c r="B20" s="132"/>
      <c r="C20" s="132"/>
      <c r="D20" s="132"/>
      <c r="E20" s="132"/>
      <c r="F20" s="132"/>
      <c r="G20" s="132"/>
      <c r="H20" s="132"/>
      <c r="I20" s="132"/>
      <c r="J20" s="132"/>
      <c r="K20" s="132"/>
      <c r="L20" s="132"/>
      <c r="M20" s="132"/>
      <c r="N20" s="132"/>
    </row>
    <row r="21" spans="1:17">
      <c r="F21" s="1130" t="s">
        <v>910</v>
      </c>
      <c r="G21" s="1130"/>
      <c r="H21" s="1130"/>
      <c r="I21" s="1130"/>
      <c r="J21" s="1130"/>
      <c r="K21" s="1130"/>
      <c r="L21" s="1130"/>
      <c r="M21" s="1130"/>
      <c r="N21" s="1130"/>
    </row>
    <row r="22" spans="1:17">
      <c r="B22" s="1129" t="s">
        <v>524</v>
      </c>
      <c r="C22" s="1129"/>
      <c r="D22" s="1129"/>
      <c r="F22" s="228"/>
      <c r="G22" s="1129" t="s">
        <v>533</v>
      </c>
      <c r="H22" s="1129"/>
      <c r="I22" s="1129"/>
      <c r="J22" s="1129"/>
      <c r="K22" s="1129"/>
      <c r="L22" s="1129"/>
      <c r="M22" s="1129"/>
      <c r="N22" s="1129"/>
    </row>
    <row r="23" spans="1:17" ht="30">
      <c r="B23" s="207" t="s">
        <v>534</v>
      </c>
      <c r="C23" s="207" t="s">
        <v>535</v>
      </c>
      <c r="D23" s="129" t="s">
        <v>233</v>
      </c>
      <c r="E23" s="207" t="s">
        <v>3</v>
      </c>
      <c r="F23" s="208"/>
      <c r="G23" s="207" t="s">
        <v>536</v>
      </c>
      <c r="H23" s="207" t="s">
        <v>537</v>
      </c>
      <c r="I23" s="207" t="s">
        <v>538</v>
      </c>
      <c r="J23" s="207" t="s">
        <v>539</v>
      </c>
      <c r="K23" s="207" t="s">
        <v>540</v>
      </c>
      <c r="L23" s="207" t="s">
        <v>541</v>
      </c>
      <c r="M23" s="207" t="s">
        <v>542</v>
      </c>
      <c r="N23" s="129" t="s">
        <v>547</v>
      </c>
      <c r="O23" s="207" t="s">
        <v>3</v>
      </c>
    </row>
    <row r="24" spans="1:17">
      <c r="A24" t="s">
        <v>543</v>
      </c>
      <c r="B24" s="209">
        <f>'Spokane Reg - Price out'!M31</f>
        <v>1134.5994778716604</v>
      </c>
      <c r="C24" s="209">
        <f>'Whitman Reg - Price Out'!K37</f>
        <v>3300.0865453108131</v>
      </c>
      <c r="E24" s="209">
        <f>SUM(B24:D24)</f>
        <v>4434.6860231824739</v>
      </c>
      <c r="F24" s="209"/>
      <c r="G24" s="209">
        <v>0</v>
      </c>
      <c r="H24" s="209">
        <v>160.43767126148705</v>
      </c>
      <c r="I24" s="209">
        <v>52.916666666666671</v>
      </c>
      <c r="J24" s="209">
        <v>168.18761627906977</v>
      </c>
      <c r="K24" s="209">
        <v>110.78853931007876</v>
      </c>
      <c r="L24" s="209">
        <v>61.979184641932704</v>
      </c>
      <c r="M24" s="209">
        <v>276.87499914296183</v>
      </c>
      <c r="N24" s="209"/>
      <c r="O24" s="58">
        <f>SUM(G24:N24)</f>
        <v>831.18467730219686</v>
      </c>
    </row>
    <row r="25" spans="1:17">
      <c r="A25" t="s">
        <v>544</v>
      </c>
      <c r="B25" s="209">
        <f>'Spokane Reg - Price out'!M77</f>
        <v>82.885958149502116</v>
      </c>
      <c r="C25" s="209">
        <f>'Whitman Reg - Price Out'!K123</f>
        <v>751.42592442447904</v>
      </c>
      <c r="E25" s="209">
        <f t="shared" ref="E25:E28" si="2">SUM(B25:D25)</f>
        <v>834.31188257398117</v>
      </c>
      <c r="F25" s="209"/>
      <c r="G25" s="209">
        <v>5.898472129231437</v>
      </c>
      <c r="H25" s="209">
        <v>32.958333333333329</v>
      </c>
      <c r="I25" s="209">
        <v>0</v>
      </c>
      <c r="J25" s="209">
        <v>20.916670128791026</v>
      </c>
      <c r="K25" s="209">
        <v>16.767219660429262</v>
      </c>
      <c r="L25" s="209">
        <v>7.4375000000000009</v>
      </c>
      <c r="M25" s="209">
        <v>27.104166666666671</v>
      </c>
      <c r="N25" s="209"/>
      <c r="O25" s="58">
        <f t="shared" ref="O25:O29" si="3">SUM(G25:N25)</f>
        <v>111.08236191845172</v>
      </c>
    </row>
    <row r="26" spans="1:17">
      <c r="A26" t="s">
        <v>545</v>
      </c>
      <c r="B26" s="210">
        <f>B14</f>
        <v>3</v>
      </c>
      <c r="C26" s="210">
        <f>C14</f>
        <v>9</v>
      </c>
      <c r="E26" s="209">
        <f t="shared" si="2"/>
        <v>12</v>
      </c>
      <c r="F26" s="209"/>
      <c r="G26" s="209">
        <v>1</v>
      </c>
      <c r="H26" s="209">
        <v>0</v>
      </c>
      <c r="I26" s="209">
        <v>0</v>
      </c>
      <c r="J26" s="209">
        <v>0</v>
      </c>
      <c r="K26" s="209">
        <v>0</v>
      </c>
      <c r="L26" s="209">
        <v>0</v>
      </c>
      <c r="M26" s="209">
        <v>0</v>
      </c>
      <c r="N26" s="209"/>
      <c r="O26" s="58">
        <f t="shared" si="3"/>
        <v>1</v>
      </c>
    </row>
    <row r="27" spans="1:17">
      <c r="A27" t="s">
        <v>546</v>
      </c>
      <c r="B27" s="210"/>
      <c r="C27" s="210">
        <f>'Whitman Reg - Price Out'!K42</f>
        <v>30.833333333333332</v>
      </c>
      <c r="E27" s="209">
        <f t="shared" si="2"/>
        <v>30.833333333333332</v>
      </c>
      <c r="F27" s="209"/>
      <c r="G27" s="209">
        <v>0</v>
      </c>
      <c r="H27" s="209">
        <v>0</v>
      </c>
      <c r="I27" s="209">
        <v>0</v>
      </c>
      <c r="J27" s="209">
        <v>0</v>
      </c>
      <c r="K27" s="209">
        <v>0</v>
      </c>
      <c r="L27" s="209">
        <v>0</v>
      </c>
      <c r="M27" s="209">
        <v>0</v>
      </c>
      <c r="N27" s="209"/>
      <c r="O27" s="58">
        <f t="shared" si="3"/>
        <v>0</v>
      </c>
    </row>
    <row r="28" spans="1:17">
      <c r="A28" t="s">
        <v>233</v>
      </c>
      <c r="B28" s="210"/>
      <c r="C28" s="210"/>
      <c r="D28" s="58">
        <f>D13</f>
        <v>3</v>
      </c>
      <c r="E28" s="209">
        <f t="shared" si="2"/>
        <v>3</v>
      </c>
      <c r="F28" s="209"/>
      <c r="G28" s="209">
        <v>0</v>
      </c>
      <c r="H28" s="209">
        <v>0</v>
      </c>
      <c r="I28" s="209">
        <v>0</v>
      </c>
      <c r="J28" s="209">
        <v>0</v>
      </c>
      <c r="K28" s="209">
        <v>0</v>
      </c>
      <c r="L28" s="209">
        <v>0</v>
      </c>
      <c r="M28" s="209">
        <v>0</v>
      </c>
      <c r="N28" s="209"/>
      <c r="O28" s="58">
        <f t="shared" si="3"/>
        <v>0</v>
      </c>
    </row>
    <row r="29" spans="1:17">
      <c r="A29" t="s">
        <v>232</v>
      </c>
      <c r="B29" s="211"/>
      <c r="C29" s="211"/>
      <c r="D29" s="131"/>
      <c r="E29" s="211">
        <f>SUM(B29:C29)</f>
        <v>0</v>
      </c>
      <c r="F29" s="209"/>
      <c r="G29" s="209">
        <v>0</v>
      </c>
      <c r="H29" s="209">
        <v>0</v>
      </c>
      <c r="I29" s="209">
        <v>0</v>
      </c>
      <c r="J29" s="209">
        <v>0</v>
      </c>
      <c r="K29" s="209">
        <v>0</v>
      </c>
      <c r="L29" s="209">
        <v>0</v>
      </c>
      <c r="M29" s="209">
        <v>0</v>
      </c>
      <c r="N29" s="209">
        <f>'Whitman Reg - Price Out'!K128+Ratios!F15</f>
        <v>32.729166666666671</v>
      </c>
      <c r="O29" s="212">
        <f t="shared" si="3"/>
        <v>32.729166666666671</v>
      </c>
    </row>
    <row r="30" spans="1:17">
      <c r="B30" s="213">
        <f t="shared" ref="B30:D30" si="4">SUM(B24:B29)</f>
        <v>1220.4854360211625</v>
      </c>
      <c r="C30" s="213">
        <f t="shared" si="4"/>
        <v>4091.3458030686256</v>
      </c>
      <c r="D30" s="213">
        <f t="shared" si="4"/>
        <v>3</v>
      </c>
      <c r="E30" s="213">
        <f>SUM(E24:E29)</f>
        <v>5314.8312390897881</v>
      </c>
      <c r="I30" s="209"/>
      <c r="J30" s="209"/>
      <c r="O30" s="213">
        <f>SUM(O24:O29)</f>
        <v>975.99620588731523</v>
      </c>
      <c r="P30" s="58"/>
    </row>
    <row r="31" spans="1:17">
      <c r="C31" s="219">
        <f>(B30+C30)/P31</f>
        <v>0.98045158025663914</v>
      </c>
      <c r="D31" s="229">
        <f>D30/P31</f>
        <v>5.5373648152156555E-4</v>
      </c>
      <c r="E31" s="219"/>
      <c r="O31" s="213">
        <f>O30-J37</f>
        <v>102.90824550503976</v>
      </c>
      <c r="P31" s="213">
        <f>E30+O31</f>
        <v>5417.7394845948274</v>
      </c>
      <c r="Q31" t="s">
        <v>561</v>
      </c>
    </row>
    <row r="32" spans="1:17">
      <c r="I32" s="216" t="s">
        <v>552</v>
      </c>
      <c r="J32" s="216"/>
      <c r="K32" s="216"/>
      <c r="L32" s="216"/>
      <c r="O32" s="219">
        <f>O31/P31</f>
        <v>1.8994683261839396E-2</v>
      </c>
    </row>
    <row r="33" spans="1:15">
      <c r="I33" s="128" t="s">
        <v>548</v>
      </c>
      <c r="J33" s="58">
        <f>O30</f>
        <v>975.99620588731523</v>
      </c>
    </row>
    <row r="34" spans="1:15">
      <c r="I34" s="128" t="s">
        <v>549</v>
      </c>
      <c r="J34" s="58">
        <f>-G25</f>
        <v>-5.898472129231437</v>
      </c>
      <c r="N34" s="401"/>
      <c r="O34" s="845"/>
    </row>
    <row r="35" spans="1:15">
      <c r="I35" s="214" t="s">
        <v>550</v>
      </c>
      <c r="J35" s="213">
        <f>SUM(J33:J34)</f>
        <v>970.09773375808379</v>
      </c>
      <c r="N35" s="128"/>
      <c r="O35" s="605"/>
    </row>
    <row r="36" spans="1:15">
      <c r="I36" s="128" t="s">
        <v>551</v>
      </c>
      <c r="J36" s="215">
        <f>J35*K36</f>
        <v>97.009773375808379</v>
      </c>
      <c r="K36" s="197">
        <v>0.1</v>
      </c>
      <c r="N36" s="128"/>
      <c r="O36" s="605"/>
    </row>
    <row r="37" spans="1:15">
      <c r="I37" s="128" t="s">
        <v>553</v>
      </c>
      <c r="J37" s="58">
        <f>J35-J36</f>
        <v>873.08796038227547</v>
      </c>
    </row>
    <row r="38" spans="1:15">
      <c r="I38" s="213"/>
      <c r="J38" s="127"/>
    </row>
    <row r="40" spans="1:15">
      <c r="A40" s="132" t="s">
        <v>559</v>
      </c>
      <c r="B40" s="132"/>
      <c r="C40" s="132"/>
      <c r="D40" s="132"/>
      <c r="E40" s="132"/>
      <c r="F40" s="132"/>
      <c r="G40" s="132"/>
      <c r="H40" s="132"/>
      <c r="I40" s="132"/>
      <c r="J40" s="132"/>
      <c r="K40" s="132"/>
      <c r="L40" s="132"/>
      <c r="M40" s="132"/>
      <c r="N40" s="132"/>
    </row>
    <row r="41" spans="1:15">
      <c r="A41" s="1122" t="s">
        <v>2251</v>
      </c>
    </row>
    <row r="42" spans="1:15" ht="30">
      <c r="A42" s="194"/>
      <c r="B42" s="129" t="s">
        <v>554</v>
      </c>
      <c r="C42" s="129" t="s">
        <v>555</v>
      </c>
      <c r="D42" s="129" t="s">
        <v>233</v>
      </c>
      <c r="E42" s="129" t="s">
        <v>556</v>
      </c>
      <c r="F42" s="194"/>
      <c r="H42" s="130" t="s">
        <v>524</v>
      </c>
      <c r="I42" s="130" t="s">
        <v>233</v>
      </c>
      <c r="J42" s="130" t="s">
        <v>525</v>
      </c>
      <c r="M42" s="401"/>
      <c r="N42" s="130" t="s">
        <v>1665</v>
      </c>
    </row>
    <row r="43" spans="1:15">
      <c r="A43" s="223" t="s">
        <v>557</v>
      </c>
      <c r="B43" s="220">
        <v>217.75</v>
      </c>
      <c r="C43" s="220">
        <v>74</v>
      </c>
      <c r="E43" s="220">
        <v>30.25</v>
      </c>
      <c r="F43" s="224">
        <f>SUM(B43:E43)</f>
        <v>322</v>
      </c>
      <c r="H43" s="197">
        <f>(B43+C43)/$F$43</f>
        <v>0.90605590062111796</v>
      </c>
      <c r="J43" s="197">
        <f>(E43)/$F$43</f>
        <v>9.3944099378881984E-2</v>
      </c>
      <c r="K43" s="398">
        <f>SUM(H43:J43)</f>
        <v>1</v>
      </c>
      <c r="M43" s="128" t="s">
        <v>1664</v>
      </c>
      <c r="N43" s="605">
        <f>SUM(B43+C43+B47)/($B$48+$C$48)</f>
        <v>0.99759422614274262</v>
      </c>
    </row>
    <row r="44" spans="1:15">
      <c r="A44" s="223"/>
      <c r="B44" s="220"/>
      <c r="C44" s="220"/>
      <c r="E44" s="220"/>
      <c r="F44" s="194"/>
      <c r="M44" s="128" t="s">
        <v>558</v>
      </c>
      <c r="N44" s="605">
        <f>B45/(B48+C48)</f>
        <v>2.4057738572574178E-3</v>
      </c>
    </row>
    <row r="45" spans="1:15">
      <c r="A45" s="223" t="s">
        <v>558</v>
      </c>
      <c r="B45" s="220">
        <v>0.75</v>
      </c>
      <c r="C45" s="220"/>
      <c r="E45" s="220">
        <v>5</v>
      </c>
      <c r="F45" s="224">
        <f>SUM(B45:E45)</f>
        <v>5.75</v>
      </c>
      <c r="H45" s="197">
        <f>(B45+C45)/$F$45</f>
        <v>0.13043478260869565</v>
      </c>
      <c r="I45" s="282"/>
      <c r="J45" s="197">
        <f>(E45)/$F$45</f>
        <v>0.86956521739130432</v>
      </c>
      <c r="K45" s="398">
        <f>SUM(H45:J45)</f>
        <v>1</v>
      </c>
    </row>
    <row r="46" spans="1:15">
      <c r="A46" s="223" t="s">
        <v>233</v>
      </c>
      <c r="B46" s="220"/>
      <c r="C46" s="220"/>
      <c r="D46">
        <v>1.25</v>
      </c>
      <c r="E46" s="220"/>
      <c r="F46" s="224">
        <f>SUM(B46:E46)</f>
        <v>1.25</v>
      </c>
      <c r="H46" s="197"/>
      <c r="I46" s="197">
        <f>(D46)/$F$46</f>
        <v>1</v>
      </c>
      <c r="J46" s="197"/>
      <c r="K46" s="398">
        <f>SUM(H46:J46)</f>
        <v>1</v>
      </c>
    </row>
    <row r="47" spans="1:15" ht="15.75" thickBot="1">
      <c r="A47" s="223" t="s">
        <v>545</v>
      </c>
      <c r="B47" s="226">
        <v>19.25</v>
      </c>
      <c r="C47" s="226"/>
      <c r="D47" s="226"/>
      <c r="E47" s="226">
        <v>3</v>
      </c>
      <c r="F47" s="224">
        <f>SUM(B47:E47)</f>
        <v>22.25</v>
      </c>
      <c r="H47" s="197">
        <f>(B47+C47)/$F$47</f>
        <v>0.8651685393258427</v>
      </c>
      <c r="I47" s="282"/>
      <c r="J47" s="197">
        <f>(E47)/$F$47</f>
        <v>0.1348314606741573</v>
      </c>
      <c r="K47" s="398">
        <f>SUM(H47:J47)</f>
        <v>1</v>
      </c>
    </row>
    <row r="48" spans="1:15">
      <c r="A48" s="194"/>
      <c r="B48" s="221">
        <f>SUM(B43:B47)</f>
        <v>237.75</v>
      </c>
      <c r="C48" s="221">
        <f>SUM(C43:C47)</f>
        <v>74</v>
      </c>
      <c r="D48" s="221">
        <f>SUM(D43:D47)</f>
        <v>1.25</v>
      </c>
      <c r="E48" s="221">
        <f>SUM(E43:E47)</f>
        <v>38.25</v>
      </c>
      <c r="F48" s="224">
        <f>SUM(B48:E48)</f>
        <v>351.25</v>
      </c>
    </row>
    <row r="49" spans="1:14">
      <c r="A49" s="194"/>
      <c r="B49" s="222"/>
      <c r="C49" s="227">
        <f>(B48+C48)/F48</f>
        <v>0.88754448398576513</v>
      </c>
      <c r="D49" s="227">
        <f>D48/F48</f>
        <v>3.5587188612099642E-3</v>
      </c>
      <c r="E49" s="227">
        <f>E48/F48</f>
        <v>0.10889679715302492</v>
      </c>
      <c r="F49" s="194"/>
    </row>
    <row r="50" spans="1:14">
      <c r="A50" s="194"/>
      <c r="B50" s="194"/>
      <c r="C50" s="225"/>
      <c r="D50" s="194"/>
      <c r="E50" s="194"/>
    </row>
    <row r="51" spans="1:14">
      <c r="B51" s="59"/>
      <c r="C51" s="59"/>
      <c r="D51" s="59"/>
      <c r="E51" s="59"/>
      <c r="F51" s="59"/>
    </row>
    <row r="52" spans="1:14">
      <c r="A52" s="132" t="s">
        <v>909</v>
      </c>
      <c r="B52" s="132"/>
      <c r="C52" s="132"/>
      <c r="D52" s="132"/>
      <c r="E52" s="132"/>
      <c r="F52" s="132"/>
      <c r="G52" s="132"/>
      <c r="H52" s="132"/>
      <c r="I52" s="132"/>
      <c r="J52" s="132"/>
      <c r="K52" s="132"/>
      <c r="L52" s="132"/>
      <c r="M52" s="132"/>
      <c r="N52" s="132"/>
    </row>
    <row r="53" spans="1:14">
      <c r="A53" s="1130" t="s">
        <v>911</v>
      </c>
      <c r="B53" s="1130"/>
      <c r="C53" s="1130"/>
      <c r="D53" s="1130"/>
      <c r="E53" s="1130"/>
      <c r="F53" s="1130"/>
      <c r="G53" s="1130"/>
      <c r="H53" s="1130"/>
      <c r="I53" s="1130"/>
      <c r="J53" s="282"/>
      <c r="K53" s="282"/>
      <c r="L53" s="282"/>
      <c r="M53" s="282"/>
      <c r="N53" s="282"/>
    </row>
    <row r="54" spans="1:14" ht="30">
      <c r="A54" s="194"/>
      <c r="B54" s="129" t="s">
        <v>554</v>
      </c>
      <c r="C54" s="129" t="s">
        <v>555</v>
      </c>
      <c r="D54" s="129"/>
      <c r="E54" s="129" t="s">
        <v>556</v>
      </c>
      <c r="F54" s="194"/>
      <c r="G54" s="282"/>
      <c r="H54" s="130" t="s">
        <v>524</v>
      </c>
      <c r="I54" s="130"/>
      <c r="J54" s="130" t="s">
        <v>525</v>
      </c>
      <c r="K54" s="282"/>
      <c r="L54" s="282"/>
      <c r="M54" s="401"/>
      <c r="N54" s="130" t="s">
        <v>1665</v>
      </c>
    </row>
    <row r="55" spans="1:14">
      <c r="A55" s="403" t="s">
        <v>912</v>
      </c>
      <c r="B55" s="402">
        <v>2258.0462827478159</v>
      </c>
      <c r="C55" s="402">
        <v>558.8567211811112</v>
      </c>
      <c r="E55" s="402">
        <v>628.98644236945734</v>
      </c>
      <c r="F55" s="224">
        <f>SUM(B55:E55)</f>
        <v>3445.8894462983844</v>
      </c>
      <c r="G55" s="282"/>
      <c r="H55" s="197">
        <f>(B55+C55)/$F$55</f>
        <v>0.81746760824114018</v>
      </c>
      <c r="I55" s="282"/>
      <c r="J55" s="197">
        <f>(E55)/$F$55</f>
        <v>0.18253239175885985</v>
      </c>
      <c r="K55" s="398">
        <f>SUM(H55:J55)</f>
        <v>1</v>
      </c>
      <c r="L55" s="282"/>
      <c r="M55" s="128" t="s">
        <v>1664</v>
      </c>
      <c r="N55" s="605">
        <f>(B55+C55+B57+C57+B59+C59)/(B60+C60)</f>
        <v>0.99105208824456259</v>
      </c>
    </row>
    <row r="56" spans="1:14">
      <c r="A56" s="403" t="s">
        <v>913</v>
      </c>
      <c r="B56" s="402">
        <v>30.833333333333332</v>
      </c>
      <c r="C56" s="402"/>
      <c r="E56" s="402"/>
      <c r="F56" s="224">
        <f>SUM(B56:E56)</f>
        <v>30.833333333333332</v>
      </c>
      <c r="G56" s="282"/>
      <c r="H56" s="197">
        <f>(B56+C56)/$F$56</f>
        <v>1</v>
      </c>
      <c r="I56" s="401"/>
      <c r="J56" s="197">
        <f>(E56)/$F$56</f>
        <v>0</v>
      </c>
      <c r="K56" s="398">
        <f t="shared" ref="K56:K59" si="5">SUM(H56:J56)</f>
        <v>1</v>
      </c>
      <c r="L56" s="282"/>
      <c r="M56" s="128" t="s">
        <v>558</v>
      </c>
      <c r="N56" s="605">
        <f>B56/(B60+C60)</f>
        <v>8.9479117554373995E-3</v>
      </c>
    </row>
    <row r="57" spans="1:14">
      <c r="A57" s="403" t="s">
        <v>798</v>
      </c>
      <c r="B57" s="402">
        <v>521.40377303546302</v>
      </c>
      <c r="C57" s="402">
        <v>64.729068574851297</v>
      </c>
      <c r="E57" s="402">
        <v>69.572303765649281</v>
      </c>
      <c r="F57" s="224">
        <f>SUM(B57:E57)</f>
        <v>655.70514537596364</v>
      </c>
      <c r="G57" s="282"/>
      <c r="H57" s="197">
        <f>(B57+C57)/$F$57</f>
        <v>0.89389696839154986</v>
      </c>
      <c r="I57" s="282"/>
      <c r="J57" s="197">
        <f>(E57)/$F$57</f>
        <v>0.10610303160845017</v>
      </c>
      <c r="K57" s="398">
        <f t="shared" si="5"/>
        <v>1</v>
      </c>
      <c r="L57" s="282"/>
      <c r="M57" s="282"/>
      <c r="N57" s="282"/>
    </row>
    <row r="58" spans="1:14">
      <c r="A58" s="403" t="s">
        <v>232</v>
      </c>
      <c r="C58" s="402"/>
      <c r="E58" s="402">
        <v>29.729166666666668</v>
      </c>
      <c r="F58" s="224">
        <f>SUM(C58:E58)</f>
        <v>29.729166666666668</v>
      </c>
      <c r="G58" s="282"/>
      <c r="H58" s="197"/>
      <c r="I58" s="197"/>
      <c r="J58" s="197">
        <f>(E58)/$F$58</f>
        <v>1</v>
      </c>
      <c r="K58" s="398">
        <f t="shared" si="5"/>
        <v>1</v>
      </c>
      <c r="L58" s="282"/>
      <c r="M58" s="282"/>
      <c r="N58" s="282"/>
    </row>
    <row r="59" spans="1:14" ht="15.75" thickBot="1">
      <c r="A59" s="223" t="s">
        <v>545</v>
      </c>
      <c r="B59" s="400">
        <f>C14</f>
        <v>9</v>
      </c>
      <c r="C59" s="400">
        <f>B14</f>
        <v>3</v>
      </c>
      <c r="D59" s="400"/>
      <c r="E59" s="400">
        <f>F14+F15</f>
        <v>6</v>
      </c>
      <c r="F59" s="224">
        <f>SUM(B59:E59)</f>
        <v>18</v>
      </c>
      <c r="G59" s="282"/>
      <c r="H59" s="197">
        <f>(B59+C59)/$F$59</f>
        <v>0.66666666666666663</v>
      </c>
      <c r="I59" s="282"/>
      <c r="J59" s="197">
        <f>(E59)/$F$59</f>
        <v>0.33333333333333331</v>
      </c>
      <c r="K59" s="398">
        <f t="shared" si="5"/>
        <v>1</v>
      </c>
      <c r="L59" s="282"/>
      <c r="M59" s="282"/>
      <c r="N59" s="282"/>
    </row>
    <row r="60" spans="1:14">
      <c r="A60" s="194"/>
      <c r="B60" s="221">
        <f>SUM(B55:B59)</f>
        <v>2819.2833891166124</v>
      </c>
      <c r="C60" s="221">
        <f>SUM(C55:C59)</f>
        <v>626.58578975596254</v>
      </c>
      <c r="D60" s="221"/>
      <c r="E60" s="221">
        <f>SUM(E55:E59)</f>
        <v>734.28791280177325</v>
      </c>
      <c r="F60" s="224">
        <f>SUM(B60:E60)</f>
        <v>4180.1570916743485</v>
      </c>
      <c r="G60" s="282"/>
      <c r="H60" s="282"/>
      <c r="I60" s="282"/>
      <c r="J60" s="282"/>
      <c r="K60" s="282"/>
      <c r="L60" s="282"/>
      <c r="M60" s="282"/>
      <c r="N60" s="282"/>
    </row>
    <row r="61" spans="1:14">
      <c r="A61" s="194"/>
      <c r="B61" s="222"/>
      <c r="C61" s="227">
        <f>(B60+C60)/F60</f>
        <v>0.82433963683703171</v>
      </c>
      <c r="D61" s="227"/>
      <c r="E61" s="227">
        <f>E60/F60</f>
        <v>0.17566036316296826</v>
      </c>
      <c r="F61" s="194"/>
      <c r="G61" s="282"/>
      <c r="H61" s="282"/>
      <c r="I61" s="282"/>
      <c r="J61" s="282"/>
      <c r="K61" s="282"/>
      <c r="L61" s="282"/>
      <c r="M61" s="282"/>
      <c r="N61" s="282"/>
    </row>
    <row r="62" spans="1:14">
      <c r="A62" s="194"/>
      <c r="B62" s="194"/>
      <c r="C62" s="225"/>
      <c r="D62" s="194"/>
      <c r="E62" s="194"/>
      <c r="F62" s="282"/>
      <c r="G62" s="128" t="s">
        <v>918</v>
      </c>
      <c r="H62" s="197">
        <f>(B55+B56+C55)/($F$55+$F$56)</f>
        <v>0.81908639766898961</v>
      </c>
      <c r="I62" s="197"/>
      <c r="J62" s="197">
        <f>E55/(F55+F56)</f>
        <v>0.18091360233101028</v>
      </c>
      <c r="K62" s="398">
        <f t="shared" ref="K62" si="6">SUM(H62:J62)</f>
        <v>0.99999999999999989</v>
      </c>
      <c r="L62" s="282"/>
      <c r="M62" s="282"/>
      <c r="N62" s="282"/>
    </row>
  </sheetData>
  <mergeCells count="4">
    <mergeCell ref="B22:D22"/>
    <mergeCell ref="F21:N21"/>
    <mergeCell ref="G22:N22"/>
    <mergeCell ref="A53:I53"/>
  </mergeCells>
  <pageMargins left="0.7" right="0.7" top="0.75" bottom="0.75" header="0.3" footer="0.3"/>
  <pageSetup scale="66" fitToHeight="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workbookViewId="0">
      <selection activeCell="N28" sqref="N28"/>
    </sheetView>
  </sheetViews>
  <sheetFormatPr defaultRowHeight="15"/>
  <cols>
    <col min="1" max="1" width="2" style="401" customWidth="1"/>
    <col min="2" max="4" width="9.140625" style="401"/>
    <col min="5" max="5" width="13" style="401" customWidth="1"/>
    <col min="6" max="6" width="9.7109375" style="401" bestFit="1" customWidth="1"/>
    <col min="7" max="7" width="9.140625" style="401"/>
    <col min="8" max="8" width="9.7109375" style="401" bestFit="1" customWidth="1"/>
    <col min="9" max="10" width="9.140625" style="401"/>
    <col min="11" max="11" width="10" style="401" customWidth="1"/>
    <col min="12" max="12" width="9.140625" style="401"/>
    <col min="13" max="13" width="11.140625" style="401" customWidth="1"/>
    <col min="14" max="16384" width="9.140625" style="401"/>
  </cols>
  <sheetData>
    <row r="1" spans="1:84">
      <c r="A1" s="406"/>
      <c r="B1" s="406"/>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7"/>
      <c r="BL1" s="407"/>
      <c r="BM1" s="407"/>
      <c r="BN1" s="407"/>
      <c r="BO1" s="407"/>
      <c r="BP1" s="407"/>
      <c r="BQ1" s="407"/>
      <c r="BR1" s="407"/>
      <c r="BS1" s="407"/>
      <c r="BT1" s="407"/>
      <c r="BU1" s="407"/>
      <c r="BV1" s="407"/>
      <c r="BW1" s="407"/>
      <c r="BX1" s="407"/>
      <c r="BY1" s="407"/>
      <c r="BZ1" s="407"/>
      <c r="CA1" s="407"/>
      <c r="CB1" s="407"/>
      <c r="CC1" s="407"/>
      <c r="CD1" s="407"/>
      <c r="CE1" s="407"/>
      <c r="CF1" s="407"/>
    </row>
    <row r="2" spans="1:84">
      <c r="A2" s="406"/>
      <c r="B2" s="406"/>
      <c r="C2" s="406"/>
      <c r="D2" s="406"/>
      <c r="E2" s="406"/>
      <c r="F2" s="406"/>
      <c r="G2" s="406"/>
      <c r="H2" s="406"/>
      <c r="I2" s="406"/>
      <c r="J2" s="406"/>
      <c r="K2" s="408"/>
      <c r="L2" s="408"/>
      <c r="M2" s="408"/>
      <c r="N2" s="408"/>
      <c r="O2" s="408"/>
      <c r="P2" s="408"/>
      <c r="Q2" s="408"/>
      <c r="R2" s="408"/>
      <c r="S2" s="408"/>
      <c r="T2" s="408"/>
      <c r="U2" s="408"/>
      <c r="V2" s="408"/>
      <c r="W2" s="408"/>
      <c r="X2" s="408"/>
      <c r="Y2" s="408"/>
      <c r="Z2" s="408"/>
      <c r="AA2" s="408"/>
      <c r="AB2" s="408"/>
      <c r="AC2" s="408"/>
      <c r="AD2" s="408"/>
      <c r="AE2" s="409" t="s">
        <v>924</v>
      </c>
      <c r="AF2" s="409" t="s">
        <v>925</v>
      </c>
      <c r="AG2" s="408"/>
      <c r="AH2" s="408"/>
      <c r="AI2" s="408" t="s">
        <v>926</v>
      </c>
      <c r="AJ2" s="408"/>
      <c r="AK2" s="408"/>
      <c r="AL2" s="408"/>
      <c r="AM2" s="408"/>
      <c r="AN2" s="408"/>
      <c r="AO2" s="408"/>
      <c r="AP2" s="408"/>
      <c r="AQ2" s="408"/>
      <c r="AR2" s="408"/>
      <c r="AS2" s="406"/>
      <c r="AT2" s="406"/>
      <c r="AU2" s="406"/>
      <c r="AV2" s="406"/>
      <c r="AW2" s="406"/>
      <c r="AX2" s="406"/>
      <c r="AY2" s="406"/>
      <c r="AZ2" s="406"/>
      <c r="BA2" s="406"/>
      <c r="BB2" s="406"/>
      <c r="BC2" s="406"/>
      <c r="BD2" s="406"/>
      <c r="BE2" s="406"/>
      <c r="BF2" s="406"/>
      <c r="BG2" s="406"/>
      <c r="BH2" s="406"/>
      <c r="BI2" s="406"/>
      <c r="BJ2" s="406"/>
      <c r="BK2" s="407"/>
      <c r="BL2" s="407"/>
      <c r="BM2" s="407"/>
      <c r="BN2" s="407"/>
      <c r="BO2" s="407"/>
      <c r="BP2" s="407"/>
      <c r="BQ2" s="407"/>
      <c r="BR2" s="407"/>
      <c r="BS2" s="407"/>
      <c r="BT2" s="407"/>
      <c r="BU2" s="407"/>
      <c r="BV2" s="407"/>
      <c r="BW2" s="407"/>
      <c r="BX2" s="407"/>
      <c r="BY2" s="407"/>
      <c r="BZ2" s="407"/>
      <c r="CA2" s="407"/>
      <c r="CB2" s="407"/>
      <c r="CC2" s="407"/>
      <c r="CD2" s="407"/>
      <c r="CE2" s="407"/>
      <c r="CF2" s="407"/>
    </row>
    <row r="3" spans="1:84">
      <c r="A3" s="406"/>
      <c r="B3" s="408" t="s">
        <v>986</v>
      </c>
      <c r="C3" s="406"/>
      <c r="D3" s="406"/>
      <c r="E3" s="406"/>
      <c r="F3" s="406"/>
      <c r="G3" s="406"/>
      <c r="H3" s="406"/>
      <c r="I3" s="406"/>
      <c r="J3" s="406"/>
      <c r="K3" s="408"/>
      <c r="L3" s="408"/>
      <c r="M3" s="408"/>
      <c r="N3" s="408"/>
      <c r="O3" s="408"/>
      <c r="P3" s="408"/>
      <c r="Q3" s="408"/>
      <c r="R3" s="408"/>
      <c r="S3" s="408"/>
      <c r="T3" s="408"/>
      <c r="U3" s="408"/>
      <c r="V3" s="408"/>
      <c r="W3" s="408"/>
      <c r="X3" s="408"/>
      <c r="Y3" s="408"/>
      <c r="Z3" s="408"/>
      <c r="AA3" s="408"/>
      <c r="AB3" s="408"/>
      <c r="AC3" s="408"/>
      <c r="AD3" s="408"/>
      <c r="AE3" s="409"/>
      <c r="AF3" s="409"/>
      <c r="AG3" s="408"/>
      <c r="AH3" s="408"/>
      <c r="AI3" s="408"/>
      <c r="AJ3" s="408"/>
      <c r="AK3" s="408"/>
      <c r="AL3" s="408"/>
      <c r="AM3" s="408"/>
      <c r="AN3" s="408"/>
      <c r="AO3" s="408"/>
      <c r="AP3" s="408"/>
      <c r="AQ3" s="408"/>
      <c r="AR3" s="408"/>
      <c r="AS3" s="406"/>
      <c r="AT3" s="406"/>
      <c r="AU3" s="406"/>
      <c r="AV3" s="406"/>
      <c r="AW3" s="406"/>
      <c r="AX3" s="406"/>
      <c r="AY3" s="406"/>
      <c r="AZ3" s="406"/>
      <c r="BA3" s="406"/>
      <c r="BB3" s="406"/>
      <c r="BC3" s="406"/>
      <c r="BD3" s="406"/>
      <c r="BE3" s="406"/>
      <c r="BF3" s="406"/>
      <c r="BG3" s="406"/>
      <c r="BH3" s="406"/>
      <c r="BI3" s="406"/>
      <c r="BJ3" s="406"/>
      <c r="BK3" s="407"/>
      <c r="BL3" s="407"/>
      <c r="BM3" s="407"/>
      <c r="BN3" s="407"/>
      <c r="BO3" s="407"/>
      <c r="BP3" s="407"/>
      <c r="BQ3" s="407"/>
      <c r="BR3" s="407"/>
      <c r="BS3" s="407"/>
      <c r="BT3" s="407"/>
      <c r="BU3" s="407"/>
      <c r="BV3" s="407"/>
      <c r="BW3" s="407"/>
      <c r="BX3" s="407"/>
      <c r="BY3" s="407"/>
      <c r="BZ3" s="407"/>
      <c r="CA3" s="407"/>
      <c r="CB3" s="407"/>
      <c r="CC3" s="407"/>
      <c r="CD3" s="407"/>
      <c r="CE3" s="407"/>
      <c r="CF3" s="407"/>
    </row>
    <row r="4" spans="1:84">
      <c r="A4" s="406"/>
      <c r="B4" s="410"/>
      <c r="C4" s="408"/>
      <c r="D4" s="408"/>
      <c r="E4" s="411"/>
      <c r="F4" s="408"/>
      <c r="G4" s="412"/>
      <c r="H4" s="408"/>
      <c r="I4" s="408"/>
      <c r="J4" s="408"/>
      <c r="K4" s="408"/>
      <c r="L4" s="408"/>
      <c r="M4" s="408"/>
      <c r="N4" s="408" t="s">
        <v>927</v>
      </c>
      <c r="O4" s="408"/>
      <c r="P4" s="408"/>
      <c r="Q4" s="408"/>
      <c r="R4" s="408"/>
      <c r="S4" s="408"/>
      <c r="T4" s="408"/>
      <c r="U4" s="409" t="s">
        <v>928</v>
      </c>
      <c r="V4" s="409" t="s">
        <v>929</v>
      </c>
      <c r="W4" s="409" t="s">
        <v>718</v>
      </c>
      <c r="X4" s="409" t="s">
        <v>930</v>
      </c>
      <c r="Y4" s="409" t="s">
        <v>931</v>
      </c>
      <c r="Z4" s="408"/>
      <c r="AA4" s="409" t="s">
        <v>932</v>
      </c>
      <c r="AB4" s="408" t="s">
        <v>933</v>
      </c>
      <c r="AC4" s="409" t="s">
        <v>934</v>
      </c>
      <c r="AD4" s="409" t="s">
        <v>935</v>
      </c>
      <c r="AE4" s="409" t="s">
        <v>936</v>
      </c>
      <c r="AF4" s="408"/>
      <c r="AG4" s="408"/>
      <c r="AH4" s="408"/>
      <c r="AI4" s="408" t="s">
        <v>937</v>
      </c>
      <c r="AJ4" s="408"/>
      <c r="AK4" s="408"/>
      <c r="AL4" s="408"/>
      <c r="AM4" s="408"/>
      <c r="AN4" s="408"/>
      <c r="AO4" s="408"/>
      <c r="AP4" s="408"/>
      <c r="AQ4" s="408"/>
      <c r="AR4" s="408"/>
      <c r="AS4" s="406"/>
      <c r="AT4" s="406"/>
      <c r="AU4" s="406"/>
      <c r="AV4" s="406"/>
      <c r="AW4" s="406"/>
      <c r="AX4" s="406"/>
      <c r="AY4" s="406"/>
      <c r="AZ4" s="406"/>
      <c r="BA4" s="406"/>
      <c r="BB4" s="406"/>
      <c r="BC4" s="406"/>
      <c r="BD4" s="406"/>
      <c r="BE4" s="406"/>
      <c r="BF4" s="406"/>
      <c r="BG4" s="406"/>
      <c r="BH4" s="406"/>
      <c r="BI4" s="406"/>
      <c r="BJ4" s="406"/>
      <c r="BK4" s="407"/>
      <c r="BL4" s="407"/>
      <c r="BM4" s="407"/>
      <c r="BN4" s="407"/>
      <c r="BO4" s="407"/>
      <c r="BP4" s="407"/>
      <c r="BQ4" s="407"/>
      <c r="BR4" s="407"/>
      <c r="BS4" s="407"/>
      <c r="BT4" s="407"/>
      <c r="BU4" s="407"/>
      <c r="BV4" s="407"/>
      <c r="BW4" s="407"/>
      <c r="BX4" s="407"/>
      <c r="BY4" s="407"/>
      <c r="BZ4" s="407"/>
      <c r="CA4" s="407"/>
      <c r="CB4" s="407"/>
      <c r="CC4" s="407"/>
      <c r="CD4" s="407"/>
      <c r="CE4" s="407"/>
      <c r="CF4" s="407"/>
    </row>
    <row r="5" spans="1:84">
      <c r="A5" s="406"/>
      <c r="B5" s="413" t="s">
        <v>938</v>
      </c>
      <c r="C5" s="413" t="s">
        <v>939</v>
      </c>
      <c r="D5" s="408"/>
      <c r="E5" s="411">
        <f>E7+E6</f>
        <v>2714197.9052156247</v>
      </c>
      <c r="F5" s="413" t="s">
        <v>940</v>
      </c>
      <c r="G5" s="408"/>
      <c r="H5" s="408"/>
      <c r="I5" s="408"/>
      <c r="J5" s="413"/>
      <c r="K5" s="408"/>
      <c r="L5" s="414"/>
      <c r="M5" s="408"/>
      <c r="N5" s="413" t="s">
        <v>941</v>
      </c>
      <c r="O5" s="408"/>
      <c r="P5" s="408"/>
      <c r="Q5" s="413" t="s">
        <v>942</v>
      </c>
      <c r="R5" s="408"/>
      <c r="S5" s="408"/>
      <c r="T5" s="408"/>
      <c r="U5" s="415">
        <f>$E$8*1.25</f>
        <v>3147052.1835038811</v>
      </c>
      <c r="V5" s="416">
        <f>100*(+U5/$E$9)</f>
        <v>333.79219655460656</v>
      </c>
      <c r="W5" s="417">
        <f>EXP(5.7226-(0.68367*LN(+V5)))</f>
        <v>5.7553089583654069</v>
      </c>
      <c r="X5" s="417">
        <f>(+W5*V5)/100</f>
        <v>19.210772190631939</v>
      </c>
      <c r="Y5" s="416">
        <f>100*((((X5/100)-((X5/100)-0.03574)*$E$21)-0.03574-0.00619)/0.344)</f>
        <v>28.201365249468253</v>
      </c>
      <c r="Z5" s="408">
        <f>$E$20</f>
        <v>0.25</v>
      </c>
      <c r="AA5" s="416">
        <f>Y5+Z5</f>
        <v>28.451365249468253</v>
      </c>
      <c r="AB5" s="416">
        <f>100*($E$17*$E$19+($E$18*(AA5/100))/(1-$E$21))</f>
        <v>22.285634023757062</v>
      </c>
      <c r="AC5" s="417">
        <f>AB5/V5</f>
        <v>6.6764994070528716E-2</v>
      </c>
      <c r="AD5" s="415">
        <f>$E$8/(1-AC5)</f>
        <v>2697757.5110308006</v>
      </c>
      <c r="AE5" s="408" t="str">
        <f>IF(AD5=$U$5,"yes","not yet")</f>
        <v>not yet</v>
      </c>
      <c r="AF5" s="416">
        <f>100*(1-AC5)</f>
        <v>93.323500592947127</v>
      </c>
      <c r="AG5" s="408"/>
      <c r="AH5" s="408"/>
      <c r="AI5" s="408">
        <v>0</v>
      </c>
      <c r="AJ5" s="408">
        <v>1</v>
      </c>
      <c r="AK5" s="408"/>
      <c r="AL5" s="408"/>
      <c r="AM5" s="408"/>
      <c r="AN5" s="408"/>
      <c r="AO5" s="408"/>
      <c r="AP5" s="408"/>
      <c r="AQ5" s="408"/>
      <c r="AR5" s="408"/>
      <c r="AS5" s="406"/>
      <c r="AT5" s="406"/>
      <c r="AU5" s="406"/>
      <c r="AV5" s="406"/>
      <c r="AW5" s="406"/>
      <c r="AX5" s="406"/>
      <c r="AY5" s="406"/>
      <c r="AZ5" s="406"/>
      <c r="BA5" s="406"/>
      <c r="BB5" s="406"/>
      <c r="BC5" s="406"/>
      <c r="BD5" s="406"/>
      <c r="BE5" s="406"/>
      <c r="BF5" s="406"/>
      <c r="BG5" s="406"/>
      <c r="BH5" s="406"/>
      <c r="BI5" s="406"/>
      <c r="BJ5" s="406"/>
      <c r="BK5" s="407"/>
      <c r="BL5" s="407"/>
      <c r="BM5" s="407"/>
      <c r="BN5" s="407"/>
      <c r="BO5" s="407"/>
      <c r="BP5" s="407"/>
      <c r="BQ5" s="407"/>
      <c r="BR5" s="407"/>
      <c r="BS5" s="407"/>
      <c r="BT5" s="407"/>
      <c r="BU5" s="407"/>
      <c r="BV5" s="407"/>
      <c r="BW5" s="407"/>
      <c r="BX5" s="407"/>
      <c r="BY5" s="407"/>
      <c r="BZ5" s="407"/>
      <c r="CA5" s="407"/>
      <c r="CB5" s="407"/>
      <c r="CC5" s="407"/>
      <c r="CD5" s="407"/>
      <c r="CE5" s="407"/>
      <c r="CF5" s="407"/>
    </row>
    <row r="6" spans="1:84">
      <c r="A6" s="406"/>
      <c r="B6" s="413" t="s">
        <v>938</v>
      </c>
      <c r="C6" s="413" t="s">
        <v>943</v>
      </c>
      <c r="D6" s="408"/>
      <c r="E6" s="411">
        <f>(+E8-((H15/100)*E7))/H25</f>
        <v>148045.87840346934</v>
      </c>
      <c r="F6" s="418" t="s">
        <v>940</v>
      </c>
      <c r="G6" s="408"/>
      <c r="H6" s="419"/>
      <c r="I6" s="408"/>
      <c r="J6" s="420">
        <f>E6/E7</f>
        <v>5.7691780088096251E-2</v>
      </c>
      <c r="K6" s="408" t="s">
        <v>944</v>
      </c>
      <c r="L6" s="414"/>
      <c r="M6" s="408"/>
      <c r="N6" s="413" t="s">
        <v>945</v>
      </c>
      <c r="O6" s="408"/>
      <c r="P6" s="408"/>
      <c r="Q6" s="413" t="s">
        <v>946</v>
      </c>
      <c r="R6" s="408"/>
      <c r="S6" s="408"/>
      <c r="T6" s="408"/>
      <c r="U6" s="415">
        <f>$E$8*1.25</f>
        <v>3147052.1835038811</v>
      </c>
      <c r="V6" s="416">
        <f>100*(+U6/$E$9)</f>
        <v>333.79219655460656</v>
      </c>
      <c r="W6" s="417">
        <f>EXP(5.70827-(0.68367*LN(+V6)))</f>
        <v>5.6734234916140514</v>
      </c>
      <c r="X6" s="417">
        <f>(+W6*V6)/100</f>
        <v>18.937444892503596</v>
      </c>
      <c r="Y6" s="416">
        <f>100*((((X6/100)-((X6/100)-0.03574)*$E$21)-0.03574-0.00619)/0.344)</f>
        <v>27.676958223989462</v>
      </c>
      <c r="Z6" s="408">
        <f>$E$20</f>
        <v>0.25</v>
      </c>
      <c r="AA6" s="416">
        <f>Y6+Z6</f>
        <v>27.926958223989462</v>
      </c>
      <c r="AB6" s="416">
        <f>100*($E$17*$E$19+($E$18*(AA6/100))/(1-$E$21))</f>
        <v>21.903463148319695</v>
      </c>
      <c r="AC6" s="417">
        <f>AB6/V6</f>
        <v>6.5620057551993752E-2</v>
      </c>
      <c r="AD6" s="415">
        <f>$E$8/(1-AC6)</f>
        <v>2694451.8310261131</v>
      </c>
      <c r="AE6" s="408" t="str">
        <f>IF(AD6=$U$6,"yes","not yet")</f>
        <v>not yet</v>
      </c>
      <c r="AF6" s="416">
        <f>100*(1-AC6)</f>
        <v>93.43799424480062</v>
      </c>
      <c r="AG6" s="408"/>
      <c r="AH6" s="408"/>
      <c r="AI6" s="408">
        <v>50</v>
      </c>
      <c r="AJ6" s="408">
        <v>2</v>
      </c>
      <c r="AK6" s="408"/>
      <c r="AL6" s="408"/>
      <c r="AM6" s="408"/>
      <c r="AN6" s="408"/>
      <c r="AO6" s="408"/>
      <c r="AP6" s="408"/>
      <c r="AQ6" s="408"/>
      <c r="AR6" s="408"/>
      <c r="AS6" s="406"/>
      <c r="AT6" s="406"/>
      <c r="AU6" s="406"/>
      <c r="AV6" s="406"/>
      <c r="AW6" s="406"/>
      <c r="AX6" s="406"/>
      <c r="AY6" s="406"/>
      <c r="AZ6" s="406"/>
      <c r="BA6" s="406"/>
      <c r="BB6" s="406"/>
      <c r="BC6" s="406"/>
      <c r="BD6" s="406"/>
      <c r="BE6" s="406"/>
      <c r="BF6" s="406"/>
      <c r="BG6" s="406"/>
      <c r="BH6" s="406"/>
      <c r="BI6" s="406"/>
      <c r="BJ6" s="406"/>
      <c r="BK6" s="407"/>
      <c r="BL6" s="407"/>
      <c r="BM6" s="407"/>
      <c r="BN6" s="407"/>
      <c r="BO6" s="407"/>
      <c r="BP6" s="407"/>
      <c r="BQ6" s="407"/>
      <c r="BR6" s="407"/>
      <c r="BS6" s="407"/>
      <c r="BT6" s="407"/>
      <c r="BU6" s="407"/>
      <c r="BV6" s="407"/>
      <c r="BW6" s="407"/>
      <c r="BX6" s="407"/>
      <c r="BY6" s="407"/>
      <c r="BZ6" s="407"/>
      <c r="CA6" s="407"/>
      <c r="CB6" s="407"/>
      <c r="CC6" s="407"/>
      <c r="CD6" s="407"/>
      <c r="CE6" s="407"/>
      <c r="CF6" s="407"/>
    </row>
    <row r="7" spans="1:84">
      <c r="A7" s="406"/>
      <c r="B7" s="421" t="s">
        <v>592</v>
      </c>
      <c r="C7" s="413" t="s">
        <v>64</v>
      </c>
      <c r="D7" s="421" t="s">
        <v>717</v>
      </c>
      <c r="E7" s="422">
        <f>'Consolidated IS'!K15</f>
        <v>2566152.0268121553</v>
      </c>
      <c r="F7" s="413" t="s">
        <v>947</v>
      </c>
      <c r="G7" s="408"/>
      <c r="H7" s="423"/>
      <c r="I7" s="408"/>
      <c r="J7" s="413"/>
      <c r="K7" s="408"/>
      <c r="L7" s="414"/>
      <c r="M7" s="408"/>
      <c r="N7" s="413" t="s">
        <v>948</v>
      </c>
      <c r="O7" s="408"/>
      <c r="P7" s="408"/>
      <c r="Q7" s="413" t="s">
        <v>949</v>
      </c>
      <c r="R7" s="408"/>
      <c r="S7" s="408"/>
      <c r="T7" s="408"/>
      <c r="U7" s="415">
        <f>$E$8*1.25</f>
        <v>3147052.1835038811</v>
      </c>
      <c r="V7" s="416">
        <f>100*(+U7/$E$9)</f>
        <v>333.79219655460656</v>
      </c>
      <c r="W7" s="417">
        <f>EXP(5.6985-(0.68367*LN(V7)))</f>
        <v>5.61826403679789</v>
      </c>
      <c r="X7" s="417">
        <f>(+W7*V7)/100</f>
        <v>18.753326936665186</v>
      </c>
      <c r="Y7" s="416">
        <f>100*((((X7/100)-((X7/100)-0.03574)*$E$21)-0.03574-0.00619)/0.344)</f>
        <v>27.323708657555301</v>
      </c>
      <c r="Z7" s="408">
        <f>$E$20</f>
        <v>0.25</v>
      </c>
      <c r="AA7" s="416">
        <f>Y7+Z7</f>
        <v>27.573708657555301</v>
      </c>
      <c r="AB7" s="416">
        <f>100*($E$17*$E$19+($E$18*(AA7/100))/(1-$E$21))</f>
        <v>21.646026292036623</v>
      </c>
      <c r="AC7" s="417">
        <f>AB7/V7</f>
        <v>6.484880867637495E-2</v>
      </c>
      <c r="AD7" s="415">
        <f>$E$8/(1-AC7)</f>
        <v>2692229.6310606226</v>
      </c>
      <c r="AE7" s="408" t="str">
        <f>IF(AD7=$U$7,"yes","not yet")</f>
        <v>not yet</v>
      </c>
      <c r="AF7" s="416">
        <f>100*(1-AC7)</f>
        <v>93.5151191323625</v>
      </c>
      <c r="AG7" s="408"/>
      <c r="AH7" s="408"/>
      <c r="AI7" s="408">
        <v>125</v>
      </c>
      <c r="AJ7" s="408">
        <v>3</v>
      </c>
      <c r="AK7" s="408"/>
      <c r="AL7" s="408"/>
      <c r="AM7" s="408"/>
      <c r="AN7" s="408"/>
      <c r="AO7" s="408"/>
      <c r="AP7" s="408"/>
      <c r="AQ7" s="408"/>
      <c r="AR7" s="408"/>
      <c r="AS7" s="406"/>
      <c r="AT7" s="406"/>
      <c r="AU7" s="406"/>
      <c r="AV7" s="406"/>
      <c r="AW7" s="406"/>
      <c r="AX7" s="406"/>
      <c r="AY7" s="406"/>
      <c r="AZ7" s="406"/>
      <c r="BA7" s="406"/>
      <c r="BB7" s="406"/>
      <c r="BC7" s="406"/>
      <c r="BD7" s="406"/>
      <c r="BE7" s="406"/>
      <c r="BF7" s="406"/>
      <c r="BG7" s="406"/>
      <c r="BH7" s="406"/>
      <c r="BI7" s="406"/>
      <c r="BJ7" s="406"/>
      <c r="BK7" s="407"/>
      <c r="BL7" s="407"/>
      <c r="BM7" s="407"/>
      <c r="BN7" s="407"/>
      <c r="BO7" s="407"/>
      <c r="BP7" s="407"/>
      <c r="BQ7" s="407"/>
      <c r="BR7" s="407"/>
      <c r="BS7" s="407"/>
      <c r="BT7" s="407"/>
      <c r="BU7" s="407"/>
      <c r="BV7" s="407"/>
      <c r="BW7" s="407"/>
      <c r="BX7" s="407"/>
      <c r="BY7" s="407"/>
      <c r="BZ7" s="407"/>
      <c r="CA7" s="407"/>
      <c r="CB7" s="407"/>
      <c r="CC7" s="407"/>
      <c r="CD7" s="407"/>
      <c r="CE7" s="407"/>
      <c r="CF7" s="407"/>
    </row>
    <row r="8" spans="1:84">
      <c r="A8" s="406"/>
      <c r="B8" s="421" t="s">
        <v>592</v>
      </c>
      <c r="C8" s="413" t="s">
        <v>950</v>
      </c>
      <c r="D8" s="421" t="s">
        <v>717</v>
      </c>
      <c r="E8" s="422">
        <f>'Consolidated IS'!K195</f>
        <v>2517641.7468031049</v>
      </c>
      <c r="F8" s="413" t="s">
        <v>947</v>
      </c>
      <c r="G8" s="408"/>
      <c r="H8" s="423"/>
      <c r="I8" s="408"/>
      <c r="J8" s="420"/>
      <c r="K8" s="419"/>
      <c r="L8" s="414"/>
      <c r="M8" s="408"/>
      <c r="N8" s="413" t="s">
        <v>951</v>
      </c>
      <c r="O8" s="408"/>
      <c r="P8" s="408"/>
      <c r="Q8" s="413" t="s">
        <v>952</v>
      </c>
      <c r="R8" s="408"/>
      <c r="S8" s="408"/>
      <c r="T8" s="408"/>
      <c r="U8" s="415">
        <f>$E$8*1.25</f>
        <v>3147052.1835038811</v>
      </c>
      <c r="V8" s="416">
        <f>100*(+U8/$E$9)</f>
        <v>333.79219655460656</v>
      </c>
      <c r="W8" s="417">
        <f>EXP(5.6922-(0.68367*LN(V8)))</f>
        <v>5.5829802340458308</v>
      </c>
      <c r="X8" s="417">
        <f>(+W8*V8)/100</f>
        <v>18.635552356431091</v>
      </c>
      <c r="Y8" s="416">
        <f>100*((((X8/100)-((X8/100)-0.03574)*$E$21)-0.03574-0.00619)/0.344)</f>
        <v>27.09774580012942</v>
      </c>
      <c r="Z8" s="408">
        <f>$E$20</f>
        <v>0.25</v>
      </c>
      <c r="AA8" s="416">
        <f>Y8+Z8</f>
        <v>27.34774580012942</v>
      </c>
      <c r="AB8" s="416">
        <f>100*($E$17*$E$19+($E$18*(AA8/100))/(1-$E$21))</f>
        <v>21.481351871513873</v>
      </c>
      <c r="AC8" s="417">
        <f>AB8/V8</f>
        <v>6.4355464547235577E-2</v>
      </c>
      <c r="AD8" s="415">
        <f>$E$8/(1-AC8)</f>
        <v>2690810.0794761782</v>
      </c>
      <c r="AE8" s="408" t="str">
        <f>IF(AD8=$U$8,"yes","not yet")</f>
        <v>not yet</v>
      </c>
      <c r="AF8" s="416">
        <f>100*(1-AC8)</f>
        <v>93.564453545276436</v>
      </c>
      <c r="AG8" s="408"/>
      <c r="AH8" s="408"/>
      <c r="AI8" s="408">
        <v>401</v>
      </c>
      <c r="AJ8" s="408">
        <v>4</v>
      </c>
      <c r="AK8" s="408"/>
      <c r="AL8" s="408"/>
      <c r="AM8" s="408"/>
      <c r="AN8" s="408"/>
      <c r="AO8" s="408"/>
      <c r="AP8" s="408"/>
      <c r="AQ8" s="408"/>
      <c r="AR8" s="408"/>
      <c r="AS8" s="406"/>
      <c r="AT8" s="406"/>
      <c r="AU8" s="406"/>
      <c r="AV8" s="406"/>
      <c r="AW8" s="406"/>
      <c r="AX8" s="406"/>
      <c r="AY8" s="406"/>
      <c r="AZ8" s="406"/>
      <c r="BA8" s="406"/>
      <c r="BB8" s="406"/>
      <c r="BC8" s="406"/>
      <c r="BD8" s="406"/>
      <c r="BE8" s="406"/>
      <c r="BF8" s="406"/>
      <c r="BG8" s="406"/>
      <c r="BH8" s="406"/>
      <c r="BI8" s="406"/>
      <c r="BJ8" s="406"/>
      <c r="BK8" s="407"/>
      <c r="BL8" s="407"/>
      <c r="BM8" s="407"/>
      <c r="BN8" s="407"/>
      <c r="BO8" s="407"/>
      <c r="BP8" s="407"/>
      <c r="BQ8" s="407"/>
      <c r="BR8" s="407"/>
      <c r="BS8" s="407"/>
      <c r="BT8" s="407"/>
      <c r="BU8" s="407"/>
      <c r="BV8" s="407"/>
      <c r="BW8" s="407"/>
      <c r="BX8" s="407"/>
      <c r="BY8" s="407"/>
      <c r="BZ8" s="407"/>
      <c r="CA8" s="407"/>
      <c r="CB8" s="407"/>
      <c r="CC8" s="407"/>
      <c r="CD8" s="407"/>
      <c r="CE8" s="407"/>
      <c r="CF8" s="407"/>
    </row>
    <row r="9" spans="1:84">
      <c r="A9" s="406"/>
      <c r="B9" s="421" t="s">
        <v>592</v>
      </c>
      <c r="C9" s="413" t="s">
        <v>953</v>
      </c>
      <c r="D9" s="408"/>
      <c r="E9" s="422">
        <f>'2120 Depr Summary'!Q44</f>
        <v>942817.78183782089</v>
      </c>
      <c r="F9" s="413" t="s">
        <v>947</v>
      </c>
      <c r="G9" s="408"/>
      <c r="H9" s="408"/>
      <c r="I9" s="408"/>
      <c r="J9" s="413"/>
      <c r="K9" s="424"/>
      <c r="L9" s="414"/>
      <c r="M9" s="408"/>
      <c r="N9" s="408"/>
      <c r="O9" s="408"/>
      <c r="P9" s="408"/>
      <c r="Q9" s="408"/>
      <c r="R9" s="408"/>
      <c r="S9" s="408"/>
      <c r="T9" s="408"/>
      <c r="U9" s="408"/>
      <c r="V9" s="408"/>
      <c r="W9" s="408"/>
      <c r="X9" s="408"/>
      <c r="Y9" s="408"/>
      <c r="Z9" s="408"/>
      <c r="AA9" s="416"/>
      <c r="AB9" s="408"/>
      <c r="AC9" s="408"/>
      <c r="AD9" s="408"/>
      <c r="AE9" s="408"/>
      <c r="AF9" s="408"/>
      <c r="AG9" s="408"/>
      <c r="AH9" s="408"/>
      <c r="AI9" s="408"/>
      <c r="AJ9" s="408"/>
      <c r="AK9" s="408"/>
      <c r="AL9" s="408"/>
      <c r="AM9" s="408"/>
      <c r="AN9" s="408"/>
      <c r="AO9" s="408"/>
      <c r="AP9" s="408"/>
      <c r="AQ9" s="408"/>
      <c r="AR9" s="408"/>
      <c r="AS9" s="406"/>
      <c r="AT9" s="406"/>
      <c r="AU9" s="406"/>
      <c r="AV9" s="406"/>
      <c r="AW9" s="406"/>
      <c r="AX9" s="406"/>
      <c r="AY9" s="406"/>
      <c r="AZ9" s="406"/>
      <c r="BA9" s="406"/>
      <c r="BB9" s="406"/>
      <c r="BC9" s="406"/>
      <c r="BD9" s="406"/>
      <c r="BE9" s="406"/>
      <c r="BF9" s="406"/>
      <c r="BG9" s="406"/>
      <c r="BH9" s="406"/>
      <c r="BI9" s="406"/>
      <c r="BJ9" s="406"/>
      <c r="BK9" s="407"/>
      <c r="BL9" s="407"/>
      <c r="BM9" s="407"/>
      <c r="BN9" s="407"/>
      <c r="BO9" s="407"/>
      <c r="BP9" s="407"/>
      <c r="BQ9" s="407"/>
      <c r="BR9" s="407"/>
      <c r="BS9" s="407"/>
      <c r="BT9" s="407"/>
      <c r="BU9" s="407"/>
      <c r="BV9" s="407"/>
      <c r="BW9" s="407"/>
      <c r="BX9" s="407"/>
      <c r="BY9" s="407"/>
      <c r="BZ9" s="407"/>
      <c r="CA9" s="407"/>
      <c r="CB9" s="407"/>
      <c r="CC9" s="407"/>
      <c r="CD9" s="407"/>
      <c r="CE9" s="407"/>
      <c r="CF9" s="407"/>
    </row>
    <row r="10" spans="1:84">
      <c r="A10" s="406"/>
      <c r="B10" s="410"/>
      <c r="C10" s="413" t="s">
        <v>954</v>
      </c>
      <c r="D10" s="408"/>
      <c r="E10" s="416">
        <f>V5</f>
        <v>333.79219655460656</v>
      </c>
      <c r="F10" s="413" t="s">
        <v>955</v>
      </c>
      <c r="G10" s="408"/>
      <c r="H10" s="416"/>
      <c r="I10" s="416"/>
      <c r="J10" s="410" t="s">
        <v>2254</v>
      </c>
      <c r="K10" s="411">
        <f>'Spokane Reg - Price out'!R31+'Whitman Reg - Price Out'!P37</f>
        <v>77080.928024319903</v>
      </c>
      <c r="L10" s="408"/>
      <c r="M10" s="408"/>
      <c r="N10" s="408"/>
      <c r="O10" s="408"/>
      <c r="P10" s="408"/>
      <c r="Q10" s="408"/>
      <c r="R10" s="408"/>
      <c r="S10" s="408"/>
      <c r="T10" s="408"/>
      <c r="U10" s="408"/>
      <c r="V10" s="425" t="s">
        <v>956</v>
      </c>
      <c r="W10" s="425" t="s">
        <v>718</v>
      </c>
      <c r="X10" s="425" t="s">
        <v>930</v>
      </c>
      <c r="Y10" s="425" t="s">
        <v>931</v>
      </c>
      <c r="Z10" s="408"/>
      <c r="AA10" s="416"/>
      <c r="AB10" s="408"/>
      <c r="AC10" s="408"/>
      <c r="AD10" s="408"/>
      <c r="AE10" s="408"/>
      <c r="AF10" s="408"/>
      <c r="AG10" s="408"/>
      <c r="AH10" s="408"/>
      <c r="AI10" s="408" t="s">
        <v>957</v>
      </c>
      <c r="AJ10" s="408"/>
      <c r="AK10" s="408"/>
      <c r="AL10" s="408"/>
      <c r="AM10" s="408"/>
      <c r="AN10" s="408"/>
      <c r="AO10" s="408"/>
      <c r="AP10" s="408"/>
      <c r="AQ10" s="408"/>
      <c r="AR10" s="408"/>
      <c r="AS10" s="406"/>
      <c r="AT10" s="406"/>
      <c r="AU10" s="406"/>
      <c r="AV10" s="406"/>
      <c r="AW10" s="406"/>
      <c r="AX10" s="406"/>
      <c r="AY10" s="406"/>
      <c r="AZ10" s="406"/>
      <c r="BA10" s="406"/>
      <c r="BB10" s="406"/>
      <c r="BC10" s="406"/>
      <c r="BD10" s="406"/>
      <c r="BE10" s="406"/>
      <c r="BF10" s="406"/>
      <c r="BG10" s="406"/>
      <c r="BH10" s="406"/>
      <c r="BI10" s="406"/>
      <c r="BJ10" s="406"/>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row>
    <row r="11" spans="1:84">
      <c r="A11" s="406"/>
      <c r="B11" s="410"/>
      <c r="C11" s="413" t="s">
        <v>958</v>
      </c>
      <c r="D11" s="408"/>
      <c r="E11" s="416">
        <f>HLOOKUP($AJ$34,$AJ$28:$AR$32,($E$12)+1)</f>
        <v>287.46933418213951</v>
      </c>
      <c r="F11" s="413" t="s">
        <v>955</v>
      </c>
      <c r="G11" s="408"/>
      <c r="H11" s="408"/>
      <c r="I11" s="408"/>
      <c r="J11" s="421" t="s">
        <v>2255</v>
      </c>
      <c r="K11" s="411">
        <f>'Spokane Reg - Price out'!R77+'Whitman Reg - Price Out'!P123</f>
        <v>62308.78013171583</v>
      </c>
      <c r="L11" s="408"/>
      <c r="M11" s="408"/>
      <c r="N11" s="408"/>
      <c r="O11" s="408"/>
      <c r="P11" s="408"/>
      <c r="Q11" s="408"/>
      <c r="R11" s="408"/>
      <c r="S11" s="408"/>
      <c r="T11" s="408"/>
      <c r="U11" s="408"/>
      <c r="V11" s="416">
        <f>100*(+AD5/$E$9)</f>
        <v>286.13774188391966</v>
      </c>
      <c r="W11" s="426">
        <f>EXP(5.7226-(0.68367*LN(+V11)))</f>
        <v>6.3945041331327044</v>
      </c>
      <c r="X11" s="417">
        <f>(+W11*V11)/100</f>
        <v>18.297089731219831</v>
      </c>
      <c r="Y11" s="416">
        <f>100*((((X11/100)-((X11/100)-0.03574)*$E$21)-0.03574-0.00619)/0.344)</f>
        <v>26.448369833154334</v>
      </c>
      <c r="Z11" s="408">
        <f>$E$20</f>
        <v>0.25</v>
      </c>
      <c r="AA11" s="416">
        <f>Y11+Z11</f>
        <v>26.698369833154334</v>
      </c>
      <c r="AB11" s="416">
        <f>100*($E$17*$E$19+($E$18*(AA11/100))/(1-$E$21))</f>
        <v>21.008107674298415</v>
      </c>
      <c r="AC11" s="417">
        <f>AB11/V11</f>
        <v>7.3419561977325534E-2</v>
      </c>
      <c r="AD11" s="415">
        <f>$E$8/(1-AC11)</f>
        <v>2717132.4188278359</v>
      </c>
      <c r="AE11" s="408" t="str">
        <f>IF(AD11=AD5,"yes","not yet")</f>
        <v>not yet</v>
      </c>
      <c r="AF11" s="416">
        <f>100*(1-AC11)</f>
        <v>92.658043802267443</v>
      </c>
      <c r="AG11" s="408"/>
      <c r="AH11" s="408"/>
      <c r="AI11" s="408"/>
      <c r="AJ11" s="408"/>
      <c r="AK11" s="408"/>
      <c r="AL11" s="408"/>
      <c r="AM11" s="408"/>
      <c r="AN11" s="408"/>
      <c r="AO11" s="408"/>
      <c r="AP11" s="408"/>
      <c r="AQ11" s="408"/>
      <c r="AR11" s="408"/>
      <c r="AS11" s="406"/>
      <c r="AT11" s="406"/>
      <c r="AU11" s="406"/>
      <c r="AV11" s="406"/>
      <c r="AW11" s="406"/>
      <c r="AX11" s="406"/>
      <c r="AY11" s="406"/>
      <c r="AZ11" s="406"/>
      <c r="BA11" s="406"/>
      <c r="BB11" s="406"/>
      <c r="BC11" s="406"/>
      <c r="BD11" s="406"/>
      <c r="BE11" s="406"/>
      <c r="BF11" s="406"/>
      <c r="BG11" s="406"/>
      <c r="BH11" s="406"/>
      <c r="BI11" s="406"/>
      <c r="BJ11" s="406"/>
      <c r="BK11" s="407"/>
      <c r="BL11" s="407"/>
      <c r="BM11" s="407"/>
      <c r="BN11" s="407"/>
      <c r="BO11" s="407"/>
      <c r="BP11" s="407"/>
      <c r="BQ11" s="407"/>
      <c r="BR11" s="407"/>
      <c r="BS11" s="407"/>
      <c r="BT11" s="407"/>
      <c r="BU11" s="407"/>
      <c r="BV11" s="407"/>
      <c r="BW11" s="407"/>
      <c r="BX11" s="407"/>
      <c r="BY11" s="407"/>
      <c r="BZ11" s="407"/>
      <c r="CA11" s="407"/>
      <c r="CB11" s="407"/>
      <c r="CC11" s="407"/>
      <c r="CD11" s="407"/>
      <c r="CE11" s="407"/>
      <c r="CF11" s="407"/>
    </row>
    <row r="12" spans="1:84">
      <c r="A12" s="406"/>
      <c r="B12" s="410"/>
      <c r="C12" s="413" t="s">
        <v>959</v>
      </c>
      <c r="D12" s="408"/>
      <c r="E12" s="408">
        <f>VLOOKUP(E10,AI5:AJ8,2)</f>
        <v>3</v>
      </c>
      <c r="F12" s="413" t="s">
        <v>955</v>
      </c>
      <c r="G12" s="408"/>
      <c r="H12" s="408"/>
      <c r="I12" s="408"/>
      <c r="J12" s="421" t="s">
        <v>545</v>
      </c>
      <c r="K12" s="411">
        <f>'Spokane Reg - Price out'!R91+'Whitman Reg - Price Out'!P150</f>
        <v>4617.5094763816132</v>
      </c>
      <c r="L12" s="408"/>
      <c r="M12" s="408"/>
      <c r="N12" s="408"/>
      <c r="O12" s="408"/>
      <c r="P12" s="408"/>
      <c r="Q12" s="408"/>
      <c r="R12" s="408"/>
      <c r="S12" s="408"/>
      <c r="T12" s="408"/>
      <c r="U12" s="408"/>
      <c r="V12" s="416">
        <f>100*(+AD6/$E$9)</f>
        <v>285.7871248221324</v>
      </c>
      <c r="W12" s="426">
        <f>EXP(5.70827-(0.68367*LN(+V12)))</f>
        <v>6.3088104250880814</v>
      </c>
      <c r="X12" s="417">
        <f>(+W12*V12)/100</f>
        <v>18.029767924338177</v>
      </c>
      <c r="Y12" s="416">
        <f>100*((((X12/100)-((X12/100)-0.03574)*$E$21)-0.03574-0.00619)/0.344)</f>
        <v>25.935484971113947</v>
      </c>
      <c r="Z12" s="408">
        <f>$E$20</f>
        <v>0.25</v>
      </c>
      <c r="AA12" s="416">
        <f>Y12+Z12</f>
        <v>26.185484971113947</v>
      </c>
      <c r="AB12" s="416">
        <f>100*($E$17*$E$19+($E$18*(AA12/100))/(1-$E$21))</f>
        <v>20.634333778829355</v>
      </c>
      <c r="AC12" s="417">
        <f>AB12/V12</f>
        <v>7.220176133432081E-2</v>
      </c>
      <c r="AD12" s="415">
        <f>$E$8/(1-AC12)</f>
        <v>2713565.9908385603</v>
      </c>
      <c r="AE12" s="408" t="str">
        <f>IF(AD12=AD6,"yes","not yet")</f>
        <v>not yet</v>
      </c>
      <c r="AF12" s="416">
        <f>100*(1-AC12)</f>
        <v>92.779823866567924</v>
      </c>
      <c r="AG12" s="408"/>
      <c r="AH12" s="408"/>
      <c r="AI12" s="408"/>
      <c r="AJ12" s="408"/>
      <c r="AK12" s="408"/>
      <c r="AL12" s="408"/>
      <c r="AM12" s="408"/>
      <c r="AN12" s="408"/>
      <c r="AO12" s="408"/>
      <c r="AP12" s="408"/>
      <c r="AQ12" s="408"/>
      <c r="AR12" s="408"/>
      <c r="AS12" s="406"/>
      <c r="AT12" s="406"/>
      <c r="AU12" s="406"/>
      <c r="AV12" s="406"/>
      <c r="AW12" s="406"/>
      <c r="AX12" s="406"/>
      <c r="AY12" s="406"/>
      <c r="AZ12" s="406"/>
      <c r="BA12" s="406"/>
      <c r="BB12" s="406"/>
      <c r="BC12" s="406"/>
      <c r="BD12" s="406"/>
      <c r="BE12" s="406"/>
      <c r="BF12" s="406"/>
      <c r="BG12" s="406"/>
      <c r="BH12" s="406"/>
      <c r="BI12" s="406"/>
      <c r="BJ12" s="406"/>
      <c r="BK12" s="407"/>
      <c r="BL12" s="407"/>
      <c r="BM12" s="407"/>
      <c r="BN12" s="407"/>
      <c r="BO12" s="407"/>
      <c r="BP12" s="407"/>
      <c r="BQ12" s="407"/>
      <c r="BR12" s="407"/>
      <c r="BS12" s="407"/>
      <c r="BT12" s="407"/>
      <c r="BU12" s="407"/>
      <c r="BV12" s="407"/>
      <c r="BW12" s="407"/>
      <c r="BX12" s="407"/>
      <c r="BY12" s="407"/>
      <c r="BZ12" s="407"/>
      <c r="CA12" s="407"/>
      <c r="CB12" s="407"/>
      <c r="CC12" s="407"/>
      <c r="CD12" s="407"/>
      <c r="CE12" s="407"/>
      <c r="CF12" s="407"/>
    </row>
    <row r="13" spans="1:84">
      <c r="A13" s="406"/>
      <c r="B13" s="410"/>
      <c r="C13" s="408"/>
      <c r="D13" s="408"/>
      <c r="E13" s="408"/>
      <c r="F13" s="408"/>
      <c r="G13" s="408"/>
      <c r="H13" s="408"/>
      <c r="I13" s="408"/>
      <c r="J13" s="421" t="s">
        <v>558</v>
      </c>
      <c r="K13" s="411">
        <f>'Whitman Reg - Price Out'!P42</f>
        <v>1660.1870682461274</v>
      </c>
      <c r="L13" s="427"/>
      <c r="M13" s="412"/>
      <c r="N13" s="411"/>
      <c r="O13" s="408"/>
      <c r="P13" s="408"/>
      <c r="Q13" s="408"/>
      <c r="R13" s="408"/>
      <c r="S13" s="408"/>
      <c r="T13" s="408"/>
      <c r="U13" s="408"/>
      <c r="V13" s="416">
        <f>100*(+AD7/$E$9)</f>
        <v>285.55142710744155</v>
      </c>
      <c r="W13" s="426">
        <f>EXP(5.6985-(0.68367*LN(V13)))</f>
        <v>6.2509985163212063</v>
      </c>
      <c r="X13" s="417">
        <f>(+W13*V13)/100</f>
        <v>17.849815471820204</v>
      </c>
      <c r="Y13" s="416">
        <f>100*((((X13/100)-((X13/100)-0.03574)*$E$21)-0.03574-0.00619)/0.344)</f>
        <v>25.59022735872481</v>
      </c>
      <c r="Z13" s="408">
        <f>$E$20</f>
        <v>0.25</v>
      </c>
      <c r="AA13" s="416">
        <f>Y13+Z13</f>
        <v>25.84022735872481</v>
      </c>
      <c r="AB13" s="416">
        <f>100*($E$17*$E$19+($E$18*(AA13/100))/(1-$E$21))</f>
        <v>20.38272120011208</v>
      </c>
      <c r="AC13" s="417">
        <f>AB13/V13</f>
        <v>7.1380211286574582E-2</v>
      </c>
      <c r="AD13" s="415">
        <f>$E$8/(1-AC13)</f>
        <v>2711165.2986538452</v>
      </c>
      <c r="AE13" s="408" t="str">
        <f>IF(AD13=AD7,"yes","not yet")</f>
        <v>not yet</v>
      </c>
      <c r="AF13" s="416">
        <f>100*(1-AC13)</f>
        <v>92.861978871342544</v>
      </c>
      <c r="AG13" s="408"/>
      <c r="AH13" s="408"/>
      <c r="AI13" s="408"/>
      <c r="AJ13" s="408">
        <v>1</v>
      </c>
      <c r="AK13" s="408">
        <v>2</v>
      </c>
      <c r="AL13" s="408">
        <v>3</v>
      </c>
      <c r="AM13" s="408">
        <v>4</v>
      </c>
      <c r="AN13" s="408">
        <v>5</v>
      </c>
      <c r="AO13" s="408">
        <v>6</v>
      </c>
      <c r="AP13" s="408">
        <v>7</v>
      </c>
      <c r="AQ13" s="408">
        <v>8</v>
      </c>
      <c r="AR13" s="408">
        <v>9</v>
      </c>
      <c r="AS13" s="406"/>
      <c r="AT13" s="406"/>
      <c r="AU13" s="406"/>
      <c r="AV13" s="406"/>
      <c r="AW13" s="406"/>
      <c r="AX13" s="406"/>
      <c r="AY13" s="406"/>
      <c r="AZ13" s="406"/>
      <c r="BA13" s="406"/>
      <c r="BB13" s="406"/>
      <c r="BC13" s="406"/>
      <c r="BD13" s="406"/>
      <c r="BE13" s="406"/>
      <c r="BF13" s="406"/>
      <c r="BG13" s="406"/>
      <c r="BH13" s="406"/>
      <c r="BI13" s="406"/>
      <c r="BJ13" s="406"/>
      <c r="BK13" s="407"/>
      <c r="BL13" s="407"/>
      <c r="BM13" s="407"/>
      <c r="BN13" s="407"/>
      <c r="BO13" s="407"/>
      <c r="BP13" s="407"/>
      <c r="BQ13" s="407"/>
      <c r="BR13" s="407"/>
      <c r="BS13" s="407"/>
      <c r="BT13" s="407"/>
      <c r="BU13" s="407"/>
      <c r="BV13" s="407"/>
      <c r="BW13" s="407"/>
      <c r="BX13" s="407"/>
      <c r="BY13" s="407"/>
      <c r="BZ13" s="407"/>
      <c r="CA13" s="407"/>
      <c r="CB13" s="407"/>
      <c r="CC13" s="407"/>
      <c r="CD13" s="407"/>
      <c r="CE13" s="407"/>
      <c r="CF13" s="407"/>
    </row>
    <row r="14" spans="1:84">
      <c r="A14" s="406"/>
      <c r="B14" s="410"/>
      <c r="C14" s="413" t="s">
        <v>960</v>
      </c>
      <c r="D14" s="408"/>
      <c r="E14" s="408"/>
      <c r="F14" s="408"/>
      <c r="G14" s="408"/>
      <c r="H14" s="408"/>
      <c r="I14" s="408"/>
      <c r="J14" s="410"/>
      <c r="K14" s="411">
        <f>SUM(K10:K13)</f>
        <v>145667.40470066349</v>
      </c>
      <c r="L14" s="427"/>
      <c r="M14" s="412"/>
      <c r="N14" s="411"/>
      <c r="O14" s="408"/>
      <c r="P14" s="408"/>
      <c r="Q14" s="408"/>
      <c r="R14" s="408"/>
      <c r="S14" s="408"/>
      <c r="T14" s="408"/>
      <c r="U14" s="408"/>
      <c r="V14" s="416">
        <f>100*(+AD8/$E$9)</f>
        <v>285.40086232050282</v>
      </c>
      <c r="W14" s="426">
        <f>EXP(5.6922-(0.68367*LN(V14)))</f>
        <v>6.2139812422873097</v>
      </c>
      <c r="X14" s="417">
        <f>(+W14*V14)/100</f>
        <v>17.734756049922275</v>
      </c>
      <c r="Y14" s="416">
        <f>100*((((X14/100)-((X14/100)-0.03574)*$E$21)-0.03574-0.00619)/0.344)</f>
        <v>25.369473816711352</v>
      </c>
      <c r="Z14" s="408">
        <f>$E$20</f>
        <v>0.25</v>
      </c>
      <c r="AA14" s="416">
        <f>Y14+Z14</f>
        <v>25.619473816711352</v>
      </c>
      <c r="AB14" s="416">
        <f>100*($E$17*$E$19+($E$18*(AA14/100))/(1-$E$21))</f>
        <v>20.221843160138921</v>
      </c>
      <c r="AC14" s="417">
        <f>AB14/V14</f>
        <v>7.0854176808442706E-2</v>
      </c>
      <c r="AD14" s="415">
        <f>$E$8/(1-AC14)</f>
        <v>2709630.3765916573</v>
      </c>
      <c r="AE14" s="408" t="str">
        <f>IF(AD14=AD8,"yes","not yet")</f>
        <v>not yet</v>
      </c>
      <c r="AF14" s="416">
        <f>100*(1-AC14)</f>
        <v>92.914582319155727</v>
      </c>
      <c r="AG14" s="408"/>
      <c r="AH14" s="408"/>
      <c r="AI14" s="408"/>
      <c r="AJ14" s="408" t="str">
        <f>AE5</f>
        <v>not yet</v>
      </c>
      <c r="AK14" s="408" t="str">
        <f>AE11</f>
        <v>not yet</v>
      </c>
      <c r="AL14" s="408" t="str">
        <f>AE17</f>
        <v>not yet</v>
      </c>
      <c r="AM14" s="408" t="str">
        <f>AE23</f>
        <v>not yet</v>
      </c>
      <c r="AN14" s="408" t="str">
        <f>AE29</f>
        <v>not yet</v>
      </c>
      <c r="AO14" s="408" t="str">
        <f>AE35</f>
        <v>not yet</v>
      </c>
      <c r="AP14" s="408" t="str">
        <f>AE41</f>
        <v>yes</v>
      </c>
      <c r="AQ14" s="408" t="str">
        <f>AE47</f>
        <v>yes</v>
      </c>
      <c r="AR14" s="408" t="str">
        <f>AE53</f>
        <v>yes</v>
      </c>
      <c r="AS14" s="406"/>
      <c r="AT14" s="406"/>
      <c r="AU14" s="406"/>
      <c r="AV14" s="406"/>
      <c r="AW14" s="406"/>
      <c r="AX14" s="406"/>
      <c r="AY14" s="406"/>
      <c r="AZ14" s="406"/>
      <c r="BA14" s="406"/>
      <c r="BB14" s="406"/>
      <c r="BC14" s="406"/>
      <c r="BD14" s="406"/>
      <c r="BE14" s="406"/>
      <c r="BF14" s="406"/>
      <c r="BG14" s="406"/>
      <c r="BH14" s="406"/>
      <c r="BI14" s="406"/>
      <c r="BJ14" s="406"/>
      <c r="BK14" s="407"/>
      <c r="BL14" s="407"/>
      <c r="BM14" s="407"/>
      <c r="BN14" s="407"/>
      <c r="BO14" s="407"/>
      <c r="BP14" s="407"/>
      <c r="BQ14" s="407"/>
      <c r="BR14" s="407"/>
      <c r="BS14" s="407"/>
      <c r="BT14" s="407"/>
      <c r="BU14" s="407"/>
      <c r="BV14" s="407"/>
      <c r="BW14" s="407"/>
      <c r="BX14" s="407"/>
      <c r="BY14" s="407"/>
      <c r="BZ14" s="407"/>
      <c r="CA14" s="407"/>
      <c r="CB14" s="407"/>
      <c r="CC14" s="407"/>
      <c r="CD14" s="407"/>
      <c r="CE14" s="407"/>
      <c r="CF14" s="407"/>
    </row>
    <row r="15" spans="1:84">
      <c r="A15" s="406"/>
      <c r="B15" s="410"/>
      <c r="C15" s="413" t="s">
        <v>961</v>
      </c>
      <c r="D15" s="408"/>
      <c r="E15" s="421" t="s">
        <v>938</v>
      </c>
      <c r="F15" s="413" t="s">
        <v>962</v>
      </c>
      <c r="G15" s="408"/>
      <c r="H15" s="416">
        <f>HLOOKUP($AJ$25,$AJ$19:$AR$23,($E$12)+1)</f>
        <v>92.891197823824854</v>
      </c>
      <c r="I15" s="413" t="s">
        <v>940</v>
      </c>
      <c r="J15" s="406"/>
      <c r="K15" s="1161">
        <f>K14-'LG - Packer,RO'!E6-'LG - Recycle'!E6</f>
        <v>-787.38964082133998</v>
      </c>
      <c r="L15" s="427"/>
      <c r="M15" s="412"/>
      <c r="N15" s="411"/>
      <c r="O15" s="408"/>
      <c r="P15" s="408"/>
      <c r="Q15" s="408"/>
      <c r="R15" s="408"/>
      <c r="S15" s="408"/>
      <c r="T15" s="408"/>
      <c r="U15" s="408"/>
      <c r="V15" s="408"/>
      <c r="W15" s="408"/>
      <c r="X15" s="408"/>
      <c r="Y15" s="408"/>
      <c r="Z15" s="408"/>
      <c r="AA15" s="416"/>
      <c r="AB15" s="408"/>
      <c r="AC15" s="408"/>
      <c r="AD15" s="408"/>
      <c r="AE15" s="408"/>
      <c r="AF15" s="408"/>
      <c r="AG15" s="408"/>
      <c r="AH15" s="408"/>
      <c r="AI15" s="408"/>
      <c r="AJ15" s="408" t="str">
        <f>AE6</f>
        <v>not yet</v>
      </c>
      <c r="AK15" s="408" t="str">
        <f>AE12</f>
        <v>not yet</v>
      </c>
      <c r="AL15" s="408" t="str">
        <f>AE18</f>
        <v>not yet</v>
      </c>
      <c r="AM15" s="408" t="str">
        <f>AE24</f>
        <v>not yet</v>
      </c>
      <c r="AN15" s="408" t="str">
        <f>AE30</f>
        <v>not yet</v>
      </c>
      <c r="AO15" s="408" t="str">
        <f>AE36</f>
        <v>not yet</v>
      </c>
      <c r="AP15" s="408" t="str">
        <f>AE42</f>
        <v>yes</v>
      </c>
      <c r="AQ15" s="408" t="str">
        <f>AE48</f>
        <v>yes</v>
      </c>
      <c r="AR15" s="408" t="str">
        <f>AE54</f>
        <v>yes</v>
      </c>
      <c r="AS15" s="406"/>
      <c r="AT15" s="406"/>
      <c r="AU15" s="406"/>
      <c r="AV15" s="406"/>
      <c r="AW15" s="406"/>
      <c r="AX15" s="406"/>
      <c r="AY15" s="406"/>
      <c r="AZ15" s="406"/>
      <c r="BA15" s="406"/>
      <c r="BB15" s="406"/>
      <c r="BC15" s="406"/>
      <c r="BD15" s="406"/>
      <c r="BE15" s="406"/>
      <c r="BF15" s="406"/>
      <c r="BG15" s="406"/>
      <c r="BH15" s="406"/>
      <c r="BI15" s="406"/>
      <c r="BJ15" s="406"/>
      <c r="BK15" s="407"/>
      <c r="BL15" s="407"/>
      <c r="BM15" s="407"/>
      <c r="BN15" s="407"/>
      <c r="BO15" s="407"/>
      <c r="BP15" s="407"/>
      <c r="BQ15" s="407"/>
      <c r="BR15" s="407"/>
      <c r="BS15" s="407"/>
      <c r="BT15" s="407"/>
      <c r="BU15" s="407"/>
      <c r="BV15" s="407"/>
      <c r="BW15" s="407"/>
      <c r="BX15" s="407"/>
      <c r="BY15" s="407"/>
      <c r="BZ15" s="407"/>
      <c r="CA15" s="407"/>
      <c r="CB15" s="407"/>
      <c r="CC15" s="407"/>
      <c r="CD15" s="407"/>
      <c r="CE15" s="407"/>
      <c r="CF15" s="407"/>
    </row>
    <row r="16" spans="1:84">
      <c r="A16" s="406"/>
      <c r="B16" s="410"/>
      <c r="C16" s="428"/>
      <c r="D16" s="428"/>
      <c r="E16" s="429"/>
      <c r="F16" s="408"/>
      <c r="G16" s="408"/>
      <c r="H16" s="428"/>
      <c r="I16" s="410"/>
      <c r="J16" s="406"/>
      <c r="K16" s="411"/>
      <c r="L16" s="408"/>
      <c r="M16" s="408"/>
      <c r="N16" s="408"/>
      <c r="O16" s="408"/>
      <c r="P16" s="408"/>
      <c r="Q16" s="408"/>
      <c r="R16" s="408"/>
      <c r="S16" s="408"/>
      <c r="T16" s="408"/>
      <c r="U16" s="408"/>
      <c r="V16" s="413" t="s">
        <v>963</v>
      </c>
      <c r="W16" s="425" t="s">
        <v>718</v>
      </c>
      <c r="X16" s="425" t="s">
        <v>930</v>
      </c>
      <c r="Y16" s="425" t="s">
        <v>931</v>
      </c>
      <c r="Z16" s="408"/>
      <c r="AA16" s="416"/>
      <c r="AB16" s="408"/>
      <c r="AC16" s="408"/>
      <c r="AD16" s="408"/>
      <c r="AE16" s="408"/>
      <c r="AF16" s="408"/>
      <c r="AG16" s="408"/>
      <c r="AH16" s="408"/>
      <c r="AI16" s="408"/>
      <c r="AJ16" s="408" t="str">
        <f>AE7</f>
        <v>not yet</v>
      </c>
      <c r="AK16" s="408" t="str">
        <f>AE13</f>
        <v>not yet</v>
      </c>
      <c r="AL16" s="408" t="str">
        <f>AE19</f>
        <v>not yet</v>
      </c>
      <c r="AM16" s="408" t="str">
        <f>AE25</f>
        <v>not yet</v>
      </c>
      <c r="AN16" s="408" t="str">
        <f>AE31</f>
        <v>not yet</v>
      </c>
      <c r="AO16" s="408" t="str">
        <f>AE37</f>
        <v>not yet</v>
      </c>
      <c r="AP16" s="408" t="str">
        <f>AE43</f>
        <v>not yet</v>
      </c>
      <c r="AQ16" s="408" t="str">
        <f>AE49</f>
        <v>yes</v>
      </c>
      <c r="AR16" s="408" t="str">
        <f>AE55</f>
        <v>yes</v>
      </c>
      <c r="AS16" s="406"/>
      <c r="AT16" s="406"/>
      <c r="AU16" s="406"/>
      <c r="AV16" s="406"/>
      <c r="AW16" s="406"/>
      <c r="AX16" s="406"/>
      <c r="AY16" s="406"/>
      <c r="AZ16" s="406"/>
      <c r="BA16" s="406"/>
      <c r="BB16" s="406"/>
      <c r="BC16" s="406"/>
      <c r="BD16" s="406"/>
      <c r="BE16" s="406"/>
      <c r="BF16" s="406"/>
      <c r="BG16" s="406"/>
      <c r="BH16" s="406"/>
      <c r="BI16" s="406"/>
      <c r="BJ16" s="406"/>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row>
    <row r="17" spans="1:84">
      <c r="A17" s="406"/>
      <c r="B17" s="421" t="s">
        <v>592</v>
      </c>
      <c r="C17" s="413" t="s">
        <v>964</v>
      </c>
      <c r="D17" s="408"/>
      <c r="E17" s="430">
        <f>'Corp-BS'!$D$65</f>
        <v>0.51901335120677927</v>
      </c>
      <c r="F17" s="413" t="s">
        <v>965</v>
      </c>
      <c r="G17" s="408"/>
      <c r="H17" s="408"/>
      <c r="I17" s="410"/>
      <c r="J17" s="406"/>
      <c r="K17" s="408"/>
      <c r="L17" s="408"/>
      <c r="M17" s="408"/>
      <c r="N17" s="408"/>
      <c r="O17" s="408"/>
      <c r="P17" s="408"/>
      <c r="Q17" s="408"/>
      <c r="R17" s="408"/>
      <c r="S17" s="408"/>
      <c r="T17" s="408"/>
      <c r="U17" s="408"/>
      <c r="V17" s="416">
        <f>100*(+AD11/$E$9)</f>
        <v>288.19274213638289</v>
      </c>
      <c r="W17" s="426">
        <f>EXP(5.7226-(0.68367*LN(+V17)))</f>
        <v>6.3632956038897097</v>
      </c>
      <c r="X17" s="417">
        <f>(+W17*V17)/100</f>
        <v>18.338556091093661</v>
      </c>
      <c r="Y17" s="416">
        <f>100*((((X17/100)-((X17/100)-0.03574)*$E$21)-0.03574-0.00619)/0.344)</f>
        <v>26.527927384075046</v>
      </c>
      <c r="Z17" s="408">
        <f>$E$20</f>
        <v>0.25</v>
      </c>
      <c r="AA17" s="416">
        <f>Y17+Z17</f>
        <v>26.777927384075046</v>
      </c>
      <c r="AB17" s="416">
        <f>100*($E$17*$E$19+($E$18*(AA17/100))/(1-$E$21))</f>
        <v>21.06608664369773</v>
      </c>
      <c r="AC17" s="417">
        <f>AB17/V17</f>
        <v>7.3097214341811989E-2</v>
      </c>
      <c r="AD17" s="415">
        <f>$E$8/(1-AC17)</f>
        <v>2716187.4856329653</v>
      </c>
      <c r="AE17" s="408" t="str">
        <f>IF(AD17=AD11,"yes","not yet")</f>
        <v>not yet</v>
      </c>
      <c r="AF17" s="416">
        <f>100*(1-AC17)</f>
        <v>92.690278565818801</v>
      </c>
      <c r="AG17" s="408"/>
      <c r="AH17" s="408"/>
      <c r="AI17" s="408"/>
      <c r="AJ17" s="408" t="str">
        <f>AE8</f>
        <v>not yet</v>
      </c>
      <c r="AK17" s="408" t="str">
        <f>AE14</f>
        <v>not yet</v>
      </c>
      <c r="AL17" s="408" t="str">
        <f>AE20</f>
        <v>not yet</v>
      </c>
      <c r="AM17" s="408" t="str">
        <f>AE26</f>
        <v>not yet</v>
      </c>
      <c r="AN17" s="408" t="str">
        <f>AE32</f>
        <v>not yet</v>
      </c>
      <c r="AO17" s="408" t="str">
        <f>AE38</f>
        <v>not yet</v>
      </c>
      <c r="AP17" s="408" t="str">
        <f>AE44</f>
        <v>yes</v>
      </c>
      <c r="AQ17" s="408" t="str">
        <f>AE50</f>
        <v>yes</v>
      </c>
      <c r="AR17" s="408" t="str">
        <f>AE56</f>
        <v>yes</v>
      </c>
      <c r="AS17" s="406"/>
      <c r="AT17" s="406"/>
      <c r="AU17" s="406"/>
      <c r="AV17" s="406"/>
      <c r="AW17" s="406"/>
      <c r="AX17" s="406"/>
      <c r="AY17" s="406"/>
      <c r="AZ17" s="406"/>
      <c r="BA17" s="406"/>
      <c r="BB17" s="406"/>
      <c r="BC17" s="406"/>
      <c r="BD17" s="406"/>
      <c r="BE17" s="406"/>
      <c r="BF17" s="406"/>
      <c r="BG17" s="406"/>
      <c r="BH17" s="406"/>
      <c r="BI17" s="406"/>
      <c r="BJ17" s="406"/>
      <c r="BK17" s="407"/>
      <c r="BL17" s="407"/>
      <c r="BM17" s="407"/>
      <c r="BN17" s="407"/>
      <c r="BO17" s="407"/>
      <c r="BP17" s="407"/>
      <c r="BQ17" s="407"/>
      <c r="BR17" s="407"/>
      <c r="BS17" s="407"/>
      <c r="BT17" s="407"/>
      <c r="BU17" s="407"/>
      <c r="BV17" s="407"/>
      <c r="BW17" s="407"/>
      <c r="BX17" s="407"/>
      <c r="BY17" s="407"/>
      <c r="BZ17" s="407"/>
      <c r="CA17" s="407"/>
      <c r="CB17" s="407"/>
      <c r="CC17" s="407"/>
      <c r="CD17" s="407"/>
      <c r="CE17" s="407"/>
      <c r="CF17" s="407"/>
    </row>
    <row r="18" spans="1:84">
      <c r="A18" s="406"/>
      <c r="B18" s="421" t="s">
        <v>592</v>
      </c>
      <c r="C18" s="413" t="s">
        <v>966</v>
      </c>
      <c r="D18" s="408"/>
      <c r="E18" s="430">
        <f>'Corp-BS'!$D$66</f>
        <v>0.48098664879322067</v>
      </c>
      <c r="F18" s="413" t="s">
        <v>967</v>
      </c>
      <c r="G18" s="408"/>
      <c r="H18" s="414">
        <v>1.4999999999999999E-2</v>
      </c>
      <c r="I18" s="413" t="s">
        <v>592</v>
      </c>
      <c r="J18" s="406"/>
      <c r="K18" s="408"/>
      <c r="L18" s="408"/>
      <c r="M18" s="408"/>
      <c r="N18" s="408"/>
      <c r="O18" s="408"/>
      <c r="P18" s="408"/>
      <c r="Q18" s="408"/>
      <c r="R18" s="408"/>
      <c r="S18" s="408"/>
      <c r="T18" s="408"/>
      <c r="U18" s="408"/>
      <c r="V18" s="416">
        <f>100*(+AD12/$E$9)</f>
        <v>287.81446883076876</v>
      </c>
      <c r="W18" s="426">
        <f>EXP(5.70827-(0.68367*LN(+V18)))</f>
        <v>6.2783949989954433</v>
      </c>
      <c r="X18" s="417">
        <f>(+W18*V18)/100</f>
        <v>18.070129217456284</v>
      </c>
      <c r="Y18" s="416">
        <f>100*((((X18/100)-((X18/100)-0.03574)*$E$21)-0.03574-0.00619)/0.344)</f>
        <v>26.01292233581729</v>
      </c>
      <c r="Z18" s="408">
        <f>$E$20</f>
        <v>0.25</v>
      </c>
      <c r="AA18" s="416">
        <f>Y18+Z18</f>
        <v>26.26292233581729</v>
      </c>
      <c r="AB18" s="416">
        <f>100*($E$17*$E$19+($E$18*(AA18/100))/(1-$E$21))</f>
        <v>20.69076762510214</v>
      </c>
      <c r="AC18" s="417">
        <f>AB18/V18</f>
        <v>7.188925459222846E-2</v>
      </c>
      <c r="AD18" s="415">
        <f>$E$8/(1-AC18)</f>
        <v>2712652.2985109524</v>
      </c>
      <c r="AE18" s="408" t="str">
        <f>IF(AD18=AD12,"yes","not yet")</f>
        <v>not yet</v>
      </c>
      <c r="AF18" s="416">
        <f>100*(1-AC18)</f>
        <v>92.811074540777156</v>
      </c>
      <c r="AG18" s="408"/>
      <c r="AH18" s="408"/>
      <c r="AI18" s="408"/>
      <c r="AJ18" s="408"/>
      <c r="AK18" s="408"/>
      <c r="AL18" s="408"/>
      <c r="AM18" s="408"/>
      <c r="AN18" s="408"/>
      <c r="AO18" s="408"/>
      <c r="AP18" s="408"/>
      <c r="AQ18" s="408"/>
      <c r="AR18" s="408"/>
      <c r="AS18" s="406"/>
      <c r="AT18" s="406"/>
      <c r="AU18" s="406"/>
      <c r="AV18" s="406"/>
      <c r="AW18" s="406"/>
      <c r="AX18" s="406"/>
      <c r="AY18" s="406"/>
      <c r="AZ18" s="406"/>
      <c r="BA18" s="406"/>
      <c r="BB18" s="406"/>
      <c r="BC18" s="406"/>
      <c r="BD18" s="406"/>
      <c r="BE18" s="406"/>
      <c r="BF18" s="406"/>
      <c r="BG18" s="406"/>
      <c r="BH18" s="406"/>
      <c r="BI18" s="406"/>
      <c r="BJ18" s="406"/>
      <c r="BK18" s="407"/>
      <c r="BL18" s="407"/>
      <c r="BM18" s="407"/>
      <c r="BN18" s="407"/>
      <c r="BO18" s="407"/>
      <c r="BP18" s="407"/>
      <c r="BQ18" s="407"/>
      <c r="BR18" s="407"/>
      <c r="BS18" s="407"/>
      <c r="BT18" s="407"/>
      <c r="BU18" s="407"/>
      <c r="BV18" s="407"/>
      <c r="BW18" s="407"/>
      <c r="BX18" s="407"/>
      <c r="BY18" s="407"/>
      <c r="BZ18" s="407"/>
      <c r="CA18" s="407"/>
      <c r="CB18" s="407"/>
      <c r="CC18" s="407"/>
      <c r="CD18" s="407"/>
      <c r="CE18" s="407"/>
      <c r="CF18" s="407"/>
    </row>
    <row r="19" spans="1:84">
      <c r="A19" s="406"/>
      <c r="B19" s="421" t="s">
        <v>592</v>
      </c>
      <c r="C19" s="413" t="s">
        <v>968</v>
      </c>
      <c r="D19" s="408"/>
      <c r="E19" s="430">
        <f>'Corp-BS'!$C$75</f>
        <v>2.9887466997092278E-2</v>
      </c>
      <c r="F19" s="413" t="s">
        <v>969</v>
      </c>
      <c r="G19" s="408"/>
      <c r="H19" s="431">
        <v>4.2750000000000002E-3</v>
      </c>
      <c r="I19" s="413" t="s">
        <v>592</v>
      </c>
      <c r="J19" s="406"/>
      <c r="K19" s="408"/>
      <c r="L19" s="408"/>
      <c r="M19" s="408"/>
      <c r="N19" s="408"/>
      <c r="O19" s="408"/>
      <c r="P19" s="408"/>
      <c r="Q19" s="408"/>
      <c r="R19" s="408"/>
      <c r="S19" s="408"/>
      <c r="T19" s="408"/>
      <c r="U19" s="408"/>
      <c r="V19" s="416">
        <f>100*(+AD13/$E$9)</f>
        <v>287.5598393327935</v>
      </c>
      <c r="W19" s="426">
        <f>EXP(5.6985-(0.68367*LN(V19)))</f>
        <v>6.2211170773509403</v>
      </c>
      <c r="X19" s="417">
        <f>(+W19*V19)/100</f>
        <v>17.889434272335343</v>
      </c>
      <c r="Y19" s="416">
        <f>100*((((X19/100)-((X19/100)-0.03574)*$E$21)-0.03574-0.00619)/0.344)</f>
        <v>25.666240173666655</v>
      </c>
      <c r="Z19" s="408">
        <f>$E$20</f>
        <v>0.25</v>
      </c>
      <c r="AA19" s="416">
        <f>Y19+Z19</f>
        <v>25.916240173666655</v>
      </c>
      <c r="AB19" s="416">
        <f>100*($E$17*$E$19+($E$18*(AA19/100))/(1-$E$21))</f>
        <v>20.438116880603317</v>
      </c>
      <c r="AC19" s="417">
        <f>AB19/V19</f>
        <v>7.1074309013471976E-2</v>
      </c>
      <c r="AD19" s="415">
        <f>$E$8/(1-AC19)</f>
        <v>2710272.4913651007</v>
      </c>
      <c r="AE19" s="408" t="str">
        <f>IF(AD19=AD13,"yes","not yet")</f>
        <v>not yet</v>
      </c>
      <c r="AF19" s="416">
        <f>100*(1-AC19)</f>
        <v>92.8925690986528</v>
      </c>
      <c r="AG19" s="408"/>
      <c r="AH19" s="408"/>
      <c r="AI19" s="408"/>
      <c r="AJ19" s="408" t="str">
        <f>HLOOKUP(1,$AJ$13:$AR$17,($E$12)+1)</f>
        <v>not yet</v>
      </c>
      <c r="AK19" s="408" t="str">
        <f>HLOOKUP(2,$AJ$13:$AR$17,($E$12)+1)</f>
        <v>not yet</v>
      </c>
      <c r="AL19" s="408" t="str">
        <f>HLOOKUP(3,$AJ$13:$AR$17,($E$12)+1)</f>
        <v>not yet</v>
      </c>
      <c r="AM19" s="408" t="str">
        <f>HLOOKUP(4,$AJ$13:$AR$17,($E$12)+1)</f>
        <v>not yet</v>
      </c>
      <c r="AN19" s="408" t="str">
        <f>HLOOKUP(5,$AJ$13:$AR$17,($E$12)+1)</f>
        <v>not yet</v>
      </c>
      <c r="AO19" s="408" t="str">
        <f>HLOOKUP(6,$AJ$13:$AR$17,($E$12)+1)</f>
        <v>not yet</v>
      </c>
      <c r="AP19" s="408" t="str">
        <f>HLOOKUP(7,$AJ$13:$AR$17,($E$12)+1)</f>
        <v>not yet</v>
      </c>
      <c r="AQ19" s="408" t="str">
        <f>HLOOKUP(8,$AJ$13:$AR$17,($E$12)+1)</f>
        <v>yes</v>
      </c>
      <c r="AR19" s="408" t="str">
        <f>HLOOKUP(9,$AJ$13:$AR$17,($E$12)+1)</f>
        <v>yes</v>
      </c>
      <c r="AS19" s="406"/>
      <c r="AT19" s="406"/>
      <c r="AU19" s="406"/>
      <c r="AV19" s="406"/>
      <c r="AW19" s="406"/>
      <c r="AX19" s="406"/>
      <c r="AY19" s="406"/>
      <c r="AZ19" s="406"/>
      <c r="BA19" s="406"/>
      <c r="BB19" s="406"/>
      <c r="BC19" s="406"/>
      <c r="BD19" s="406"/>
      <c r="BE19" s="406"/>
      <c r="BF19" s="406"/>
      <c r="BG19" s="406"/>
      <c r="BH19" s="406"/>
      <c r="BI19" s="406"/>
      <c r="BJ19" s="406"/>
      <c r="BK19" s="407"/>
      <c r="BL19" s="407"/>
      <c r="BM19" s="407"/>
      <c r="BN19" s="407"/>
      <c r="BO19" s="407"/>
      <c r="BP19" s="407"/>
      <c r="BQ19" s="407"/>
      <c r="BR19" s="407"/>
      <c r="BS19" s="407"/>
      <c r="BT19" s="407"/>
      <c r="BU19" s="407"/>
      <c r="BV19" s="407"/>
      <c r="BW19" s="407"/>
      <c r="BX19" s="407"/>
      <c r="BY19" s="407"/>
      <c r="BZ19" s="407"/>
      <c r="CA19" s="407"/>
      <c r="CB19" s="407"/>
      <c r="CC19" s="407"/>
      <c r="CD19" s="407"/>
      <c r="CE19" s="407"/>
      <c r="CF19" s="407"/>
    </row>
    <row r="20" spans="1:84">
      <c r="A20" s="406"/>
      <c r="B20" s="421" t="s">
        <v>592</v>
      </c>
      <c r="C20" s="413" t="s">
        <v>970</v>
      </c>
      <c r="D20" s="408"/>
      <c r="E20" s="432">
        <v>0.25</v>
      </c>
      <c r="F20" s="413" t="s">
        <v>971</v>
      </c>
      <c r="G20" s="408"/>
      <c r="H20" s="414"/>
      <c r="I20" s="413" t="s">
        <v>592</v>
      </c>
      <c r="J20" s="406"/>
      <c r="K20" s="433"/>
      <c r="L20" s="408"/>
      <c r="M20" s="408"/>
      <c r="N20" s="408"/>
      <c r="O20" s="408"/>
      <c r="P20" s="408"/>
      <c r="Q20" s="408"/>
      <c r="R20" s="408"/>
      <c r="S20" s="408"/>
      <c r="T20" s="408"/>
      <c r="U20" s="408"/>
      <c r="V20" s="416">
        <f>100*(+AD14/$E$9)</f>
        <v>287.39703777222087</v>
      </c>
      <c r="W20" s="426">
        <f>EXP(5.6922-(0.68367*LN(V20)))</f>
        <v>6.1844411952624263</v>
      </c>
      <c r="X20" s="417">
        <f>(+W20*V20)/100</f>
        <v>17.773900797949143</v>
      </c>
      <c r="Y20" s="416">
        <f>100*((((X20/100)-((X20/100)-0.03574)*$E$21)-0.03574-0.00619)/0.344)</f>
        <v>25.444577112344291</v>
      </c>
      <c r="Z20" s="408">
        <f>$E$20</f>
        <v>0.25</v>
      </c>
      <c r="AA20" s="416">
        <f>Y20+Z20</f>
        <v>25.694577112344291</v>
      </c>
      <c r="AB20" s="416">
        <f>100*($E$17*$E$19+($E$18*(AA20/100))/(1-$E$21))</f>
        <v>20.27657601238106</v>
      </c>
      <c r="AC20" s="417">
        <f>AB20/V20</f>
        <v>7.0552487838971556E-2</v>
      </c>
      <c r="AD20" s="415">
        <f>$E$8/(1-AC20)</f>
        <v>2708750.8588294755</v>
      </c>
      <c r="AE20" s="408" t="str">
        <f>IF(AD20=AD14,"yes","not yet")</f>
        <v>not yet</v>
      </c>
      <c r="AF20" s="416">
        <f>100*(1-AC20)</f>
        <v>92.944751216102844</v>
      </c>
      <c r="AG20" s="408"/>
      <c r="AH20" s="408"/>
      <c r="AI20" s="408">
        <v>1</v>
      </c>
      <c r="AJ20" s="416">
        <f>AF5</f>
        <v>93.323500592947127</v>
      </c>
      <c r="AK20" s="416">
        <f>AF11</f>
        <v>92.658043802267443</v>
      </c>
      <c r="AL20" s="416">
        <f>AF17</f>
        <v>92.690278565818801</v>
      </c>
      <c r="AM20" s="416">
        <f>AF23</f>
        <v>92.688714832299851</v>
      </c>
      <c r="AN20" s="416">
        <f>AF29</f>
        <v>92.68879068485947</v>
      </c>
      <c r="AO20" s="416">
        <f>AF35</f>
        <v>92.688787005440631</v>
      </c>
      <c r="AP20" s="416">
        <f>AF41</f>
        <v>92.688786861330883</v>
      </c>
      <c r="AQ20" s="416">
        <f>AF47</f>
        <v>92.688786861330883</v>
      </c>
      <c r="AR20" s="416">
        <f>AF53</f>
        <v>92.688786861330883</v>
      </c>
      <c r="AS20" s="406"/>
      <c r="AT20" s="406"/>
      <c r="AU20" s="406"/>
      <c r="AV20" s="406"/>
      <c r="AW20" s="406"/>
      <c r="AX20" s="406"/>
      <c r="AY20" s="406"/>
      <c r="AZ20" s="406"/>
      <c r="BA20" s="406"/>
      <c r="BB20" s="406"/>
      <c r="BC20" s="406"/>
      <c r="BD20" s="406"/>
      <c r="BE20" s="406"/>
      <c r="BF20" s="406"/>
      <c r="BG20" s="406"/>
      <c r="BH20" s="406"/>
      <c r="BI20" s="406"/>
      <c r="BJ20" s="406"/>
      <c r="BK20" s="407"/>
      <c r="BL20" s="407"/>
      <c r="BM20" s="407"/>
      <c r="BN20" s="407"/>
      <c r="BO20" s="407"/>
      <c r="BP20" s="407"/>
      <c r="BQ20" s="407"/>
      <c r="BR20" s="407"/>
      <c r="BS20" s="407"/>
      <c r="BT20" s="407"/>
      <c r="BU20" s="407"/>
      <c r="BV20" s="407"/>
      <c r="BW20" s="407"/>
      <c r="BX20" s="407"/>
      <c r="BY20" s="407"/>
      <c r="BZ20" s="407"/>
      <c r="CA20" s="407"/>
      <c r="CB20" s="407"/>
      <c r="CC20" s="407"/>
      <c r="CD20" s="407"/>
      <c r="CE20" s="407"/>
      <c r="CF20" s="407"/>
    </row>
    <row r="21" spans="1:84">
      <c r="A21" s="406"/>
      <c r="B21" s="421" t="s">
        <v>592</v>
      </c>
      <c r="C21" s="413" t="s">
        <v>972</v>
      </c>
      <c r="D21" s="408"/>
      <c r="E21" s="432">
        <v>0.34</v>
      </c>
      <c r="F21" s="413" t="s">
        <v>973</v>
      </c>
      <c r="G21" s="408"/>
      <c r="H21" s="430">
        <f>'Restating Adj''s'!$E$125</f>
        <v>5.1039202358942552E-3</v>
      </c>
      <c r="I21" s="413" t="s">
        <v>592</v>
      </c>
      <c r="J21" s="406"/>
      <c r="K21" s="434"/>
      <c r="L21" s="408"/>
      <c r="M21" s="408"/>
      <c r="N21" s="408"/>
      <c r="O21" s="408"/>
      <c r="P21" s="408"/>
      <c r="Q21" s="408"/>
      <c r="R21" s="408"/>
      <c r="S21" s="408"/>
      <c r="T21" s="408"/>
      <c r="U21" s="408"/>
      <c r="V21" s="408"/>
      <c r="W21" s="408"/>
      <c r="X21" s="408"/>
      <c r="Y21" s="408"/>
      <c r="Z21" s="408"/>
      <c r="AA21" s="416"/>
      <c r="AB21" s="408"/>
      <c r="AC21" s="408"/>
      <c r="AD21" s="408"/>
      <c r="AE21" s="408"/>
      <c r="AF21" s="408"/>
      <c r="AG21" s="408"/>
      <c r="AH21" s="408"/>
      <c r="AI21" s="408">
        <v>2</v>
      </c>
      <c r="AJ21" s="416">
        <f>AF6</f>
        <v>93.43799424480062</v>
      </c>
      <c r="AK21" s="416">
        <f>AF12</f>
        <v>92.779823866567924</v>
      </c>
      <c r="AL21" s="416">
        <f>AF18</f>
        <v>92.811074540777156</v>
      </c>
      <c r="AM21" s="416">
        <f>AF24</f>
        <v>92.809588569973329</v>
      </c>
      <c r="AN21" s="416">
        <f>AF30</f>
        <v>92.809659223068309</v>
      </c>
      <c r="AO21" s="416">
        <f>AF36</f>
        <v>92.809655863731649</v>
      </c>
      <c r="AP21" s="416">
        <f>AF42</f>
        <v>92.809656407719672</v>
      </c>
      <c r="AQ21" s="416">
        <f>AF48</f>
        <v>92.809656407719672</v>
      </c>
      <c r="AR21" s="416">
        <f>AF54</f>
        <v>92.809656407719672</v>
      </c>
      <c r="AS21" s="406"/>
      <c r="AT21" s="406"/>
      <c r="AU21" s="406"/>
      <c r="AV21" s="406"/>
      <c r="AW21" s="406"/>
      <c r="AX21" s="406"/>
      <c r="AY21" s="406"/>
      <c r="AZ21" s="406"/>
      <c r="BA21" s="406"/>
      <c r="BB21" s="406"/>
      <c r="BC21" s="406"/>
      <c r="BD21" s="406"/>
      <c r="BE21" s="406"/>
      <c r="BF21" s="406"/>
      <c r="BG21" s="406"/>
      <c r="BH21" s="406"/>
      <c r="BI21" s="406"/>
      <c r="BJ21" s="406"/>
      <c r="BK21" s="407"/>
      <c r="BL21" s="407"/>
      <c r="BM21" s="407"/>
      <c r="BN21" s="407"/>
      <c r="BO21" s="407"/>
      <c r="BP21" s="407"/>
      <c r="BQ21" s="407"/>
      <c r="BR21" s="407"/>
      <c r="BS21" s="407"/>
      <c r="BT21" s="407"/>
      <c r="BU21" s="407"/>
      <c r="BV21" s="407"/>
      <c r="BW21" s="407"/>
      <c r="BX21" s="407"/>
      <c r="BY21" s="407"/>
      <c r="BZ21" s="407"/>
      <c r="CA21" s="407"/>
      <c r="CB21" s="407"/>
      <c r="CC21" s="407"/>
      <c r="CD21" s="407"/>
      <c r="CE21" s="407"/>
      <c r="CF21" s="407"/>
    </row>
    <row r="22" spans="1:84">
      <c r="A22" s="406"/>
      <c r="B22" s="410"/>
      <c r="C22" s="408"/>
      <c r="D22" s="408"/>
      <c r="E22" s="408"/>
      <c r="F22" s="408"/>
      <c r="G22" s="408"/>
      <c r="H22" s="428"/>
      <c r="I22" s="428"/>
      <c r="J22" s="410"/>
      <c r="K22" s="408"/>
      <c r="L22" s="408"/>
      <c r="M22" s="408"/>
      <c r="N22" s="408"/>
      <c r="O22" s="408"/>
      <c r="P22" s="408"/>
      <c r="Q22" s="408"/>
      <c r="R22" s="408"/>
      <c r="S22" s="408"/>
      <c r="T22" s="408"/>
      <c r="U22" s="408"/>
      <c r="V22" s="413" t="s">
        <v>974</v>
      </c>
      <c r="W22" s="425" t="s">
        <v>718</v>
      </c>
      <c r="X22" s="425" t="s">
        <v>930</v>
      </c>
      <c r="Y22" s="425" t="s">
        <v>931</v>
      </c>
      <c r="Z22" s="408"/>
      <c r="AA22" s="416"/>
      <c r="AB22" s="408"/>
      <c r="AC22" s="408"/>
      <c r="AD22" s="408"/>
      <c r="AE22" s="408"/>
      <c r="AF22" s="408"/>
      <c r="AG22" s="408"/>
      <c r="AH22" s="408"/>
      <c r="AI22" s="408">
        <v>3</v>
      </c>
      <c r="AJ22" s="416">
        <f>AF7</f>
        <v>93.5151191323625</v>
      </c>
      <c r="AK22" s="416">
        <f>AF13</f>
        <v>92.861978871342544</v>
      </c>
      <c r="AL22" s="416">
        <f>AF19</f>
        <v>92.8925690986528</v>
      </c>
      <c r="AM22" s="416">
        <f>AF25</f>
        <v>92.891134315944129</v>
      </c>
      <c r="AN22" s="416">
        <f>AF31</f>
        <v>92.891201607431157</v>
      </c>
      <c r="AO22" s="416">
        <f>AF37</f>
        <v>92.891198451442023</v>
      </c>
      <c r="AP22" s="416">
        <f>AF43</f>
        <v>92.891197823824854</v>
      </c>
      <c r="AQ22" s="416">
        <f>AF49</f>
        <v>92.891199431249078</v>
      </c>
      <c r="AR22" s="416">
        <f>AF55</f>
        <v>92.891197823824854</v>
      </c>
      <c r="AS22" s="406"/>
      <c r="AT22" s="406"/>
      <c r="AU22" s="406"/>
      <c r="AV22" s="406"/>
      <c r="AW22" s="406"/>
      <c r="AX22" s="406"/>
      <c r="AY22" s="406"/>
      <c r="AZ22" s="406"/>
      <c r="BA22" s="406"/>
      <c r="BB22" s="406"/>
      <c r="BC22" s="406"/>
      <c r="BD22" s="406"/>
      <c r="BE22" s="406"/>
      <c r="BF22" s="406"/>
      <c r="BG22" s="406"/>
      <c r="BH22" s="406"/>
      <c r="BI22" s="406"/>
      <c r="BJ22" s="406"/>
      <c r="BK22" s="407"/>
      <c r="BL22" s="407"/>
      <c r="BM22" s="407"/>
      <c r="BN22" s="407"/>
      <c r="BO22" s="407"/>
      <c r="BP22" s="407"/>
      <c r="BQ22" s="407"/>
      <c r="BR22" s="407"/>
      <c r="BS22" s="407"/>
      <c r="BT22" s="407"/>
      <c r="BU22" s="407"/>
      <c r="BV22" s="407"/>
      <c r="BW22" s="407"/>
      <c r="BX22" s="407"/>
      <c r="BY22" s="407"/>
      <c r="BZ22" s="407"/>
      <c r="CA22" s="407"/>
      <c r="CB22" s="407"/>
      <c r="CC22" s="407"/>
      <c r="CD22" s="407"/>
      <c r="CE22" s="407"/>
      <c r="CF22" s="407"/>
    </row>
    <row r="23" spans="1:84">
      <c r="A23" s="406"/>
      <c r="B23" s="410"/>
      <c r="C23" s="408"/>
      <c r="D23" s="408"/>
      <c r="E23" s="408"/>
      <c r="F23" s="413" t="s">
        <v>975</v>
      </c>
      <c r="G23" s="408"/>
      <c r="H23" s="414">
        <f>SUM(H18:H21)</f>
        <v>2.4378920235894254E-2</v>
      </c>
      <c r="I23" s="414"/>
      <c r="J23" s="410"/>
      <c r="K23" s="435"/>
      <c r="L23" s="408"/>
      <c r="M23" s="408"/>
      <c r="N23" s="411"/>
      <c r="O23" s="408"/>
      <c r="P23" s="411"/>
      <c r="Q23" s="408"/>
      <c r="R23" s="408"/>
      <c r="S23" s="408"/>
      <c r="T23" s="408"/>
      <c r="U23" s="408"/>
      <c r="V23" s="416">
        <f>100*(+AD17/$E$9)</f>
        <v>288.09251776502782</v>
      </c>
      <c r="W23" s="426">
        <f>EXP(5.7226-(0.68367*LN(+V23)))</f>
        <v>6.3648089772676961</v>
      </c>
      <c r="X23" s="417">
        <f>(+W23*V23)/100</f>
        <v>18.336538433545023</v>
      </c>
      <c r="Y23" s="416">
        <f>100*((((X23/100)-((X23/100)-0.03574)*$E$21)-0.03574-0.00619)/0.344)</f>
        <v>26.524056296917784</v>
      </c>
      <c r="Z23" s="408">
        <f>$E$20</f>
        <v>0.25</v>
      </c>
      <c r="AA23" s="416">
        <f>Y23+Z23</f>
        <v>26.774056296917784</v>
      </c>
      <c r="AB23" s="416">
        <f>100*($E$17*$E$19+($E$18*(AA23/100))/(1-$E$21))</f>
        <v>21.0632655206084</v>
      </c>
      <c r="AC23" s="417">
        <f>AB23/V23</f>
        <v>7.3112851677001503E-2</v>
      </c>
      <c r="AD23" s="415">
        <f>$E$8/(1-AC23)</f>
        <v>2716233.3099107398</v>
      </c>
      <c r="AE23" s="408" t="str">
        <f>IF(AD23=AD17,"yes","not yet")</f>
        <v>not yet</v>
      </c>
      <c r="AF23" s="416">
        <f>100*(1-AC23)</f>
        <v>92.688714832299851</v>
      </c>
      <c r="AG23" s="408"/>
      <c r="AH23" s="408"/>
      <c r="AI23" s="408">
        <v>4</v>
      </c>
      <c r="AJ23" s="416">
        <f>AF8</f>
        <v>93.564453545276436</v>
      </c>
      <c r="AK23" s="416">
        <f>AF14</f>
        <v>92.914582319155727</v>
      </c>
      <c r="AL23" s="416">
        <f>AF20</f>
        <v>92.944751216102844</v>
      </c>
      <c r="AM23" s="416">
        <f>AF26</f>
        <v>92.943348670442532</v>
      </c>
      <c r="AN23" s="416">
        <f>AF32</f>
        <v>92.943413870126051</v>
      </c>
      <c r="AO23" s="416">
        <f>AF38</f>
        <v>92.943410839200141</v>
      </c>
      <c r="AP23" s="416">
        <f>AF44</f>
        <v>92.943411103091151</v>
      </c>
      <c r="AQ23" s="416">
        <f>AF50</f>
        <v>92.943411103091151</v>
      </c>
      <c r="AR23" s="416">
        <f>AF56</f>
        <v>92.943411103091151</v>
      </c>
      <c r="AS23" s="406"/>
      <c r="AT23" s="406"/>
      <c r="AU23" s="406"/>
      <c r="AV23" s="406"/>
      <c r="AW23" s="406"/>
      <c r="AX23" s="406"/>
      <c r="AY23" s="406"/>
      <c r="AZ23" s="406"/>
      <c r="BA23" s="406"/>
      <c r="BB23" s="406"/>
      <c r="BC23" s="406"/>
      <c r="BD23" s="406"/>
      <c r="BE23" s="406"/>
      <c r="BF23" s="406"/>
      <c r="BG23" s="406"/>
      <c r="BH23" s="406"/>
      <c r="BI23" s="406"/>
      <c r="BJ23" s="406"/>
      <c r="BK23" s="407"/>
      <c r="BL23" s="407"/>
      <c r="BM23" s="407"/>
      <c r="BN23" s="407"/>
      <c r="BO23" s="407"/>
      <c r="BP23" s="407"/>
      <c r="BQ23" s="407"/>
      <c r="BR23" s="407"/>
      <c r="BS23" s="407"/>
      <c r="BT23" s="407"/>
      <c r="BU23" s="407"/>
      <c r="BV23" s="407"/>
      <c r="BW23" s="407"/>
      <c r="BX23" s="407"/>
      <c r="BY23" s="407"/>
      <c r="BZ23" s="407"/>
      <c r="CA23" s="407"/>
      <c r="CB23" s="407"/>
      <c r="CC23" s="407"/>
      <c r="CD23" s="407"/>
      <c r="CE23" s="407"/>
      <c r="CF23" s="407"/>
    </row>
    <row r="24" spans="1:84">
      <c r="A24" s="406"/>
      <c r="B24" s="410"/>
      <c r="C24" s="408"/>
      <c r="D24" s="408"/>
      <c r="E24" s="408"/>
      <c r="F24" s="408"/>
      <c r="G24" s="408"/>
      <c r="H24" s="408"/>
      <c r="I24" s="408"/>
      <c r="J24" s="410"/>
      <c r="K24" s="408"/>
      <c r="L24" s="408"/>
      <c r="M24" s="408"/>
      <c r="N24" s="408"/>
      <c r="O24" s="408"/>
      <c r="P24" s="408"/>
      <c r="Q24" s="408"/>
      <c r="R24" s="408"/>
      <c r="S24" s="408"/>
      <c r="T24" s="408"/>
      <c r="U24" s="408"/>
      <c r="V24" s="416">
        <f>100*(+AD18/$E$9)</f>
        <v>287.71755802305921</v>
      </c>
      <c r="W24" s="426">
        <f>EXP(5.70827-(0.68367*LN(+V24)))</f>
        <v>6.2798406979678658</v>
      </c>
      <c r="X24" s="417">
        <f>(+W24*V24)/100</f>
        <v>18.068204303931381</v>
      </c>
      <c r="Y24" s="416">
        <f>100*((((X24/100)-((X24/100)-0.03574)*$E$21)-0.03574-0.00619)/0.344)</f>
        <v>26.009229187775329</v>
      </c>
      <c r="Z24" s="408">
        <f>$E$20</f>
        <v>0.25</v>
      </c>
      <c r="AA24" s="416">
        <f>Y24+Z24</f>
        <v>26.259229187775329</v>
      </c>
      <c r="AB24" s="416">
        <f>100*($E$17*$E$19+($E$18*(AA24/100))/(1-$E$21))</f>
        <v>20.688076178283659</v>
      </c>
      <c r="AC24" s="417">
        <f>AB24/V24</f>
        <v>7.1904114300266678E-2</v>
      </c>
      <c r="AD24" s="415">
        <f>$E$8/(1-AC24)</f>
        <v>2712695.7306840569</v>
      </c>
      <c r="AE24" s="408" t="str">
        <f>IF(AD24=AD18,"yes","not yet")</f>
        <v>not yet</v>
      </c>
      <c r="AF24" s="416">
        <f>100*(1-AC24)</f>
        <v>92.809588569973329</v>
      </c>
      <c r="AG24" s="408"/>
      <c r="AH24" s="408"/>
      <c r="AI24" s="408"/>
      <c r="AJ24" s="408"/>
      <c r="AK24" s="408"/>
      <c r="AL24" s="408"/>
      <c r="AM24" s="408"/>
      <c r="AN24" s="408"/>
      <c r="AO24" s="408"/>
      <c r="AP24" s="408"/>
      <c r="AQ24" s="408"/>
      <c r="AR24" s="408"/>
      <c r="AS24" s="406"/>
      <c r="AT24" s="406"/>
      <c r="AU24" s="406"/>
      <c r="AV24" s="406"/>
      <c r="AW24" s="406"/>
      <c r="AX24" s="406"/>
      <c r="AY24" s="406"/>
      <c r="AZ24" s="406"/>
      <c r="BA24" s="406"/>
      <c r="BB24" s="406"/>
      <c r="BC24" s="406"/>
      <c r="BD24" s="406"/>
      <c r="BE24" s="406"/>
      <c r="BF24" s="406"/>
      <c r="BG24" s="406"/>
      <c r="BH24" s="406"/>
      <c r="BI24" s="406"/>
      <c r="BJ24" s="406"/>
      <c r="BK24" s="407"/>
      <c r="BL24" s="407"/>
      <c r="BM24" s="407"/>
      <c r="BN24" s="407"/>
      <c r="BO24" s="407"/>
      <c r="BP24" s="407"/>
      <c r="BQ24" s="407"/>
      <c r="BR24" s="407"/>
      <c r="BS24" s="407"/>
      <c r="BT24" s="407"/>
      <c r="BU24" s="407"/>
      <c r="BV24" s="407"/>
      <c r="BW24" s="407"/>
      <c r="BX24" s="407"/>
      <c r="BY24" s="407"/>
      <c r="BZ24" s="407"/>
      <c r="CA24" s="407"/>
      <c r="CB24" s="407"/>
      <c r="CC24" s="407"/>
      <c r="CD24" s="407"/>
      <c r="CE24" s="407"/>
      <c r="CF24" s="407"/>
    </row>
    <row r="25" spans="1:84">
      <c r="A25" s="406"/>
      <c r="B25" s="410"/>
      <c r="C25" s="408"/>
      <c r="D25" s="408"/>
      <c r="E25" s="408"/>
      <c r="F25" s="413" t="s">
        <v>976</v>
      </c>
      <c r="G25" s="408"/>
      <c r="H25" s="417">
        <f>((+H15/100)-H23)</f>
        <v>0.90453305800235428</v>
      </c>
      <c r="I25" s="417"/>
      <c r="J25" s="410"/>
      <c r="K25" s="408"/>
      <c r="L25" s="411"/>
      <c r="M25" s="408"/>
      <c r="N25" s="408"/>
      <c r="O25" s="408"/>
      <c r="P25" s="408"/>
      <c r="Q25" s="408"/>
      <c r="R25" s="408"/>
      <c r="S25" s="408"/>
      <c r="T25" s="408"/>
      <c r="U25" s="408"/>
      <c r="V25" s="416">
        <f>100*(+AD19/$E$9)</f>
        <v>287.4651436974392</v>
      </c>
      <c r="W25" s="426">
        <f>EXP(5.6985-(0.68367*LN(V25)))</f>
        <v>6.2225180738263584</v>
      </c>
      <c r="X25" s="417">
        <f>(+W25*V25)/100</f>
        <v>17.887570522524069</v>
      </c>
      <c r="Y25" s="416">
        <f>100*((((X25/100)-((X25/100)-0.03574)*$E$21)-0.03574-0.00619)/0.344)</f>
        <v>25.662664374610138</v>
      </c>
      <c r="Z25" s="408">
        <f>$E$20</f>
        <v>0.25</v>
      </c>
      <c r="AA25" s="416">
        <f>Y25+Z25</f>
        <v>25.912664374610138</v>
      </c>
      <c r="AB25" s="416">
        <f>100*($E$17*$E$19+($E$18*(AA25/100))/(1-$E$21))</f>
        <v>20.43551095392915</v>
      </c>
      <c r="AC25" s="417">
        <f>AB25/V25</f>
        <v>7.1088656840558692E-2</v>
      </c>
      <c r="AD25" s="415">
        <f>$E$8/(1-AC25)</f>
        <v>2710314.3538327627</v>
      </c>
      <c r="AE25" s="408" t="str">
        <f>IF(AD25=AD19,"yes","not yet")</f>
        <v>not yet</v>
      </c>
      <c r="AF25" s="416">
        <f>100*(1-AC25)</f>
        <v>92.891134315944129</v>
      </c>
      <c r="AG25" s="408"/>
      <c r="AH25" s="408"/>
      <c r="AI25" s="408"/>
      <c r="AJ25" s="408" t="s">
        <v>977</v>
      </c>
      <c r="AK25" s="408"/>
      <c r="AL25" s="408"/>
      <c r="AM25" s="408"/>
      <c r="AN25" s="408"/>
      <c r="AO25" s="408"/>
      <c r="AP25" s="408"/>
      <c r="AQ25" s="408"/>
      <c r="AR25" s="408"/>
      <c r="AS25" s="406"/>
      <c r="AT25" s="406"/>
      <c r="AU25" s="406"/>
      <c r="AV25" s="406"/>
      <c r="AW25" s="406"/>
      <c r="AX25" s="406"/>
      <c r="AY25" s="406"/>
      <c r="AZ25" s="406"/>
      <c r="BA25" s="406"/>
      <c r="BB25" s="406"/>
      <c r="BC25" s="406"/>
      <c r="BD25" s="406"/>
      <c r="BE25" s="406"/>
      <c r="BF25" s="406"/>
      <c r="BG25" s="406"/>
      <c r="BH25" s="406"/>
      <c r="BI25" s="406"/>
      <c r="BJ25" s="406"/>
      <c r="BK25" s="407"/>
      <c r="BL25" s="407"/>
      <c r="BM25" s="407"/>
      <c r="BN25" s="407"/>
      <c r="BO25" s="407"/>
      <c r="BP25" s="407"/>
      <c r="BQ25" s="407"/>
      <c r="BR25" s="407"/>
      <c r="BS25" s="407"/>
      <c r="BT25" s="407"/>
      <c r="BU25" s="407"/>
      <c r="BV25" s="407"/>
      <c r="BW25" s="407"/>
      <c r="BX25" s="407"/>
      <c r="BY25" s="407"/>
      <c r="BZ25" s="407"/>
      <c r="CA25" s="407"/>
      <c r="CB25" s="407"/>
      <c r="CC25" s="407"/>
      <c r="CD25" s="407"/>
      <c r="CE25" s="407"/>
      <c r="CF25" s="407"/>
    </row>
    <row r="26" spans="1:84">
      <c r="A26" s="406"/>
      <c r="B26" s="410"/>
      <c r="C26" s="408"/>
      <c r="D26" s="408"/>
      <c r="E26" s="408"/>
      <c r="F26" s="408"/>
      <c r="G26" s="408"/>
      <c r="H26" s="408"/>
      <c r="I26" s="408"/>
      <c r="J26" s="410"/>
      <c r="K26" s="408"/>
      <c r="L26" s="408"/>
      <c r="M26" s="408"/>
      <c r="N26" s="408"/>
      <c r="O26" s="408"/>
      <c r="P26" s="408"/>
      <c r="Q26" s="408"/>
      <c r="R26" s="408"/>
      <c r="S26" s="408"/>
      <c r="T26" s="408"/>
      <c r="U26" s="408"/>
      <c r="V26" s="416">
        <f>100*(+AD20/$E$9)</f>
        <v>287.30375169095208</v>
      </c>
      <c r="W26" s="426">
        <f>EXP(5.6922-(0.68367*LN(V26)))</f>
        <v>6.1858139730372024</v>
      </c>
      <c r="X26" s="417">
        <f>(+W26*V26)/100</f>
        <v>17.772075617159022</v>
      </c>
      <c r="Y26" s="416">
        <f>100*((((X26/100)-((X26/100)-0.03574)*$E$21)-0.03574-0.00619)/0.344)</f>
        <v>25.441075311991145</v>
      </c>
      <c r="Z26" s="408">
        <f>$E$20</f>
        <v>0.25</v>
      </c>
      <c r="AA26" s="416">
        <f>Y26+Z26</f>
        <v>25.691075311991145</v>
      </c>
      <c r="AB26" s="416">
        <f>100*($E$17*$E$19+($E$18*(AA26/100))/(1-$E$21))</f>
        <v>20.274024013568027</v>
      </c>
      <c r="AC26" s="417">
        <f>AB26/V26</f>
        <v>7.0566513295574576E-2</v>
      </c>
      <c r="AD26" s="415">
        <f>$E$8/(1-AC26)</f>
        <v>2708791.7347696717</v>
      </c>
      <c r="AE26" s="408" t="str">
        <f>IF(AD26=AD20,"yes","not yet")</f>
        <v>not yet</v>
      </c>
      <c r="AF26" s="416">
        <f>100*(1-AC26)</f>
        <v>92.943348670442532</v>
      </c>
      <c r="AG26" s="408"/>
      <c r="AH26" s="408"/>
      <c r="AI26" s="408"/>
      <c r="AJ26" s="416">
        <f>HLOOKUP($AJ$25,$AJ$19:$AR$23,($E$12)+1)</f>
        <v>92.891197823824854</v>
      </c>
      <c r="AK26" s="408"/>
      <c r="AL26" s="408"/>
      <c r="AM26" s="408"/>
      <c r="AN26" s="408"/>
      <c r="AO26" s="408"/>
      <c r="AP26" s="408"/>
      <c r="AQ26" s="408"/>
      <c r="AR26" s="408"/>
      <c r="AS26" s="406"/>
      <c r="AT26" s="406"/>
      <c r="AU26" s="406"/>
      <c r="AV26" s="406"/>
      <c r="AW26" s="406"/>
      <c r="AX26" s="406"/>
      <c r="AY26" s="406"/>
      <c r="AZ26" s="406"/>
      <c r="BA26" s="406"/>
      <c r="BB26" s="406"/>
      <c r="BC26" s="406"/>
      <c r="BD26" s="406"/>
      <c r="BE26" s="406"/>
      <c r="BF26" s="406"/>
      <c r="BG26" s="406"/>
      <c r="BH26" s="406"/>
      <c r="BI26" s="406"/>
      <c r="BJ26" s="406"/>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row>
    <row r="27" spans="1:84" ht="15.75">
      <c r="A27" s="406"/>
      <c r="B27" s="410"/>
      <c r="C27" s="408"/>
      <c r="D27" s="408"/>
      <c r="E27" s="436"/>
      <c r="F27" s="437"/>
      <c r="G27" s="437"/>
      <c r="H27" s="408"/>
      <c r="I27" s="408"/>
      <c r="J27" s="410"/>
      <c r="K27" s="408"/>
      <c r="L27" s="408"/>
      <c r="M27" s="408"/>
      <c r="N27" s="408"/>
      <c r="O27" s="408"/>
      <c r="P27" s="408"/>
      <c r="Q27" s="408"/>
      <c r="R27" s="408"/>
      <c r="S27" s="408"/>
      <c r="T27" s="408"/>
      <c r="U27" s="408"/>
      <c r="V27" s="408"/>
      <c r="W27" s="408"/>
      <c r="X27" s="408"/>
      <c r="Y27" s="408"/>
      <c r="Z27" s="408"/>
      <c r="AA27" s="416"/>
      <c r="AB27" s="408"/>
      <c r="AC27" s="408"/>
      <c r="AD27" s="408"/>
      <c r="AE27" s="408"/>
      <c r="AF27" s="408"/>
      <c r="AG27" s="408"/>
      <c r="AH27" s="408"/>
      <c r="AI27" s="408"/>
      <c r="AJ27" s="408"/>
      <c r="AK27" s="408"/>
      <c r="AL27" s="408"/>
      <c r="AM27" s="408"/>
      <c r="AN27" s="408"/>
      <c r="AO27" s="408"/>
      <c r="AP27" s="408"/>
      <c r="AQ27" s="408"/>
      <c r="AR27" s="408"/>
      <c r="AS27" s="406"/>
      <c r="AT27" s="406"/>
      <c r="AU27" s="406"/>
      <c r="AV27" s="406"/>
      <c r="AW27" s="406"/>
      <c r="AX27" s="406"/>
      <c r="AY27" s="406"/>
      <c r="AZ27" s="406"/>
      <c r="BA27" s="406"/>
      <c r="BB27" s="406"/>
      <c r="BC27" s="406"/>
      <c r="BD27" s="406"/>
      <c r="BE27" s="406"/>
      <c r="BF27" s="406"/>
      <c r="BG27" s="406"/>
      <c r="BH27" s="406"/>
      <c r="BI27" s="406"/>
      <c r="BJ27" s="406"/>
      <c r="BK27" s="407"/>
      <c r="BL27" s="407"/>
      <c r="BM27" s="407"/>
      <c r="BN27" s="407"/>
      <c r="BO27" s="407"/>
      <c r="BP27" s="407"/>
      <c r="BQ27" s="407"/>
      <c r="BR27" s="407"/>
      <c r="BS27" s="407"/>
      <c r="BT27" s="407"/>
      <c r="BU27" s="407"/>
      <c r="BV27" s="407"/>
      <c r="BW27" s="407"/>
      <c r="BX27" s="407"/>
      <c r="BY27" s="407"/>
      <c r="BZ27" s="407"/>
      <c r="CA27" s="407"/>
      <c r="CB27" s="407"/>
      <c r="CC27" s="407"/>
      <c r="CD27" s="407"/>
      <c r="CE27" s="407"/>
      <c r="CF27" s="407"/>
    </row>
    <row r="28" spans="1:84">
      <c r="A28" s="406"/>
      <c r="B28" s="410"/>
      <c r="C28" s="438"/>
      <c r="D28" s="439"/>
      <c r="E28" s="422"/>
      <c r="F28" s="440"/>
      <c r="G28" s="441"/>
      <c r="H28" s="438"/>
      <c r="I28" s="438"/>
      <c r="J28" s="408"/>
      <c r="K28" s="408"/>
      <c r="L28" s="408"/>
      <c r="M28" s="408"/>
      <c r="N28" s="408"/>
      <c r="O28" s="408"/>
      <c r="P28" s="408"/>
      <c r="Q28" s="408"/>
      <c r="R28" s="408"/>
      <c r="S28" s="408"/>
      <c r="T28" s="408"/>
      <c r="U28" s="408"/>
      <c r="V28" s="413" t="s">
        <v>978</v>
      </c>
      <c r="W28" s="425" t="s">
        <v>718</v>
      </c>
      <c r="X28" s="425" t="s">
        <v>930</v>
      </c>
      <c r="Y28" s="425" t="s">
        <v>931</v>
      </c>
      <c r="Z28" s="408"/>
      <c r="AA28" s="416"/>
      <c r="AB28" s="408"/>
      <c r="AC28" s="408"/>
      <c r="AD28" s="408"/>
      <c r="AE28" s="408"/>
      <c r="AF28" s="408"/>
      <c r="AG28" s="408"/>
      <c r="AH28" s="408"/>
      <c r="AI28" s="408"/>
      <c r="AJ28" s="408" t="str">
        <f>HLOOKUP(1,$AJ$13:$AR$17,($E$12)+1)</f>
        <v>not yet</v>
      </c>
      <c r="AK28" s="408" t="str">
        <f>HLOOKUP(2,$AJ$13:$AR$17,($E$12)+1)</f>
        <v>not yet</v>
      </c>
      <c r="AL28" s="408" t="str">
        <f>HLOOKUP(3,$AJ$13:$AR$17,($E$12)+1)</f>
        <v>not yet</v>
      </c>
      <c r="AM28" s="408" t="str">
        <f>HLOOKUP(4,$AJ$13:$AR$17,($E$12)+1)</f>
        <v>not yet</v>
      </c>
      <c r="AN28" s="408" t="str">
        <f>HLOOKUP(5,$AJ$13:$AR$17,($E$12)+1)</f>
        <v>not yet</v>
      </c>
      <c r="AO28" s="408" t="str">
        <f>HLOOKUP(6,$AJ$13:$AR$17,($E$12)+1)</f>
        <v>not yet</v>
      </c>
      <c r="AP28" s="408" t="str">
        <f>HLOOKUP(7,$AJ$13:$AR$17,($E$12)+1)</f>
        <v>not yet</v>
      </c>
      <c r="AQ28" s="408" t="str">
        <f>HLOOKUP(8,$AJ$13:$AR$17,($E$12)+1)</f>
        <v>yes</v>
      </c>
      <c r="AR28" s="408" t="str">
        <f>HLOOKUP(9,$AJ$13:$AR$17,($E$12)+1)</f>
        <v>yes</v>
      </c>
      <c r="AS28" s="406"/>
      <c r="AT28" s="406"/>
      <c r="AU28" s="406"/>
      <c r="AV28" s="406"/>
      <c r="AW28" s="406"/>
      <c r="AX28" s="406"/>
      <c r="AY28" s="406"/>
      <c r="AZ28" s="406"/>
      <c r="BA28" s="406"/>
      <c r="BB28" s="406"/>
      <c r="BC28" s="406"/>
      <c r="BD28" s="406"/>
      <c r="BE28" s="406"/>
      <c r="BF28" s="406"/>
      <c r="BG28" s="406"/>
      <c r="BH28" s="406"/>
      <c r="BI28" s="406"/>
      <c r="BJ28" s="406"/>
      <c r="BK28" s="407"/>
      <c r="BL28" s="407"/>
      <c r="BM28" s="407"/>
      <c r="BN28" s="407"/>
      <c r="BO28" s="407"/>
      <c r="BP28" s="407"/>
      <c r="BQ28" s="407"/>
      <c r="BR28" s="407"/>
      <c r="BS28" s="407"/>
      <c r="BT28" s="407"/>
      <c r="BU28" s="407"/>
      <c r="BV28" s="407"/>
      <c r="BW28" s="407"/>
      <c r="BX28" s="407"/>
      <c r="BY28" s="407"/>
      <c r="BZ28" s="407"/>
      <c r="CA28" s="407"/>
      <c r="CB28" s="407"/>
      <c r="CC28" s="407"/>
      <c r="CD28" s="407"/>
      <c r="CE28" s="407"/>
      <c r="CF28" s="407"/>
    </row>
    <row r="29" spans="1:84">
      <c r="A29" s="406"/>
      <c r="B29" s="408"/>
      <c r="C29" s="450"/>
      <c r="D29" s="448"/>
      <c r="E29" s="427"/>
      <c r="F29" s="445"/>
      <c r="G29" s="446"/>
      <c r="H29" s="408"/>
      <c r="I29" s="412"/>
      <c r="J29" s="408"/>
      <c r="K29" s="408"/>
      <c r="L29" s="408"/>
      <c r="M29" s="408"/>
      <c r="N29" s="408"/>
      <c r="O29" s="408"/>
      <c r="P29" s="408"/>
      <c r="Q29" s="408"/>
      <c r="R29" s="408"/>
      <c r="S29" s="408"/>
      <c r="T29" s="408"/>
      <c r="U29" s="408"/>
      <c r="V29" s="416">
        <f>100*(+AD23/$E$9)</f>
        <v>288.09737811860379</v>
      </c>
      <c r="W29" s="426">
        <f>EXP(5.7226-(0.68367*LN(+V29)))</f>
        <v>6.3647355661875729</v>
      </c>
      <c r="X29" s="417">
        <f>(+W29*V29)/100</f>
        <v>18.33663629036867</v>
      </c>
      <c r="Y29" s="416">
        <f>100*((((X29/100)-((X29/100)-0.03574)*$E$21)-0.03574-0.00619)/0.344)</f>
        <v>26.52424404547477</v>
      </c>
      <c r="Z29" s="408">
        <f>$E$20</f>
        <v>0.25</v>
      </c>
      <c r="AA29" s="416">
        <f>Y29+Z29</f>
        <v>26.77424404547477</v>
      </c>
      <c r="AB29" s="416">
        <f>100*($E$17*$E$19+($E$18*(AA29/100))/(1-$E$21))</f>
        <v>21.063402345683006</v>
      </c>
      <c r="AC29" s="417">
        <f>AB29/V29</f>
        <v>7.3112093151405336E-2</v>
      </c>
      <c r="AD29" s="415">
        <f>$E$8/(1-AC29)</f>
        <v>2716231.0870610559</v>
      </c>
      <c r="AE29" s="408" t="str">
        <f>IF(AD29=AD23,"yes","not yet")</f>
        <v>not yet</v>
      </c>
      <c r="AF29" s="416">
        <f>100*(1-AC29)</f>
        <v>92.68879068485947</v>
      </c>
      <c r="AG29" s="408"/>
      <c r="AH29" s="408"/>
      <c r="AI29" s="408">
        <v>1</v>
      </c>
      <c r="AJ29" s="416">
        <f>V5</f>
        <v>333.79219655460656</v>
      </c>
      <c r="AK29" s="416">
        <f>V11</f>
        <v>286.13774188391966</v>
      </c>
      <c r="AL29" s="416">
        <f>V17</f>
        <v>288.19274213638289</v>
      </c>
      <c r="AM29" s="416">
        <f>V23</f>
        <v>288.09251776502782</v>
      </c>
      <c r="AN29" s="416">
        <f>V29</f>
        <v>288.09737811860379</v>
      </c>
      <c r="AO29" s="416">
        <f>V35</f>
        <v>288.09714235197669</v>
      </c>
      <c r="AP29" s="416">
        <f>V41</f>
        <v>288.09713311784282</v>
      </c>
      <c r="AQ29" s="416">
        <f>V47</f>
        <v>288.09713311784282</v>
      </c>
      <c r="AR29" s="416">
        <f>V53</f>
        <v>288.09713311784282</v>
      </c>
      <c r="AS29" s="406"/>
      <c r="AT29" s="406"/>
      <c r="AU29" s="406"/>
      <c r="AV29" s="406"/>
      <c r="AW29" s="406"/>
      <c r="AX29" s="406"/>
      <c r="AY29" s="406"/>
      <c r="AZ29" s="406"/>
      <c r="BA29" s="406"/>
      <c r="BB29" s="406"/>
      <c r="BC29" s="406"/>
      <c r="BD29" s="406"/>
      <c r="BE29" s="406"/>
      <c r="BF29" s="406"/>
      <c r="BG29" s="406"/>
      <c r="BH29" s="406"/>
      <c r="BI29" s="406"/>
      <c r="BJ29" s="406"/>
      <c r="BK29" s="407"/>
      <c r="BL29" s="407"/>
      <c r="BM29" s="407"/>
      <c r="BN29" s="407"/>
      <c r="BO29" s="407"/>
      <c r="BP29" s="407"/>
      <c r="BQ29" s="407"/>
      <c r="BR29" s="407"/>
      <c r="BS29" s="407"/>
      <c r="BT29" s="407"/>
      <c r="BU29" s="407"/>
      <c r="BV29" s="407"/>
      <c r="BW29" s="407"/>
      <c r="BX29" s="407"/>
      <c r="BY29" s="407"/>
      <c r="BZ29" s="407"/>
      <c r="CA29" s="407"/>
      <c r="CB29" s="407"/>
      <c r="CC29" s="407"/>
      <c r="CD29" s="407"/>
      <c r="CE29" s="407"/>
      <c r="CF29" s="407"/>
    </row>
    <row r="30" spans="1:84">
      <c r="A30" s="406"/>
      <c r="B30" s="408"/>
      <c r="C30" s="450"/>
      <c r="D30" s="448"/>
      <c r="E30" s="945"/>
      <c r="F30" s="445"/>
      <c r="G30" s="446"/>
      <c r="H30" s="408"/>
      <c r="I30" s="412"/>
      <c r="J30" s="408"/>
      <c r="K30" s="408"/>
      <c r="L30" s="408"/>
      <c r="M30" s="408"/>
      <c r="N30" s="408"/>
      <c r="O30" s="408"/>
      <c r="P30" s="408"/>
      <c r="Q30" s="408"/>
      <c r="R30" s="408"/>
      <c r="S30" s="408"/>
      <c r="T30" s="408"/>
      <c r="U30" s="408"/>
      <c r="V30" s="416">
        <f>100*(+AD24/$E$9)</f>
        <v>287.72216465797226</v>
      </c>
      <c r="W30" s="426">
        <f>EXP(5.70827-(0.68367*LN(+V30)))</f>
        <v>6.2797719584113896</v>
      </c>
      <c r="X30" s="417">
        <f>(+W30*V30)/100</f>
        <v>18.068295814325587</v>
      </c>
      <c r="Y30" s="416">
        <f>100*((((X30/100)-((X30/100)-0.03574)*$E$21)-0.03574-0.00619)/0.344)</f>
        <v>26.009404760043285</v>
      </c>
      <c r="Z30" s="408">
        <f>$E$20</f>
        <v>0.25</v>
      </c>
      <c r="AA30" s="416">
        <f>Y30+Z30</f>
        <v>26.259404760043285</v>
      </c>
      <c r="AB30" s="416">
        <f>100*($E$17*$E$19+($E$18*(AA30/100))/(1-$E$21))</f>
        <v>20.688204129672723</v>
      </c>
      <c r="AC30" s="417">
        <f>AB30/V30</f>
        <v>7.1903407769316918E-2</v>
      </c>
      <c r="AD30" s="415">
        <f>$E$8/(1-AC30)</f>
        <v>2712693.6655935189</v>
      </c>
      <c r="AE30" s="408" t="str">
        <f>IF(AD30=AD24,"yes","not yet")</f>
        <v>not yet</v>
      </c>
      <c r="AF30" s="416">
        <f>100*(1-AC30)</f>
        <v>92.809659223068309</v>
      </c>
      <c r="AG30" s="408"/>
      <c r="AH30" s="408"/>
      <c r="AI30" s="408">
        <v>2</v>
      </c>
      <c r="AJ30" s="416">
        <f>V6</f>
        <v>333.79219655460656</v>
      </c>
      <c r="AK30" s="416">
        <f>V12</f>
        <v>285.7871248221324</v>
      </c>
      <c r="AL30" s="416">
        <f>V18</f>
        <v>287.81446883076876</v>
      </c>
      <c r="AM30" s="416">
        <f>V24</f>
        <v>287.71755802305921</v>
      </c>
      <c r="AN30" s="416">
        <f>V30</f>
        <v>287.72216465797226</v>
      </c>
      <c r="AO30" s="416">
        <f>V36</f>
        <v>287.72194562407435</v>
      </c>
      <c r="AP30" s="416">
        <f>V42</f>
        <v>287.72198109290912</v>
      </c>
      <c r="AQ30" s="416">
        <f>V48</f>
        <v>287.72198109290912</v>
      </c>
      <c r="AR30" s="416">
        <f>V54</f>
        <v>287.72198109290912</v>
      </c>
      <c r="AS30" s="406"/>
      <c r="AT30" s="406"/>
      <c r="AU30" s="406"/>
      <c r="AV30" s="406"/>
      <c r="AW30" s="406"/>
      <c r="AX30" s="406"/>
      <c r="AY30" s="406"/>
      <c r="AZ30" s="406"/>
      <c r="BA30" s="406"/>
      <c r="BB30" s="406"/>
      <c r="BC30" s="406"/>
      <c r="BD30" s="406"/>
      <c r="BE30" s="406"/>
      <c r="BF30" s="406"/>
      <c r="BG30" s="406"/>
      <c r="BH30" s="406"/>
      <c r="BI30" s="406"/>
      <c r="BJ30" s="406"/>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row>
    <row r="31" spans="1:84">
      <c r="A31" s="406"/>
      <c r="B31" s="408"/>
      <c r="C31" s="450"/>
      <c r="D31" s="450"/>
      <c r="E31" s="946"/>
      <c r="F31" s="452"/>
      <c r="G31" s="453"/>
      <c r="H31" s="454"/>
      <c r="I31" s="453"/>
      <c r="J31" s="408"/>
      <c r="K31" s="408"/>
      <c r="L31" s="408"/>
      <c r="M31" s="408"/>
      <c r="N31" s="408"/>
      <c r="O31" s="408"/>
      <c r="P31" s="408"/>
      <c r="Q31" s="408"/>
      <c r="R31" s="408"/>
      <c r="S31" s="408"/>
      <c r="T31" s="408"/>
      <c r="U31" s="408"/>
      <c r="V31" s="416">
        <f>100*(+AD25/$E$9)</f>
        <v>287.46958384149127</v>
      </c>
      <c r="W31" s="426">
        <f>EXP(5.6985-(0.68367*LN(V31)))</f>
        <v>6.2224523657261512</v>
      </c>
      <c r="X31" s="417">
        <f>(+W31*V31)/100</f>
        <v>17.887657920487996</v>
      </c>
      <c r="Y31" s="416">
        <f>100*((((X31/100)-((X31/100)-0.03574)*$E$21)-0.03574-0.00619)/0.344)</f>
        <v>25.662832056750222</v>
      </c>
      <c r="Z31" s="408">
        <f>$E$20</f>
        <v>0.25</v>
      </c>
      <c r="AA31" s="416">
        <f>Y31+Z31</f>
        <v>25.912832056750222</v>
      </c>
      <c r="AB31" s="416">
        <f>100*($E$17*$E$19+($E$18*(AA31/100))/(1-$E$21))</f>
        <v>20.435633155248272</v>
      </c>
      <c r="AC31" s="417">
        <f>AB31/V31</f>
        <v>7.1087983925688422E-2</v>
      </c>
      <c r="AD31" s="415">
        <f>$E$8/(1-AC31)</f>
        <v>2710312.3904489325</v>
      </c>
      <c r="AE31" s="408" t="str">
        <f>IF(AD31=AD25,"yes","not yet")</f>
        <v>not yet</v>
      </c>
      <c r="AF31" s="416">
        <f>100*(1-AC31)</f>
        <v>92.891201607431157</v>
      </c>
      <c r="AG31" s="408"/>
      <c r="AH31" s="408"/>
      <c r="AI31" s="408">
        <v>3</v>
      </c>
      <c r="AJ31" s="416">
        <f>V7</f>
        <v>333.79219655460656</v>
      </c>
      <c r="AK31" s="416">
        <f>V13</f>
        <v>285.55142710744155</v>
      </c>
      <c r="AL31" s="416">
        <f>V19</f>
        <v>287.5598393327935</v>
      </c>
      <c r="AM31" s="416">
        <f>V25</f>
        <v>287.4651436974392</v>
      </c>
      <c r="AN31" s="416">
        <f>V31</f>
        <v>287.46958384149127</v>
      </c>
      <c r="AO31" s="416">
        <f>V37</f>
        <v>287.46937559511878</v>
      </c>
      <c r="AP31" s="416">
        <f>V43</f>
        <v>287.46933418213951</v>
      </c>
      <c r="AQ31" s="416">
        <f>V49</f>
        <v>287.46944024717334</v>
      </c>
      <c r="AR31" s="416">
        <f>V55</f>
        <v>287.46933418213951</v>
      </c>
      <c r="AS31" s="406"/>
      <c r="AT31" s="406"/>
      <c r="AU31" s="406"/>
      <c r="AV31" s="406"/>
      <c r="AW31" s="406"/>
      <c r="AX31" s="406"/>
      <c r="AY31" s="406"/>
      <c r="AZ31" s="406"/>
      <c r="BA31" s="406"/>
      <c r="BB31" s="406"/>
      <c r="BC31" s="406"/>
      <c r="BD31" s="406"/>
      <c r="BE31" s="406"/>
      <c r="BF31" s="406"/>
      <c r="BG31" s="406"/>
      <c r="BH31" s="406"/>
      <c r="BI31" s="406"/>
      <c r="BJ31" s="406"/>
      <c r="BK31" s="407"/>
      <c r="BL31" s="407"/>
      <c r="BM31" s="407"/>
      <c r="BN31" s="407"/>
      <c r="BO31" s="407"/>
      <c r="BP31" s="407"/>
      <c r="BQ31" s="407"/>
      <c r="BR31" s="407"/>
      <c r="BS31" s="407"/>
      <c r="BT31" s="407"/>
      <c r="BU31" s="407"/>
      <c r="BV31" s="407"/>
      <c r="BW31" s="407"/>
      <c r="BX31" s="407"/>
      <c r="BY31" s="407"/>
      <c r="BZ31" s="407"/>
      <c r="CA31" s="407"/>
      <c r="CB31" s="407"/>
      <c r="CC31" s="407"/>
      <c r="CD31" s="407"/>
      <c r="CE31" s="407"/>
      <c r="CF31" s="407"/>
    </row>
    <row r="32" spans="1:84">
      <c r="A32" s="406"/>
      <c r="B32" s="408"/>
      <c r="C32" s="450"/>
      <c r="D32" s="455"/>
      <c r="E32" s="947"/>
      <c r="F32" s="452"/>
      <c r="G32" s="415"/>
      <c r="H32" s="408"/>
      <c r="I32" s="408"/>
      <c r="J32" s="408"/>
      <c r="K32" s="408"/>
      <c r="L32" s="408"/>
      <c r="M32" s="408"/>
      <c r="N32" s="408"/>
      <c r="O32" s="408"/>
      <c r="P32" s="408"/>
      <c r="Q32" s="408"/>
      <c r="R32" s="408"/>
      <c r="S32" s="408"/>
      <c r="T32" s="408"/>
      <c r="U32" s="408"/>
      <c r="V32" s="416">
        <f>100*(+AD26/$E$9)</f>
        <v>287.30808719893503</v>
      </c>
      <c r="W32" s="426">
        <f>EXP(5.6922-(0.68367*LN(V32)))</f>
        <v>6.1857501560122206</v>
      </c>
      <c r="X32" s="417">
        <f>(+W32*V32)/100</f>
        <v>17.772160452143851</v>
      </c>
      <c r="Y32" s="416">
        <f>100*((((X32/100)-((X32/100)-0.03574)*$E$21)-0.03574-0.00619)/0.344)</f>
        <v>25.44123807678762</v>
      </c>
      <c r="Z32" s="408">
        <f>$E$20</f>
        <v>0.25</v>
      </c>
      <c r="AA32" s="416">
        <f>Y32+Z32</f>
        <v>25.69123807678762</v>
      </c>
      <c r="AB32" s="416">
        <f>100*($E$17*$E$19+($E$18*(AA32/100))/(1-$E$21))</f>
        <v>20.274142631286207</v>
      </c>
      <c r="AC32" s="417">
        <f>AB32/V32</f>
        <v>7.0565861298739513E-2</v>
      </c>
      <c r="AD32" s="415">
        <f>$E$8/(1-AC32)</f>
        <v>2708789.8345558057</v>
      </c>
      <c r="AE32" s="408" t="str">
        <f>IF(AD32=AD26,"yes","not yet")</f>
        <v>not yet</v>
      </c>
      <c r="AF32" s="416">
        <f>100*(1-AC32)</f>
        <v>92.943413870126051</v>
      </c>
      <c r="AG32" s="408"/>
      <c r="AH32" s="408"/>
      <c r="AI32" s="408">
        <v>4</v>
      </c>
      <c r="AJ32" s="416">
        <f>V8</f>
        <v>333.79219655460656</v>
      </c>
      <c r="AK32" s="416">
        <f>V14</f>
        <v>285.40086232050282</v>
      </c>
      <c r="AL32" s="416">
        <f>V20</f>
        <v>287.39703777222087</v>
      </c>
      <c r="AM32" s="416">
        <f>V26</f>
        <v>287.30375169095208</v>
      </c>
      <c r="AN32" s="416">
        <f>V32</f>
        <v>287.30808719893503</v>
      </c>
      <c r="AO32" s="416">
        <f>V38</f>
        <v>287.30788565268688</v>
      </c>
      <c r="AP32" s="416">
        <f>V44</f>
        <v>287.30790320053103</v>
      </c>
      <c r="AQ32" s="416">
        <f>V50</f>
        <v>287.30790320053103</v>
      </c>
      <c r="AR32" s="416">
        <f>V56</f>
        <v>287.30790320053103</v>
      </c>
      <c r="AS32" s="406"/>
      <c r="AT32" s="406"/>
      <c r="AU32" s="406"/>
      <c r="AV32" s="406"/>
      <c r="AW32" s="406"/>
      <c r="AX32" s="406"/>
      <c r="AY32" s="406"/>
      <c r="AZ32" s="406"/>
      <c r="BA32" s="406"/>
      <c r="BB32" s="406"/>
      <c r="BC32" s="406"/>
      <c r="BD32" s="406"/>
      <c r="BE32" s="406"/>
      <c r="BF32" s="406"/>
      <c r="BG32" s="406"/>
      <c r="BH32" s="406"/>
      <c r="BI32" s="406"/>
      <c r="BJ32" s="406"/>
      <c r="BK32" s="407"/>
      <c r="BL32" s="407"/>
      <c r="BM32" s="407"/>
      <c r="BN32" s="407"/>
      <c r="BO32" s="407"/>
      <c r="BP32" s="407"/>
      <c r="BQ32" s="407"/>
      <c r="BR32" s="407"/>
      <c r="BS32" s="407"/>
      <c r="BT32" s="407"/>
      <c r="BU32" s="407"/>
      <c r="BV32" s="407"/>
      <c r="BW32" s="407"/>
      <c r="BX32" s="407"/>
      <c r="BY32" s="407"/>
      <c r="BZ32" s="407"/>
      <c r="CA32" s="407"/>
      <c r="CB32" s="407"/>
      <c r="CC32" s="407"/>
      <c r="CD32" s="407"/>
      <c r="CE32" s="407"/>
      <c r="CF32" s="407"/>
    </row>
    <row r="33" spans="1:84">
      <c r="A33" s="406"/>
      <c r="B33" s="408"/>
      <c r="C33" s="450"/>
      <c r="D33" s="450"/>
      <c r="E33" s="948"/>
      <c r="F33" s="452"/>
      <c r="G33" s="414"/>
      <c r="H33" s="408"/>
      <c r="I33" s="414"/>
      <c r="J33" s="408"/>
      <c r="K33" s="408"/>
      <c r="L33" s="408"/>
      <c r="M33" s="408"/>
      <c r="N33" s="408"/>
      <c r="O33" s="408"/>
      <c r="P33" s="408"/>
      <c r="Q33" s="408"/>
      <c r="R33" s="408"/>
      <c r="S33" s="408"/>
      <c r="T33" s="408"/>
      <c r="U33" s="408"/>
      <c r="V33" s="408"/>
      <c r="W33" s="408"/>
      <c r="X33" s="408"/>
      <c r="Y33" s="408"/>
      <c r="Z33" s="408"/>
      <c r="AA33" s="416"/>
      <c r="AB33" s="408"/>
      <c r="AC33" s="408"/>
      <c r="AD33" s="408"/>
      <c r="AE33" s="408"/>
      <c r="AF33" s="408"/>
      <c r="AG33" s="408"/>
      <c r="AH33" s="408"/>
      <c r="AI33" s="408"/>
      <c r="AJ33" s="408"/>
      <c r="AK33" s="408"/>
      <c r="AL33" s="408"/>
      <c r="AM33" s="408"/>
      <c r="AN33" s="408"/>
      <c r="AO33" s="408"/>
      <c r="AP33" s="408"/>
      <c r="AQ33" s="408"/>
      <c r="AR33" s="408"/>
      <c r="AS33" s="406"/>
      <c r="AT33" s="406"/>
      <c r="AU33" s="406"/>
      <c r="AV33" s="406"/>
      <c r="AW33" s="406"/>
      <c r="AX33" s="406"/>
      <c r="AY33" s="406"/>
      <c r="AZ33" s="406"/>
      <c r="BA33" s="406"/>
      <c r="BB33" s="406"/>
      <c r="BC33" s="406"/>
      <c r="BD33" s="406"/>
      <c r="BE33" s="406"/>
      <c r="BF33" s="406"/>
      <c r="BG33" s="406"/>
      <c r="BH33" s="406"/>
      <c r="BI33" s="406"/>
      <c r="BJ33" s="406"/>
      <c r="BK33" s="407"/>
      <c r="BL33" s="407"/>
      <c r="BM33" s="407"/>
      <c r="BN33" s="407"/>
      <c r="BO33" s="407"/>
      <c r="BP33" s="407"/>
      <c r="BQ33" s="407"/>
      <c r="BR33" s="407"/>
      <c r="BS33" s="407"/>
      <c r="BT33" s="407"/>
      <c r="BU33" s="407"/>
      <c r="BV33" s="407"/>
      <c r="BW33" s="407"/>
      <c r="BX33" s="407"/>
      <c r="BY33" s="407"/>
      <c r="BZ33" s="407"/>
      <c r="CA33" s="407"/>
      <c r="CB33" s="407"/>
      <c r="CC33" s="407"/>
      <c r="CD33" s="407"/>
      <c r="CE33" s="407"/>
      <c r="CF33" s="407"/>
    </row>
    <row r="34" spans="1:84">
      <c r="A34" s="406"/>
      <c r="B34" s="408"/>
      <c r="C34" s="450"/>
      <c r="D34" s="450"/>
      <c r="E34" s="945"/>
      <c r="F34" s="452"/>
      <c r="G34" s="408"/>
      <c r="H34" s="408"/>
      <c r="I34" s="408"/>
      <c r="J34" s="408"/>
      <c r="K34" s="408"/>
      <c r="L34" s="408"/>
      <c r="M34" s="408"/>
      <c r="N34" s="408"/>
      <c r="O34" s="408"/>
      <c r="P34" s="408"/>
      <c r="Q34" s="408"/>
      <c r="R34" s="408"/>
      <c r="S34" s="408"/>
      <c r="T34" s="408"/>
      <c r="U34" s="408"/>
      <c r="V34" s="413" t="s">
        <v>981</v>
      </c>
      <c r="W34" s="425" t="s">
        <v>718</v>
      </c>
      <c r="X34" s="425" t="s">
        <v>930</v>
      </c>
      <c r="Y34" s="425" t="s">
        <v>931</v>
      </c>
      <c r="Z34" s="408"/>
      <c r="AA34" s="416"/>
      <c r="AB34" s="408"/>
      <c r="AC34" s="408"/>
      <c r="AD34" s="408"/>
      <c r="AE34" s="408"/>
      <c r="AF34" s="408"/>
      <c r="AG34" s="408"/>
      <c r="AH34" s="408"/>
      <c r="AI34" s="408"/>
      <c r="AJ34" s="408" t="s">
        <v>977</v>
      </c>
      <c r="AK34" s="408"/>
      <c r="AL34" s="408"/>
      <c r="AM34" s="408"/>
      <c r="AN34" s="408"/>
      <c r="AO34" s="408"/>
      <c r="AP34" s="408"/>
      <c r="AQ34" s="408"/>
      <c r="AR34" s="408"/>
      <c r="AS34" s="406"/>
      <c r="AT34" s="406"/>
      <c r="AU34" s="406"/>
      <c r="AV34" s="406"/>
      <c r="AW34" s="406"/>
      <c r="AX34" s="406"/>
      <c r="AY34" s="406"/>
      <c r="AZ34" s="406"/>
      <c r="BA34" s="406"/>
      <c r="BB34" s="406"/>
      <c r="BC34" s="406"/>
      <c r="BD34" s="406"/>
      <c r="BE34" s="406"/>
      <c r="BF34" s="406"/>
      <c r="BG34" s="406"/>
      <c r="BH34" s="406"/>
      <c r="BI34" s="406"/>
      <c r="BJ34" s="406"/>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row>
    <row r="35" spans="1:84">
      <c r="A35" s="406"/>
      <c r="B35" s="408"/>
      <c r="C35" s="450"/>
      <c r="D35" s="450"/>
      <c r="E35" s="949"/>
      <c r="F35" s="452"/>
      <c r="G35" s="452"/>
      <c r="H35" s="408"/>
      <c r="I35" s="408"/>
      <c r="J35" s="408"/>
      <c r="K35" s="408"/>
      <c r="L35" s="408"/>
      <c r="M35" s="408"/>
      <c r="N35" s="408"/>
      <c r="O35" s="408"/>
      <c r="P35" s="408"/>
      <c r="Q35" s="408"/>
      <c r="R35" s="408"/>
      <c r="S35" s="408"/>
      <c r="T35" s="408"/>
      <c r="U35" s="408"/>
      <c r="V35" s="416">
        <f>100*(+AD29/$E$9)</f>
        <v>288.09714235197669</v>
      </c>
      <c r="W35" s="426">
        <f>EXP(5.7226-(0.68367*LN(+V35)))</f>
        <v>6.3647391271731237</v>
      </c>
      <c r="X35" s="417">
        <f>(+W35*V35)/100</f>
        <v>18.336631543543913</v>
      </c>
      <c r="Y35" s="416">
        <f>100*((((X35/100)-((X35/100)-0.03574)*$E$21)-0.03574-0.00619)/0.344)</f>
        <v>26.52423493819472</v>
      </c>
      <c r="Z35" s="408">
        <f>$E$20</f>
        <v>0.25</v>
      </c>
      <c r="AA35" s="416">
        <f>Y35+Z35</f>
        <v>26.77423493819472</v>
      </c>
      <c r="AB35" s="416">
        <f>100*($E$17*$E$19+($E$18*(AA35/100))/(1-$E$21))</f>
        <v>21.063395708591926</v>
      </c>
      <c r="AC35" s="417">
        <f>AB35/V35</f>
        <v>7.3112129945593698E-2</v>
      </c>
      <c r="AD35" s="415">
        <f>ROUND($E$8/(1-AC35),0)</f>
        <v>2716231</v>
      </c>
      <c r="AE35" s="408" t="str">
        <f>IF(AD35=AD29,"yes","not yet")</f>
        <v>not yet</v>
      </c>
      <c r="AF35" s="416">
        <f>100*(1-AC35)</f>
        <v>92.688787005440631</v>
      </c>
      <c r="AG35" s="408"/>
      <c r="AH35" s="408"/>
      <c r="AI35" s="408"/>
      <c r="AJ35" s="416">
        <f>HLOOKUP($AJ$34,$AJ$28:$AR$32,($E$12)+1)</f>
        <v>287.46933418213951</v>
      </c>
      <c r="AK35" s="408"/>
      <c r="AL35" s="408"/>
      <c r="AM35" s="408"/>
      <c r="AN35" s="408"/>
      <c r="AO35" s="408"/>
      <c r="AP35" s="408"/>
      <c r="AQ35" s="408"/>
      <c r="AR35" s="408"/>
      <c r="AS35" s="406"/>
      <c r="AT35" s="406"/>
      <c r="AU35" s="406"/>
      <c r="AV35" s="406"/>
      <c r="AW35" s="406"/>
      <c r="AX35" s="406"/>
      <c r="AY35" s="406"/>
      <c r="AZ35" s="406"/>
      <c r="BA35" s="406"/>
      <c r="BB35" s="406"/>
      <c r="BC35" s="406"/>
      <c r="BD35" s="406"/>
      <c r="BE35" s="406"/>
      <c r="BF35" s="406"/>
      <c r="BG35" s="406"/>
      <c r="BH35" s="406"/>
      <c r="BI35" s="406"/>
      <c r="BJ35" s="406"/>
      <c r="BK35" s="407"/>
      <c r="BL35" s="407"/>
      <c r="BM35" s="407"/>
      <c r="BN35" s="407"/>
      <c r="BO35" s="407"/>
      <c r="BP35" s="407"/>
      <c r="BQ35" s="407"/>
      <c r="BR35" s="407"/>
      <c r="BS35" s="407"/>
      <c r="BT35" s="407"/>
      <c r="BU35" s="407"/>
      <c r="BV35" s="407"/>
      <c r="BW35" s="407"/>
      <c r="BX35" s="407"/>
      <c r="BY35" s="407"/>
      <c r="BZ35" s="407"/>
      <c r="CA35" s="407"/>
      <c r="CB35" s="407"/>
      <c r="CC35" s="407"/>
      <c r="CD35" s="407"/>
      <c r="CE35" s="407"/>
      <c r="CF35" s="407"/>
    </row>
    <row r="36" spans="1:84" ht="15.75">
      <c r="A36" s="406"/>
      <c r="B36" s="408"/>
      <c r="C36" s="450"/>
      <c r="D36" s="450"/>
      <c r="E36" s="950"/>
      <c r="F36" s="408"/>
      <c r="G36" s="408"/>
      <c r="H36" s="408"/>
      <c r="I36" s="408"/>
      <c r="J36" s="408"/>
      <c r="K36" s="408"/>
      <c r="L36" s="408"/>
      <c r="M36" s="408"/>
      <c r="N36" s="408"/>
      <c r="O36" s="408"/>
      <c r="P36" s="408"/>
      <c r="Q36" s="408"/>
      <c r="R36" s="408"/>
      <c r="S36" s="408"/>
      <c r="T36" s="408"/>
      <c r="U36" s="408"/>
      <c r="V36" s="416">
        <f>100*(+AD30/$E$9)</f>
        <v>287.72194562407435</v>
      </c>
      <c r="W36" s="426">
        <f>EXP(5.70827-(0.68367*LN(+V36)))</f>
        <v>6.2797752267623608</v>
      </c>
      <c r="X36" s="417">
        <f>(+W36*V36)/100</f>
        <v>18.068291463259289</v>
      </c>
      <c r="Y36" s="416">
        <f>100*((((X36/100)-((X36/100)-0.03574)*$E$21)-0.03574-0.00619)/0.344)</f>
        <v>26.009396412067243</v>
      </c>
      <c r="Z36" s="408">
        <f>$E$20</f>
        <v>0.25</v>
      </c>
      <c r="AA36" s="416">
        <f>Y36+Z36</f>
        <v>26.259396412067243</v>
      </c>
      <c r="AB36" s="416">
        <f>100*($E$17*$E$19+($E$18*(AA36/100))/(1-$E$21))</f>
        <v>20.688198045937845</v>
      </c>
      <c r="AC36" s="417">
        <f>AB36/V36</f>
        <v>7.1903441362683521E-2</v>
      </c>
      <c r="AD36" s="415">
        <f>ROUND($E$8/(1-AC36),0)</f>
        <v>2712694</v>
      </c>
      <c r="AE36" s="408" t="str">
        <f>IF(AD36=AD30,"yes","not yet")</f>
        <v>not yet</v>
      </c>
      <c r="AF36" s="416">
        <f>100*(1-AC36)</f>
        <v>92.809655863731649</v>
      </c>
      <c r="AG36" s="408"/>
      <c r="AH36" s="408"/>
      <c r="AI36" s="408"/>
      <c r="AJ36" s="408"/>
      <c r="AK36" s="408"/>
      <c r="AL36" s="408"/>
      <c r="AM36" s="408"/>
      <c r="AN36" s="408"/>
      <c r="AO36" s="408"/>
      <c r="AP36" s="408"/>
      <c r="AQ36" s="408"/>
      <c r="AR36" s="408"/>
      <c r="AS36" s="406"/>
      <c r="AT36" s="406"/>
      <c r="AU36" s="406"/>
      <c r="AV36" s="406"/>
      <c r="AW36" s="406"/>
      <c r="AX36" s="406"/>
      <c r="AY36" s="406"/>
      <c r="AZ36" s="406"/>
      <c r="BA36" s="406"/>
      <c r="BB36" s="406"/>
      <c r="BC36" s="406"/>
      <c r="BD36" s="406"/>
      <c r="BE36" s="406"/>
      <c r="BF36" s="406"/>
      <c r="BG36" s="406"/>
      <c r="BH36" s="406"/>
      <c r="BI36" s="406"/>
      <c r="BJ36" s="406"/>
      <c r="BK36" s="407"/>
      <c r="BL36" s="407"/>
      <c r="BM36" s="407"/>
      <c r="BN36" s="407"/>
      <c r="BO36" s="407"/>
      <c r="BP36" s="407"/>
      <c r="BQ36" s="407"/>
      <c r="BR36" s="407"/>
      <c r="BS36" s="407"/>
      <c r="BT36" s="407"/>
      <c r="BU36" s="407"/>
      <c r="BV36" s="407"/>
      <c r="BW36" s="407"/>
      <c r="BX36" s="407"/>
      <c r="BY36" s="407"/>
      <c r="BZ36" s="407"/>
      <c r="CA36" s="407"/>
      <c r="CB36" s="407"/>
      <c r="CC36" s="407"/>
      <c r="CD36" s="407"/>
      <c r="CE36" s="407"/>
      <c r="CF36" s="407"/>
    </row>
    <row r="37" spans="1:84">
      <c r="A37" s="406"/>
      <c r="B37" s="408"/>
      <c r="C37" s="450"/>
      <c r="D37" s="450"/>
      <c r="E37" s="427"/>
      <c r="F37" s="408"/>
      <c r="G37" s="452"/>
      <c r="H37" s="408"/>
      <c r="I37" s="408"/>
      <c r="J37" s="408"/>
      <c r="K37" s="408"/>
      <c r="L37" s="408"/>
      <c r="M37" s="408"/>
      <c r="N37" s="408"/>
      <c r="O37" s="408"/>
      <c r="P37" s="408"/>
      <c r="Q37" s="408"/>
      <c r="R37" s="408"/>
      <c r="S37" s="408"/>
      <c r="T37" s="408"/>
      <c r="U37" s="408"/>
      <c r="V37" s="416">
        <f>100*(+AD31/$E$9)</f>
        <v>287.46937559511878</v>
      </c>
      <c r="W37" s="426">
        <f>EXP(5.6985-(0.68367*LN(V37)))</f>
        <v>6.2224554474513791</v>
      </c>
      <c r="X37" s="417">
        <f>(+W37*V37)/100</f>
        <v>17.887653821472934</v>
      </c>
      <c r="Y37" s="416">
        <f>100*((((X37/100)-((X37/100)-0.03574)*$E$21)-0.03574-0.00619)/0.344)</f>
        <v>25.662824192360866</v>
      </c>
      <c r="Z37" s="408">
        <f>$E$20</f>
        <v>0.25</v>
      </c>
      <c r="AA37" s="416">
        <f>Y37+Z37</f>
        <v>25.912824192360866</v>
      </c>
      <c r="AB37" s="416">
        <f>100*($E$17*$E$19+($E$18*(AA37/100))/(1-$E$21))</f>
        <v>20.435627423935728</v>
      </c>
      <c r="AC37" s="417">
        <f>AB37/V37</f>
        <v>7.1088015485579692E-2</v>
      </c>
      <c r="AD37" s="415">
        <f>ROUND($E$8/(1-AC37),0)</f>
        <v>2710312</v>
      </c>
      <c r="AE37" s="408" t="str">
        <f>IF(AD37=AD31,"yes","not yet")</f>
        <v>not yet</v>
      </c>
      <c r="AF37" s="416">
        <f>100*(1-AC37)</f>
        <v>92.891198451442023</v>
      </c>
      <c r="AG37" s="408"/>
      <c r="AH37" s="408"/>
      <c r="AI37" s="408"/>
      <c r="AJ37" s="408" t="str">
        <f>HLOOKUP(1,$AJ$13:$AR$17,($E$12)+1)</f>
        <v>not yet</v>
      </c>
      <c r="AK37" s="408" t="str">
        <f>HLOOKUP(2,$AJ$13:$AR$17,($E$12)+1)</f>
        <v>not yet</v>
      </c>
      <c r="AL37" s="408" t="str">
        <f>HLOOKUP(3,$AJ$13:$AR$17,($E$12)+1)</f>
        <v>not yet</v>
      </c>
      <c r="AM37" s="408" t="str">
        <f>HLOOKUP(4,$AJ$13:$AR$17,($E$12)+1)</f>
        <v>not yet</v>
      </c>
      <c r="AN37" s="408" t="str">
        <f>HLOOKUP(5,$AJ$13:$AR$17,($E$12)+1)</f>
        <v>not yet</v>
      </c>
      <c r="AO37" s="408" t="str">
        <f>HLOOKUP(6,$AJ$13:$AR$17,($E$12)+1)</f>
        <v>not yet</v>
      </c>
      <c r="AP37" s="408" t="str">
        <f>HLOOKUP(7,$AJ$13:$AR$17,($E$12)+1)</f>
        <v>not yet</v>
      </c>
      <c r="AQ37" s="408" t="str">
        <f>HLOOKUP(8,$AJ$13:$AR$17,($E$12)+1)</f>
        <v>yes</v>
      </c>
      <c r="AR37" s="408" t="str">
        <f>HLOOKUP(9,$AJ$13:$AR$17,($E$12)+1)</f>
        <v>yes</v>
      </c>
      <c r="AS37" s="406"/>
      <c r="AT37" s="406"/>
      <c r="AU37" s="406"/>
      <c r="AV37" s="406"/>
      <c r="AW37" s="406"/>
      <c r="AX37" s="406"/>
      <c r="AY37" s="406"/>
      <c r="AZ37" s="406"/>
      <c r="BA37" s="406"/>
      <c r="BB37" s="406"/>
      <c r="BC37" s="406"/>
      <c r="BD37" s="406"/>
      <c r="BE37" s="406"/>
      <c r="BF37" s="406"/>
      <c r="BG37" s="406"/>
      <c r="BH37" s="406"/>
      <c r="BI37" s="406"/>
      <c r="BJ37" s="406"/>
      <c r="BK37" s="407"/>
      <c r="BL37" s="407"/>
      <c r="BM37" s="407"/>
      <c r="BN37" s="407"/>
      <c r="BO37" s="407"/>
      <c r="BP37" s="407"/>
      <c r="BQ37" s="407"/>
      <c r="BR37" s="407"/>
      <c r="BS37" s="407"/>
      <c r="BT37" s="407"/>
      <c r="BU37" s="407"/>
      <c r="BV37" s="407"/>
      <c r="BW37" s="407"/>
      <c r="BX37" s="407"/>
      <c r="BY37" s="407"/>
      <c r="BZ37" s="407"/>
      <c r="CA37" s="407"/>
      <c r="CB37" s="407"/>
      <c r="CC37" s="407"/>
      <c r="CD37" s="407"/>
      <c r="CE37" s="407"/>
      <c r="CF37" s="407"/>
    </row>
    <row r="38" spans="1:84">
      <c r="A38" s="406"/>
      <c r="B38" s="408"/>
      <c r="C38" s="450"/>
      <c r="D38" s="450"/>
      <c r="E38" s="949"/>
      <c r="F38" s="408"/>
      <c r="G38" s="408"/>
      <c r="H38" s="408"/>
      <c r="I38" s="408"/>
      <c r="J38" s="408"/>
      <c r="K38" s="408"/>
      <c r="L38" s="408"/>
      <c r="M38" s="408"/>
      <c r="N38" s="408"/>
      <c r="O38" s="408"/>
      <c r="P38" s="408"/>
      <c r="Q38" s="408"/>
      <c r="R38" s="408"/>
      <c r="S38" s="408"/>
      <c r="T38" s="408"/>
      <c r="U38" s="408"/>
      <c r="V38" s="416">
        <f>100*(+AD32/$E$9)</f>
        <v>287.30788565268688</v>
      </c>
      <c r="W38" s="426">
        <f>EXP(5.6922-(0.68367*LN(V38)))</f>
        <v>6.1857531226602385</v>
      </c>
      <c r="X38" s="417">
        <f>(+W38*V38)/100</f>
        <v>17.772156508410184</v>
      </c>
      <c r="Y38" s="416">
        <f>100*((((X38/100)-((X38/100)-0.03574)*$E$21)-0.03574-0.00619)/0.344)</f>
        <v>25.441230510321866</v>
      </c>
      <c r="Z38" s="408">
        <f>$E$20</f>
        <v>0.25</v>
      </c>
      <c r="AA38" s="416">
        <f>Y38+Z38</f>
        <v>25.691230510321866</v>
      </c>
      <c r="AB38" s="416">
        <f>100*($E$17*$E$19+($E$18*(AA38/100))/(1-$E$21))</f>
        <v>20.274137117090742</v>
      </c>
      <c r="AC38" s="417">
        <f>AB38/V38</f>
        <v>7.0565891607998546E-2</v>
      </c>
      <c r="AD38" s="415">
        <f>ROUND($E$8/(1-AC38),0)</f>
        <v>2708790</v>
      </c>
      <c r="AE38" s="408" t="str">
        <f>IF(AD38=AD32,"yes","not yet")</f>
        <v>not yet</v>
      </c>
      <c r="AF38" s="416">
        <f>100*(1-AC38)</f>
        <v>92.943410839200141</v>
      </c>
      <c r="AG38" s="408"/>
      <c r="AH38" s="408"/>
      <c r="AI38" s="408">
        <v>1</v>
      </c>
      <c r="AJ38" s="415">
        <f>AD5</f>
        <v>2697757.5110308006</v>
      </c>
      <c r="AK38" s="415">
        <f>AD11</f>
        <v>2717132.4188278359</v>
      </c>
      <c r="AL38" s="415">
        <f>AD17</f>
        <v>2716187.4856329653</v>
      </c>
      <c r="AM38" s="415">
        <f>AD23</f>
        <v>2716233.3099107398</v>
      </c>
      <c r="AN38" s="415">
        <f>AD29</f>
        <v>2716231.0870610559</v>
      </c>
      <c r="AO38" s="415">
        <f>AD35</f>
        <v>2716231</v>
      </c>
      <c r="AP38" s="415">
        <f>AD41</f>
        <v>2716231</v>
      </c>
      <c r="AQ38" s="415">
        <f>AD47</f>
        <v>2716231</v>
      </c>
      <c r="AR38" s="415">
        <f>AD53</f>
        <v>2716231</v>
      </c>
      <c r="AS38" s="406"/>
      <c r="AT38" s="406"/>
      <c r="AU38" s="406"/>
      <c r="AV38" s="406"/>
      <c r="AW38" s="406"/>
      <c r="AX38" s="406"/>
      <c r="AY38" s="406"/>
      <c r="AZ38" s="406"/>
      <c r="BA38" s="406"/>
      <c r="BB38" s="406"/>
      <c r="BC38" s="406"/>
      <c r="BD38" s="406"/>
      <c r="BE38" s="406"/>
      <c r="BF38" s="406"/>
      <c r="BG38" s="406"/>
      <c r="BH38" s="406"/>
      <c r="BI38" s="406"/>
      <c r="BJ38" s="406"/>
      <c r="BK38" s="407"/>
      <c r="BL38" s="407"/>
      <c r="BM38" s="407"/>
      <c r="BN38" s="407"/>
      <c r="BO38" s="407"/>
      <c r="BP38" s="407"/>
      <c r="BQ38" s="407"/>
      <c r="BR38" s="407"/>
      <c r="BS38" s="407"/>
      <c r="BT38" s="407"/>
      <c r="BU38" s="407"/>
      <c r="BV38" s="407"/>
      <c r="BW38" s="407"/>
      <c r="BX38" s="407"/>
      <c r="BY38" s="407"/>
      <c r="BZ38" s="407"/>
      <c r="CA38" s="407"/>
      <c r="CB38" s="407"/>
      <c r="CC38" s="407"/>
      <c r="CD38" s="407"/>
      <c r="CE38" s="407"/>
      <c r="CF38" s="407"/>
    </row>
    <row r="39" spans="1:84" ht="15.75">
      <c r="A39" s="406"/>
      <c r="B39" s="408"/>
      <c r="C39" s="450"/>
      <c r="D39" s="450"/>
      <c r="E39" s="951"/>
      <c r="F39" s="408"/>
      <c r="G39" s="408"/>
      <c r="H39" s="408"/>
      <c r="I39" s="408"/>
      <c r="J39" s="408"/>
      <c r="K39" s="408"/>
      <c r="L39" s="408"/>
      <c r="M39" s="408"/>
      <c r="N39" s="408"/>
      <c r="O39" s="408"/>
      <c r="P39" s="408"/>
      <c r="Q39" s="408"/>
      <c r="R39" s="408"/>
      <c r="S39" s="408"/>
      <c r="T39" s="408"/>
      <c r="U39" s="408"/>
      <c r="V39" s="408"/>
      <c r="W39" s="408"/>
      <c r="X39" s="408"/>
      <c r="Y39" s="408"/>
      <c r="Z39" s="408"/>
      <c r="AA39" s="416"/>
      <c r="AB39" s="408"/>
      <c r="AC39" s="408"/>
      <c r="AD39" s="408"/>
      <c r="AE39" s="408"/>
      <c r="AF39" s="408"/>
      <c r="AG39" s="408"/>
      <c r="AH39" s="408"/>
      <c r="AI39" s="408">
        <v>2</v>
      </c>
      <c r="AJ39" s="415">
        <f>AD6</f>
        <v>2694451.8310261131</v>
      </c>
      <c r="AK39" s="415">
        <f>AD12</f>
        <v>2713565.9908385603</v>
      </c>
      <c r="AL39" s="415">
        <f>AD18</f>
        <v>2712652.2985109524</v>
      </c>
      <c r="AM39" s="415">
        <f>AD24</f>
        <v>2712695.7306840569</v>
      </c>
      <c r="AN39" s="415">
        <f>AD30</f>
        <v>2712693.6655935189</v>
      </c>
      <c r="AO39" s="415">
        <f>AD36</f>
        <v>2712694</v>
      </c>
      <c r="AP39" s="415">
        <f>AD42</f>
        <v>2712694</v>
      </c>
      <c r="AQ39" s="415">
        <f>AD48</f>
        <v>2712694</v>
      </c>
      <c r="AR39" s="415">
        <f>AD54</f>
        <v>2712694</v>
      </c>
      <c r="AS39" s="406"/>
      <c r="AT39" s="406"/>
      <c r="AU39" s="406"/>
      <c r="AV39" s="406"/>
      <c r="AW39" s="406"/>
      <c r="AX39" s="406"/>
      <c r="AY39" s="406"/>
      <c r="AZ39" s="406"/>
      <c r="BA39" s="406"/>
      <c r="BB39" s="406"/>
      <c r="BC39" s="406"/>
      <c r="BD39" s="406"/>
      <c r="BE39" s="406"/>
      <c r="BF39" s="406"/>
      <c r="BG39" s="406"/>
      <c r="BH39" s="406"/>
      <c r="BI39" s="406"/>
      <c r="BJ39" s="406"/>
      <c r="BK39" s="407"/>
      <c r="BL39" s="407"/>
      <c r="BM39" s="407"/>
      <c r="BN39" s="407"/>
      <c r="BO39" s="407"/>
      <c r="BP39" s="407"/>
      <c r="BQ39" s="407"/>
      <c r="BR39" s="407"/>
      <c r="BS39" s="407"/>
      <c r="BT39" s="407"/>
      <c r="BU39" s="407"/>
      <c r="BV39" s="407"/>
      <c r="BW39" s="407"/>
      <c r="BX39" s="407"/>
      <c r="BY39" s="407"/>
      <c r="BZ39" s="407"/>
      <c r="CA39" s="407"/>
      <c r="CB39" s="407"/>
      <c r="CC39" s="407"/>
      <c r="CD39" s="407"/>
      <c r="CE39" s="407"/>
      <c r="CF39" s="407"/>
    </row>
    <row r="40" spans="1:84">
      <c r="A40" s="406"/>
      <c r="B40" s="408"/>
      <c r="C40" s="408"/>
      <c r="D40" s="408"/>
      <c r="E40" s="412"/>
      <c r="F40" s="408"/>
      <c r="G40" s="408"/>
      <c r="H40" s="408"/>
      <c r="I40" s="408"/>
      <c r="J40" s="408"/>
      <c r="K40" s="408"/>
      <c r="L40" s="408"/>
      <c r="M40" s="408"/>
      <c r="N40" s="408"/>
      <c r="O40" s="408"/>
      <c r="P40" s="408"/>
      <c r="Q40" s="408"/>
      <c r="R40" s="408"/>
      <c r="S40" s="408"/>
      <c r="T40" s="408"/>
      <c r="U40" s="408"/>
      <c r="V40" s="413" t="s">
        <v>983</v>
      </c>
      <c r="W40" s="425" t="s">
        <v>718</v>
      </c>
      <c r="X40" s="425" t="s">
        <v>930</v>
      </c>
      <c r="Y40" s="425" t="s">
        <v>931</v>
      </c>
      <c r="Z40" s="408"/>
      <c r="AA40" s="416"/>
      <c r="AB40" s="408"/>
      <c r="AC40" s="408"/>
      <c r="AD40" s="408"/>
      <c r="AE40" s="408"/>
      <c r="AF40" s="408"/>
      <c r="AG40" s="408"/>
      <c r="AH40" s="408"/>
      <c r="AI40" s="408">
        <v>3</v>
      </c>
      <c r="AJ40" s="415">
        <f>AD7</f>
        <v>2692229.6310606226</v>
      </c>
      <c r="AK40" s="415">
        <f>AD13</f>
        <v>2711165.2986538452</v>
      </c>
      <c r="AL40" s="415">
        <f>AD19</f>
        <v>2710272.4913651007</v>
      </c>
      <c r="AM40" s="415">
        <f>AD25</f>
        <v>2710314.3538327627</v>
      </c>
      <c r="AN40" s="415">
        <f>AD31</f>
        <v>2710312.3904489325</v>
      </c>
      <c r="AO40" s="415">
        <f>AD37</f>
        <v>2710312</v>
      </c>
      <c r="AP40" s="415">
        <f>AD43</f>
        <v>2710313</v>
      </c>
      <c r="AQ40" s="415">
        <f>AD49</f>
        <v>2710312</v>
      </c>
      <c r="AR40" s="415">
        <f>AD55</f>
        <v>2710313</v>
      </c>
      <c r="AS40" s="406"/>
      <c r="AT40" s="406"/>
      <c r="AU40" s="406"/>
      <c r="AV40" s="406"/>
      <c r="AW40" s="406"/>
      <c r="AX40" s="406"/>
      <c r="AY40" s="406"/>
      <c r="AZ40" s="406"/>
      <c r="BA40" s="406"/>
      <c r="BB40" s="406"/>
      <c r="BC40" s="406"/>
      <c r="BD40" s="406"/>
      <c r="BE40" s="406"/>
      <c r="BF40" s="406"/>
      <c r="BG40" s="406"/>
      <c r="BH40" s="406"/>
      <c r="BI40" s="406"/>
      <c r="BJ40" s="406"/>
      <c r="BK40" s="407"/>
      <c r="BL40" s="407"/>
      <c r="BM40" s="407"/>
      <c r="BN40" s="407"/>
      <c r="BO40" s="407"/>
      <c r="BP40" s="407"/>
      <c r="BQ40" s="407"/>
      <c r="BR40" s="407"/>
      <c r="BS40" s="407"/>
      <c r="BT40" s="407"/>
      <c r="BU40" s="407"/>
      <c r="BV40" s="407"/>
      <c r="BW40" s="407"/>
      <c r="BX40" s="407"/>
      <c r="BY40" s="407"/>
      <c r="BZ40" s="407"/>
      <c r="CA40" s="407"/>
      <c r="CB40" s="407"/>
      <c r="CC40" s="407"/>
      <c r="CD40" s="407"/>
      <c r="CE40" s="407"/>
      <c r="CF40" s="407"/>
    </row>
    <row r="41" spans="1:84">
      <c r="A41" s="406"/>
      <c r="B41" s="408"/>
      <c r="C41" s="408"/>
      <c r="D41" s="408"/>
      <c r="E41" s="412"/>
      <c r="F41" s="408"/>
      <c r="G41" s="408"/>
      <c r="H41" s="408"/>
      <c r="I41" s="408"/>
      <c r="J41" s="408"/>
      <c r="K41" s="408"/>
      <c r="L41" s="408"/>
      <c r="M41" s="408"/>
      <c r="N41" s="408"/>
      <c r="O41" s="408"/>
      <c r="P41" s="408"/>
      <c r="Q41" s="408"/>
      <c r="R41" s="408"/>
      <c r="S41" s="408"/>
      <c r="T41" s="408"/>
      <c r="U41" s="408"/>
      <c r="V41" s="416">
        <f>100*(+AD35/$E$9)</f>
        <v>288.09713311784282</v>
      </c>
      <c r="W41" s="426">
        <f>EXP(5.7226-(0.68367*LN(+V41)))</f>
        <v>6.3647392666442659</v>
      </c>
      <c r="X41" s="417">
        <f>(+W41*V41)/100</f>
        <v>18.336631357627745</v>
      </c>
      <c r="Y41" s="416">
        <f>100*((((X41/100)-((X41/100)-0.03574)*$E$21)-0.03574-0.00619)/0.344)</f>
        <v>26.524234581495087</v>
      </c>
      <c r="Z41" s="408">
        <f>$E$20</f>
        <v>0.25</v>
      </c>
      <c r="AA41" s="416">
        <f>Y41+Z41</f>
        <v>26.774234581495087</v>
      </c>
      <c r="AB41" s="416">
        <f>100*($E$17*$E$19+($E$18*(AA41/100))/(1-$E$21))</f>
        <v>21.063395448640776</v>
      </c>
      <c r="AC41" s="417">
        <f>AB41/V41</f>
        <v>7.3112131386691162E-2</v>
      </c>
      <c r="AD41" s="415">
        <f>ROUND($E$8/(1-AC41),0)</f>
        <v>2716231</v>
      </c>
      <c r="AE41" s="408" t="str">
        <f>IF(OR(OR(AD41=AD35,AD41=(AD35+1)),AD41=(AD27-1)),"yes","not yet")</f>
        <v>yes</v>
      </c>
      <c r="AF41" s="416">
        <f>100*(1-AC41)</f>
        <v>92.688786861330883</v>
      </c>
      <c r="AG41" s="408"/>
      <c r="AH41" s="408"/>
      <c r="AI41" s="408">
        <v>4</v>
      </c>
      <c r="AJ41" s="415">
        <f>AD8</f>
        <v>2690810.0794761782</v>
      </c>
      <c r="AK41" s="415">
        <f>AD14</f>
        <v>2709630.3765916573</v>
      </c>
      <c r="AL41" s="415">
        <f>AD20</f>
        <v>2708750.8588294755</v>
      </c>
      <c r="AM41" s="415">
        <f>AD26</f>
        <v>2708791.7347696717</v>
      </c>
      <c r="AN41" s="415">
        <f>AD32</f>
        <v>2708789.8345558057</v>
      </c>
      <c r="AO41" s="415">
        <f>AD38</f>
        <v>2708790</v>
      </c>
      <c r="AP41" s="415">
        <f>AD44</f>
        <v>2708790</v>
      </c>
      <c r="AQ41" s="415">
        <f>AD50</f>
        <v>2708790</v>
      </c>
      <c r="AR41" s="415">
        <f>AD56</f>
        <v>2708790</v>
      </c>
      <c r="AS41" s="406"/>
      <c r="AT41" s="406"/>
      <c r="AU41" s="406"/>
      <c r="AV41" s="406"/>
      <c r="AW41" s="406"/>
      <c r="AX41" s="406"/>
      <c r="AY41" s="406"/>
      <c r="AZ41" s="406"/>
      <c r="BA41" s="406"/>
      <c r="BB41" s="406"/>
      <c r="BC41" s="406"/>
      <c r="BD41" s="406"/>
      <c r="BE41" s="406"/>
      <c r="BF41" s="406"/>
      <c r="BG41" s="406"/>
      <c r="BH41" s="406"/>
      <c r="BI41" s="406"/>
      <c r="BJ41" s="406"/>
      <c r="BK41" s="407"/>
      <c r="BL41" s="407"/>
      <c r="BM41" s="407"/>
      <c r="BN41" s="407"/>
      <c r="BO41" s="407"/>
      <c r="BP41" s="407"/>
      <c r="BQ41" s="407"/>
      <c r="BR41" s="407"/>
      <c r="BS41" s="407"/>
      <c r="BT41" s="407"/>
      <c r="BU41" s="407"/>
      <c r="BV41" s="407"/>
      <c r="BW41" s="407"/>
      <c r="BX41" s="407"/>
      <c r="BY41" s="407"/>
      <c r="BZ41" s="407"/>
      <c r="CA41" s="407"/>
      <c r="CB41" s="407"/>
      <c r="CC41" s="407"/>
      <c r="CD41" s="407"/>
      <c r="CE41" s="407"/>
      <c r="CF41" s="407"/>
    </row>
    <row r="42" spans="1:84">
      <c r="A42" s="406"/>
      <c r="B42" s="408"/>
      <c r="C42" s="408"/>
      <c r="D42" s="408"/>
      <c r="E42" s="411"/>
      <c r="F42" s="408"/>
      <c r="G42" s="408"/>
      <c r="H42" s="408"/>
      <c r="I42" s="408"/>
      <c r="J42" s="408"/>
      <c r="K42" s="408"/>
      <c r="L42" s="408"/>
      <c r="M42" s="408"/>
      <c r="N42" s="408"/>
      <c r="O42" s="408"/>
      <c r="P42" s="408"/>
      <c r="Q42" s="408"/>
      <c r="R42" s="408"/>
      <c r="S42" s="408"/>
      <c r="T42" s="408"/>
      <c r="U42" s="408"/>
      <c r="V42" s="416">
        <f>100*(+AD36/$E$9)</f>
        <v>287.72198109290912</v>
      </c>
      <c r="W42" s="426">
        <f>EXP(5.70827-(0.68367*LN(+V42)))</f>
        <v>6.2797746975079249</v>
      </c>
      <c r="X42" s="417">
        <f>(+W42*V42)/100</f>
        <v>18.068292167841044</v>
      </c>
      <c r="Y42" s="416">
        <f>100*((((X42/100)-((X42/100)-0.03574)*$E$21)-0.03574-0.00619)/0.344)</f>
        <v>26.009397763881076</v>
      </c>
      <c r="Z42" s="408">
        <f>$E$20</f>
        <v>0.25</v>
      </c>
      <c r="AA42" s="416">
        <f>Y42+Z42</f>
        <v>26.259397763881076</v>
      </c>
      <c r="AB42" s="416">
        <f>100*($E$17*$E$19+($E$18*(AA42/100))/(1-$E$21))</f>
        <v>20.688199031096033</v>
      </c>
      <c r="AC42" s="417">
        <f>AB42/V42</f>
        <v>7.1903435922803363E-2</v>
      </c>
      <c r="AD42" s="415">
        <f>ROUND($E$8/(1-AC42),0)</f>
        <v>2712694</v>
      </c>
      <c r="AE42" s="408" t="str">
        <f>IF(OR(OR(AD42=AD36,AD42=(AD36+5)),AD42=(AD28-5)),"yes","not yet")</f>
        <v>yes</v>
      </c>
      <c r="AF42" s="416">
        <f>100*(1-AC42)</f>
        <v>92.809656407719672</v>
      </c>
      <c r="AG42" s="408"/>
      <c r="AH42" s="408"/>
      <c r="AI42" s="408"/>
      <c r="AJ42" s="408"/>
      <c r="AK42" s="408"/>
      <c r="AL42" s="408"/>
      <c r="AM42" s="408"/>
      <c r="AN42" s="408"/>
      <c r="AO42" s="408"/>
      <c r="AP42" s="408"/>
      <c r="AQ42" s="408"/>
      <c r="AR42" s="408"/>
      <c r="AS42" s="406"/>
      <c r="AT42" s="406"/>
      <c r="AU42" s="406"/>
      <c r="AV42" s="406"/>
      <c r="AW42" s="406"/>
      <c r="AX42" s="406"/>
      <c r="AY42" s="406"/>
      <c r="AZ42" s="406"/>
      <c r="BA42" s="406"/>
      <c r="BB42" s="406"/>
      <c r="BC42" s="406"/>
      <c r="BD42" s="406"/>
      <c r="BE42" s="406"/>
      <c r="BF42" s="406"/>
      <c r="BG42" s="406"/>
      <c r="BH42" s="406"/>
      <c r="BI42" s="406"/>
      <c r="BJ42" s="406"/>
      <c r="BK42" s="407"/>
      <c r="BL42" s="407"/>
      <c r="BM42" s="407"/>
      <c r="BN42" s="407"/>
      <c r="BO42" s="407"/>
      <c r="BP42" s="407"/>
      <c r="BQ42" s="407"/>
      <c r="BR42" s="407"/>
      <c r="BS42" s="407"/>
      <c r="BT42" s="407"/>
      <c r="BU42" s="407"/>
      <c r="BV42" s="407"/>
      <c r="BW42" s="407"/>
      <c r="BX42" s="407"/>
      <c r="BY42" s="407"/>
      <c r="BZ42" s="407"/>
      <c r="CA42" s="407"/>
      <c r="CB42" s="407"/>
      <c r="CC42" s="407"/>
      <c r="CD42" s="407"/>
      <c r="CE42" s="407"/>
      <c r="CF42" s="407"/>
    </row>
    <row r="43" spans="1:84">
      <c r="A43" s="406"/>
      <c r="B43" s="408"/>
      <c r="C43" s="408"/>
      <c r="D43" s="408"/>
      <c r="E43" s="412"/>
      <c r="F43" s="408"/>
      <c r="G43" s="408"/>
      <c r="H43" s="408"/>
      <c r="I43" s="408"/>
      <c r="J43" s="408"/>
      <c r="K43" s="408"/>
      <c r="L43" s="408"/>
      <c r="M43" s="408"/>
      <c r="N43" s="408"/>
      <c r="O43" s="408"/>
      <c r="P43" s="408"/>
      <c r="Q43" s="408"/>
      <c r="R43" s="408"/>
      <c r="S43" s="408"/>
      <c r="T43" s="408"/>
      <c r="U43" s="408"/>
      <c r="V43" s="416">
        <f>100*(+AD37/$E$9)</f>
        <v>287.46933418213951</v>
      </c>
      <c r="W43" s="426">
        <f>EXP(5.6985-(0.68367*LN(V43)))</f>
        <v>6.2224560603000665</v>
      </c>
      <c r="X43" s="417">
        <f>(+W43*V43)/100</f>
        <v>17.887653006320789</v>
      </c>
      <c r="Y43" s="416">
        <f>100*((((X43/100)-((X43/100)-0.03574)*$E$21)-0.03574-0.00619)/0.344)</f>
        <v>25.662822628406168</v>
      </c>
      <c r="Z43" s="408">
        <f>$E$20</f>
        <v>0.25</v>
      </c>
      <c r="AA43" s="416">
        <f>Y43+Z43</f>
        <v>25.912822628406168</v>
      </c>
      <c r="AB43" s="416">
        <f>100*($E$17*$E$19+($E$18*(AA43/100))/(1-$E$21))</f>
        <v>20.435626284176138</v>
      </c>
      <c r="AC43" s="417">
        <f>AB43/V43</f>
        <v>7.1088021761751469E-2</v>
      </c>
      <c r="AD43" s="415">
        <f>ROUND($E$8/(1-AC43),0)</f>
        <v>2710313</v>
      </c>
      <c r="AE43" s="408" t="str">
        <f>IF(OR(OR(AD43=AD37,AD43=(AD37+5)),AD43=(AD29-5)),"yes","not yet")</f>
        <v>not yet</v>
      </c>
      <c r="AF43" s="416">
        <f>100*(1-AC43)</f>
        <v>92.891197823824854</v>
      </c>
      <c r="AG43" s="408"/>
      <c r="AH43" s="408"/>
      <c r="AI43" s="408"/>
      <c r="AJ43" s="408" t="s">
        <v>977</v>
      </c>
      <c r="AK43" s="408"/>
      <c r="AL43" s="408"/>
      <c r="AM43" s="408"/>
      <c r="AN43" s="408"/>
      <c r="AO43" s="408"/>
      <c r="AP43" s="408"/>
      <c r="AQ43" s="408"/>
      <c r="AR43" s="408"/>
      <c r="AS43" s="406"/>
      <c r="AT43" s="406"/>
      <c r="AU43" s="406"/>
      <c r="AV43" s="406"/>
      <c r="AW43" s="406"/>
      <c r="AX43" s="406"/>
      <c r="AY43" s="406"/>
      <c r="AZ43" s="406"/>
      <c r="BA43" s="406"/>
      <c r="BB43" s="406"/>
      <c r="BC43" s="406"/>
      <c r="BD43" s="406"/>
      <c r="BE43" s="406"/>
      <c r="BF43" s="406"/>
      <c r="BG43" s="406"/>
      <c r="BH43" s="406"/>
      <c r="BI43" s="406"/>
      <c r="BJ43" s="406"/>
      <c r="BK43" s="407"/>
      <c r="BL43" s="407"/>
      <c r="BM43" s="407"/>
      <c r="BN43" s="407"/>
      <c r="BO43" s="407"/>
      <c r="BP43" s="407"/>
      <c r="BQ43" s="407"/>
      <c r="BR43" s="407"/>
      <c r="BS43" s="407"/>
      <c r="BT43" s="407"/>
      <c r="BU43" s="407"/>
      <c r="BV43" s="407"/>
      <c r="BW43" s="407"/>
      <c r="BX43" s="407"/>
      <c r="BY43" s="407"/>
      <c r="BZ43" s="407"/>
      <c r="CA43" s="407"/>
      <c r="CB43" s="407"/>
      <c r="CC43" s="407"/>
      <c r="CD43" s="407"/>
      <c r="CE43" s="407"/>
      <c r="CF43" s="407"/>
    </row>
    <row r="44" spans="1:84">
      <c r="A44" s="406"/>
      <c r="B44" s="408"/>
      <c r="C44" s="408"/>
      <c r="D44" s="408"/>
      <c r="E44" s="452"/>
      <c r="F44" s="408"/>
      <c r="G44" s="408"/>
      <c r="H44" s="408"/>
      <c r="I44" s="408"/>
      <c r="J44" s="408"/>
      <c r="K44" s="408"/>
      <c r="L44" s="408"/>
      <c r="M44" s="408"/>
      <c r="N44" s="408"/>
      <c r="O44" s="408"/>
      <c r="P44" s="408"/>
      <c r="Q44" s="408"/>
      <c r="R44" s="408"/>
      <c r="S44" s="408"/>
      <c r="T44" s="408"/>
      <c r="U44" s="408"/>
      <c r="V44" s="416">
        <f>100*(+AD38/$E$9)</f>
        <v>287.30790320053103</v>
      </c>
      <c r="W44" s="426">
        <f>EXP(5.6922-(0.68367*LN(V44)))</f>
        <v>6.185752864365651</v>
      </c>
      <c r="X44" s="417">
        <f>(+W44*V44)/100</f>
        <v>17.77215685177574</v>
      </c>
      <c r="Y44" s="416">
        <f>100*((((X44/100)-((X44/100)-0.03574)*$E$21)-0.03574-0.00619)/0.344)</f>
        <v>25.441231169104618</v>
      </c>
      <c r="Z44" s="408">
        <f>$E$20</f>
        <v>0.25</v>
      </c>
      <c r="AA44" s="416">
        <f>Y44+Z44</f>
        <v>25.691231169104618</v>
      </c>
      <c r="AB44" s="416">
        <f>100*($E$17*$E$19+($E$18*(AA44/100))/(1-$E$21))</f>
        <v>20.2741375971903</v>
      </c>
      <c r="AC44" s="417">
        <f>AB44/V44</f>
        <v>7.0565888969088511E-2</v>
      </c>
      <c r="AD44" s="415">
        <f>ROUND($E$8/(1-AC44),0)</f>
        <v>2708790</v>
      </c>
      <c r="AE44" s="408" t="str">
        <f>IF(OR(OR(AD44=AD38,AD44=(AD38+5)),AD44=(AD30-5)),"yes","not yet")</f>
        <v>yes</v>
      </c>
      <c r="AF44" s="416">
        <f>100*(1-AC44)</f>
        <v>92.943411103091151</v>
      </c>
      <c r="AG44" s="408"/>
      <c r="AH44" s="408"/>
      <c r="AI44" s="408"/>
      <c r="AJ44" s="415">
        <f>HLOOKUP($AJ$34,$AJ$37:$AR$41,($E$12)+1)</f>
        <v>2710313</v>
      </c>
      <c r="AK44" s="408"/>
      <c r="AL44" s="408"/>
      <c r="AM44" s="408"/>
      <c r="AN44" s="408"/>
      <c r="AO44" s="408"/>
      <c r="AP44" s="408"/>
      <c r="AQ44" s="408"/>
      <c r="AR44" s="408"/>
      <c r="AS44" s="406"/>
      <c r="AT44" s="406"/>
      <c r="AU44" s="406"/>
      <c r="AV44" s="406"/>
      <c r="AW44" s="406"/>
      <c r="AX44" s="406"/>
      <c r="AY44" s="406"/>
      <c r="AZ44" s="406"/>
      <c r="BA44" s="406"/>
      <c r="BB44" s="406"/>
      <c r="BC44" s="406"/>
      <c r="BD44" s="406"/>
      <c r="BE44" s="406"/>
      <c r="BF44" s="406"/>
      <c r="BG44" s="406"/>
      <c r="BH44" s="406"/>
      <c r="BI44" s="406"/>
      <c r="BJ44" s="406"/>
      <c r="BK44" s="407"/>
      <c r="BL44" s="407"/>
      <c r="BM44" s="407"/>
      <c r="BN44" s="407"/>
      <c r="BO44" s="407"/>
      <c r="BP44" s="407"/>
      <c r="BQ44" s="407"/>
      <c r="BR44" s="407"/>
      <c r="BS44" s="407"/>
      <c r="BT44" s="407"/>
      <c r="BU44" s="407"/>
      <c r="BV44" s="407"/>
      <c r="BW44" s="407"/>
      <c r="BX44" s="407"/>
      <c r="BY44" s="407"/>
      <c r="BZ44" s="407"/>
      <c r="CA44" s="407"/>
      <c r="CB44" s="407"/>
      <c r="CC44" s="407"/>
      <c r="CD44" s="407"/>
      <c r="CE44" s="407"/>
      <c r="CF44" s="407"/>
    </row>
    <row r="45" spans="1:84">
      <c r="A45" s="406"/>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16"/>
      <c r="AB45" s="408"/>
      <c r="AC45" s="408"/>
      <c r="AD45" s="408"/>
      <c r="AE45" s="408"/>
      <c r="AF45" s="408"/>
      <c r="AG45" s="408"/>
      <c r="AH45" s="408"/>
      <c r="AI45" s="408"/>
      <c r="AJ45" s="408"/>
      <c r="AK45" s="408"/>
      <c r="AL45" s="408"/>
      <c r="AM45" s="408"/>
      <c r="AN45" s="408"/>
      <c r="AO45" s="408"/>
      <c r="AP45" s="408"/>
      <c r="AQ45" s="408"/>
      <c r="AR45" s="408"/>
      <c r="AS45" s="406"/>
      <c r="AT45" s="406"/>
      <c r="AU45" s="406"/>
      <c r="AV45" s="406"/>
      <c r="AW45" s="406"/>
      <c r="AX45" s="406"/>
      <c r="AY45" s="406"/>
      <c r="AZ45" s="406"/>
      <c r="BA45" s="406"/>
      <c r="BB45" s="406"/>
      <c r="BC45" s="406"/>
      <c r="BD45" s="406"/>
      <c r="BE45" s="406"/>
      <c r="BF45" s="406"/>
      <c r="BG45" s="406"/>
      <c r="BH45" s="406"/>
      <c r="BI45" s="406"/>
      <c r="BJ45" s="406"/>
      <c r="BK45" s="407"/>
      <c r="BL45" s="407"/>
      <c r="BM45" s="407"/>
      <c r="BN45" s="407"/>
      <c r="BO45" s="407"/>
      <c r="BP45" s="407"/>
      <c r="BQ45" s="407"/>
      <c r="BR45" s="407"/>
      <c r="BS45" s="407"/>
      <c r="BT45" s="407"/>
      <c r="BU45" s="407"/>
      <c r="BV45" s="407"/>
      <c r="BW45" s="407"/>
      <c r="BX45" s="407"/>
      <c r="BY45" s="407"/>
      <c r="BZ45" s="407"/>
      <c r="CA45" s="407"/>
      <c r="CB45" s="407"/>
      <c r="CC45" s="407"/>
      <c r="CD45" s="407"/>
      <c r="CE45" s="407"/>
      <c r="CF45" s="407"/>
    </row>
    <row r="46" spans="1:84">
      <c r="A46" s="406"/>
      <c r="B46" s="408"/>
      <c r="C46" s="408"/>
      <c r="D46" s="415"/>
      <c r="E46" s="415"/>
      <c r="F46" s="415"/>
      <c r="G46" s="408"/>
      <c r="H46" s="408"/>
      <c r="I46" s="408"/>
      <c r="J46" s="408"/>
      <c r="K46" s="408"/>
      <c r="L46" s="408"/>
      <c r="M46" s="408"/>
      <c r="N46" s="408"/>
      <c r="O46" s="408"/>
      <c r="P46" s="408"/>
      <c r="Q46" s="408"/>
      <c r="R46" s="408"/>
      <c r="S46" s="408"/>
      <c r="T46" s="408"/>
      <c r="U46" s="408"/>
      <c r="V46" s="413" t="s">
        <v>984</v>
      </c>
      <c r="W46" s="425" t="s">
        <v>718</v>
      </c>
      <c r="X46" s="425" t="s">
        <v>930</v>
      </c>
      <c r="Y46" s="425" t="s">
        <v>931</v>
      </c>
      <c r="Z46" s="408"/>
      <c r="AA46" s="416"/>
      <c r="AB46" s="408"/>
      <c r="AC46" s="408"/>
      <c r="AD46" s="408"/>
      <c r="AE46" s="408"/>
      <c r="AF46" s="408"/>
      <c r="AG46" s="408"/>
      <c r="AH46" s="408"/>
      <c r="AI46" s="408"/>
      <c r="AJ46" s="408"/>
      <c r="AK46" s="408"/>
      <c r="AL46" s="408"/>
      <c r="AM46" s="408"/>
      <c r="AN46" s="408"/>
      <c r="AO46" s="408"/>
      <c r="AP46" s="408"/>
      <c r="AQ46" s="408"/>
      <c r="AR46" s="408"/>
      <c r="AS46" s="406"/>
      <c r="AT46" s="406"/>
      <c r="AU46" s="406"/>
      <c r="AV46" s="406"/>
      <c r="AW46" s="406"/>
      <c r="AX46" s="406"/>
      <c r="AY46" s="406"/>
      <c r="AZ46" s="406"/>
      <c r="BA46" s="406"/>
      <c r="BB46" s="406"/>
      <c r="BC46" s="406"/>
      <c r="BD46" s="406"/>
      <c r="BE46" s="406"/>
      <c r="BF46" s="406"/>
      <c r="BG46" s="406"/>
      <c r="BH46" s="406"/>
      <c r="BI46" s="406"/>
      <c r="BJ46" s="406"/>
      <c r="BK46" s="407"/>
      <c r="BL46" s="407"/>
      <c r="BM46" s="407"/>
      <c r="BN46" s="407"/>
      <c r="BO46" s="407"/>
      <c r="BP46" s="407"/>
      <c r="BQ46" s="407"/>
      <c r="BR46" s="407"/>
      <c r="BS46" s="407"/>
      <c r="BT46" s="407"/>
      <c r="BU46" s="407"/>
      <c r="BV46" s="407"/>
      <c r="BW46" s="407"/>
      <c r="BX46" s="407"/>
      <c r="BY46" s="407"/>
      <c r="BZ46" s="407"/>
      <c r="CA46" s="407"/>
      <c r="CB46" s="407"/>
      <c r="CC46" s="407"/>
      <c r="CD46" s="407"/>
      <c r="CE46" s="407"/>
      <c r="CF46" s="407"/>
    </row>
    <row r="47" spans="1:84">
      <c r="A47" s="406"/>
      <c r="B47" s="408"/>
      <c r="C47" s="408"/>
      <c r="D47" s="415"/>
      <c r="E47" s="415"/>
      <c r="F47" s="415"/>
      <c r="G47" s="408"/>
      <c r="H47" s="408"/>
      <c r="I47" s="408"/>
      <c r="J47" s="408"/>
      <c r="K47" s="408"/>
      <c r="L47" s="408"/>
      <c r="M47" s="408"/>
      <c r="N47" s="408"/>
      <c r="O47" s="408"/>
      <c r="P47" s="408"/>
      <c r="Q47" s="408"/>
      <c r="R47" s="408"/>
      <c r="S47" s="408"/>
      <c r="T47" s="408"/>
      <c r="U47" s="408"/>
      <c r="V47" s="416">
        <f>100*(+AD41/$E$9)</f>
        <v>288.09713311784282</v>
      </c>
      <c r="W47" s="426">
        <f>EXP(5.7226-(0.68367*LN(+V47)))</f>
        <v>6.3647392666442659</v>
      </c>
      <c r="X47" s="417">
        <f>(+W47*V47)/100</f>
        <v>18.336631357627745</v>
      </c>
      <c r="Y47" s="416">
        <f>100*((((X47/100)-((X47/100)-0.03574)*$E$21)-0.03574-0.00619)/0.344)</f>
        <v>26.524234581495087</v>
      </c>
      <c r="Z47" s="408">
        <f>$E$20</f>
        <v>0.25</v>
      </c>
      <c r="AA47" s="416">
        <f>Y47+Z47</f>
        <v>26.774234581495087</v>
      </c>
      <c r="AB47" s="416">
        <f>100*($E$17*$E$19+($E$18*(AA47/100))/(1-$E$21))</f>
        <v>21.063395448640776</v>
      </c>
      <c r="AC47" s="417">
        <f>AB47/V47</f>
        <v>7.3112131386691162E-2</v>
      </c>
      <c r="AD47" s="415">
        <f>ROUND($E$8/(1-AC47),0)</f>
        <v>2716231</v>
      </c>
      <c r="AE47" s="408" t="str">
        <f>IF(OR(OR(AD47=AD41,AD47=(AD41+1)),AD47=(AD33-1)),"yes","not yet")</f>
        <v>yes</v>
      </c>
      <c r="AF47" s="416">
        <f>100*(1-AC47)</f>
        <v>92.688786861330883</v>
      </c>
      <c r="AG47" s="408"/>
      <c r="AH47" s="408"/>
      <c r="AI47" s="408"/>
      <c r="AJ47" s="408"/>
      <c r="AK47" s="408"/>
      <c r="AL47" s="408"/>
      <c r="AM47" s="408"/>
      <c r="AN47" s="408"/>
      <c r="AO47" s="408"/>
      <c r="AP47" s="408"/>
      <c r="AQ47" s="408"/>
      <c r="AR47" s="408"/>
      <c r="AS47" s="406"/>
      <c r="AT47" s="406"/>
      <c r="AU47" s="406"/>
      <c r="AV47" s="406"/>
      <c r="AW47" s="406"/>
      <c r="AX47" s="406"/>
      <c r="AY47" s="406"/>
      <c r="AZ47" s="406"/>
      <c r="BA47" s="406"/>
      <c r="BB47" s="406"/>
      <c r="BC47" s="406"/>
      <c r="BD47" s="406"/>
      <c r="BE47" s="406"/>
      <c r="BF47" s="406"/>
      <c r="BG47" s="406"/>
      <c r="BH47" s="406"/>
      <c r="BI47" s="406"/>
      <c r="BJ47" s="406"/>
      <c r="BK47" s="407"/>
      <c r="BL47" s="407"/>
      <c r="BM47" s="407"/>
      <c r="BN47" s="407"/>
      <c r="BO47" s="407"/>
      <c r="BP47" s="407"/>
      <c r="BQ47" s="407"/>
      <c r="BR47" s="407"/>
      <c r="BS47" s="407"/>
      <c r="BT47" s="407"/>
      <c r="BU47" s="407"/>
      <c r="BV47" s="407"/>
      <c r="BW47" s="407"/>
      <c r="BX47" s="407"/>
      <c r="BY47" s="407"/>
      <c r="BZ47" s="407"/>
      <c r="CA47" s="407"/>
      <c r="CB47" s="407"/>
      <c r="CC47" s="407"/>
      <c r="CD47" s="407"/>
      <c r="CE47" s="407"/>
      <c r="CF47" s="407"/>
    </row>
    <row r="48" spans="1:84">
      <c r="A48" s="406"/>
      <c r="B48" s="408"/>
      <c r="C48" s="408"/>
      <c r="D48" s="408"/>
      <c r="E48" s="411"/>
      <c r="F48" s="408"/>
      <c r="G48" s="408"/>
      <c r="H48" s="408"/>
      <c r="I48" s="408"/>
      <c r="J48" s="408"/>
      <c r="K48" s="408"/>
      <c r="L48" s="408"/>
      <c r="M48" s="408"/>
      <c r="N48" s="408"/>
      <c r="O48" s="408"/>
      <c r="P48" s="408"/>
      <c r="Q48" s="408"/>
      <c r="R48" s="408"/>
      <c r="S48" s="408"/>
      <c r="T48" s="408"/>
      <c r="U48" s="408"/>
      <c r="V48" s="416">
        <f>100*(+AD42/$E$9)</f>
        <v>287.72198109290912</v>
      </c>
      <c r="W48" s="426">
        <f>EXP(5.70827-(0.68367*LN(+V48)))</f>
        <v>6.2797746975079249</v>
      </c>
      <c r="X48" s="417">
        <f>(+W48*V48)/100</f>
        <v>18.068292167841044</v>
      </c>
      <c r="Y48" s="416">
        <f>100*((((X48/100)-((X48/100)-0.03574)*$E$21)-0.03574-0.00619)/0.344)</f>
        <v>26.009397763881076</v>
      </c>
      <c r="Z48" s="408">
        <f>$E$20</f>
        <v>0.25</v>
      </c>
      <c r="AA48" s="416">
        <f>Y48+Z48</f>
        <v>26.259397763881076</v>
      </c>
      <c r="AB48" s="416">
        <f>100*($E$17*$E$19+($E$18*(AA48/100))/(1-$E$21))</f>
        <v>20.688199031096033</v>
      </c>
      <c r="AC48" s="417">
        <f>AB48/V48</f>
        <v>7.1903435922803363E-2</v>
      </c>
      <c r="AD48" s="415">
        <f>ROUND($E$8/(1-AC48),0)</f>
        <v>2712694</v>
      </c>
      <c r="AE48" s="408" t="str">
        <f>IF(OR(OR(AD48=AD42,AD48=(AD42+1)),AD48=(AD42-1)),"yes","not yet")</f>
        <v>yes</v>
      </c>
      <c r="AF48" s="416">
        <f>100*(1-AC48)</f>
        <v>92.809656407719672</v>
      </c>
      <c r="AG48" s="408"/>
      <c r="AH48" s="408"/>
      <c r="AI48" s="408"/>
      <c r="AJ48" s="408"/>
      <c r="AK48" s="408"/>
      <c r="AL48" s="408"/>
      <c r="AM48" s="408"/>
      <c r="AN48" s="408"/>
      <c r="AO48" s="408"/>
      <c r="AP48" s="408"/>
      <c r="AQ48" s="408"/>
      <c r="AR48" s="408"/>
      <c r="AS48" s="406"/>
      <c r="AT48" s="406"/>
      <c r="AU48" s="406"/>
      <c r="AV48" s="406"/>
      <c r="AW48" s="406"/>
      <c r="AX48" s="406"/>
      <c r="AY48" s="406"/>
      <c r="AZ48" s="406"/>
      <c r="BA48" s="406"/>
      <c r="BB48" s="406"/>
      <c r="BC48" s="406"/>
      <c r="BD48" s="406"/>
      <c r="BE48" s="406"/>
      <c r="BF48" s="406"/>
      <c r="BG48" s="406"/>
      <c r="BH48" s="406"/>
      <c r="BI48" s="406"/>
      <c r="BJ48" s="406"/>
      <c r="BK48" s="407"/>
      <c r="BL48" s="407"/>
      <c r="BM48" s="407"/>
      <c r="BN48" s="407"/>
      <c r="BO48" s="407"/>
      <c r="BP48" s="407"/>
      <c r="BQ48" s="407"/>
      <c r="BR48" s="407"/>
      <c r="BS48" s="407"/>
      <c r="BT48" s="407"/>
      <c r="BU48" s="407"/>
      <c r="BV48" s="407"/>
      <c r="BW48" s="407"/>
      <c r="BX48" s="407"/>
      <c r="BY48" s="407"/>
      <c r="BZ48" s="407"/>
      <c r="CA48" s="407"/>
      <c r="CB48" s="407"/>
      <c r="CC48" s="407"/>
      <c r="CD48" s="407"/>
      <c r="CE48" s="407"/>
      <c r="CF48" s="407"/>
    </row>
    <row r="49" spans="1:84">
      <c r="A49" s="406"/>
      <c r="B49" s="408"/>
      <c r="C49" s="408"/>
      <c r="D49" s="408"/>
      <c r="E49" s="411"/>
      <c r="F49" s="408"/>
      <c r="G49" s="408"/>
      <c r="H49" s="408"/>
      <c r="I49" s="408"/>
      <c r="J49" s="408"/>
      <c r="K49" s="408"/>
      <c r="L49" s="408"/>
      <c r="M49" s="408"/>
      <c r="N49" s="408"/>
      <c r="O49" s="408"/>
      <c r="P49" s="408"/>
      <c r="Q49" s="408"/>
      <c r="R49" s="408"/>
      <c r="S49" s="408"/>
      <c r="T49" s="408"/>
      <c r="U49" s="408"/>
      <c r="V49" s="416">
        <f>100*(+AD43/$E$9)</f>
        <v>287.46944024717334</v>
      </c>
      <c r="W49" s="426">
        <f>EXP(5.6985-(0.68367*LN(V49)))</f>
        <v>6.2224544907002528</v>
      </c>
      <c r="X49" s="417">
        <f>(+W49*V49)/100</f>
        <v>17.887655094051116</v>
      </c>
      <c r="Y49" s="416">
        <f>100*((((X49/100)-((X49/100)-0.03574)*$E$21)-0.03574-0.00619)/0.344)</f>
        <v>25.662826633935282</v>
      </c>
      <c r="Z49" s="408">
        <f>$E$20</f>
        <v>0.25</v>
      </c>
      <c r="AA49" s="416">
        <f>Y49+Z49</f>
        <v>25.912826633935282</v>
      </c>
      <c r="AB49" s="416">
        <f>100*($E$17*$E$19+($E$18*(AA49/100))/(1-$E$21))</f>
        <v>20.435629203276171</v>
      </c>
      <c r="AC49" s="417">
        <f>AB49/V49</f>
        <v>7.1088005687509295E-2</v>
      </c>
      <c r="AD49" s="415">
        <f>ROUND($E$8/(1-AC49),0)</f>
        <v>2710312</v>
      </c>
      <c r="AE49" s="408" t="str">
        <f>IF(OR(OR(AD49=AD43,AD49=(AD43+1)),AD49=(AD43-1)),"yes","not yet")</f>
        <v>yes</v>
      </c>
      <c r="AF49" s="416">
        <f>100*(1-AC49)</f>
        <v>92.891199431249078</v>
      </c>
      <c r="AG49" s="408"/>
      <c r="AH49" s="408"/>
      <c r="AI49" s="408"/>
      <c r="AJ49" s="408"/>
      <c r="AK49" s="408"/>
      <c r="AL49" s="408"/>
      <c r="AM49" s="408"/>
      <c r="AN49" s="408"/>
      <c r="AO49" s="408"/>
      <c r="AP49" s="408"/>
      <c r="AQ49" s="408"/>
      <c r="AR49" s="408"/>
      <c r="AS49" s="406"/>
      <c r="AT49" s="406"/>
      <c r="AU49" s="406"/>
      <c r="AV49" s="406"/>
      <c r="AW49" s="406"/>
      <c r="AX49" s="406"/>
      <c r="AY49" s="406"/>
      <c r="AZ49" s="406"/>
      <c r="BA49" s="406"/>
      <c r="BB49" s="406"/>
      <c r="BC49" s="406"/>
      <c r="BD49" s="406"/>
      <c r="BE49" s="406"/>
      <c r="BF49" s="406"/>
      <c r="BG49" s="406"/>
      <c r="BH49" s="406"/>
      <c r="BI49" s="406"/>
      <c r="BJ49" s="406"/>
      <c r="BK49" s="407"/>
      <c r="BL49" s="407"/>
      <c r="BM49" s="407"/>
      <c r="BN49" s="407"/>
      <c r="BO49" s="407"/>
      <c r="BP49" s="407"/>
      <c r="BQ49" s="407"/>
      <c r="BR49" s="407"/>
      <c r="BS49" s="407"/>
      <c r="BT49" s="407"/>
      <c r="BU49" s="407"/>
      <c r="BV49" s="407"/>
      <c r="BW49" s="407"/>
      <c r="BX49" s="407"/>
      <c r="BY49" s="407"/>
      <c r="BZ49" s="407"/>
      <c r="CA49" s="407"/>
      <c r="CB49" s="407"/>
      <c r="CC49" s="407"/>
      <c r="CD49" s="407"/>
      <c r="CE49" s="407"/>
      <c r="CF49" s="407"/>
    </row>
    <row r="50" spans="1:84">
      <c r="A50" s="406"/>
      <c r="B50" s="408"/>
      <c r="C50" s="408"/>
      <c r="D50" s="408"/>
      <c r="E50" s="411"/>
      <c r="F50" s="408"/>
      <c r="G50" s="408"/>
      <c r="H50" s="408"/>
      <c r="I50" s="408"/>
      <c r="J50" s="408"/>
      <c r="K50" s="408"/>
      <c r="L50" s="408"/>
      <c r="M50" s="408"/>
      <c r="N50" s="408"/>
      <c r="O50" s="408"/>
      <c r="P50" s="408"/>
      <c r="Q50" s="408"/>
      <c r="R50" s="408"/>
      <c r="S50" s="408"/>
      <c r="T50" s="408"/>
      <c r="U50" s="408"/>
      <c r="V50" s="416">
        <f>100*(+AD44/$E$9)</f>
        <v>287.30790320053103</v>
      </c>
      <c r="W50" s="426">
        <f>EXP(5.6922-(0.68367*LN(V50)))</f>
        <v>6.185752864365651</v>
      </c>
      <c r="X50" s="417">
        <f>(+W50*V50)/100</f>
        <v>17.77215685177574</v>
      </c>
      <c r="Y50" s="416">
        <f>100*((((X50/100)-((X50/100)-0.03574)*$E$21)-0.03574-0.00619)/0.344)</f>
        <v>25.441231169104618</v>
      </c>
      <c r="Z50" s="408">
        <f>$E$20</f>
        <v>0.25</v>
      </c>
      <c r="AA50" s="416">
        <f>Y50+Z50</f>
        <v>25.691231169104618</v>
      </c>
      <c r="AB50" s="416">
        <f>100*($E$17*$E$19+($E$18*(AA50/100))/(1-$E$21))</f>
        <v>20.2741375971903</v>
      </c>
      <c r="AC50" s="417">
        <f>AB50/V50</f>
        <v>7.0565888969088511E-2</v>
      </c>
      <c r="AD50" s="415">
        <f>ROUND($E$8/(1-AC50),0)</f>
        <v>2708790</v>
      </c>
      <c r="AE50" s="408" t="str">
        <f>IF(OR(OR(AD50=AD44,AD50=(AD44+1)),AD50=(AD44-1)),"yes","not yet")</f>
        <v>yes</v>
      </c>
      <c r="AF50" s="416">
        <f>100*(1-AC50)</f>
        <v>92.943411103091151</v>
      </c>
      <c r="AG50" s="408"/>
      <c r="AH50" s="408"/>
      <c r="AI50" s="408"/>
      <c r="AJ50" s="408"/>
      <c r="AK50" s="408"/>
      <c r="AL50" s="408"/>
      <c r="AM50" s="408"/>
      <c r="AN50" s="408"/>
      <c r="AO50" s="408"/>
      <c r="AP50" s="408"/>
      <c r="AQ50" s="408"/>
      <c r="AR50" s="408"/>
      <c r="AS50" s="406"/>
      <c r="AT50" s="406"/>
      <c r="AU50" s="406"/>
      <c r="AV50" s="406"/>
      <c r="AW50" s="406"/>
      <c r="AX50" s="406"/>
      <c r="AY50" s="406"/>
      <c r="AZ50" s="406"/>
      <c r="BA50" s="406"/>
      <c r="BB50" s="406"/>
      <c r="BC50" s="406"/>
      <c r="BD50" s="406"/>
      <c r="BE50" s="406"/>
      <c r="BF50" s="406"/>
      <c r="BG50" s="406"/>
      <c r="BH50" s="406"/>
      <c r="BI50" s="406"/>
      <c r="BJ50" s="406"/>
      <c r="BK50" s="407"/>
      <c r="BL50" s="407"/>
      <c r="BM50" s="407"/>
      <c r="BN50" s="407"/>
      <c r="BO50" s="407"/>
      <c r="BP50" s="407"/>
      <c r="BQ50" s="407"/>
      <c r="BR50" s="407"/>
      <c r="BS50" s="407"/>
      <c r="BT50" s="407"/>
      <c r="BU50" s="407"/>
      <c r="BV50" s="407"/>
      <c r="BW50" s="407"/>
      <c r="BX50" s="407"/>
      <c r="BY50" s="407"/>
      <c r="BZ50" s="407"/>
      <c r="CA50" s="407"/>
      <c r="CB50" s="407"/>
      <c r="CC50" s="407"/>
      <c r="CD50" s="407"/>
      <c r="CE50" s="407"/>
      <c r="CF50" s="407"/>
    </row>
    <row r="51" spans="1:84">
      <c r="A51" s="406"/>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16"/>
      <c r="AB51" s="408"/>
      <c r="AC51" s="408"/>
      <c r="AD51" s="408"/>
      <c r="AE51" s="408"/>
      <c r="AF51" s="408"/>
      <c r="AG51" s="408"/>
      <c r="AH51" s="408"/>
      <c r="AI51" s="408"/>
      <c r="AJ51" s="408"/>
      <c r="AK51" s="408"/>
      <c r="AL51" s="408"/>
      <c r="AM51" s="408"/>
      <c r="AN51" s="408"/>
      <c r="AO51" s="408"/>
      <c r="AP51" s="408"/>
      <c r="AQ51" s="408"/>
      <c r="AR51" s="408"/>
      <c r="AS51" s="406"/>
      <c r="AT51" s="406"/>
      <c r="AU51" s="406"/>
      <c r="AV51" s="406"/>
      <c r="AW51" s="406"/>
      <c r="AX51" s="406"/>
      <c r="AY51" s="406"/>
      <c r="AZ51" s="406"/>
      <c r="BA51" s="406"/>
      <c r="BB51" s="406"/>
      <c r="BC51" s="406"/>
      <c r="BD51" s="406"/>
      <c r="BE51" s="406"/>
      <c r="BF51" s="406"/>
      <c r="BG51" s="406"/>
      <c r="BH51" s="406"/>
      <c r="BI51" s="406"/>
      <c r="BJ51" s="406"/>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row>
    <row r="52" spans="1:84">
      <c r="A52" s="406"/>
      <c r="B52" s="408"/>
      <c r="C52" s="408"/>
      <c r="D52" s="408"/>
      <c r="E52" s="408"/>
      <c r="F52" s="408"/>
      <c r="G52" s="408"/>
      <c r="H52" s="408"/>
      <c r="I52" s="408"/>
      <c r="J52" s="408"/>
      <c r="K52" s="408"/>
      <c r="L52" s="408"/>
      <c r="M52" s="408"/>
      <c r="N52" s="408"/>
      <c r="O52" s="408"/>
      <c r="P52" s="408"/>
      <c r="Q52" s="408"/>
      <c r="R52" s="408"/>
      <c r="S52" s="408"/>
      <c r="T52" s="408"/>
      <c r="U52" s="408"/>
      <c r="V52" s="413" t="s">
        <v>985</v>
      </c>
      <c r="W52" s="425" t="s">
        <v>718</v>
      </c>
      <c r="X52" s="425" t="s">
        <v>930</v>
      </c>
      <c r="Y52" s="425" t="s">
        <v>931</v>
      </c>
      <c r="Z52" s="408"/>
      <c r="AA52" s="416"/>
      <c r="AB52" s="408"/>
      <c r="AC52" s="408"/>
      <c r="AD52" s="408"/>
      <c r="AE52" s="408"/>
      <c r="AF52" s="408"/>
      <c r="AG52" s="408"/>
      <c r="AH52" s="408"/>
      <c r="AI52" s="408"/>
      <c r="AJ52" s="408"/>
      <c r="AK52" s="408"/>
      <c r="AL52" s="408"/>
      <c r="AM52" s="408"/>
      <c r="AN52" s="408"/>
      <c r="AO52" s="408"/>
      <c r="AP52" s="408"/>
      <c r="AQ52" s="408"/>
      <c r="AR52" s="408"/>
      <c r="AS52" s="406"/>
      <c r="AT52" s="406"/>
      <c r="AU52" s="406"/>
      <c r="AV52" s="406"/>
      <c r="AW52" s="406"/>
      <c r="AX52" s="406"/>
      <c r="AY52" s="406"/>
      <c r="AZ52" s="406"/>
      <c r="BA52" s="406"/>
      <c r="BB52" s="406"/>
      <c r="BC52" s="406"/>
      <c r="BD52" s="406"/>
      <c r="BE52" s="406"/>
      <c r="BF52" s="406"/>
      <c r="BG52" s="406"/>
      <c r="BH52" s="406"/>
      <c r="BI52" s="406"/>
      <c r="BJ52" s="406"/>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row>
    <row r="53" spans="1:84">
      <c r="A53" s="406"/>
      <c r="B53" s="408"/>
      <c r="C53" s="408"/>
      <c r="D53" s="408"/>
      <c r="E53" s="408"/>
      <c r="F53" s="408"/>
      <c r="G53" s="408"/>
      <c r="H53" s="408"/>
      <c r="I53" s="408"/>
      <c r="J53" s="408"/>
      <c r="K53" s="408"/>
      <c r="L53" s="408"/>
      <c r="M53" s="408"/>
      <c r="N53" s="408"/>
      <c r="O53" s="408"/>
      <c r="P53" s="408"/>
      <c r="Q53" s="408"/>
      <c r="R53" s="408"/>
      <c r="S53" s="408"/>
      <c r="T53" s="408"/>
      <c r="U53" s="408"/>
      <c r="V53" s="416">
        <f>100*(+AD47/$E$9)</f>
        <v>288.09713311784282</v>
      </c>
      <c r="W53" s="426">
        <f>EXP(5.7226-(0.68367*LN(+V53)))</f>
        <v>6.3647392666442659</v>
      </c>
      <c r="X53" s="417">
        <f>(+W53*V53)/100</f>
        <v>18.336631357627745</v>
      </c>
      <c r="Y53" s="416">
        <f>100*((((X53/100)-((X53/100)-0.03574)*$E$21)-0.03574-0.00619)/0.344)</f>
        <v>26.524234581495087</v>
      </c>
      <c r="Z53" s="408">
        <f>$E$20</f>
        <v>0.25</v>
      </c>
      <c r="AA53" s="416">
        <f>Y53+Z53</f>
        <v>26.774234581495087</v>
      </c>
      <c r="AB53" s="416">
        <f>100*($E$17*$E$19+($E$18*(AA53/100))/(1-$E$21))</f>
        <v>21.063395448640776</v>
      </c>
      <c r="AC53" s="417">
        <f>AB53/V53</f>
        <v>7.3112131386691162E-2</v>
      </c>
      <c r="AD53" s="415">
        <f>ROUND($E$8/(1-AC53),0)</f>
        <v>2716231</v>
      </c>
      <c r="AE53" s="408" t="str">
        <f>IF(OR(OR(AD53=AD47,AD53=(AD47+1)),AD53=(AD39-1)),"yes","not yet")</f>
        <v>yes</v>
      </c>
      <c r="AF53" s="416">
        <f>100*(1-AC53)</f>
        <v>92.688786861330883</v>
      </c>
      <c r="AG53" s="408"/>
      <c r="AH53" s="408"/>
      <c r="AI53" s="408"/>
      <c r="AJ53" s="408"/>
      <c r="AK53" s="408"/>
      <c r="AL53" s="408"/>
      <c r="AM53" s="408"/>
      <c r="AN53" s="408"/>
      <c r="AO53" s="408"/>
      <c r="AP53" s="408"/>
      <c r="AQ53" s="408"/>
      <c r="AR53" s="408"/>
      <c r="AS53" s="406"/>
      <c r="AT53" s="406"/>
      <c r="AU53" s="406"/>
      <c r="AV53" s="406"/>
      <c r="AW53" s="406"/>
      <c r="AX53" s="406"/>
      <c r="AY53" s="406"/>
      <c r="AZ53" s="406"/>
      <c r="BA53" s="406"/>
      <c r="BB53" s="406"/>
      <c r="BC53" s="406"/>
      <c r="BD53" s="406"/>
      <c r="BE53" s="406"/>
      <c r="BF53" s="406"/>
      <c r="BG53" s="406"/>
      <c r="BH53" s="406"/>
      <c r="BI53" s="406"/>
      <c r="BJ53" s="406"/>
      <c r="BK53" s="407"/>
      <c r="BL53" s="407"/>
      <c r="BM53" s="407"/>
      <c r="BN53" s="407"/>
      <c r="BO53" s="407"/>
      <c r="BP53" s="407"/>
      <c r="BQ53" s="407"/>
      <c r="BR53" s="407"/>
      <c r="BS53" s="407"/>
      <c r="BT53" s="407"/>
      <c r="BU53" s="407"/>
      <c r="BV53" s="407"/>
      <c r="BW53" s="407"/>
      <c r="BX53" s="407"/>
      <c r="BY53" s="407"/>
      <c r="BZ53" s="407"/>
      <c r="CA53" s="407"/>
      <c r="CB53" s="407"/>
      <c r="CC53" s="407"/>
      <c r="CD53" s="407"/>
      <c r="CE53" s="407"/>
      <c r="CF53" s="407"/>
    </row>
    <row r="54" spans="1:84">
      <c r="A54" s="406"/>
      <c r="B54" s="408"/>
      <c r="C54" s="408"/>
      <c r="D54" s="408"/>
      <c r="E54" s="408"/>
      <c r="F54" s="408"/>
      <c r="G54" s="408"/>
      <c r="H54" s="408"/>
      <c r="I54" s="408"/>
      <c r="J54" s="408"/>
      <c r="K54" s="408"/>
      <c r="L54" s="408"/>
      <c r="M54" s="408"/>
      <c r="N54" s="408"/>
      <c r="O54" s="408"/>
      <c r="P54" s="408"/>
      <c r="Q54" s="408"/>
      <c r="R54" s="408"/>
      <c r="S54" s="408"/>
      <c r="T54" s="408"/>
      <c r="U54" s="408"/>
      <c r="V54" s="416">
        <f>100*(+AD48/$E$9)</f>
        <v>287.72198109290912</v>
      </c>
      <c r="W54" s="426">
        <f>EXP(5.70827-(0.68367*LN(+V54)))</f>
        <v>6.2797746975079249</v>
      </c>
      <c r="X54" s="417">
        <f>(+W54*V54)/100</f>
        <v>18.068292167841044</v>
      </c>
      <c r="Y54" s="416">
        <f>100*((((X54/100)-((X54/100)-0.03574)*$E$21)-0.03574-0.00619)/0.344)</f>
        <v>26.009397763881076</v>
      </c>
      <c r="Z54" s="408">
        <f>$E$20</f>
        <v>0.25</v>
      </c>
      <c r="AA54" s="416">
        <f>Y54+Z54</f>
        <v>26.259397763881076</v>
      </c>
      <c r="AB54" s="416">
        <f>100*($E$17*$E$19+($E$18*(AA54/100))/(1-$E$21))</f>
        <v>20.688199031096033</v>
      </c>
      <c r="AC54" s="417">
        <f>AB54/V54</f>
        <v>7.1903435922803363E-2</v>
      </c>
      <c r="AD54" s="415">
        <f>ROUND($E$8/(1-AC54),0)</f>
        <v>2712694</v>
      </c>
      <c r="AE54" s="408" t="str">
        <f>IF(OR(OR(AD54=AD48,AD54=(AD48+1)),AD54=(AD48-1)),"yes","not yet")</f>
        <v>yes</v>
      </c>
      <c r="AF54" s="416">
        <f>100*(1-AC54)</f>
        <v>92.809656407719672</v>
      </c>
      <c r="AG54" s="408"/>
      <c r="AH54" s="408"/>
      <c r="AI54" s="408"/>
      <c r="AJ54" s="408"/>
      <c r="AK54" s="408"/>
      <c r="AL54" s="408"/>
      <c r="AM54" s="408"/>
      <c r="AN54" s="408"/>
      <c r="AO54" s="408"/>
      <c r="AP54" s="408"/>
      <c r="AQ54" s="408"/>
      <c r="AR54" s="408"/>
      <c r="AS54" s="406"/>
      <c r="AT54" s="406"/>
      <c r="AU54" s="406"/>
      <c r="AV54" s="406"/>
      <c r="AW54" s="406"/>
      <c r="AX54" s="406"/>
      <c r="AY54" s="406"/>
      <c r="AZ54" s="406"/>
      <c r="BA54" s="406"/>
      <c r="BB54" s="406"/>
      <c r="BC54" s="406"/>
      <c r="BD54" s="406"/>
      <c r="BE54" s="406"/>
      <c r="BF54" s="406"/>
      <c r="BG54" s="406"/>
      <c r="BH54" s="406"/>
      <c r="BI54" s="406"/>
      <c r="BJ54" s="406"/>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row>
    <row r="55" spans="1:84">
      <c r="A55" s="406"/>
      <c r="B55" s="408"/>
      <c r="C55" s="408"/>
      <c r="D55" s="408"/>
      <c r="E55" s="408"/>
      <c r="F55" s="408"/>
      <c r="G55" s="408"/>
      <c r="H55" s="408"/>
      <c r="I55" s="408"/>
      <c r="J55" s="408"/>
      <c r="K55" s="408"/>
      <c r="L55" s="408"/>
      <c r="M55" s="408"/>
      <c r="N55" s="408"/>
      <c r="O55" s="408"/>
      <c r="P55" s="408"/>
      <c r="Q55" s="408"/>
      <c r="R55" s="408"/>
      <c r="S55" s="408"/>
      <c r="T55" s="408"/>
      <c r="U55" s="408"/>
      <c r="V55" s="416">
        <f>100*(+AD49/$E$9)</f>
        <v>287.46933418213951</v>
      </c>
      <c r="W55" s="426">
        <f>EXP(5.6985-(0.68367*LN(V55)))</f>
        <v>6.2224560603000665</v>
      </c>
      <c r="X55" s="417">
        <f>(+W55*V55)/100</f>
        <v>17.887653006320789</v>
      </c>
      <c r="Y55" s="416">
        <f>100*((((X55/100)-((X55/100)-0.03574)*$E$21)-0.03574-0.00619)/0.344)</f>
        <v>25.662822628406168</v>
      </c>
      <c r="Z55" s="408">
        <f>$E$20</f>
        <v>0.25</v>
      </c>
      <c r="AA55" s="416">
        <f>Y55+Z55</f>
        <v>25.912822628406168</v>
      </c>
      <c r="AB55" s="416">
        <f>100*($E$17*$E$19+($E$18*(AA55/100))/(1-$E$21))</f>
        <v>20.435626284176138</v>
      </c>
      <c r="AC55" s="417">
        <f>AB55/V55</f>
        <v>7.1088021761751469E-2</v>
      </c>
      <c r="AD55" s="415">
        <f>ROUND($E$8/(1-AC55),0)</f>
        <v>2710313</v>
      </c>
      <c r="AE55" s="408" t="str">
        <f>IF(OR(OR(AD55=AD49,AD55=(AD49+1)),AD55=(AD49-1)),"yes","not yet")</f>
        <v>yes</v>
      </c>
      <c r="AF55" s="416">
        <f>100*(1-AC55)</f>
        <v>92.891197823824854</v>
      </c>
      <c r="AG55" s="408"/>
      <c r="AH55" s="408"/>
      <c r="AI55" s="408"/>
      <c r="AJ55" s="408"/>
      <c r="AK55" s="408"/>
      <c r="AL55" s="408"/>
      <c r="AM55" s="408"/>
      <c r="AN55" s="408"/>
      <c r="AO55" s="408"/>
      <c r="AP55" s="408"/>
      <c r="AQ55" s="408"/>
      <c r="AR55" s="408"/>
      <c r="AS55" s="406"/>
      <c r="AT55" s="406"/>
      <c r="AU55" s="406"/>
      <c r="AV55" s="406"/>
      <c r="AW55" s="406"/>
      <c r="AX55" s="406"/>
      <c r="AY55" s="406"/>
      <c r="AZ55" s="406"/>
      <c r="BA55" s="406"/>
      <c r="BB55" s="406"/>
      <c r="BC55" s="406"/>
      <c r="BD55" s="406"/>
      <c r="BE55" s="406"/>
      <c r="BF55" s="406"/>
      <c r="BG55" s="406"/>
      <c r="BH55" s="406"/>
      <c r="BI55" s="406"/>
      <c r="BJ55" s="406"/>
      <c r="BK55" s="407"/>
      <c r="BL55" s="407"/>
      <c r="BM55" s="407"/>
      <c r="BN55" s="407"/>
      <c r="BO55" s="407"/>
      <c r="BP55" s="407"/>
      <c r="BQ55" s="407"/>
      <c r="BR55" s="407"/>
      <c r="BS55" s="407"/>
      <c r="BT55" s="407"/>
      <c r="BU55" s="407"/>
      <c r="BV55" s="407"/>
      <c r="BW55" s="407"/>
      <c r="BX55" s="407"/>
      <c r="BY55" s="407"/>
      <c r="BZ55" s="407"/>
      <c r="CA55" s="407"/>
      <c r="CB55" s="407"/>
      <c r="CC55" s="407"/>
      <c r="CD55" s="407"/>
      <c r="CE55" s="407"/>
      <c r="CF55" s="407"/>
    </row>
    <row r="56" spans="1:84">
      <c r="A56" s="406"/>
      <c r="B56" s="408"/>
      <c r="C56" s="408"/>
      <c r="D56" s="408"/>
      <c r="E56" s="408"/>
      <c r="F56" s="408"/>
      <c r="G56" s="408"/>
      <c r="H56" s="408"/>
      <c r="I56" s="408"/>
      <c r="J56" s="408"/>
      <c r="K56" s="408"/>
      <c r="L56" s="408"/>
      <c r="M56" s="408"/>
      <c r="N56" s="408"/>
      <c r="O56" s="408"/>
      <c r="P56" s="408"/>
      <c r="Q56" s="408"/>
      <c r="R56" s="408"/>
      <c r="S56" s="408"/>
      <c r="T56" s="408"/>
      <c r="U56" s="408"/>
      <c r="V56" s="416">
        <f>100*(+AD50/$E$9)</f>
        <v>287.30790320053103</v>
      </c>
      <c r="W56" s="426">
        <f>EXP(5.6922-(0.68367*LN(V56)))</f>
        <v>6.185752864365651</v>
      </c>
      <c r="X56" s="417">
        <f>(+W56*V56)/100</f>
        <v>17.77215685177574</v>
      </c>
      <c r="Y56" s="416">
        <f>100*((((X56/100)-((X56/100)-0.03574)*$E$21)-0.03574-0.00619)/0.344)</f>
        <v>25.441231169104618</v>
      </c>
      <c r="Z56" s="408">
        <f>$E$20</f>
        <v>0.25</v>
      </c>
      <c r="AA56" s="416">
        <f>Y56+Z56</f>
        <v>25.691231169104618</v>
      </c>
      <c r="AB56" s="416">
        <f>100*($E$17*$E$19+($E$18*(AA56/100))/(1-$E$21))</f>
        <v>20.2741375971903</v>
      </c>
      <c r="AC56" s="417">
        <f>AB56/V56</f>
        <v>7.0565888969088511E-2</v>
      </c>
      <c r="AD56" s="415">
        <f>ROUND($E$8/(1-AC56),0)</f>
        <v>2708790</v>
      </c>
      <c r="AE56" s="408" t="str">
        <f>IF(OR(OR(AD56=AD50,AD56=(AD50+1)),AD56=(AD50-1)),"yes","not yet")</f>
        <v>yes</v>
      </c>
      <c r="AF56" s="416">
        <f>100*(1-AC56)</f>
        <v>92.943411103091151</v>
      </c>
      <c r="AG56" s="408"/>
      <c r="AH56" s="408"/>
      <c r="AI56" s="408"/>
      <c r="AJ56" s="408"/>
      <c r="AK56" s="408"/>
      <c r="AL56" s="408"/>
      <c r="AM56" s="408"/>
      <c r="AN56" s="408"/>
      <c r="AO56" s="408"/>
      <c r="AP56" s="408"/>
      <c r="AQ56" s="408"/>
      <c r="AR56" s="408"/>
      <c r="AS56" s="406"/>
      <c r="AT56" s="406"/>
      <c r="AU56" s="406"/>
      <c r="AV56" s="406"/>
      <c r="AW56" s="406"/>
      <c r="AX56" s="406"/>
      <c r="AY56" s="406"/>
      <c r="AZ56" s="406"/>
      <c r="BA56" s="406"/>
      <c r="BB56" s="406"/>
      <c r="BC56" s="406"/>
      <c r="BD56" s="406"/>
      <c r="BE56" s="406"/>
      <c r="BF56" s="406"/>
      <c r="BG56" s="406"/>
      <c r="BH56" s="406"/>
      <c r="BI56" s="406"/>
      <c r="BJ56" s="406"/>
      <c r="BK56" s="407"/>
      <c r="BL56" s="407"/>
      <c r="BM56" s="407"/>
      <c r="BN56" s="407"/>
      <c r="BO56" s="407"/>
      <c r="BP56" s="407"/>
      <c r="BQ56" s="407"/>
      <c r="BR56" s="407"/>
      <c r="BS56" s="407"/>
      <c r="BT56" s="407"/>
      <c r="BU56" s="407"/>
      <c r="BV56" s="407"/>
      <c r="BW56" s="407"/>
      <c r="BX56" s="407"/>
      <c r="BY56" s="407"/>
      <c r="BZ56" s="407"/>
      <c r="CA56" s="407"/>
      <c r="CB56" s="407"/>
      <c r="CC56" s="407"/>
      <c r="CD56" s="407"/>
      <c r="CE56" s="407"/>
      <c r="CF56" s="407"/>
    </row>
    <row r="57" spans="1:84">
      <c r="A57" s="406"/>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16"/>
      <c r="AB57" s="408"/>
      <c r="AC57" s="408"/>
      <c r="AD57" s="408"/>
      <c r="AE57" s="408"/>
      <c r="AF57" s="408"/>
      <c r="AG57" s="408"/>
      <c r="AH57" s="408"/>
      <c r="AI57" s="408"/>
      <c r="AJ57" s="408"/>
      <c r="AK57" s="408"/>
      <c r="AL57" s="408"/>
      <c r="AM57" s="408"/>
      <c r="AN57" s="408"/>
      <c r="AO57" s="408"/>
      <c r="AP57" s="408"/>
      <c r="AQ57" s="408"/>
      <c r="AR57" s="408"/>
      <c r="AS57" s="406"/>
      <c r="AT57" s="406"/>
      <c r="AU57" s="406"/>
      <c r="AV57" s="406"/>
      <c r="AW57" s="406"/>
      <c r="AX57" s="406"/>
      <c r="AY57" s="406"/>
      <c r="AZ57" s="406"/>
      <c r="BA57" s="406"/>
      <c r="BB57" s="406"/>
      <c r="BC57" s="406"/>
      <c r="BD57" s="406"/>
      <c r="BE57" s="406"/>
      <c r="BF57" s="406"/>
      <c r="BG57" s="406"/>
      <c r="BH57" s="406"/>
      <c r="BI57" s="406"/>
      <c r="BJ57" s="406"/>
      <c r="BK57" s="407"/>
      <c r="BL57" s="407"/>
      <c r="BM57" s="407"/>
      <c r="BN57" s="407"/>
      <c r="BO57" s="407"/>
      <c r="BP57" s="407"/>
      <c r="BQ57" s="407"/>
      <c r="BR57" s="407"/>
      <c r="BS57" s="407"/>
      <c r="BT57" s="407"/>
      <c r="BU57" s="407"/>
      <c r="BV57" s="407"/>
      <c r="BW57" s="407"/>
      <c r="BX57" s="407"/>
      <c r="BY57" s="407"/>
      <c r="BZ57" s="407"/>
      <c r="CA57" s="407"/>
      <c r="CB57" s="407"/>
      <c r="CC57" s="407"/>
      <c r="CD57" s="407"/>
      <c r="CE57" s="407"/>
      <c r="CF57" s="407"/>
    </row>
    <row r="58" spans="1:84">
      <c r="A58" s="406"/>
      <c r="B58" s="406"/>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7"/>
      <c r="BL58" s="407"/>
      <c r="BM58" s="407"/>
      <c r="BN58" s="407"/>
      <c r="BO58" s="407"/>
      <c r="BP58" s="407"/>
      <c r="BQ58" s="407"/>
      <c r="BR58" s="407"/>
      <c r="BS58" s="407"/>
      <c r="BT58" s="407"/>
      <c r="BU58" s="407"/>
      <c r="BV58" s="407"/>
      <c r="BW58" s="407"/>
      <c r="BX58" s="407"/>
      <c r="BY58" s="407"/>
      <c r="BZ58" s="407"/>
      <c r="CA58" s="407"/>
      <c r="CB58" s="407"/>
      <c r="CC58" s="407"/>
      <c r="CD58" s="407"/>
      <c r="CE58" s="407"/>
      <c r="CF58" s="407"/>
    </row>
    <row r="59" spans="1:84">
      <c r="A59" s="406"/>
      <c r="B59" s="406"/>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7"/>
      <c r="BL59" s="407"/>
      <c r="BM59" s="407"/>
      <c r="BN59" s="407"/>
      <c r="BO59" s="407"/>
      <c r="BP59" s="407"/>
      <c r="BQ59" s="407"/>
      <c r="BR59" s="407"/>
      <c r="BS59" s="407"/>
      <c r="BT59" s="407"/>
      <c r="BU59" s="407"/>
      <c r="BV59" s="407"/>
      <c r="BW59" s="407"/>
      <c r="BX59" s="407"/>
      <c r="BY59" s="407"/>
      <c r="BZ59" s="407"/>
      <c r="CA59" s="407"/>
      <c r="CB59" s="407"/>
      <c r="CC59" s="407"/>
      <c r="CD59" s="407"/>
      <c r="CE59" s="407"/>
      <c r="CF59" s="407"/>
    </row>
    <row r="60" spans="1:84">
      <c r="A60" s="406"/>
      <c r="B60" s="406"/>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7"/>
      <c r="BL60" s="407"/>
      <c r="BM60" s="407"/>
      <c r="BN60" s="407"/>
      <c r="BO60" s="407"/>
      <c r="BP60" s="407"/>
      <c r="BQ60" s="407"/>
      <c r="BR60" s="407"/>
      <c r="BS60" s="407"/>
      <c r="BT60" s="407"/>
      <c r="BU60" s="407"/>
      <c r="BV60" s="407"/>
      <c r="BW60" s="407"/>
      <c r="BX60" s="407"/>
      <c r="BY60" s="407"/>
      <c r="BZ60" s="407"/>
      <c r="CA60" s="407"/>
      <c r="CB60" s="407"/>
      <c r="CC60" s="407"/>
      <c r="CD60" s="407"/>
      <c r="CE60" s="407"/>
      <c r="CF60" s="407"/>
    </row>
    <row r="61" spans="1:84">
      <c r="A61" s="406"/>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row>
    <row r="62" spans="1:84">
      <c r="A62" s="406"/>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7"/>
      <c r="BL62" s="407"/>
      <c r="BM62" s="407"/>
      <c r="BN62" s="407"/>
      <c r="BO62" s="407"/>
      <c r="BP62" s="407"/>
      <c r="BQ62" s="407"/>
      <c r="BR62" s="407"/>
      <c r="BS62" s="407"/>
      <c r="BT62" s="407"/>
      <c r="BU62" s="407"/>
      <c r="BV62" s="407"/>
      <c r="BW62" s="407"/>
      <c r="BX62" s="407"/>
      <c r="BY62" s="407"/>
      <c r="BZ62" s="407"/>
      <c r="CA62" s="407"/>
      <c r="CB62" s="407"/>
      <c r="CC62" s="407"/>
      <c r="CD62" s="407"/>
      <c r="CE62" s="407"/>
      <c r="CF62" s="407"/>
    </row>
    <row r="63" spans="1:84">
      <c r="A63" s="406"/>
      <c r="B63" s="406"/>
      <c r="C63" s="406"/>
      <c r="D63" s="406"/>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row>
    <row r="64" spans="1:84">
      <c r="A64" s="406"/>
      <c r="B64" s="406"/>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row>
    <row r="65" spans="1:84">
      <c r="A65" s="406"/>
      <c r="B65" s="406"/>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7"/>
      <c r="BL65" s="407"/>
      <c r="BM65" s="407"/>
      <c r="BN65" s="407"/>
      <c r="BO65" s="407"/>
      <c r="BP65" s="407"/>
      <c r="BQ65" s="407"/>
      <c r="BR65" s="407"/>
      <c r="BS65" s="407"/>
      <c r="BT65" s="407"/>
      <c r="BU65" s="407"/>
      <c r="BV65" s="407"/>
      <c r="BW65" s="407"/>
      <c r="BX65" s="407"/>
      <c r="BY65" s="407"/>
      <c r="BZ65" s="407"/>
      <c r="CA65" s="407"/>
      <c r="CB65" s="407"/>
      <c r="CC65" s="407"/>
      <c r="CD65" s="407"/>
      <c r="CE65" s="407"/>
      <c r="CF65" s="407"/>
    </row>
    <row r="66" spans="1:84">
      <c r="A66" s="406"/>
      <c r="B66" s="406"/>
      <c r="C66" s="406"/>
      <c r="D66" s="406"/>
      <c r="E66" s="406"/>
      <c r="F66" s="406"/>
      <c r="G66" s="406"/>
      <c r="H66" s="406"/>
      <c r="I66" s="406"/>
      <c r="J66" s="406"/>
      <c r="K66" s="406"/>
      <c r="L66" s="406"/>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7"/>
      <c r="BL66" s="407"/>
      <c r="BM66" s="407"/>
      <c r="BN66" s="407"/>
      <c r="BO66" s="407"/>
      <c r="BP66" s="407"/>
      <c r="BQ66" s="407"/>
      <c r="BR66" s="407"/>
      <c r="BS66" s="407"/>
      <c r="BT66" s="407"/>
      <c r="BU66" s="407"/>
      <c r="BV66" s="407"/>
      <c r="BW66" s="407"/>
      <c r="BX66" s="407"/>
      <c r="BY66" s="407"/>
      <c r="BZ66" s="407"/>
      <c r="CA66" s="407"/>
      <c r="CB66" s="407"/>
      <c r="CC66" s="407"/>
      <c r="CD66" s="407"/>
      <c r="CE66" s="407"/>
      <c r="CF66" s="407"/>
    </row>
    <row r="67" spans="1:84">
      <c r="A67" s="406"/>
      <c r="B67" s="406"/>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7"/>
      <c r="BL67" s="407"/>
      <c r="BM67" s="407"/>
      <c r="BN67" s="407"/>
      <c r="BO67" s="407"/>
      <c r="BP67" s="407"/>
      <c r="BQ67" s="407"/>
      <c r="BR67" s="407"/>
      <c r="BS67" s="407"/>
      <c r="BT67" s="407"/>
      <c r="BU67" s="407"/>
      <c r="BV67" s="407"/>
      <c r="BW67" s="407"/>
      <c r="BX67" s="407"/>
      <c r="BY67" s="407"/>
      <c r="BZ67" s="407"/>
      <c r="CA67" s="407"/>
      <c r="CB67" s="407"/>
      <c r="CC67" s="407"/>
      <c r="CD67" s="407"/>
      <c r="CE67" s="407"/>
      <c r="CF67" s="407"/>
    </row>
    <row r="68" spans="1:84">
      <c r="A68" s="406"/>
      <c r="B68" s="406"/>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7"/>
      <c r="BL68" s="407"/>
      <c r="BM68" s="407"/>
      <c r="BN68" s="407"/>
      <c r="BO68" s="407"/>
      <c r="BP68" s="407"/>
      <c r="BQ68" s="407"/>
      <c r="BR68" s="407"/>
      <c r="BS68" s="407"/>
      <c r="BT68" s="407"/>
      <c r="BU68" s="407"/>
      <c r="BV68" s="407"/>
      <c r="BW68" s="407"/>
      <c r="BX68" s="407"/>
      <c r="BY68" s="407"/>
      <c r="BZ68" s="407"/>
      <c r="CA68" s="407"/>
      <c r="CB68" s="407"/>
      <c r="CC68" s="407"/>
      <c r="CD68" s="407"/>
      <c r="CE68" s="407"/>
      <c r="CF68" s="407"/>
    </row>
    <row r="69" spans="1:84">
      <c r="A69" s="406"/>
      <c r="B69" s="406"/>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7"/>
      <c r="BL69" s="407"/>
      <c r="BM69" s="407"/>
      <c r="BN69" s="407"/>
      <c r="BO69" s="407"/>
      <c r="BP69" s="407"/>
      <c r="BQ69" s="407"/>
      <c r="BR69" s="407"/>
      <c r="BS69" s="407"/>
      <c r="BT69" s="407"/>
      <c r="BU69" s="407"/>
      <c r="BV69" s="407"/>
      <c r="BW69" s="407"/>
      <c r="BX69" s="407"/>
      <c r="BY69" s="407"/>
      <c r="BZ69" s="407"/>
      <c r="CA69" s="407"/>
      <c r="CB69" s="407"/>
      <c r="CC69" s="407"/>
      <c r="CD69" s="407"/>
      <c r="CE69" s="407"/>
      <c r="CF69" s="407"/>
    </row>
    <row r="70" spans="1:84">
      <c r="A70" s="406"/>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7"/>
      <c r="BL70" s="407"/>
      <c r="BM70" s="407"/>
      <c r="BN70" s="407"/>
      <c r="BO70" s="407"/>
      <c r="BP70" s="407"/>
      <c r="BQ70" s="407"/>
      <c r="BR70" s="407"/>
      <c r="BS70" s="407"/>
      <c r="BT70" s="407"/>
      <c r="BU70" s="407"/>
      <c r="BV70" s="407"/>
      <c r="BW70" s="407"/>
      <c r="BX70" s="407"/>
      <c r="BY70" s="407"/>
      <c r="BZ70" s="407"/>
      <c r="CA70" s="407"/>
      <c r="CB70" s="407"/>
      <c r="CC70" s="407"/>
      <c r="CD70" s="407"/>
      <c r="CE70" s="407"/>
      <c r="CF70" s="407"/>
    </row>
    <row r="71" spans="1:84">
      <c r="A71" s="406"/>
      <c r="B71" s="406"/>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7"/>
      <c r="BL71" s="407"/>
      <c r="BM71" s="407"/>
      <c r="BN71" s="407"/>
      <c r="BO71" s="407"/>
      <c r="BP71" s="407"/>
      <c r="BQ71" s="407"/>
      <c r="BR71" s="407"/>
      <c r="BS71" s="407"/>
      <c r="BT71" s="407"/>
      <c r="BU71" s="407"/>
      <c r="BV71" s="407"/>
      <c r="BW71" s="407"/>
      <c r="BX71" s="407"/>
      <c r="BY71" s="407"/>
      <c r="BZ71" s="407"/>
      <c r="CA71" s="407"/>
      <c r="CB71" s="407"/>
      <c r="CC71" s="407"/>
      <c r="CD71" s="407"/>
      <c r="CE71" s="407"/>
      <c r="CF71" s="407"/>
    </row>
    <row r="72" spans="1:84">
      <c r="A72" s="406"/>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7"/>
      <c r="BL72" s="407"/>
      <c r="BM72" s="407"/>
      <c r="BN72" s="407"/>
      <c r="BO72" s="407"/>
      <c r="BP72" s="407"/>
      <c r="BQ72" s="407"/>
      <c r="BR72" s="407"/>
      <c r="BS72" s="407"/>
      <c r="BT72" s="407"/>
      <c r="BU72" s="407"/>
      <c r="BV72" s="407"/>
      <c r="BW72" s="407"/>
      <c r="BX72" s="407"/>
      <c r="BY72" s="407"/>
      <c r="BZ72" s="407"/>
      <c r="CA72" s="407"/>
      <c r="CB72" s="407"/>
      <c r="CC72" s="407"/>
      <c r="CD72" s="407"/>
      <c r="CE72" s="407"/>
      <c r="CF72" s="407"/>
    </row>
    <row r="73" spans="1:84">
      <c r="A73" s="406"/>
      <c r="B73" s="406"/>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row>
    <row r="74" spans="1:84">
      <c r="A74" s="406"/>
      <c r="B74" s="406"/>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7"/>
      <c r="BL74" s="407"/>
      <c r="BM74" s="407"/>
      <c r="BN74" s="407"/>
      <c r="BO74" s="407"/>
      <c r="BP74" s="407"/>
      <c r="BQ74" s="407"/>
      <c r="BR74" s="407"/>
      <c r="BS74" s="407"/>
      <c r="BT74" s="407"/>
      <c r="BU74" s="407"/>
      <c r="BV74" s="407"/>
      <c r="BW74" s="407"/>
      <c r="BX74" s="407"/>
      <c r="BY74" s="407"/>
      <c r="BZ74" s="407"/>
      <c r="CA74" s="407"/>
      <c r="CB74" s="407"/>
      <c r="CC74" s="407"/>
      <c r="CD74" s="407"/>
      <c r="CE74" s="407"/>
      <c r="CF74" s="407"/>
    </row>
    <row r="75" spans="1:84">
      <c r="A75" s="406"/>
      <c r="B75" s="406"/>
      <c r="C75" s="406"/>
      <c r="D75" s="406"/>
      <c r="E75" s="406"/>
      <c r="F75" s="406"/>
      <c r="G75" s="406"/>
      <c r="H75" s="406"/>
      <c r="I75" s="406"/>
      <c r="J75" s="406"/>
      <c r="K75" s="406"/>
      <c r="L75" s="406"/>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7"/>
      <c r="BL75" s="407"/>
      <c r="BM75" s="407"/>
      <c r="BN75" s="407"/>
      <c r="BO75" s="407"/>
      <c r="BP75" s="407"/>
      <c r="BQ75" s="407"/>
      <c r="BR75" s="407"/>
      <c r="BS75" s="407"/>
      <c r="BT75" s="407"/>
      <c r="BU75" s="407"/>
      <c r="BV75" s="407"/>
      <c r="BW75" s="407"/>
      <c r="BX75" s="407"/>
      <c r="BY75" s="407"/>
      <c r="BZ75" s="407"/>
      <c r="CA75" s="407"/>
      <c r="CB75" s="407"/>
      <c r="CC75" s="407"/>
      <c r="CD75" s="407"/>
      <c r="CE75" s="407"/>
      <c r="CF75" s="407"/>
    </row>
    <row r="76" spans="1:84">
      <c r="A76" s="406"/>
      <c r="B76" s="406"/>
      <c r="C76" s="406"/>
      <c r="D76" s="406"/>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7"/>
      <c r="BL76" s="407"/>
      <c r="BM76" s="407"/>
      <c r="BN76" s="407"/>
      <c r="BO76" s="407"/>
      <c r="BP76" s="407"/>
      <c r="BQ76" s="407"/>
      <c r="BR76" s="407"/>
      <c r="BS76" s="407"/>
      <c r="BT76" s="407"/>
      <c r="BU76" s="407"/>
      <c r="BV76" s="407"/>
      <c r="BW76" s="407"/>
      <c r="BX76" s="407"/>
      <c r="BY76" s="407"/>
      <c r="BZ76" s="407"/>
      <c r="CA76" s="407"/>
      <c r="CB76" s="407"/>
      <c r="CC76" s="407"/>
      <c r="CD76" s="407"/>
      <c r="CE76" s="407"/>
      <c r="CF76" s="407"/>
    </row>
    <row r="77" spans="1:84">
      <c r="A77" s="406"/>
      <c r="B77" s="406"/>
      <c r="C77" s="406"/>
      <c r="D77" s="406"/>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7"/>
      <c r="BL77" s="407"/>
      <c r="BM77" s="407"/>
      <c r="BN77" s="407"/>
      <c r="BO77" s="407"/>
      <c r="BP77" s="407"/>
      <c r="BQ77" s="407"/>
      <c r="BR77" s="407"/>
      <c r="BS77" s="407"/>
      <c r="BT77" s="407"/>
      <c r="BU77" s="407"/>
      <c r="BV77" s="407"/>
      <c r="BW77" s="407"/>
      <c r="BX77" s="407"/>
      <c r="BY77" s="407"/>
      <c r="BZ77" s="407"/>
      <c r="CA77" s="407"/>
      <c r="CB77" s="407"/>
      <c r="CC77" s="407"/>
      <c r="CD77" s="407"/>
      <c r="CE77" s="407"/>
      <c r="CF77" s="407"/>
    </row>
    <row r="78" spans="1:84">
      <c r="A78" s="406"/>
      <c r="B78" s="406"/>
      <c r="C78" s="406"/>
      <c r="D78" s="406"/>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7"/>
      <c r="BL78" s="407"/>
      <c r="BM78" s="407"/>
      <c r="BN78" s="407"/>
      <c r="BO78" s="407"/>
      <c r="BP78" s="407"/>
      <c r="BQ78" s="407"/>
      <c r="BR78" s="407"/>
      <c r="BS78" s="407"/>
      <c r="BT78" s="407"/>
      <c r="BU78" s="407"/>
      <c r="BV78" s="407"/>
      <c r="BW78" s="407"/>
      <c r="BX78" s="407"/>
      <c r="BY78" s="407"/>
      <c r="BZ78" s="407"/>
      <c r="CA78" s="407"/>
      <c r="CB78" s="407"/>
      <c r="CC78" s="407"/>
      <c r="CD78" s="407"/>
      <c r="CE78" s="407"/>
      <c r="CF78" s="407"/>
    </row>
    <row r="79" spans="1:84">
      <c r="A79" s="406"/>
      <c r="B79" s="406"/>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7"/>
      <c r="BL79" s="407"/>
      <c r="BM79" s="407"/>
      <c r="BN79" s="407"/>
      <c r="BO79" s="407"/>
      <c r="BP79" s="407"/>
      <c r="BQ79" s="407"/>
      <c r="BR79" s="407"/>
      <c r="BS79" s="407"/>
      <c r="BT79" s="407"/>
      <c r="BU79" s="407"/>
      <c r="BV79" s="407"/>
      <c r="BW79" s="407"/>
      <c r="BX79" s="407"/>
      <c r="BY79" s="407"/>
      <c r="BZ79" s="407"/>
      <c r="CA79" s="407"/>
      <c r="CB79" s="407"/>
      <c r="CC79" s="407"/>
      <c r="CD79" s="407"/>
      <c r="CE79" s="407"/>
      <c r="CF79" s="407"/>
    </row>
    <row r="80" spans="1:84">
      <c r="A80" s="406"/>
      <c r="B80" s="406"/>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7"/>
      <c r="BL80" s="407"/>
      <c r="BM80" s="407"/>
      <c r="BN80" s="407"/>
      <c r="BO80" s="407"/>
      <c r="BP80" s="407"/>
      <c r="BQ80" s="407"/>
      <c r="BR80" s="407"/>
      <c r="BS80" s="407"/>
      <c r="BT80" s="407"/>
      <c r="BU80" s="407"/>
      <c r="BV80" s="407"/>
      <c r="BW80" s="407"/>
      <c r="BX80" s="407"/>
      <c r="BY80" s="407"/>
      <c r="BZ80" s="407"/>
      <c r="CA80" s="407"/>
      <c r="CB80" s="407"/>
      <c r="CC80" s="407"/>
      <c r="CD80" s="407"/>
      <c r="CE80" s="407"/>
      <c r="CF80" s="407"/>
    </row>
    <row r="81" spans="1:84">
      <c r="A81" s="406"/>
      <c r="B81" s="406"/>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7"/>
      <c r="BL81" s="407"/>
      <c r="BM81" s="407"/>
      <c r="BN81" s="407"/>
      <c r="BO81" s="407"/>
      <c r="BP81" s="407"/>
      <c r="BQ81" s="407"/>
      <c r="BR81" s="407"/>
      <c r="BS81" s="407"/>
      <c r="BT81" s="407"/>
      <c r="BU81" s="407"/>
      <c r="BV81" s="407"/>
      <c r="BW81" s="407"/>
      <c r="BX81" s="407"/>
      <c r="BY81" s="407"/>
      <c r="BZ81" s="407"/>
      <c r="CA81" s="407"/>
      <c r="CB81" s="407"/>
      <c r="CC81" s="407"/>
      <c r="CD81" s="407"/>
      <c r="CE81" s="407"/>
      <c r="CF81" s="407"/>
    </row>
    <row r="82" spans="1:84">
      <c r="A82" s="406"/>
      <c r="B82" s="406"/>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7"/>
      <c r="BL82" s="407"/>
      <c r="BM82" s="407"/>
      <c r="BN82" s="407"/>
      <c r="BO82" s="407"/>
      <c r="BP82" s="407"/>
      <c r="BQ82" s="407"/>
      <c r="BR82" s="407"/>
      <c r="BS82" s="407"/>
      <c r="BT82" s="407"/>
      <c r="BU82" s="407"/>
      <c r="BV82" s="407"/>
      <c r="BW82" s="407"/>
      <c r="BX82" s="407"/>
      <c r="BY82" s="407"/>
      <c r="BZ82" s="407"/>
      <c r="CA82" s="407"/>
      <c r="CB82" s="407"/>
      <c r="CC82" s="407"/>
      <c r="CD82" s="407"/>
      <c r="CE82" s="407"/>
      <c r="CF82" s="407"/>
    </row>
    <row r="83" spans="1:84">
      <c r="A83" s="406"/>
      <c r="B83" s="406"/>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7"/>
      <c r="BL83" s="407"/>
      <c r="BM83" s="407"/>
      <c r="BN83" s="407"/>
      <c r="BO83" s="407"/>
      <c r="BP83" s="407"/>
      <c r="BQ83" s="407"/>
      <c r="BR83" s="407"/>
      <c r="BS83" s="407"/>
      <c r="BT83" s="407"/>
      <c r="BU83" s="407"/>
      <c r="BV83" s="407"/>
      <c r="BW83" s="407"/>
      <c r="BX83" s="407"/>
      <c r="BY83" s="407"/>
      <c r="BZ83" s="407"/>
      <c r="CA83" s="407"/>
      <c r="CB83" s="407"/>
      <c r="CC83" s="407"/>
      <c r="CD83" s="407"/>
      <c r="CE83" s="407"/>
      <c r="CF83" s="407"/>
    </row>
    <row r="84" spans="1:84">
      <c r="A84" s="406"/>
      <c r="B84" s="406"/>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7"/>
      <c r="BL84" s="407"/>
      <c r="BM84" s="407"/>
      <c r="BN84" s="407"/>
      <c r="BO84" s="407"/>
      <c r="BP84" s="407"/>
      <c r="BQ84" s="407"/>
      <c r="BR84" s="407"/>
      <c r="BS84" s="407"/>
      <c r="BT84" s="407"/>
      <c r="BU84" s="407"/>
      <c r="BV84" s="407"/>
      <c r="BW84" s="407"/>
      <c r="BX84" s="407"/>
      <c r="BY84" s="407"/>
      <c r="BZ84" s="407"/>
      <c r="CA84" s="407"/>
      <c r="CB84" s="407"/>
      <c r="CC84" s="407"/>
      <c r="CD84" s="407"/>
      <c r="CE84" s="407"/>
      <c r="CF84" s="407"/>
    </row>
    <row r="85" spans="1:84">
      <c r="A85" s="406"/>
      <c r="B85" s="406"/>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7"/>
      <c r="BL85" s="407"/>
      <c r="BM85" s="407"/>
      <c r="BN85" s="407"/>
      <c r="BO85" s="407"/>
      <c r="BP85" s="407"/>
      <c r="BQ85" s="407"/>
      <c r="BR85" s="407"/>
      <c r="BS85" s="407"/>
      <c r="BT85" s="407"/>
      <c r="BU85" s="407"/>
      <c r="BV85" s="407"/>
      <c r="BW85" s="407"/>
      <c r="BX85" s="407"/>
      <c r="BY85" s="407"/>
      <c r="BZ85" s="407"/>
      <c r="CA85" s="407"/>
      <c r="CB85" s="407"/>
      <c r="CC85" s="407"/>
      <c r="CD85" s="407"/>
      <c r="CE85" s="407"/>
      <c r="CF85" s="407"/>
    </row>
    <row r="86" spans="1:84">
      <c r="A86" s="406"/>
      <c r="B86" s="406"/>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row>
    <row r="87" spans="1:84">
      <c r="A87" s="406"/>
      <c r="B87" s="406"/>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406"/>
      <c r="BG87" s="406"/>
      <c r="BH87" s="406"/>
      <c r="BI87" s="406"/>
      <c r="BJ87" s="406"/>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row>
    <row r="88" spans="1:84">
      <c r="A88" s="406"/>
      <c r="B88" s="406"/>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row>
    <row r="89" spans="1:84">
      <c r="A89" s="406"/>
      <c r="B89" s="406"/>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406"/>
      <c r="BG89" s="406"/>
      <c r="BH89" s="406"/>
      <c r="BI89" s="406"/>
      <c r="BJ89" s="406"/>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row>
    <row r="90" spans="1:84">
      <c r="A90" s="406"/>
      <c r="B90" s="406"/>
      <c r="C90" s="406"/>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c r="AN90" s="406"/>
      <c r="AO90" s="406"/>
      <c r="AP90" s="406"/>
      <c r="AQ90" s="406"/>
      <c r="AR90" s="406"/>
      <c r="AS90" s="406"/>
      <c r="AT90" s="406"/>
      <c r="AU90" s="406"/>
      <c r="AV90" s="406"/>
      <c r="AW90" s="406"/>
      <c r="AX90" s="406"/>
      <c r="AY90" s="406"/>
      <c r="AZ90" s="406"/>
      <c r="BA90" s="406"/>
      <c r="BB90" s="406"/>
      <c r="BC90" s="406"/>
      <c r="BD90" s="406"/>
      <c r="BE90" s="406"/>
      <c r="BF90" s="406"/>
      <c r="BG90" s="406"/>
      <c r="BH90" s="406"/>
      <c r="BI90" s="406"/>
      <c r="BJ90" s="406"/>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row>
    <row r="91" spans="1:84">
      <c r="A91" s="406"/>
      <c r="B91" s="406"/>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row>
    <row r="92" spans="1:84">
      <c r="A92" s="406"/>
      <c r="B92" s="406"/>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406"/>
      <c r="BG92" s="406"/>
      <c r="BH92" s="406"/>
      <c r="BI92" s="406"/>
      <c r="BJ92" s="406"/>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row>
    <row r="93" spans="1:84">
      <c r="A93" s="406"/>
      <c r="B93" s="406"/>
      <c r="C93" s="406"/>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row>
    <row r="94" spans="1:84">
      <c r="A94" s="406"/>
      <c r="B94" s="406"/>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406"/>
      <c r="BG94" s="406"/>
      <c r="BH94" s="406"/>
      <c r="BI94" s="406"/>
      <c r="BJ94" s="406"/>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row>
    <row r="95" spans="1:84">
      <c r="A95" s="406"/>
      <c r="B95" s="406"/>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row>
    <row r="96" spans="1:84">
      <c r="A96" s="406"/>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6"/>
      <c r="AN96" s="406"/>
      <c r="AO96" s="406"/>
      <c r="AP96" s="406"/>
      <c r="AQ96" s="406"/>
      <c r="AR96" s="406"/>
      <c r="AS96" s="406"/>
      <c r="AT96" s="406"/>
      <c r="AU96" s="406"/>
      <c r="AV96" s="406"/>
      <c r="AW96" s="406"/>
      <c r="AX96" s="406"/>
      <c r="AY96" s="406"/>
      <c r="AZ96" s="406"/>
      <c r="BA96" s="406"/>
      <c r="BB96" s="406"/>
      <c r="BC96" s="406"/>
      <c r="BD96" s="406"/>
      <c r="BE96" s="406"/>
      <c r="BF96" s="406"/>
      <c r="BG96" s="406"/>
      <c r="BH96" s="406"/>
      <c r="BI96" s="406"/>
      <c r="BJ96" s="406"/>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row>
    <row r="97" spans="1:84">
      <c r="A97" s="406"/>
      <c r="B97" s="406"/>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406"/>
      <c r="BG97" s="406"/>
      <c r="BH97" s="406"/>
      <c r="BI97" s="406"/>
      <c r="BJ97" s="406"/>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row>
    <row r="98" spans="1:84">
      <c r="A98" s="406"/>
      <c r="B98" s="406"/>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row>
    <row r="99" spans="1:84">
      <c r="A99" s="406"/>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row>
    <row r="100" spans="1:84">
      <c r="A100" s="406"/>
      <c r="B100" s="406"/>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406"/>
      <c r="BG100" s="406"/>
      <c r="BH100" s="406"/>
      <c r="BI100" s="406"/>
      <c r="BJ100" s="406"/>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row>
    <row r="101" spans="1:84">
      <c r="A101" s="406"/>
      <c r="B101" s="406"/>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c r="AN101" s="406"/>
      <c r="AO101" s="406"/>
      <c r="AP101" s="406"/>
      <c r="AQ101" s="406"/>
      <c r="AR101" s="406"/>
      <c r="AS101" s="406"/>
      <c r="AT101" s="406"/>
      <c r="AU101" s="406"/>
      <c r="AV101" s="406"/>
      <c r="AW101" s="406"/>
      <c r="AX101" s="406"/>
      <c r="AY101" s="406"/>
      <c r="AZ101" s="406"/>
      <c r="BA101" s="406"/>
      <c r="BB101" s="406"/>
      <c r="BC101" s="406"/>
      <c r="BD101" s="406"/>
      <c r="BE101" s="406"/>
      <c r="BF101" s="406"/>
      <c r="BG101" s="406"/>
      <c r="BH101" s="406"/>
      <c r="BI101" s="406"/>
      <c r="BJ101" s="406"/>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row>
    <row r="102" spans="1:84">
      <c r="A102" s="406"/>
      <c r="B102" s="406"/>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6"/>
      <c r="BB102" s="406"/>
      <c r="BC102" s="406"/>
      <c r="BD102" s="406"/>
      <c r="BE102" s="406"/>
      <c r="BF102" s="406"/>
      <c r="BG102" s="406"/>
      <c r="BH102" s="406"/>
      <c r="BI102" s="406"/>
      <c r="BJ102" s="406"/>
      <c r="BK102" s="407"/>
      <c r="BL102" s="407"/>
      <c r="BM102" s="407"/>
      <c r="BN102" s="407"/>
      <c r="BO102" s="407"/>
      <c r="BP102" s="407"/>
      <c r="BQ102" s="407"/>
      <c r="BR102" s="407"/>
      <c r="BS102" s="407"/>
      <c r="BT102" s="407"/>
      <c r="BU102" s="407"/>
      <c r="BV102" s="407"/>
      <c r="BW102" s="407"/>
      <c r="BX102" s="407"/>
      <c r="BY102" s="407"/>
      <c r="BZ102" s="407"/>
      <c r="CA102" s="407"/>
      <c r="CB102" s="407"/>
      <c r="CC102" s="407"/>
      <c r="CD102" s="407"/>
      <c r="CE102" s="407"/>
      <c r="CF102" s="407"/>
    </row>
    <row r="103" spans="1:84">
      <c r="A103" s="406"/>
      <c r="B103" s="40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406"/>
      <c r="BB103" s="406"/>
      <c r="BC103" s="406"/>
      <c r="BD103" s="406"/>
      <c r="BE103" s="406"/>
      <c r="BF103" s="406"/>
      <c r="BG103" s="406"/>
      <c r="BH103" s="406"/>
      <c r="BI103" s="406"/>
      <c r="BJ103" s="406"/>
      <c r="BK103" s="407"/>
      <c r="BL103" s="407"/>
      <c r="BM103" s="407"/>
      <c r="BN103" s="407"/>
      <c r="BO103" s="407"/>
      <c r="BP103" s="407"/>
      <c r="BQ103" s="407"/>
      <c r="BR103" s="407"/>
      <c r="BS103" s="407"/>
      <c r="BT103" s="407"/>
      <c r="BU103" s="407"/>
      <c r="BV103" s="407"/>
      <c r="BW103" s="407"/>
      <c r="BX103" s="407"/>
      <c r="BY103" s="407"/>
      <c r="BZ103" s="407"/>
      <c r="CA103" s="407"/>
      <c r="CB103" s="407"/>
      <c r="CC103" s="407"/>
      <c r="CD103" s="407"/>
      <c r="CE103" s="407"/>
      <c r="CF103" s="407"/>
    </row>
    <row r="104" spans="1:84">
      <c r="A104" s="406"/>
      <c r="B104" s="406"/>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7"/>
      <c r="BL104" s="407"/>
      <c r="BM104" s="407"/>
      <c r="BN104" s="407"/>
      <c r="BO104" s="407"/>
      <c r="BP104" s="407"/>
      <c r="BQ104" s="407"/>
      <c r="BR104" s="407"/>
      <c r="BS104" s="407"/>
      <c r="BT104" s="407"/>
      <c r="BU104" s="407"/>
      <c r="BV104" s="407"/>
      <c r="BW104" s="407"/>
      <c r="BX104" s="407"/>
      <c r="BY104" s="407"/>
      <c r="BZ104" s="407"/>
      <c r="CA104" s="407"/>
      <c r="CB104" s="407"/>
      <c r="CC104" s="407"/>
      <c r="CD104" s="407"/>
      <c r="CE104" s="407"/>
      <c r="CF104" s="407"/>
    </row>
    <row r="105" spans="1:84">
      <c r="A105" s="406"/>
      <c r="B105" s="406"/>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06"/>
      <c r="BK105" s="407"/>
      <c r="BL105" s="407"/>
      <c r="BM105" s="407"/>
      <c r="BN105" s="407"/>
      <c r="BO105" s="407"/>
      <c r="BP105" s="407"/>
      <c r="BQ105" s="407"/>
      <c r="BR105" s="407"/>
      <c r="BS105" s="407"/>
      <c r="BT105" s="407"/>
      <c r="BU105" s="407"/>
      <c r="BV105" s="407"/>
      <c r="BW105" s="407"/>
      <c r="BX105" s="407"/>
      <c r="BY105" s="407"/>
      <c r="BZ105" s="407"/>
      <c r="CA105" s="407"/>
      <c r="CB105" s="407"/>
      <c r="CC105" s="407"/>
      <c r="CD105" s="407"/>
      <c r="CE105" s="407"/>
      <c r="CF105" s="407"/>
    </row>
    <row r="106" spans="1:84">
      <c r="A106" s="406"/>
      <c r="B106" s="406"/>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06"/>
      <c r="BK106" s="407"/>
      <c r="BL106" s="407"/>
      <c r="BM106" s="407"/>
      <c r="BN106" s="407"/>
      <c r="BO106" s="407"/>
      <c r="BP106" s="407"/>
      <c r="BQ106" s="407"/>
      <c r="BR106" s="407"/>
      <c r="BS106" s="407"/>
      <c r="BT106" s="407"/>
      <c r="BU106" s="407"/>
      <c r="BV106" s="407"/>
      <c r="BW106" s="407"/>
      <c r="BX106" s="407"/>
      <c r="BY106" s="407"/>
      <c r="BZ106" s="407"/>
      <c r="CA106" s="407"/>
      <c r="CB106" s="407"/>
      <c r="CC106" s="407"/>
      <c r="CD106" s="407"/>
      <c r="CE106" s="407"/>
      <c r="CF106" s="407"/>
    </row>
    <row r="107" spans="1:84">
      <c r="A107" s="406"/>
      <c r="B107" s="406"/>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06"/>
      <c r="BK107" s="407"/>
      <c r="BL107" s="407"/>
      <c r="BM107" s="407"/>
      <c r="BN107" s="407"/>
      <c r="BO107" s="407"/>
      <c r="BP107" s="407"/>
      <c r="BQ107" s="407"/>
      <c r="BR107" s="407"/>
      <c r="BS107" s="407"/>
      <c r="BT107" s="407"/>
      <c r="BU107" s="407"/>
      <c r="BV107" s="407"/>
      <c r="BW107" s="407"/>
      <c r="BX107" s="407"/>
      <c r="BY107" s="407"/>
      <c r="BZ107" s="407"/>
      <c r="CA107" s="407"/>
      <c r="CB107" s="407"/>
      <c r="CC107" s="407"/>
      <c r="CD107" s="407"/>
      <c r="CE107" s="407"/>
      <c r="CF107" s="407"/>
    </row>
    <row r="108" spans="1:84">
      <c r="A108" s="406"/>
      <c r="B108" s="406"/>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406"/>
      <c r="BI108" s="406"/>
      <c r="BJ108" s="406"/>
      <c r="BK108" s="407"/>
      <c r="BL108" s="407"/>
      <c r="BM108" s="407"/>
      <c r="BN108" s="407"/>
      <c r="BO108" s="407"/>
      <c r="BP108" s="407"/>
      <c r="BQ108" s="407"/>
      <c r="BR108" s="407"/>
      <c r="BS108" s="407"/>
      <c r="BT108" s="407"/>
      <c r="BU108" s="407"/>
      <c r="BV108" s="407"/>
      <c r="BW108" s="407"/>
      <c r="BX108" s="407"/>
      <c r="BY108" s="407"/>
      <c r="BZ108" s="407"/>
      <c r="CA108" s="407"/>
      <c r="CB108" s="407"/>
      <c r="CC108" s="407"/>
      <c r="CD108" s="407"/>
      <c r="CE108" s="407"/>
      <c r="CF108" s="407"/>
    </row>
    <row r="109" spans="1:84">
      <c r="A109" s="406"/>
      <c r="B109" s="406"/>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7"/>
      <c r="BL109" s="407"/>
      <c r="BM109" s="407"/>
      <c r="BN109" s="407"/>
      <c r="BO109" s="407"/>
      <c r="BP109" s="407"/>
      <c r="BQ109" s="407"/>
      <c r="BR109" s="407"/>
      <c r="BS109" s="407"/>
      <c r="BT109" s="407"/>
      <c r="BU109" s="407"/>
      <c r="BV109" s="407"/>
      <c r="BW109" s="407"/>
      <c r="BX109" s="407"/>
      <c r="BY109" s="407"/>
      <c r="BZ109" s="407"/>
      <c r="CA109" s="407"/>
      <c r="CB109" s="407"/>
      <c r="CC109" s="407"/>
      <c r="CD109" s="407"/>
      <c r="CE109" s="407"/>
      <c r="CF109" s="407"/>
    </row>
    <row r="110" spans="1:84">
      <c r="A110" s="406"/>
      <c r="B110" s="406"/>
      <c r="C110" s="406"/>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c r="AO110" s="406"/>
      <c r="AP110" s="406"/>
      <c r="AQ110" s="406"/>
      <c r="AR110" s="406"/>
      <c r="AS110" s="406"/>
      <c r="AT110" s="406"/>
      <c r="AU110" s="406"/>
      <c r="AV110" s="406"/>
      <c r="AW110" s="406"/>
      <c r="AX110" s="406"/>
      <c r="AY110" s="406"/>
      <c r="AZ110" s="406"/>
      <c r="BA110" s="406"/>
      <c r="BB110" s="406"/>
      <c r="BC110" s="406"/>
      <c r="BD110" s="406"/>
      <c r="BE110" s="406"/>
      <c r="BF110" s="406"/>
      <c r="BG110" s="406"/>
      <c r="BH110" s="406"/>
      <c r="BI110" s="406"/>
      <c r="BJ110" s="406"/>
      <c r="BK110" s="407"/>
      <c r="BL110" s="407"/>
      <c r="BM110" s="407"/>
      <c r="BN110" s="407"/>
      <c r="BO110" s="407"/>
      <c r="BP110" s="407"/>
      <c r="BQ110" s="407"/>
      <c r="BR110" s="407"/>
      <c r="BS110" s="407"/>
      <c r="BT110" s="407"/>
      <c r="BU110" s="407"/>
      <c r="BV110" s="407"/>
      <c r="BW110" s="407"/>
      <c r="BX110" s="407"/>
      <c r="BY110" s="407"/>
      <c r="BZ110" s="407"/>
      <c r="CA110" s="407"/>
      <c r="CB110" s="407"/>
      <c r="CC110" s="407"/>
      <c r="CD110" s="407"/>
      <c r="CE110" s="407"/>
      <c r="CF110" s="407"/>
    </row>
    <row r="111" spans="1:84">
      <c r="A111" s="406"/>
      <c r="B111" s="406"/>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406"/>
      <c r="BI111" s="406"/>
      <c r="BJ111" s="406"/>
      <c r="BK111" s="407"/>
      <c r="BL111" s="407"/>
      <c r="BM111" s="407"/>
      <c r="BN111" s="407"/>
      <c r="BO111" s="407"/>
      <c r="BP111" s="407"/>
      <c r="BQ111" s="407"/>
      <c r="BR111" s="407"/>
      <c r="BS111" s="407"/>
      <c r="BT111" s="407"/>
      <c r="BU111" s="407"/>
      <c r="BV111" s="407"/>
      <c r="BW111" s="407"/>
      <c r="BX111" s="407"/>
      <c r="BY111" s="407"/>
      <c r="BZ111" s="407"/>
      <c r="CA111" s="407"/>
      <c r="CB111" s="407"/>
      <c r="CC111" s="407"/>
      <c r="CD111" s="407"/>
      <c r="CE111" s="407"/>
      <c r="CF111" s="407"/>
    </row>
    <row r="112" spans="1:84">
      <c r="A112" s="406"/>
      <c r="B112" s="406"/>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c r="AN112" s="406"/>
      <c r="AO112" s="406"/>
      <c r="AP112" s="406"/>
      <c r="AQ112" s="40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7"/>
      <c r="BL112" s="407"/>
      <c r="BM112" s="407"/>
      <c r="BN112" s="407"/>
      <c r="BO112" s="407"/>
      <c r="BP112" s="407"/>
      <c r="BQ112" s="407"/>
      <c r="BR112" s="407"/>
      <c r="BS112" s="407"/>
      <c r="BT112" s="407"/>
      <c r="BU112" s="407"/>
      <c r="BV112" s="407"/>
      <c r="BW112" s="407"/>
      <c r="BX112" s="407"/>
      <c r="BY112" s="407"/>
      <c r="BZ112" s="407"/>
      <c r="CA112" s="407"/>
      <c r="CB112" s="407"/>
      <c r="CC112" s="407"/>
      <c r="CD112" s="407"/>
      <c r="CE112" s="407"/>
      <c r="CF112" s="407"/>
    </row>
    <row r="113" spans="1:84">
      <c r="A113" s="406"/>
      <c r="B113" s="406"/>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06"/>
      <c r="AX113" s="406"/>
      <c r="AY113" s="406"/>
      <c r="AZ113" s="406"/>
      <c r="BA113" s="406"/>
      <c r="BB113" s="406"/>
      <c r="BC113" s="406"/>
      <c r="BD113" s="406"/>
      <c r="BE113" s="406"/>
      <c r="BF113" s="406"/>
      <c r="BG113" s="406"/>
      <c r="BH113" s="406"/>
      <c r="BI113" s="406"/>
      <c r="BJ113" s="406"/>
      <c r="BK113" s="407"/>
      <c r="BL113" s="407"/>
      <c r="BM113" s="407"/>
      <c r="BN113" s="407"/>
      <c r="BO113" s="407"/>
      <c r="BP113" s="407"/>
      <c r="BQ113" s="407"/>
      <c r="BR113" s="407"/>
      <c r="BS113" s="407"/>
      <c r="BT113" s="407"/>
      <c r="BU113" s="407"/>
      <c r="BV113" s="407"/>
      <c r="BW113" s="407"/>
      <c r="BX113" s="407"/>
      <c r="BY113" s="407"/>
      <c r="BZ113" s="407"/>
      <c r="CA113" s="407"/>
      <c r="CB113" s="407"/>
      <c r="CC113" s="407"/>
      <c r="CD113" s="407"/>
      <c r="CE113" s="407"/>
      <c r="CF113" s="407"/>
    </row>
    <row r="114" spans="1:84">
      <c r="A114" s="406"/>
      <c r="B114" s="406"/>
      <c r="C114" s="406"/>
      <c r="D114" s="406"/>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406"/>
      <c r="BI114" s="406"/>
      <c r="BJ114" s="406"/>
      <c r="BK114" s="407"/>
      <c r="BL114" s="407"/>
      <c r="BM114" s="407"/>
      <c r="BN114" s="407"/>
      <c r="BO114" s="407"/>
      <c r="BP114" s="407"/>
      <c r="BQ114" s="407"/>
      <c r="BR114" s="407"/>
      <c r="BS114" s="407"/>
      <c r="BT114" s="407"/>
      <c r="BU114" s="407"/>
      <c r="BV114" s="407"/>
      <c r="BW114" s="407"/>
      <c r="BX114" s="407"/>
      <c r="BY114" s="407"/>
      <c r="BZ114" s="407"/>
      <c r="CA114" s="407"/>
      <c r="CB114" s="407"/>
      <c r="CC114" s="407"/>
      <c r="CD114" s="407"/>
      <c r="CE114" s="407"/>
      <c r="CF114" s="407"/>
    </row>
    <row r="115" spans="1:84">
      <c r="A115" s="406"/>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7"/>
      <c r="BL115" s="407"/>
      <c r="BM115" s="407"/>
      <c r="BN115" s="407"/>
      <c r="BO115" s="407"/>
      <c r="BP115" s="407"/>
      <c r="BQ115" s="407"/>
      <c r="BR115" s="407"/>
      <c r="BS115" s="407"/>
      <c r="BT115" s="407"/>
      <c r="BU115" s="407"/>
      <c r="BV115" s="407"/>
      <c r="BW115" s="407"/>
      <c r="BX115" s="407"/>
      <c r="BY115" s="407"/>
      <c r="BZ115" s="407"/>
      <c r="CA115" s="407"/>
      <c r="CB115" s="407"/>
      <c r="CC115" s="407"/>
      <c r="CD115" s="407"/>
      <c r="CE115" s="407"/>
      <c r="CF115" s="407"/>
    </row>
    <row r="116" spans="1:84">
      <c r="A116" s="406"/>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7"/>
      <c r="BL116" s="407"/>
      <c r="BM116" s="407"/>
      <c r="BN116" s="407"/>
      <c r="BO116" s="407"/>
      <c r="BP116" s="407"/>
      <c r="BQ116" s="407"/>
      <c r="BR116" s="407"/>
      <c r="BS116" s="407"/>
      <c r="BT116" s="407"/>
      <c r="BU116" s="407"/>
      <c r="BV116" s="407"/>
      <c r="BW116" s="407"/>
      <c r="BX116" s="407"/>
      <c r="BY116" s="407"/>
      <c r="BZ116" s="407"/>
      <c r="CA116" s="407"/>
      <c r="CB116" s="407"/>
      <c r="CC116" s="407"/>
      <c r="CD116" s="407"/>
      <c r="CE116" s="407"/>
      <c r="CF116" s="407"/>
    </row>
    <row r="117" spans="1:84">
      <c r="A117" s="406"/>
      <c r="B117" s="406"/>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7"/>
      <c r="BL117" s="407"/>
      <c r="BM117" s="407"/>
      <c r="BN117" s="407"/>
      <c r="BO117" s="407"/>
      <c r="BP117" s="407"/>
      <c r="BQ117" s="407"/>
      <c r="BR117" s="407"/>
      <c r="BS117" s="407"/>
      <c r="BT117" s="407"/>
      <c r="BU117" s="407"/>
      <c r="BV117" s="407"/>
      <c r="BW117" s="407"/>
      <c r="BX117" s="407"/>
      <c r="BY117" s="407"/>
      <c r="BZ117" s="407"/>
      <c r="CA117" s="407"/>
      <c r="CB117" s="407"/>
      <c r="CC117" s="407"/>
      <c r="CD117" s="407"/>
      <c r="CE117" s="407"/>
      <c r="CF117" s="407"/>
    </row>
    <row r="118" spans="1:84">
      <c r="A118" s="406"/>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06"/>
      <c r="AU118" s="406"/>
      <c r="AV118" s="406"/>
      <c r="AW118" s="406"/>
      <c r="AX118" s="406"/>
      <c r="AY118" s="406"/>
      <c r="AZ118" s="406"/>
      <c r="BA118" s="406"/>
      <c r="BB118" s="406"/>
      <c r="BC118" s="406"/>
      <c r="BD118" s="406"/>
      <c r="BE118" s="406"/>
      <c r="BF118" s="406"/>
      <c r="BG118" s="406"/>
      <c r="BH118" s="406"/>
      <c r="BI118" s="406"/>
      <c r="BJ118" s="406"/>
      <c r="BK118" s="407"/>
      <c r="BL118" s="407"/>
      <c r="BM118" s="407"/>
      <c r="BN118" s="407"/>
      <c r="BO118" s="407"/>
      <c r="BP118" s="407"/>
      <c r="BQ118" s="407"/>
      <c r="BR118" s="407"/>
      <c r="BS118" s="407"/>
      <c r="BT118" s="407"/>
      <c r="BU118" s="407"/>
      <c r="BV118" s="407"/>
      <c r="BW118" s="407"/>
      <c r="BX118" s="407"/>
      <c r="BY118" s="407"/>
      <c r="BZ118" s="407"/>
      <c r="CA118" s="407"/>
      <c r="CB118" s="407"/>
      <c r="CC118" s="407"/>
      <c r="CD118" s="407"/>
      <c r="CE118" s="407"/>
      <c r="CF118" s="407"/>
    </row>
    <row r="119" spans="1:84">
      <c r="A119" s="406"/>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c r="AN119" s="406"/>
      <c r="AO119" s="406"/>
      <c r="AP119" s="406"/>
      <c r="AQ119" s="406"/>
      <c r="AR119" s="406"/>
      <c r="AS119" s="406"/>
      <c r="AT119" s="406"/>
      <c r="AU119" s="406"/>
      <c r="AV119" s="406"/>
      <c r="AW119" s="406"/>
      <c r="AX119" s="406"/>
      <c r="AY119" s="406"/>
      <c r="AZ119" s="406"/>
      <c r="BA119" s="406"/>
      <c r="BB119" s="406"/>
      <c r="BC119" s="406"/>
      <c r="BD119" s="406"/>
      <c r="BE119" s="406"/>
      <c r="BF119" s="406"/>
      <c r="BG119" s="406"/>
      <c r="BH119" s="406"/>
      <c r="BI119" s="406"/>
      <c r="BJ119" s="406"/>
      <c r="BK119" s="407"/>
      <c r="BL119" s="407"/>
      <c r="BM119" s="407"/>
      <c r="BN119" s="407"/>
      <c r="BO119" s="407"/>
      <c r="BP119" s="407"/>
      <c r="BQ119" s="407"/>
      <c r="BR119" s="407"/>
      <c r="BS119" s="407"/>
      <c r="BT119" s="407"/>
      <c r="BU119" s="407"/>
      <c r="BV119" s="407"/>
      <c r="BW119" s="407"/>
      <c r="BX119" s="407"/>
      <c r="BY119" s="407"/>
      <c r="BZ119" s="407"/>
      <c r="CA119" s="407"/>
      <c r="CB119" s="407"/>
      <c r="CC119" s="407"/>
      <c r="CD119" s="407"/>
      <c r="CE119" s="407"/>
      <c r="CF119" s="407"/>
    </row>
    <row r="120" spans="1:84">
      <c r="A120" s="406"/>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c r="AN120" s="406"/>
      <c r="AO120" s="406"/>
      <c r="AP120" s="406"/>
      <c r="AQ120" s="406"/>
      <c r="AR120" s="406"/>
      <c r="AS120" s="406"/>
      <c r="AT120" s="406"/>
      <c r="AU120" s="406"/>
      <c r="AV120" s="406"/>
      <c r="AW120" s="406"/>
      <c r="AX120" s="406"/>
      <c r="AY120" s="406"/>
      <c r="AZ120" s="406"/>
      <c r="BA120" s="406"/>
      <c r="BB120" s="406"/>
      <c r="BC120" s="406"/>
      <c r="BD120" s="406"/>
      <c r="BE120" s="406"/>
      <c r="BF120" s="406"/>
      <c r="BG120" s="406"/>
      <c r="BH120" s="406"/>
      <c r="BI120" s="406"/>
      <c r="BJ120" s="406"/>
      <c r="BK120" s="407"/>
      <c r="BL120" s="407"/>
      <c r="BM120" s="407"/>
      <c r="BN120" s="407"/>
      <c r="BO120" s="407"/>
      <c r="BP120" s="407"/>
      <c r="BQ120" s="407"/>
      <c r="BR120" s="407"/>
      <c r="BS120" s="407"/>
      <c r="BT120" s="407"/>
      <c r="BU120" s="407"/>
      <c r="BV120" s="407"/>
      <c r="BW120" s="407"/>
      <c r="BX120" s="407"/>
      <c r="BY120" s="407"/>
      <c r="BZ120" s="407"/>
      <c r="CA120" s="407"/>
      <c r="CB120" s="407"/>
      <c r="CC120" s="407"/>
      <c r="CD120" s="407"/>
      <c r="CE120" s="407"/>
      <c r="CF120" s="407"/>
    </row>
    <row r="121" spans="1:84">
      <c r="A121" s="406"/>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c r="AN121" s="406"/>
      <c r="AO121" s="406"/>
      <c r="AP121" s="406"/>
      <c r="AQ121" s="406"/>
      <c r="AR121" s="406"/>
      <c r="AS121" s="406"/>
      <c r="AT121" s="406"/>
      <c r="AU121" s="406"/>
      <c r="AV121" s="406"/>
      <c r="AW121" s="406"/>
      <c r="AX121" s="406"/>
      <c r="AY121" s="406"/>
      <c r="AZ121" s="406"/>
      <c r="BA121" s="406"/>
      <c r="BB121" s="406"/>
      <c r="BC121" s="406"/>
      <c r="BD121" s="406"/>
      <c r="BE121" s="406"/>
      <c r="BF121" s="406"/>
      <c r="BG121" s="406"/>
      <c r="BH121" s="406"/>
      <c r="BI121" s="406"/>
      <c r="BJ121" s="406"/>
      <c r="BK121" s="407"/>
      <c r="BL121" s="407"/>
      <c r="BM121" s="407"/>
      <c r="BN121" s="407"/>
      <c r="BO121" s="407"/>
      <c r="BP121" s="407"/>
      <c r="BQ121" s="407"/>
      <c r="BR121" s="407"/>
      <c r="BS121" s="407"/>
      <c r="BT121" s="407"/>
      <c r="BU121" s="407"/>
      <c r="BV121" s="407"/>
      <c r="BW121" s="407"/>
      <c r="BX121" s="407"/>
      <c r="BY121" s="407"/>
      <c r="BZ121" s="407"/>
      <c r="CA121" s="407"/>
      <c r="CB121" s="407"/>
      <c r="CC121" s="407"/>
      <c r="CD121" s="407"/>
      <c r="CE121" s="407"/>
      <c r="CF121" s="407"/>
    </row>
    <row r="122" spans="1:84">
      <c r="A122" s="406"/>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7"/>
      <c r="BL122" s="407"/>
      <c r="BM122" s="407"/>
      <c r="BN122" s="407"/>
      <c r="BO122" s="407"/>
      <c r="BP122" s="407"/>
      <c r="BQ122" s="407"/>
      <c r="BR122" s="407"/>
      <c r="BS122" s="407"/>
      <c r="BT122" s="407"/>
      <c r="BU122" s="407"/>
      <c r="BV122" s="407"/>
      <c r="BW122" s="407"/>
      <c r="BX122" s="407"/>
      <c r="BY122" s="407"/>
      <c r="BZ122" s="407"/>
      <c r="CA122" s="407"/>
      <c r="CB122" s="407"/>
      <c r="CC122" s="407"/>
      <c r="CD122" s="407"/>
      <c r="CE122" s="407"/>
      <c r="CF122" s="407"/>
    </row>
    <row r="123" spans="1:84">
      <c r="A123" s="406"/>
      <c r="B123" s="406"/>
      <c r="C123" s="406"/>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6"/>
      <c r="BB123" s="406"/>
      <c r="BC123" s="406"/>
      <c r="BD123" s="406"/>
      <c r="BE123" s="406"/>
      <c r="BF123" s="406"/>
      <c r="BG123" s="406"/>
      <c r="BH123" s="406"/>
      <c r="BI123" s="406"/>
      <c r="BJ123" s="406"/>
      <c r="BK123" s="407"/>
      <c r="BL123" s="407"/>
      <c r="BM123" s="407"/>
      <c r="BN123" s="407"/>
      <c r="BO123" s="407"/>
      <c r="BP123" s="407"/>
      <c r="BQ123" s="407"/>
      <c r="BR123" s="407"/>
      <c r="BS123" s="407"/>
      <c r="BT123" s="407"/>
      <c r="BU123" s="407"/>
      <c r="BV123" s="407"/>
      <c r="BW123" s="407"/>
      <c r="BX123" s="407"/>
      <c r="BY123" s="407"/>
      <c r="BZ123" s="407"/>
      <c r="CA123" s="407"/>
      <c r="CB123" s="407"/>
      <c r="CC123" s="407"/>
      <c r="CD123" s="407"/>
      <c r="CE123" s="407"/>
      <c r="CF123" s="407"/>
    </row>
    <row r="124" spans="1:84">
      <c r="A124" s="406"/>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row>
    <row r="125" spans="1:84">
      <c r="A125" s="406"/>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7"/>
      <c r="BL125" s="407"/>
      <c r="BM125" s="407"/>
      <c r="BN125" s="407"/>
      <c r="BO125" s="407"/>
      <c r="BP125" s="407"/>
      <c r="BQ125" s="407"/>
      <c r="BR125" s="407"/>
      <c r="BS125" s="407"/>
      <c r="BT125" s="407"/>
      <c r="BU125" s="407"/>
      <c r="BV125" s="407"/>
      <c r="BW125" s="407"/>
      <c r="BX125" s="407"/>
      <c r="BY125" s="407"/>
      <c r="BZ125" s="407"/>
      <c r="CA125" s="407"/>
      <c r="CB125" s="407"/>
      <c r="CC125" s="407"/>
      <c r="CD125" s="407"/>
      <c r="CE125" s="407"/>
      <c r="CF125" s="407"/>
    </row>
    <row r="126" spans="1:84">
      <c r="A126" s="406"/>
      <c r="B126" s="406"/>
      <c r="C126" s="406"/>
      <c r="D126" s="406"/>
      <c r="E126" s="406"/>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6"/>
      <c r="BB126" s="406"/>
      <c r="BC126" s="406"/>
      <c r="BD126" s="406"/>
      <c r="BE126" s="406"/>
      <c r="BF126" s="406"/>
      <c r="BG126" s="406"/>
      <c r="BH126" s="406"/>
      <c r="BI126" s="406"/>
      <c r="BJ126" s="406"/>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row>
    <row r="127" spans="1:84">
      <c r="A127" s="406"/>
      <c r="B127" s="406"/>
      <c r="C127" s="406"/>
      <c r="D127" s="406"/>
      <c r="E127" s="406"/>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c r="AN127" s="406"/>
      <c r="AO127" s="406"/>
      <c r="AP127" s="406"/>
      <c r="AQ127" s="406"/>
      <c r="AR127" s="406"/>
      <c r="AS127" s="406"/>
      <c r="AT127" s="406"/>
      <c r="AU127" s="406"/>
      <c r="AV127" s="406"/>
      <c r="AW127" s="406"/>
      <c r="AX127" s="406"/>
      <c r="AY127" s="406"/>
      <c r="AZ127" s="406"/>
      <c r="BA127" s="406"/>
      <c r="BB127" s="406"/>
      <c r="BC127" s="406"/>
      <c r="BD127" s="406"/>
      <c r="BE127" s="406"/>
      <c r="BF127" s="406"/>
      <c r="BG127" s="406"/>
      <c r="BH127" s="406"/>
      <c r="BI127" s="406"/>
      <c r="BJ127" s="406"/>
      <c r="BK127" s="407"/>
      <c r="BL127" s="407"/>
      <c r="BM127" s="407"/>
      <c r="BN127" s="407"/>
      <c r="BO127" s="407"/>
      <c r="BP127" s="407"/>
      <c r="BQ127" s="407"/>
      <c r="BR127" s="407"/>
      <c r="BS127" s="407"/>
      <c r="BT127" s="407"/>
      <c r="BU127" s="407"/>
      <c r="BV127" s="407"/>
      <c r="BW127" s="407"/>
      <c r="BX127" s="407"/>
      <c r="BY127" s="407"/>
      <c r="BZ127" s="407"/>
      <c r="CA127" s="407"/>
      <c r="CB127" s="407"/>
      <c r="CC127" s="407"/>
      <c r="CD127" s="407"/>
      <c r="CE127" s="407"/>
      <c r="CF127" s="407"/>
    </row>
    <row r="128" spans="1:84">
      <c r="A128" s="406"/>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c r="AN128" s="406"/>
      <c r="AO128" s="406"/>
      <c r="AP128" s="406"/>
      <c r="AQ128" s="40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7"/>
      <c r="BL128" s="407"/>
      <c r="BM128" s="407"/>
      <c r="BN128" s="407"/>
      <c r="BO128" s="407"/>
      <c r="BP128" s="407"/>
      <c r="BQ128" s="407"/>
      <c r="BR128" s="407"/>
      <c r="BS128" s="407"/>
      <c r="BT128" s="407"/>
      <c r="BU128" s="407"/>
      <c r="BV128" s="407"/>
      <c r="BW128" s="407"/>
      <c r="BX128" s="407"/>
      <c r="BY128" s="407"/>
      <c r="BZ128" s="407"/>
      <c r="CA128" s="407"/>
      <c r="CB128" s="407"/>
      <c r="CC128" s="407"/>
      <c r="CD128" s="407"/>
      <c r="CE128" s="407"/>
      <c r="CF128" s="407"/>
    </row>
    <row r="129" spans="1:84">
      <c r="A129" s="406"/>
      <c r="B129" s="406"/>
      <c r="C129" s="406"/>
      <c r="D129" s="406"/>
      <c r="E129" s="406"/>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406"/>
      <c r="BI129" s="406"/>
      <c r="BJ129" s="406"/>
      <c r="BK129" s="407"/>
      <c r="BL129" s="407"/>
      <c r="BM129" s="407"/>
      <c r="BN129" s="407"/>
      <c r="BO129" s="407"/>
      <c r="BP129" s="407"/>
      <c r="BQ129" s="407"/>
      <c r="BR129" s="407"/>
      <c r="BS129" s="407"/>
      <c r="BT129" s="407"/>
      <c r="BU129" s="407"/>
      <c r="BV129" s="407"/>
      <c r="BW129" s="407"/>
      <c r="BX129" s="407"/>
      <c r="BY129" s="407"/>
      <c r="BZ129" s="407"/>
      <c r="CA129" s="407"/>
      <c r="CB129" s="407"/>
      <c r="CC129" s="407"/>
      <c r="CD129" s="407"/>
      <c r="CE129" s="407"/>
      <c r="CF129" s="407"/>
    </row>
    <row r="130" spans="1:84">
      <c r="A130" s="406"/>
      <c r="B130" s="406"/>
      <c r="C130" s="406"/>
      <c r="D130" s="406"/>
      <c r="E130" s="406"/>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c r="AN130" s="406"/>
      <c r="AO130" s="406"/>
      <c r="AP130" s="406"/>
      <c r="AQ130" s="406"/>
      <c r="AR130" s="406"/>
      <c r="AS130" s="406"/>
      <c r="AT130" s="406"/>
      <c r="AU130" s="406"/>
      <c r="AV130" s="406"/>
      <c r="AW130" s="406"/>
      <c r="AX130" s="406"/>
      <c r="AY130" s="406"/>
      <c r="AZ130" s="406"/>
      <c r="BA130" s="406"/>
      <c r="BB130" s="406"/>
      <c r="BC130" s="406"/>
      <c r="BD130" s="406"/>
      <c r="BE130" s="406"/>
      <c r="BF130" s="406"/>
      <c r="BG130" s="406"/>
      <c r="BH130" s="406"/>
      <c r="BI130" s="406"/>
      <c r="BJ130" s="406"/>
      <c r="BK130" s="407"/>
      <c r="BL130" s="407"/>
      <c r="BM130" s="407"/>
      <c r="BN130" s="407"/>
      <c r="BO130" s="407"/>
      <c r="BP130" s="407"/>
      <c r="BQ130" s="407"/>
      <c r="BR130" s="407"/>
      <c r="BS130" s="407"/>
      <c r="BT130" s="407"/>
      <c r="BU130" s="407"/>
      <c r="BV130" s="407"/>
      <c r="BW130" s="407"/>
      <c r="BX130" s="407"/>
      <c r="BY130" s="407"/>
      <c r="BZ130" s="407"/>
      <c r="CA130" s="407"/>
      <c r="CB130" s="407"/>
      <c r="CC130" s="407"/>
      <c r="CD130" s="407"/>
      <c r="CE130" s="407"/>
      <c r="CF130" s="407"/>
    </row>
    <row r="131" spans="1:84">
      <c r="A131" s="406"/>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c r="AS131" s="406"/>
      <c r="AT131" s="406"/>
      <c r="AU131" s="406"/>
      <c r="AV131" s="406"/>
      <c r="AW131" s="406"/>
      <c r="AX131" s="406"/>
      <c r="AY131" s="406"/>
      <c r="AZ131" s="406"/>
      <c r="BA131" s="406"/>
      <c r="BB131" s="406"/>
      <c r="BC131" s="406"/>
      <c r="BD131" s="406"/>
      <c r="BE131" s="406"/>
      <c r="BF131" s="406"/>
      <c r="BG131" s="406"/>
      <c r="BH131" s="406"/>
      <c r="BI131" s="406"/>
      <c r="BJ131" s="406"/>
      <c r="BK131" s="407"/>
      <c r="BL131" s="407"/>
      <c r="BM131" s="407"/>
      <c r="BN131" s="407"/>
      <c r="BO131" s="407"/>
      <c r="BP131" s="407"/>
      <c r="BQ131" s="407"/>
      <c r="BR131" s="407"/>
      <c r="BS131" s="407"/>
      <c r="BT131" s="407"/>
      <c r="BU131" s="407"/>
      <c r="BV131" s="407"/>
      <c r="BW131" s="407"/>
      <c r="BX131" s="407"/>
      <c r="BY131" s="407"/>
      <c r="BZ131" s="407"/>
      <c r="CA131" s="407"/>
      <c r="CB131" s="407"/>
      <c r="CC131" s="407"/>
      <c r="CD131" s="407"/>
      <c r="CE131" s="407"/>
      <c r="CF131" s="407"/>
    </row>
    <row r="132" spans="1:84">
      <c r="A132" s="406"/>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c r="AN132" s="406"/>
      <c r="AO132" s="406"/>
      <c r="AP132" s="406"/>
      <c r="AQ132" s="40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7"/>
      <c r="BL132" s="407"/>
      <c r="BM132" s="407"/>
      <c r="BN132" s="407"/>
      <c r="BO132" s="407"/>
      <c r="BP132" s="407"/>
      <c r="BQ132" s="407"/>
      <c r="BR132" s="407"/>
      <c r="BS132" s="407"/>
      <c r="BT132" s="407"/>
      <c r="BU132" s="407"/>
      <c r="BV132" s="407"/>
      <c r="BW132" s="407"/>
      <c r="BX132" s="407"/>
      <c r="BY132" s="407"/>
      <c r="BZ132" s="407"/>
      <c r="CA132" s="407"/>
      <c r="CB132" s="407"/>
      <c r="CC132" s="407"/>
      <c r="CD132" s="407"/>
      <c r="CE132" s="407"/>
      <c r="CF132" s="407"/>
    </row>
    <row r="133" spans="1:84">
      <c r="A133" s="406"/>
      <c r="B133" s="406"/>
      <c r="C133" s="406"/>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c r="AN133" s="406"/>
      <c r="AO133" s="406"/>
      <c r="AP133" s="406"/>
      <c r="AQ133" s="406"/>
      <c r="AR133" s="406"/>
      <c r="AS133" s="406"/>
      <c r="AT133" s="406"/>
      <c r="AU133" s="406"/>
      <c r="AV133" s="406"/>
      <c r="AW133" s="406"/>
      <c r="AX133" s="406"/>
      <c r="AY133" s="406"/>
      <c r="AZ133" s="406"/>
      <c r="BA133" s="406"/>
      <c r="BB133" s="406"/>
      <c r="BC133" s="406"/>
      <c r="BD133" s="406"/>
      <c r="BE133" s="406"/>
      <c r="BF133" s="406"/>
      <c r="BG133" s="406"/>
      <c r="BH133" s="406"/>
      <c r="BI133" s="406"/>
      <c r="BJ133" s="406"/>
      <c r="BK133" s="407"/>
      <c r="BL133" s="407"/>
      <c r="BM133" s="407"/>
      <c r="BN133" s="407"/>
      <c r="BO133" s="407"/>
      <c r="BP133" s="407"/>
      <c r="BQ133" s="407"/>
      <c r="BR133" s="407"/>
      <c r="BS133" s="407"/>
      <c r="BT133" s="407"/>
      <c r="BU133" s="407"/>
      <c r="BV133" s="407"/>
      <c r="BW133" s="407"/>
      <c r="BX133" s="407"/>
      <c r="BY133" s="407"/>
      <c r="BZ133" s="407"/>
      <c r="CA133" s="407"/>
      <c r="CB133" s="407"/>
      <c r="CC133" s="407"/>
      <c r="CD133" s="407"/>
      <c r="CE133" s="407"/>
      <c r="CF133" s="407"/>
    </row>
    <row r="134" spans="1:84">
      <c r="A134" s="406"/>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6"/>
      <c r="AY134" s="406"/>
      <c r="AZ134" s="406"/>
      <c r="BA134" s="406"/>
      <c r="BB134" s="406"/>
      <c r="BC134" s="406"/>
      <c r="BD134" s="406"/>
      <c r="BE134" s="406"/>
      <c r="BF134" s="406"/>
      <c r="BG134" s="406"/>
      <c r="BH134" s="406"/>
      <c r="BI134" s="406"/>
      <c r="BJ134" s="406"/>
      <c r="BK134" s="407"/>
      <c r="BL134" s="407"/>
      <c r="BM134" s="407"/>
      <c r="BN134" s="407"/>
      <c r="BO134" s="407"/>
      <c r="BP134" s="407"/>
      <c r="BQ134" s="407"/>
      <c r="BR134" s="407"/>
      <c r="BS134" s="407"/>
      <c r="BT134" s="407"/>
      <c r="BU134" s="407"/>
      <c r="BV134" s="407"/>
      <c r="BW134" s="407"/>
      <c r="BX134" s="407"/>
      <c r="BY134" s="407"/>
      <c r="BZ134" s="407"/>
      <c r="CA134" s="407"/>
      <c r="CB134" s="407"/>
      <c r="CC134" s="407"/>
      <c r="CD134" s="407"/>
      <c r="CE134" s="407"/>
      <c r="CF134" s="407"/>
    </row>
    <row r="135" spans="1:84">
      <c r="A135" s="406"/>
      <c r="B135" s="406"/>
      <c r="C135" s="406"/>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7"/>
      <c r="BL135" s="407"/>
      <c r="BM135" s="407"/>
      <c r="BN135" s="407"/>
      <c r="BO135" s="407"/>
      <c r="BP135" s="407"/>
      <c r="BQ135" s="407"/>
      <c r="BR135" s="407"/>
      <c r="BS135" s="407"/>
      <c r="BT135" s="407"/>
      <c r="BU135" s="407"/>
      <c r="BV135" s="407"/>
      <c r="BW135" s="407"/>
      <c r="BX135" s="407"/>
      <c r="BY135" s="407"/>
      <c r="BZ135" s="407"/>
      <c r="CA135" s="407"/>
      <c r="CB135" s="407"/>
      <c r="CC135" s="407"/>
      <c r="CD135" s="407"/>
      <c r="CE135" s="407"/>
      <c r="CF135" s="407"/>
    </row>
    <row r="136" spans="1:84">
      <c r="A136" s="406"/>
      <c r="B136" s="406"/>
      <c r="C136" s="406"/>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7"/>
      <c r="BL136" s="407"/>
      <c r="BM136" s="407"/>
      <c r="BN136" s="407"/>
      <c r="BO136" s="407"/>
      <c r="BP136" s="407"/>
      <c r="BQ136" s="407"/>
      <c r="BR136" s="407"/>
      <c r="BS136" s="407"/>
      <c r="BT136" s="407"/>
      <c r="BU136" s="407"/>
      <c r="BV136" s="407"/>
      <c r="BW136" s="407"/>
      <c r="BX136" s="407"/>
      <c r="BY136" s="407"/>
      <c r="BZ136" s="407"/>
      <c r="CA136" s="407"/>
      <c r="CB136" s="407"/>
      <c r="CC136" s="407"/>
      <c r="CD136" s="407"/>
      <c r="CE136" s="407"/>
      <c r="CF136" s="407"/>
    </row>
    <row r="137" spans="1:84">
      <c r="A137" s="406"/>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c r="AO137" s="406"/>
      <c r="AP137" s="406"/>
      <c r="AQ137" s="406"/>
      <c r="AR137" s="406"/>
      <c r="AS137" s="406"/>
      <c r="AT137" s="406"/>
      <c r="AU137" s="406"/>
      <c r="AV137" s="406"/>
      <c r="AW137" s="406"/>
      <c r="AX137" s="406"/>
      <c r="AY137" s="406"/>
      <c r="AZ137" s="406"/>
      <c r="BA137" s="406"/>
      <c r="BB137" s="406"/>
      <c r="BC137" s="406"/>
      <c r="BD137" s="406"/>
      <c r="BE137" s="406"/>
      <c r="BF137" s="406"/>
      <c r="BG137" s="406"/>
      <c r="BH137" s="406"/>
      <c r="BI137" s="406"/>
      <c r="BJ137" s="406"/>
      <c r="BK137" s="407"/>
      <c r="BL137" s="407"/>
      <c r="BM137" s="407"/>
      <c r="BN137" s="407"/>
      <c r="BO137" s="407"/>
      <c r="BP137" s="407"/>
      <c r="BQ137" s="407"/>
      <c r="BR137" s="407"/>
      <c r="BS137" s="407"/>
      <c r="BT137" s="407"/>
      <c r="BU137" s="407"/>
      <c r="BV137" s="407"/>
      <c r="BW137" s="407"/>
      <c r="BX137" s="407"/>
      <c r="BY137" s="407"/>
      <c r="BZ137" s="407"/>
      <c r="CA137" s="407"/>
      <c r="CB137" s="407"/>
      <c r="CC137" s="407"/>
      <c r="CD137" s="407"/>
      <c r="CE137" s="407"/>
      <c r="CF137" s="407"/>
    </row>
    <row r="138" spans="1:84">
      <c r="A138" s="406"/>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c r="AN138" s="406"/>
      <c r="AO138" s="406"/>
      <c r="AP138" s="406"/>
      <c r="AQ138" s="406"/>
      <c r="AR138" s="406"/>
      <c r="AS138" s="406"/>
      <c r="AT138" s="406"/>
      <c r="AU138" s="406"/>
      <c r="AV138" s="406"/>
      <c r="AW138" s="406"/>
      <c r="AX138" s="406"/>
      <c r="AY138" s="406"/>
      <c r="AZ138" s="406"/>
      <c r="BA138" s="406"/>
      <c r="BB138" s="406"/>
      <c r="BC138" s="406"/>
      <c r="BD138" s="406"/>
      <c r="BE138" s="406"/>
      <c r="BF138" s="406"/>
      <c r="BG138" s="406"/>
      <c r="BH138" s="406"/>
      <c r="BI138" s="406"/>
      <c r="BJ138" s="406"/>
      <c r="BK138" s="407"/>
      <c r="BL138" s="407"/>
      <c r="BM138" s="407"/>
      <c r="BN138" s="407"/>
      <c r="BO138" s="407"/>
      <c r="BP138" s="407"/>
      <c r="BQ138" s="407"/>
      <c r="BR138" s="407"/>
      <c r="BS138" s="407"/>
      <c r="BT138" s="407"/>
      <c r="BU138" s="407"/>
      <c r="BV138" s="407"/>
      <c r="BW138" s="407"/>
      <c r="BX138" s="407"/>
      <c r="BY138" s="407"/>
      <c r="BZ138" s="407"/>
      <c r="CA138" s="407"/>
      <c r="CB138" s="407"/>
      <c r="CC138" s="407"/>
      <c r="CD138" s="407"/>
      <c r="CE138" s="407"/>
      <c r="CF138" s="407"/>
    </row>
    <row r="139" spans="1:84">
      <c r="A139" s="406"/>
      <c r="B139" s="406"/>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c r="AO139" s="406"/>
      <c r="AP139" s="406"/>
      <c r="AQ139" s="406"/>
      <c r="AR139" s="406"/>
      <c r="AS139" s="406"/>
      <c r="AT139" s="406"/>
      <c r="AU139" s="406"/>
      <c r="AV139" s="406"/>
      <c r="AW139" s="406"/>
      <c r="AX139" s="406"/>
      <c r="AY139" s="406"/>
      <c r="AZ139" s="406"/>
      <c r="BA139" s="406"/>
      <c r="BB139" s="406"/>
      <c r="BC139" s="406"/>
      <c r="BD139" s="406"/>
      <c r="BE139" s="406"/>
      <c r="BF139" s="406"/>
      <c r="BG139" s="406"/>
      <c r="BH139" s="406"/>
      <c r="BI139" s="406"/>
      <c r="BJ139" s="406"/>
      <c r="BK139" s="407"/>
      <c r="BL139" s="407"/>
      <c r="BM139" s="407"/>
      <c r="BN139" s="407"/>
      <c r="BO139" s="407"/>
      <c r="BP139" s="407"/>
      <c r="BQ139" s="407"/>
      <c r="BR139" s="407"/>
      <c r="BS139" s="407"/>
      <c r="BT139" s="407"/>
      <c r="BU139" s="407"/>
      <c r="BV139" s="407"/>
      <c r="BW139" s="407"/>
      <c r="BX139" s="407"/>
      <c r="BY139" s="407"/>
      <c r="BZ139" s="407"/>
      <c r="CA139" s="407"/>
      <c r="CB139" s="407"/>
      <c r="CC139" s="407"/>
      <c r="CD139" s="407"/>
      <c r="CE139" s="407"/>
      <c r="CF139" s="407"/>
    </row>
    <row r="140" spans="1:84">
      <c r="A140" s="406"/>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406"/>
      <c r="AO140" s="406"/>
      <c r="AP140" s="406"/>
      <c r="AQ140" s="406"/>
      <c r="AR140" s="406"/>
      <c r="AS140" s="406"/>
      <c r="AT140" s="406"/>
      <c r="AU140" s="406"/>
      <c r="AV140" s="406"/>
      <c r="AW140" s="406"/>
      <c r="AX140" s="406"/>
      <c r="AY140" s="406"/>
      <c r="AZ140" s="406"/>
      <c r="BA140" s="406"/>
      <c r="BB140" s="406"/>
      <c r="BC140" s="406"/>
      <c r="BD140" s="406"/>
      <c r="BE140" s="406"/>
      <c r="BF140" s="406"/>
      <c r="BG140" s="406"/>
      <c r="BH140" s="406"/>
      <c r="BI140" s="406"/>
      <c r="BJ140" s="406"/>
      <c r="BK140" s="407"/>
      <c r="BL140" s="407"/>
      <c r="BM140" s="407"/>
      <c r="BN140" s="407"/>
      <c r="BO140" s="407"/>
      <c r="BP140" s="407"/>
      <c r="BQ140" s="407"/>
      <c r="BR140" s="407"/>
      <c r="BS140" s="407"/>
      <c r="BT140" s="407"/>
      <c r="BU140" s="407"/>
      <c r="BV140" s="407"/>
      <c r="BW140" s="407"/>
      <c r="BX140" s="407"/>
      <c r="BY140" s="407"/>
      <c r="BZ140" s="407"/>
      <c r="CA140" s="407"/>
      <c r="CB140" s="407"/>
      <c r="CC140" s="407"/>
      <c r="CD140" s="407"/>
      <c r="CE140" s="407"/>
      <c r="CF140" s="407"/>
    </row>
    <row r="141" spans="1:84">
      <c r="A141" s="406"/>
      <c r="B141" s="406"/>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406"/>
      <c r="AO141" s="406"/>
      <c r="AP141" s="406"/>
      <c r="AQ141" s="406"/>
      <c r="AR141" s="406"/>
      <c r="AS141" s="406"/>
      <c r="AT141" s="406"/>
      <c r="AU141" s="406"/>
      <c r="AV141" s="406"/>
      <c r="AW141" s="406"/>
      <c r="AX141" s="406"/>
      <c r="AY141" s="406"/>
      <c r="AZ141" s="406"/>
      <c r="BA141" s="406"/>
      <c r="BB141" s="406"/>
      <c r="BC141" s="406"/>
      <c r="BD141" s="406"/>
      <c r="BE141" s="406"/>
      <c r="BF141" s="406"/>
      <c r="BG141" s="406"/>
      <c r="BH141" s="406"/>
      <c r="BI141" s="406"/>
      <c r="BJ141" s="406"/>
      <c r="BK141" s="407"/>
      <c r="BL141" s="407"/>
      <c r="BM141" s="407"/>
      <c r="BN141" s="407"/>
      <c r="BO141" s="407"/>
      <c r="BP141" s="407"/>
      <c r="BQ141" s="407"/>
      <c r="BR141" s="407"/>
      <c r="BS141" s="407"/>
      <c r="BT141" s="407"/>
      <c r="BU141" s="407"/>
      <c r="BV141" s="407"/>
      <c r="BW141" s="407"/>
      <c r="BX141" s="407"/>
      <c r="BY141" s="407"/>
      <c r="BZ141" s="407"/>
      <c r="CA141" s="407"/>
      <c r="CB141" s="407"/>
      <c r="CC141" s="407"/>
      <c r="CD141" s="407"/>
      <c r="CE141" s="407"/>
      <c r="CF141" s="407"/>
    </row>
    <row r="142" spans="1:84">
      <c r="A142" s="406"/>
      <c r="B142" s="406"/>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406"/>
      <c r="AO142" s="406"/>
      <c r="AP142" s="406"/>
      <c r="AQ142" s="406"/>
      <c r="AR142" s="406"/>
      <c r="AS142" s="406"/>
      <c r="AT142" s="406"/>
      <c r="AU142" s="406"/>
      <c r="AV142" s="406"/>
      <c r="AW142" s="406"/>
      <c r="AX142" s="406"/>
      <c r="AY142" s="406"/>
      <c r="AZ142" s="406"/>
      <c r="BA142" s="406"/>
      <c r="BB142" s="406"/>
      <c r="BC142" s="406"/>
      <c r="BD142" s="406"/>
      <c r="BE142" s="406"/>
      <c r="BF142" s="406"/>
      <c r="BG142" s="406"/>
      <c r="BH142" s="406"/>
      <c r="BI142" s="406"/>
      <c r="BJ142" s="406"/>
      <c r="BK142" s="407"/>
      <c r="BL142" s="407"/>
      <c r="BM142" s="407"/>
      <c r="BN142" s="407"/>
      <c r="BO142" s="407"/>
      <c r="BP142" s="407"/>
      <c r="BQ142" s="407"/>
      <c r="BR142" s="407"/>
      <c r="BS142" s="407"/>
      <c r="BT142" s="407"/>
      <c r="BU142" s="407"/>
      <c r="BV142" s="407"/>
      <c r="BW142" s="407"/>
      <c r="BX142" s="407"/>
      <c r="BY142" s="407"/>
      <c r="BZ142" s="407"/>
      <c r="CA142" s="407"/>
      <c r="CB142" s="407"/>
      <c r="CC142" s="407"/>
      <c r="CD142" s="407"/>
      <c r="CE142" s="407"/>
      <c r="CF142" s="407"/>
    </row>
    <row r="143" spans="1:84">
      <c r="A143" s="406"/>
      <c r="B143" s="406"/>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6"/>
      <c r="AR143" s="406"/>
      <c r="AS143" s="406"/>
      <c r="AT143" s="406"/>
      <c r="AU143" s="406"/>
      <c r="AV143" s="406"/>
      <c r="AW143" s="406"/>
      <c r="AX143" s="406"/>
      <c r="AY143" s="406"/>
      <c r="AZ143" s="406"/>
      <c r="BA143" s="406"/>
      <c r="BB143" s="406"/>
      <c r="BC143" s="406"/>
      <c r="BD143" s="406"/>
      <c r="BE143" s="406"/>
      <c r="BF143" s="406"/>
      <c r="BG143" s="406"/>
      <c r="BH143" s="406"/>
      <c r="BI143" s="406"/>
      <c r="BJ143" s="406"/>
      <c r="BK143" s="407"/>
      <c r="BL143" s="407"/>
      <c r="BM143" s="407"/>
      <c r="BN143" s="407"/>
      <c r="BO143" s="407"/>
      <c r="BP143" s="407"/>
      <c r="BQ143" s="407"/>
      <c r="BR143" s="407"/>
      <c r="BS143" s="407"/>
      <c r="BT143" s="407"/>
      <c r="BU143" s="407"/>
      <c r="BV143" s="407"/>
      <c r="BW143" s="407"/>
      <c r="BX143" s="407"/>
      <c r="BY143" s="407"/>
      <c r="BZ143" s="407"/>
      <c r="CA143" s="407"/>
      <c r="CB143" s="407"/>
      <c r="CC143" s="407"/>
      <c r="CD143" s="407"/>
      <c r="CE143" s="407"/>
      <c r="CF143" s="407"/>
    </row>
    <row r="144" spans="1:84">
      <c r="A144" s="406"/>
      <c r="B144" s="406"/>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7"/>
      <c r="BL144" s="407"/>
      <c r="BM144" s="407"/>
      <c r="BN144" s="407"/>
      <c r="BO144" s="407"/>
      <c r="BP144" s="407"/>
      <c r="BQ144" s="407"/>
      <c r="BR144" s="407"/>
      <c r="BS144" s="407"/>
      <c r="BT144" s="407"/>
      <c r="BU144" s="407"/>
      <c r="BV144" s="407"/>
      <c r="BW144" s="407"/>
      <c r="BX144" s="407"/>
      <c r="BY144" s="407"/>
      <c r="BZ144" s="407"/>
      <c r="CA144" s="407"/>
      <c r="CB144" s="407"/>
      <c r="CC144" s="407"/>
      <c r="CD144" s="407"/>
      <c r="CE144" s="407"/>
      <c r="CF144" s="407"/>
    </row>
    <row r="145" spans="1:84">
      <c r="A145" s="406"/>
      <c r="B145" s="406"/>
      <c r="C145" s="406"/>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c r="AN145" s="406"/>
      <c r="AO145" s="406"/>
      <c r="AP145" s="406"/>
      <c r="AQ145" s="406"/>
      <c r="AR145" s="406"/>
      <c r="AS145" s="406"/>
      <c r="AT145" s="406"/>
      <c r="AU145" s="406"/>
      <c r="AV145" s="406"/>
      <c r="AW145" s="406"/>
      <c r="AX145" s="406"/>
      <c r="AY145" s="406"/>
      <c r="AZ145" s="406"/>
      <c r="BA145" s="406"/>
      <c r="BB145" s="406"/>
      <c r="BC145" s="406"/>
      <c r="BD145" s="406"/>
      <c r="BE145" s="406"/>
      <c r="BF145" s="406"/>
      <c r="BG145" s="406"/>
      <c r="BH145" s="406"/>
      <c r="BI145" s="406"/>
      <c r="BJ145" s="406"/>
      <c r="BK145" s="407"/>
      <c r="BL145" s="407"/>
      <c r="BM145" s="407"/>
      <c r="BN145" s="407"/>
      <c r="BO145" s="407"/>
      <c r="BP145" s="407"/>
      <c r="BQ145" s="407"/>
      <c r="BR145" s="407"/>
      <c r="BS145" s="407"/>
      <c r="BT145" s="407"/>
      <c r="BU145" s="407"/>
      <c r="BV145" s="407"/>
      <c r="BW145" s="407"/>
      <c r="BX145" s="407"/>
      <c r="BY145" s="407"/>
      <c r="BZ145" s="407"/>
      <c r="CA145" s="407"/>
      <c r="CB145" s="407"/>
      <c r="CC145" s="407"/>
      <c r="CD145" s="407"/>
      <c r="CE145" s="407"/>
      <c r="CF145" s="407"/>
    </row>
    <row r="146" spans="1:84">
      <c r="A146" s="406"/>
      <c r="B146" s="406"/>
      <c r="C146" s="406"/>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406"/>
      <c r="AO146" s="406"/>
      <c r="AP146" s="406"/>
      <c r="AQ146" s="406"/>
      <c r="AR146" s="406"/>
      <c r="AS146" s="406"/>
      <c r="AT146" s="406"/>
      <c r="AU146" s="406"/>
      <c r="AV146" s="406"/>
      <c r="AW146" s="406"/>
      <c r="AX146" s="406"/>
      <c r="AY146" s="406"/>
      <c r="AZ146" s="406"/>
      <c r="BA146" s="406"/>
      <c r="BB146" s="406"/>
      <c r="BC146" s="406"/>
      <c r="BD146" s="406"/>
      <c r="BE146" s="406"/>
      <c r="BF146" s="406"/>
      <c r="BG146" s="406"/>
      <c r="BH146" s="406"/>
      <c r="BI146" s="406"/>
      <c r="BJ146" s="406"/>
      <c r="BK146" s="407"/>
      <c r="BL146" s="407"/>
      <c r="BM146" s="407"/>
      <c r="BN146" s="407"/>
      <c r="BO146" s="407"/>
      <c r="BP146" s="407"/>
      <c r="BQ146" s="407"/>
      <c r="BR146" s="407"/>
      <c r="BS146" s="407"/>
      <c r="BT146" s="407"/>
      <c r="BU146" s="407"/>
      <c r="BV146" s="407"/>
      <c r="BW146" s="407"/>
      <c r="BX146" s="407"/>
      <c r="BY146" s="407"/>
      <c r="BZ146" s="407"/>
      <c r="CA146" s="407"/>
      <c r="CB146" s="407"/>
      <c r="CC146" s="407"/>
      <c r="CD146" s="407"/>
      <c r="CE146" s="407"/>
      <c r="CF146" s="407"/>
    </row>
    <row r="147" spans="1:84">
      <c r="A147" s="406"/>
      <c r="B147" s="406"/>
      <c r="C147" s="406"/>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c r="AN147" s="406"/>
      <c r="AO147" s="406"/>
      <c r="AP147" s="406"/>
      <c r="AQ147" s="406"/>
      <c r="AR147" s="406"/>
      <c r="AS147" s="406"/>
      <c r="AT147" s="406"/>
      <c r="AU147" s="406"/>
      <c r="AV147" s="406"/>
      <c r="AW147" s="406"/>
      <c r="AX147" s="406"/>
      <c r="AY147" s="406"/>
      <c r="AZ147" s="406"/>
      <c r="BA147" s="406"/>
      <c r="BB147" s="406"/>
      <c r="BC147" s="406"/>
      <c r="BD147" s="406"/>
      <c r="BE147" s="406"/>
      <c r="BF147" s="406"/>
      <c r="BG147" s="406"/>
      <c r="BH147" s="406"/>
      <c r="BI147" s="406"/>
      <c r="BJ147" s="406"/>
      <c r="BK147" s="407"/>
      <c r="BL147" s="407"/>
      <c r="BM147" s="407"/>
      <c r="BN147" s="407"/>
      <c r="BO147" s="407"/>
      <c r="BP147" s="407"/>
      <c r="BQ147" s="407"/>
      <c r="BR147" s="407"/>
      <c r="BS147" s="407"/>
      <c r="BT147" s="407"/>
      <c r="BU147" s="407"/>
      <c r="BV147" s="407"/>
      <c r="BW147" s="407"/>
      <c r="BX147" s="407"/>
      <c r="BY147" s="407"/>
      <c r="BZ147" s="407"/>
      <c r="CA147" s="407"/>
      <c r="CB147" s="407"/>
      <c r="CC147" s="407"/>
      <c r="CD147" s="407"/>
      <c r="CE147" s="407"/>
      <c r="CF147" s="407"/>
    </row>
    <row r="148" spans="1:84">
      <c r="A148" s="406"/>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406"/>
      <c r="AO148" s="406"/>
      <c r="AP148" s="406"/>
      <c r="AQ148" s="406"/>
      <c r="AR148" s="406"/>
      <c r="AS148" s="406"/>
      <c r="AT148" s="406"/>
      <c r="AU148" s="406"/>
      <c r="AV148" s="406"/>
      <c r="AW148" s="406"/>
      <c r="AX148" s="406"/>
      <c r="AY148" s="406"/>
      <c r="AZ148" s="406"/>
      <c r="BA148" s="406"/>
      <c r="BB148" s="406"/>
      <c r="BC148" s="406"/>
      <c r="BD148" s="406"/>
      <c r="BE148" s="406"/>
      <c r="BF148" s="406"/>
      <c r="BG148" s="406"/>
      <c r="BH148" s="406"/>
      <c r="BI148" s="406"/>
      <c r="BJ148" s="406"/>
      <c r="BK148" s="407"/>
      <c r="BL148" s="407"/>
      <c r="BM148" s="407"/>
      <c r="BN148" s="407"/>
      <c r="BO148" s="407"/>
      <c r="BP148" s="407"/>
      <c r="BQ148" s="407"/>
      <c r="BR148" s="407"/>
      <c r="BS148" s="407"/>
      <c r="BT148" s="407"/>
      <c r="BU148" s="407"/>
      <c r="BV148" s="407"/>
      <c r="BW148" s="407"/>
      <c r="BX148" s="407"/>
      <c r="BY148" s="407"/>
      <c r="BZ148" s="407"/>
      <c r="CA148" s="407"/>
      <c r="CB148" s="407"/>
      <c r="CC148" s="407"/>
      <c r="CD148" s="407"/>
      <c r="CE148" s="407"/>
      <c r="CF148" s="407"/>
    </row>
    <row r="149" spans="1:84">
      <c r="A149" s="406"/>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406"/>
      <c r="AO149" s="406"/>
      <c r="AP149" s="406"/>
      <c r="AQ149" s="406"/>
      <c r="AR149" s="406"/>
      <c r="AS149" s="406"/>
      <c r="AT149" s="406"/>
      <c r="AU149" s="406"/>
      <c r="AV149" s="406"/>
      <c r="AW149" s="406"/>
      <c r="AX149" s="406"/>
      <c r="AY149" s="406"/>
      <c r="AZ149" s="406"/>
      <c r="BA149" s="406"/>
      <c r="BB149" s="406"/>
      <c r="BC149" s="406"/>
      <c r="BD149" s="406"/>
      <c r="BE149" s="406"/>
      <c r="BF149" s="406"/>
      <c r="BG149" s="406"/>
      <c r="BH149" s="406"/>
      <c r="BI149" s="406"/>
      <c r="BJ149" s="406"/>
      <c r="BK149" s="407"/>
      <c r="BL149" s="407"/>
      <c r="BM149" s="407"/>
      <c r="BN149" s="407"/>
      <c r="BO149" s="407"/>
      <c r="BP149" s="407"/>
      <c r="BQ149" s="407"/>
      <c r="BR149" s="407"/>
      <c r="BS149" s="407"/>
      <c r="BT149" s="407"/>
      <c r="BU149" s="407"/>
      <c r="BV149" s="407"/>
      <c r="BW149" s="407"/>
      <c r="BX149" s="407"/>
      <c r="BY149" s="407"/>
      <c r="BZ149" s="407"/>
      <c r="CA149" s="407"/>
      <c r="CB149" s="407"/>
      <c r="CC149" s="407"/>
      <c r="CD149" s="407"/>
      <c r="CE149" s="407"/>
      <c r="CF149" s="407"/>
    </row>
    <row r="150" spans="1:84">
      <c r="A150" s="406"/>
      <c r="B150" s="406"/>
      <c r="C150" s="406"/>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7"/>
      <c r="BL150" s="407"/>
      <c r="BM150" s="407"/>
      <c r="BN150" s="407"/>
      <c r="BO150" s="407"/>
      <c r="BP150" s="407"/>
      <c r="BQ150" s="407"/>
      <c r="BR150" s="407"/>
      <c r="BS150" s="407"/>
      <c r="BT150" s="407"/>
      <c r="BU150" s="407"/>
      <c r="BV150" s="407"/>
      <c r="BW150" s="407"/>
      <c r="BX150" s="407"/>
      <c r="BY150" s="407"/>
      <c r="BZ150" s="407"/>
      <c r="CA150" s="407"/>
      <c r="CB150" s="407"/>
      <c r="CC150" s="407"/>
      <c r="CD150" s="407"/>
      <c r="CE150" s="407"/>
      <c r="CF150" s="407"/>
    </row>
    <row r="151" spans="1:84">
      <c r="A151" s="406"/>
      <c r="B151" s="406"/>
      <c r="C151" s="406"/>
      <c r="D151" s="406"/>
      <c r="E151" s="406"/>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7"/>
      <c r="BL151" s="407"/>
      <c r="BM151" s="407"/>
      <c r="BN151" s="407"/>
      <c r="BO151" s="407"/>
      <c r="BP151" s="407"/>
      <c r="BQ151" s="407"/>
      <c r="BR151" s="407"/>
      <c r="BS151" s="407"/>
      <c r="BT151" s="407"/>
      <c r="BU151" s="407"/>
      <c r="BV151" s="407"/>
      <c r="BW151" s="407"/>
      <c r="BX151" s="407"/>
      <c r="BY151" s="407"/>
      <c r="BZ151" s="407"/>
      <c r="CA151" s="407"/>
      <c r="CB151" s="407"/>
      <c r="CC151" s="407"/>
      <c r="CD151" s="407"/>
      <c r="CE151" s="407"/>
      <c r="CF151" s="407"/>
    </row>
    <row r="152" spans="1:84">
      <c r="A152" s="406"/>
      <c r="B152" s="406"/>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7"/>
      <c r="BL152" s="407"/>
      <c r="BM152" s="407"/>
      <c r="BN152" s="407"/>
      <c r="BO152" s="407"/>
      <c r="BP152" s="407"/>
      <c r="BQ152" s="407"/>
      <c r="BR152" s="407"/>
      <c r="BS152" s="407"/>
      <c r="BT152" s="407"/>
      <c r="BU152" s="407"/>
      <c r="BV152" s="407"/>
      <c r="BW152" s="407"/>
      <c r="BX152" s="407"/>
      <c r="BY152" s="407"/>
      <c r="BZ152" s="407"/>
      <c r="CA152" s="407"/>
      <c r="CB152" s="407"/>
      <c r="CC152" s="407"/>
      <c r="CD152" s="407"/>
      <c r="CE152" s="407"/>
      <c r="CF152" s="407"/>
    </row>
    <row r="153" spans="1:84">
      <c r="A153" s="406"/>
      <c r="B153" s="406"/>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406"/>
      <c r="AO153" s="406"/>
      <c r="AP153" s="406"/>
      <c r="AQ153" s="406"/>
      <c r="AR153" s="406"/>
      <c r="AS153" s="406"/>
      <c r="AT153" s="406"/>
      <c r="AU153" s="406"/>
      <c r="AV153" s="406"/>
      <c r="AW153" s="406"/>
      <c r="AX153" s="406"/>
      <c r="AY153" s="406"/>
      <c r="AZ153" s="406"/>
      <c r="BA153" s="406"/>
      <c r="BB153" s="406"/>
      <c r="BC153" s="406"/>
      <c r="BD153" s="406"/>
      <c r="BE153" s="406"/>
      <c r="BF153" s="406"/>
      <c r="BG153" s="406"/>
      <c r="BH153" s="406"/>
      <c r="BI153" s="406"/>
      <c r="BJ153" s="406"/>
      <c r="BK153" s="407"/>
      <c r="BL153" s="407"/>
      <c r="BM153" s="407"/>
      <c r="BN153" s="407"/>
      <c r="BO153" s="407"/>
      <c r="BP153" s="407"/>
      <c r="BQ153" s="407"/>
      <c r="BR153" s="407"/>
      <c r="BS153" s="407"/>
      <c r="BT153" s="407"/>
      <c r="BU153" s="407"/>
      <c r="BV153" s="407"/>
      <c r="BW153" s="407"/>
      <c r="BX153" s="407"/>
      <c r="BY153" s="407"/>
      <c r="BZ153" s="407"/>
      <c r="CA153" s="407"/>
      <c r="CB153" s="407"/>
      <c r="CC153" s="407"/>
      <c r="CD153" s="407"/>
      <c r="CE153" s="407"/>
      <c r="CF153" s="407"/>
    </row>
    <row r="154" spans="1:84">
      <c r="A154" s="406"/>
      <c r="B154" s="406"/>
      <c r="C154" s="406"/>
      <c r="D154" s="406"/>
      <c r="E154" s="406"/>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7"/>
      <c r="BL154" s="407"/>
      <c r="BM154" s="407"/>
      <c r="BN154" s="407"/>
      <c r="BO154" s="407"/>
      <c r="BP154" s="407"/>
      <c r="BQ154" s="407"/>
      <c r="BR154" s="407"/>
      <c r="BS154" s="407"/>
      <c r="BT154" s="407"/>
      <c r="BU154" s="407"/>
      <c r="BV154" s="407"/>
      <c r="BW154" s="407"/>
      <c r="BX154" s="407"/>
      <c r="BY154" s="407"/>
      <c r="BZ154" s="407"/>
      <c r="CA154" s="407"/>
      <c r="CB154" s="407"/>
      <c r="CC154" s="407"/>
      <c r="CD154" s="407"/>
      <c r="CE154" s="407"/>
      <c r="CF154" s="407"/>
    </row>
    <row r="155" spans="1:84">
      <c r="A155" s="406"/>
      <c r="B155" s="406"/>
      <c r="C155" s="406"/>
      <c r="D155" s="406"/>
      <c r="E155" s="406"/>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c r="AS155" s="406"/>
      <c r="AT155" s="406"/>
      <c r="AU155" s="406"/>
      <c r="AV155" s="406"/>
      <c r="AW155" s="406"/>
      <c r="AX155" s="406"/>
      <c r="AY155" s="406"/>
      <c r="AZ155" s="406"/>
      <c r="BA155" s="406"/>
      <c r="BB155" s="406"/>
      <c r="BC155" s="406"/>
      <c r="BD155" s="406"/>
      <c r="BE155" s="406"/>
      <c r="BF155" s="406"/>
      <c r="BG155" s="406"/>
      <c r="BH155" s="406"/>
      <c r="BI155" s="406"/>
      <c r="BJ155" s="406"/>
      <c r="BK155" s="407"/>
      <c r="BL155" s="407"/>
      <c r="BM155" s="407"/>
      <c r="BN155" s="407"/>
      <c r="BO155" s="407"/>
      <c r="BP155" s="407"/>
      <c r="BQ155" s="407"/>
      <c r="BR155" s="407"/>
      <c r="BS155" s="407"/>
      <c r="BT155" s="407"/>
      <c r="BU155" s="407"/>
      <c r="BV155" s="407"/>
      <c r="BW155" s="407"/>
      <c r="BX155" s="407"/>
      <c r="BY155" s="407"/>
      <c r="BZ155" s="407"/>
      <c r="CA155" s="407"/>
      <c r="CB155" s="407"/>
      <c r="CC155" s="407"/>
      <c r="CD155" s="407"/>
      <c r="CE155" s="407"/>
      <c r="CF155" s="407"/>
    </row>
    <row r="156" spans="1:84">
      <c r="A156" s="406"/>
      <c r="B156" s="406"/>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7"/>
      <c r="BL156" s="407"/>
      <c r="BM156" s="407"/>
      <c r="BN156" s="407"/>
      <c r="BO156" s="407"/>
      <c r="BP156" s="407"/>
      <c r="BQ156" s="407"/>
      <c r="BR156" s="407"/>
      <c r="BS156" s="407"/>
      <c r="BT156" s="407"/>
      <c r="BU156" s="407"/>
      <c r="BV156" s="407"/>
      <c r="BW156" s="407"/>
      <c r="BX156" s="407"/>
      <c r="BY156" s="407"/>
      <c r="BZ156" s="407"/>
      <c r="CA156" s="407"/>
      <c r="CB156" s="407"/>
      <c r="CC156" s="407"/>
      <c r="CD156" s="407"/>
      <c r="CE156" s="407"/>
      <c r="CF156" s="407"/>
    </row>
    <row r="157" spans="1:84">
      <c r="A157" s="406"/>
      <c r="B157" s="406"/>
      <c r="C157" s="406"/>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7"/>
      <c r="BL157" s="407"/>
      <c r="BM157" s="407"/>
      <c r="BN157" s="407"/>
      <c r="BO157" s="407"/>
      <c r="BP157" s="407"/>
      <c r="BQ157" s="407"/>
      <c r="BR157" s="407"/>
      <c r="BS157" s="407"/>
      <c r="BT157" s="407"/>
      <c r="BU157" s="407"/>
      <c r="BV157" s="407"/>
      <c r="BW157" s="407"/>
      <c r="BX157" s="407"/>
      <c r="BY157" s="407"/>
      <c r="BZ157" s="407"/>
      <c r="CA157" s="407"/>
      <c r="CB157" s="407"/>
      <c r="CC157" s="407"/>
      <c r="CD157" s="407"/>
      <c r="CE157" s="407"/>
      <c r="CF157" s="407"/>
    </row>
    <row r="158" spans="1:84">
      <c r="A158" s="406"/>
      <c r="B158" s="406"/>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7"/>
      <c r="BL158" s="407"/>
      <c r="BM158" s="407"/>
      <c r="BN158" s="407"/>
      <c r="BO158" s="407"/>
      <c r="BP158" s="407"/>
      <c r="BQ158" s="407"/>
      <c r="BR158" s="407"/>
      <c r="BS158" s="407"/>
      <c r="BT158" s="407"/>
      <c r="BU158" s="407"/>
      <c r="BV158" s="407"/>
      <c r="BW158" s="407"/>
      <c r="BX158" s="407"/>
      <c r="BY158" s="407"/>
      <c r="BZ158" s="407"/>
      <c r="CA158" s="407"/>
      <c r="CB158" s="407"/>
      <c r="CC158" s="407"/>
      <c r="CD158" s="407"/>
      <c r="CE158" s="407"/>
      <c r="CF158" s="407"/>
    </row>
    <row r="159" spans="1:84">
      <c r="A159" s="406"/>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6"/>
      <c r="BB159" s="406"/>
      <c r="BC159" s="406"/>
      <c r="BD159" s="406"/>
      <c r="BE159" s="406"/>
      <c r="BF159" s="406"/>
      <c r="BG159" s="406"/>
      <c r="BH159" s="406"/>
      <c r="BI159" s="406"/>
      <c r="BJ159" s="406"/>
      <c r="BK159" s="407"/>
      <c r="BL159" s="407"/>
      <c r="BM159" s="407"/>
      <c r="BN159" s="407"/>
      <c r="BO159" s="407"/>
      <c r="BP159" s="407"/>
      <c r="BQ159" s="407"/>
      <c r="BR159" s="407"/>
      <c r="BS159" s="407"/>
      <c r="BT159" s="407"/>
      <c r="BU159" s="407"/>
      <c r="BV159" s="407"/>
      <c r="BW159" s="407"/>
      <c r="BX159" s="407"/>
      <c r="BY159" s="407"/>
      <c r="BZ159" s="407"/>
      <c r="CA159" s="407"/>
      <c r="CB159" s="407"/>
      <c r="CC159" s="407"/>
      <c r="CD159" s="407"/>
      <c r="CE159" s="407"/>
      <c r="CF159" s="407"/>
    </row>
    <row r="160" spans="1:84">
      <c r="A160" s="406"/>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6"/>
      <c r="AR160" s="406"/>
      <c r="AS160" s="406"/>
      <c r="AT160" s="406"/>
      <c r="AU160" s="406"/>
      <c r="AV160" s="406"/>
      <c r="AW160" s="406"/>
      <c r="AX160" s="406"/>
      <c r="AY160" s="406"/>
      <c r="AZ160" s="406"/>
      <c r="BA160" s="406"/>
      <c r="BB160" s="406"/>
      <c r="BC160" s="406"/>
      <c r="BD160" s="406"/>
      <c r="BE160" s="406"/>
      <c r="BF160" s="406"/>
      <c r="BG160" s="406"/>
      <c r="BH160" s="406"/>
      <c r="BI160" s="406"/>
      <c r="BJ160" s="406"/>
      <c r="BK160" s="407"/>
      <c r="BL160" s="407"/>
      <c r="BM160" s="407"/>
      <c r="BN160" s="407"/>
      <c r="BO160" s="407"/>
      <c r="BP160" s="407"/>
      <c r="BQ160" s="407"/>
      <c r="BR160" s="407"/>
      <c r="BS160" s="407"/>
      <c r="BT160" s="407"/>
      <c r="BU160" s="407"/>
      <c r="BV160" s="407"/>
      <c r="BW160" s="407"/>
      <c r="BX160" s="407"/>
      <c r="BY160" s="407"/>
      <c r="BZ160" s="407"/>
      <c r="CA160" s="407"/>
      <c r="CB160" s="407"/>
      <c r="CC160" s="407"/>
      <c r="CD160" s="407"/>
      <c r="CE160" s="407"/>
      <c r="CF160" s="407"/>
    </row>
    <row r="161" spans="1:84">
      <c r="A161" s="406"/>
      <c r="B161" s="406"/>
      <c r="C161" s="406"/>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7"/>
      <c r="BL161" s="407"/>
      <c r="BM161" s="407"/>
      <c r="BN161" s="407"/>
      <c r="BO161" s="407"/>
      <c r="BP161" s="407"/>
      <c r="BQ161" s="407"/>
      <c r="BR161" s="407"/>
      <c r="BS161" s="407"/>
      <c r="BT161" s="407"/>
      <c r="BU161" s="407"/>
      <c r="BV161" s="407"/>
      <c r="BW161" s="407"/>
      <c r="BX161" s="407"/>
      <c r="BY161" s="407"/>
      <c r="BZ161" s="407"/>
      <c r="CA161" s="407"/>
      <c r="CB161" s="407"/>
      <c r="CC161" s="407"/>
      <c r="CD161" s="407"/>
      <c r="CE161" s="407"/>
      <c r="CF161" s="407"/>
    </row>
    <row r="162" spans="1:84">
      <c r="A162" s="406"/>
      <c r="B162" s="406"/>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406"/>
      <c r="AO162" s="406"/>
      <c r="AP162" s="406"/>
      <c r="AQ162" s="406"/>
      <c r="AR162" s="406"/>
      <c r="AS162" s="406"/>
      <c r="AT162" s="406"/>
      <c r="AU162" s="406"/>
      <c r="AV162" s="406"/>
      <c r="AW162" s="406"/>
      <c r="AX162" s="406"/>
      <c r="AY162" s="406"/>
      <c r="AZ162" s="406"/>
      <c r="BA162" s="406"/>
      <c r="BB162" s="406"/>
      <c r="BC162" s="406"/>
      <c r="BD162" s="406"/>
      <c r="BE162" s="406"/>
      <c r="BF162" s="406"/>
      <c r="BG162" s="406"/>
      <c r="BH162" s="406"/>
      <c r="BI162" s="406"/>
      <c r="BJ162" s="406"/>
      <c r="BK162" s="407"/>
      <c r="BL162" s="407"/>
      <c r="BM162" s="407"/>
      <c r="BN162" s="407"/>
      <c r="BO162" s="407"/>
      <c r="BP162" s="407"/>
      <c r="BQ162" s="407"/>
      <c r="BR162" s="407"/>
      <c r="BS162" s="407"/>
      <c r="BT162" s="407"/>
      <c r="BU162" s="407"/>
      <c r="BV162" s="407"/>
      <c r="BW162" s="407"/>
      <c r="BX162" s="407"/>
      <c r="BY162" s="407"/>
      <c r="BZ162" s="407"/>
      <c r="CA162" s="407"/>
      <c r="CB162" s="407"/>
      <c r="CC162" s="407"/>
      <c r="CD162" s="407"/>
      <c r="CE162" s="407"/>
      <c r="CF162" s="407"/>
    </row>
    <row r="163" spans="1:84">
      <c r="A163" s="406"/>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406"/>
      <c r="BI163" s="406"/>
      <c r="BJ163" s="406"/>
      <c r="BK163" s="407"/>
      <c r="BL163" s="407"/>
      <c r="BM163" s="407"/>
      <c r="BN163" s="407"/>
      <c r="BO163" s="407"/>
      <c r="BP163" s="407"/>
      <c r="BQ163" s="407"/>
      <c r="BR163" s="407"/>
      <c r="BS163" s="407"/>
      <c r="BT163" s="407"/>
      <c r="BU163" s="407"/>
      <c r="BV163" s="407"/>
      <c r="BW163" s="407"/>
      <c r="BX163" s="407"/>
      <c r="BY163" s="407"/>
      <c r="BZ163" s="407"/>
      <c r="CA163" s="407"/>
      <c r="CB163" s="407"/>
      <c r="CC163" s="407"/>
      <c r="CD163" s="407"/>
      <c r="CE163" s="407"/>
      <c r="CF163" s="407"/>
    </row>
    <row r="164" spans="1:84">
      <c r="A164" s="406"/>
      <c r="B164" s="406"/>
      <c r="C164" s="406"/>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7"/>
      <c r="BL164" s="407"/>
      <c r="BM164" s="407"/>
      <c r="BN164" s="407"/>
      <c r="BO164" s="407"/>
      <c r="BP164" s="407"/>
      <c r="BQ164" s="407"/>
      <c r="BR164" s="407"/>
      <c r="BS164" s="407"/>
      <c r="BT164" s="407"/>
      <c r="BU164" s="407"/>
      <c r="BV164" s="407"/>
      <c r="BW164" s="407"/>
      <c r="BX164" s="407"/>
      <c r="BY164" s="407"/>
      <c r="BZ164" s="407"/>
      <c r="CA164" s="407"/>
      <c r="CB164" s="407"/>
      <c r="CC164" s="407"/>
      <c r="CD164" s="407"/>
      <c r="CE164" s="407"/>
      <c r="CF164" s="407"/>
    </row>
    <row r="165" spans="1:84">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406"/>
      <c r="AO165" s="406"/>
      <c r="AP165" s="406"/>
      <c r="AQ165" s="406"/>
      <c r="AR165" s="406"/>
      <c r="AS165" s="406"/>
      <c r="AT165" s="406"/>
      <c r="AU165" s="406"/>
      <c r="AV165" s="406"/>
      <c r="AW165" s="406"/>
      <c r="AX165" s="406"/>
      <c r="AY165" s="406"/>
      <c r="AZ165" s="406"/>
      <c r="BA165" s="406"/>
      <c r="BB165" s="406"/>
      <c r="BC165" s="406"/>
      <c r="BD165" s="406"/>
      <c r="BE165" s="406"/>
      <c r="BF165" s="406"/>
      <c r="BG165" s="406"/>
      <c r="BH165" s="406"/>
      <c r="BI165" s="406"/>
      <c r="BJ165" s="406"/>
      <c r="BK165" s="407"/>
      <c r="BL165" s="407"/>
      <c r="BM165" s="407"/>
      <c r="BN165" s="407"/>
      <c r="BO165" s="407"/>
      <c r="BP165" s="407"/>
      <c r="BQ165" s="407"/>
      <c r="BR165" s="407"/>
      <c r="BS165" s="407"/>
      <c r="BT165" s="407"/>
      <c r="BU165" s="407"/>
      <c r="BV165" s="407"/>
      <c r="BW165" s="407"/>
      <c r="BX165" s="407"/>
      <c r="BY165" s="407"/>
      <c r="BZ165" s="407"/>
      <c r="CA165" s="407"/>
      <c r="CB165" s="407"/>
      <c r="CC165" s="407"/>
      <c r="CD165" s="407"/>
      <c r="CE165" s="407"/>
      <c r="CF165" s="407"/>
    </row>
    <row r="166" spans="1:84">
      <c r="A166" s="406"/>
      <c r="B166" s="406"/>
      <c r="C166" s="406"/>
      <c r="D166" s="406"/>
      <c r="E166" s="406"/>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406"/>
      <c r="AO166" s="406"/>
      <c r="AP166" s="406"/>
      <c r="AQ166" s="406"/>
      <c r="AR166" s="406"/>
      <c r="AS166" s="406"/>
      <c r="AT166" s="406"/>
      <c r="AU166" s="406"/>
      <c r="AV166" s="406"/>
      <c r="AW166" s="406"/>
      <c r="AX166" s="406"/>
      <c r="AY166" s="406"/>
      <c r="AZ166" s="406"/>
      <c r="BA166" s="406"/>
      <c r="BB166" s="406"/>
      <c r="BC166" s="406"/>
      <c r="BD166" s="406"/>
      <c r="BE166" s="406"/>
      <c r="BF166" s="406"/>
      <c r="BG166" s="406"/>
      <c r="BH166" s="406"/>
      <c r="BI166" s="406"/>
      <c r="BJ166" s="406"/>
      <c r="BK166" s="407"/>
      <c r="BL166" s="407"/>
      <c r="BM166" s="407"/>
      <c r="BN166" s="407"/>
      <c r="BO166" s="407"/>
      <c r="BP166" s="407"/>
      <c r="BQ166" s="407"/>
      <c r="BR166" s="407"/>
      <c r="BS166" s="407"/>
      <c r="BT166" s="407"/>
      <c r="BU166" s="407"/>
      <c r="BV166" s="407"/>
      <c r="BW166" s="407"/>
      <c r="BX166" s="407"/>
      <c r="BY166" s="407"/>
      <c r="BZ166" s="407"/>
      <c r="CA166" s="407"/>
      <c r="CB166" s="407"/>
      <c r="CC166" s="407"/>
      <c r="CD166" s="407"/>
      <c r="CE166" s="407"/>
      <c r="CF166" s="407"/>
    </row>
    <row r="167" spans="1:84">
      <c r="A167" s="406"/>
      <c r="B167" s="406"/>
      <c r="C167" s="406"/>
      <c r="D167" s="406"/>
      <c r="E167" s="406"/>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406"/>
      <c r="AO167" s="406"/>
      <c r="AP167" s="406"/>
      <c r="AQ167" s="406"/>
      <c r="AR167" s="406"/>
      <c r="AS167" s="406"/>
      <c r="AT167" s="406"/>
      <c r="AU167" s="406"/>
      <c r="AV167" s="406"/>
      <c r="AW167" s="406"/>
      <c r="AX167" s="406"/>
      <c r="AY167" s="406"/>
      <c r="AZ167" s="406"/>
      <c r="BA167" s="406"/>
      <c r="BB167" s="406"/>
      <c r="BC167" s="406"/>
      <c r="BD167" s="406"/>
      <c r="BE167" s="406"/>
      <c r="BF167" s="406"/>
      <c r="BG167" s="406"/>
      <c r="BH167" s="406"/>
      <c r="BI167" s="406"/>
      <c r="BJ167" s="406"/>
      <c r="BK167" s="407"/>
      <c r="BL167" s="407"/>
      <c r="BM167" s="407"/>
      <c r="BN167" s="407"/>
      <c r="BO167" s="407"/>
      <c r="BP167" s="407"/>
      <c r="BQ167" s="407"/>
      <c r="BR167" s="407"/>
      <c r="BS167" s="407"/>
      <c r="BT167" s="407"/>
      <c r="BU167" s="407"/>
      <c r="BV167" s="407"/>
      <c r="BW167" s="407"/>
      <c r="BX167" s="407"/>
      <c r="BY167" s="407"/>
      <c r="BZ167" s="407"/>
      <c r="CA167" s="407"/>
      <c r="CB167" s="407"/>
      <c r="CC167" s="407"/>
      <c r="CD167" s="407"/>
      <c r="CE167" s="407"/>
      <c r="CF167" s="407"/>
    </row>
    <row r="168" spans="1:84">
      <c r="A168" s="406"/>
      <c r="B168" s="406"/>
      <c r="C168" s="406"/>
      <c r="D168" s="406"/>
      <c r="E168" s="406"/>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c r="AN168" s="406"/>
      <c r="AO168" s="406"/>
      <c r="AP168" s="406"/>
      <c r="AQ168" s="406"/>
      <c r="AR168" s="406"/>
      <c r="AS168" s="406"/>
      <c r="AT168" s="406"/>
      <c r="AU168" s="406"/>
      <c r="AV168" s="406"/>
      <c r="AW168" s="406"/>
      <c r="AX168" s="406"/>
      <c r="AY168" s="406"/>
      <c r="AZ168" s="406"/>
      <c r="BA168" s="406"/>
      <c r="BB168" s="406"/>
      <c r="BC168" s="406"/>
      <c r="BD168" s="406"/>
      <c r="BE168" s="406"/>
      <c r="BF168" s="406"/>
      <c r="BG168" s="406"/>
      <c r="BH168" s="406"/>
      <c r="BI168" s="406"/>
      <c r="BJ168" s="406"/>
      <c r="BK168" s="407"/>
      <c r="BL168" s="407"/>
      <c r="BM168" s="407"/>
      <c r="BN168" s="407"/>
      <c r="BO168" s="407"/>
      <c r="BP168" s="407"/>
      <c r="BQ168" s="407"/>
      <c r="BR168" s="407"/>
      <c r="BS168" s="407"/>
      <c r="BT168" s="407"/>
      <c r="BU168" s="407"/>
      <c r="BV168" s="407"/>
      <c r="BW168" s="407"/>
      <c r="BX168" s="407"/>
      <c r="BY168" s="407"/>
      <c r="BZ168" s="407"/>
      <c r="CA168" s="407"/>
      <c r="CB168" s="407"/>
      <c r="CC168" s="407"/>
      <c r="CD168" s="407"/>
      <c r="CE168" s="407"/>
      <c r="CF168" s="407"/>
    </row>
    <row r="169" spans="1:84">
      <c r="A169" s="406"/>
      <c r="B169" s="406"/>
      <c r="C169" s="406"/>
      <c r="D169" s="406"/>
      <c r="E169" s="406"/>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c r="AN169" s="406"/>
      <c r="AO169" s="406"/>
      <c r="AP169" s="406"/>
      <c r="AQ169" s="406"/>
      <c r="AR169" s="406"/>
      <c r="AS169" s="406"/>
      <c r="AT169" s="406"/>
      <c r="AU169" s="406"/>
      <c r="AV169" s="406"/>
      <c r="AW169" s="406"/>
      <c r="AX169" s="406"/>
      <c r="AY169" s="406"/>
      <c r="AZ169" s="406"/>
      <c r="BA169" s="406"/>
      <c r="BB169" s="406"/>
      <c r="BC169" s="406"/>
      <c r="BD169" s="406"/>
      <c r="BE169" s="406"/>
      <c r="BF169" s="406"/>
      <c r="BG169" s="406"/>
      <c r="BH169" s="406"/>
      <c r="BI169" s="406"/>
      <c r="BJ169" s="406"/>
      <c r="BK169" s="407"/>
      <c r="BL169" s="407"/>
      <c r="BM169" s="407"/>
      <c r="BN169" s="407"/>
      <c r="BO169" s="407"/>
      <c r="BP169" s="407"/>
      <c r="BQ169" s="407"/>
      <c r="BR169" s="407"/>
      <c r="BS169" s="407"/>
      <c r="BT169" s="407"/>
      <c r="BU169" s="407"/>
      <c r="BV169" s="407"/>
      <c r="BW169" s="407"/>
      <c r="BX169" s="407"/>
      <c r="BY169" s="407"/>
      <c r="BZ169" s="407"/>
      <c r="CA169" s="407"/>
      <c r="CB169" s="407"/>
      <c r="CC169" s="407"/>
      <c r="CD169" s="407"/>
      <c r="CE169" s="407"/>
      <c r="CF169" s="407"/>
    </row>
    <row r="170" spans="1:84">
      <c r="A170" s="406"/>
      <c r="B170" s="406"/>
      <c r="C170" s="406"/>
      <c r="D170" s="406"/>
      <c r="E170" s="406"/>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c r="AN170" s="406"/>
      <c r="AO170" s="406"/>
      <c r="AP170" s="406"/>
      <c r="AQ170" s="406"/>
      <c r="AR170" s="406"/>
      <c r="AS170" s="406"/>
      <c r="AT170" s="406"/>
      <c r="AU170" s="406"/>
      <c r="AV170" s="406"/>
      <c r="AW170" s="406"/>
      <c r="AX170" s="406"/>
      <c r="AY170" s="406"/>
      <c r="AZ170" s="406"/>
      <c r="BA170" s="406"/>
      <c r="BB170" s="406"/>
      <c r="BC170" s="406"/>
      <c r="BD170" s="406"/>
      <c r="BE170" s="406"/>
      <c r="BF170" s="406"/>
      <c r="BG170" s="406"/>
      <c r="BH170" s="406"/>
      <c r="BI170" s="406"/>
      <c r="BJ170" s="406"/>
      <c r="BK170" s="407"/>
      <c r="BL170" s="407"/>
      <c r="BM170" s="407"/>
      <c r="BN170" s="407"/>
      <c r="BO170" s="407"/>
      <c r="BP170" s="407"/>
      <c r="BQ170" s="407"/>
      <c r="BR170" s="407"/>
      <c r="BS170" s="407"/>
      <c r="BT170" s="407"/>
      <c r="BU170" s="407"/>
      <c r="BV170" s="407"/>
      <c r="BW170" s="407"/>
      <c r="BX170" s="407"/>
      <c r="BY170" s="407"/>
      <c r="BZ170" s="407"/>
      <c r="CA170" s="407"/>
      <c r="CB170" s="407"/>
      <c r="CC170" s="407"/>
      <c r="CD170" s="407"/>
      <c r="CE170" s="407"/>
      <c r="CF170" s="407"/>
    </row>
    <row r="171" spans="1:84">
      <c r="A171" s="406"/>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406"/>
      <c r="AO171" s="406"/>
      <c r="AP171" s="406"/>
      <c r="AQ171" s="406"/>
      <c r="AR171" s="406"/>
      <c r="AS171" s="406"/>
      <c r="AT171" s="406"/>
      <c r="AU171" s="406"/>
      <c r="AV171" s="406"/>
      <c r="AW171" s="406"/>
      <c r="AX171" s="406"/>
      <c r="AY171" s="406"/>
      <c r="AZ171" s="406"/>
      <c r="BA171" s="406"/>
      <c r="BB171" s="406"/>
      <c r="BC171" s="406"/>
      <c r="BD171" s="406"/>
      <c r="BE171" s="406"/>
      <c r="BF171" s="406"/>
      <c r="BG171" s="406"/>
      <c r="BH171" s="406"/>
      <c r="BI171" s="406"/>
      <c r="BJ171" s="406"/>
      <c r="BK171" s="407"/>
      <c r="BL171" s="407"/>
      <c r="BM171" s="407"/>
      <c r="BN171" s="407"/>
      <c r="BO171" s="407"/>
      <c r="BP171" s="407"/>
      <c r="BQ171" s="407"/>
      <c r="BR171" s="407"/>
      <c r="BS171" s="407"/>
      <c r="BT171" s="407"/>
      <c r="BU171" s="407"/>
      <c r="BV171" s="407"/>
      <c r="BW171" s="407"/>
      <c r="BX171" s="407"/>
      <c r="BY171" s="407"/>
      <c r="BZ171" s="407"/>
      <c r="CA171" s="407"/>
      <c r="CB171" s="407"/>
      <c r="CC171" s="407"/>
      <c r="CD171" s="407"/>
      <c r="CE171" s="407"/>
      <c r="CF171" s="407"/>
    </row>
    <row r="172" spans="1:84">
      <c r="A172" s="406"/>
      <c r="B172" s="406"/>
      <c r="C172" s="406"/>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7"/>
      <c r="BL172" s="407"/>
      <c r="BM172" s="407"/>
      <c r="BN172" s="407"/>
      <c r="BO172" s="407"/>
      <c r="BP172" s="407"/>
      <c r="BQ172" s="407"/>
      <c r="BR172" s="407"/>
      <c r="BS172" s="407"/>
      <c r="BT172" s="407"/>
      <c r="BU172" s="407"/>
      <c r="BV172" s="407"/>
      <c r="BW172" s="407"/>
      <c r="BX172" s="407"/>
      <c r="BY172" s="407"/>
      <c r="BZ172" s="407"/>
      <c r="CA172" s="407"/>
      <c r="CB172" s="407"/>
      <c r="CC172" s="407"/>
      <c r="CD172" s="407"/>
      <c r="CE172" s="407"/>
      <c r="CF172" s="407"/>
    </row>
    <row r="173" spans="1:84">
      <c r="A173" s="406"/>
      <c r="B173" s="406"/>
      <c r="C173" s="406"/>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7"/>
      <c r="BL173" s="407"/>
      <c r="BM173" s="407"/>
      <c r="BN173" s="407"/>
      <c r="BO173" s="407"/>
      <c r="BP173" s="407"/>
      <c r="BQ173" s="407"/>
      <c r="BR173" s="407"/>
      <c r="BS173" s="407"/>
      <c r="BT173" s="407"/>
      <c r="BU173" s="407"/>
      <c r="BV173" s="407"/>
      <c r="BW173" s="407"/>
      <c r="BX173" s="407"/>
      <c r="BY173" s="407"/>
      <c r="BZ173" s="407"/>
      <c r="CA173" s="407"/>
      <c r="CB173" s="407"/>
      <c r="CC173" s="407"/>
      <c r="CD173" s="407"/>
      <c r="CE173" s="407"/>
      <c r="CF173" s="407"/>
    </row>
    <row r="174" spans="1:84">
      <c r="A174" s="406"/>
      <c r="B174" s="406"/>
      <c r="C174" s="406"/>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7"/>
      <c r="BL174" s="407"/>
      <c r="BM174" s="407"/>
      <c r="BN174" s="407"/>
      <c r="BO174" s="407"/>
      <c r="BP174" s="407"/>
      <c r="BQ174" s="407"/>
      <c r="BR174" s="407"/>
      <c r="BS174" s="407"/>
      <c r="BT174" s="407"/>
      <c r="BU174" s="407"/>
      <c r="BV174" s="407"/>
      <c r="BW174" s="407"/>
      <c r="BX174" s="407"/>
      <c r="BY174" s="407"/>
      <c r="BZ174" s="407"/>
      <c r="CA174" s="407"/>
      <c r="CB174" s="407"/>
      <c r="CC174" s="407"/>
      <c r="CD174" s="407"/>
      <c r="CE174" s="407"/>
      <c r="CF174" s="407"/>
    </row>
    <row r="175" spans="1:84">
      <c r="A175" s="406"/>
      <c r="B175" s="406"/>
      <c r="C175" s="406"/>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7"/>
      <c r="BL175" s="407"/>
      <c r="BM175" s="407"/>
      <c r="BN175" s="407"/>
      <c r="BO175" s="407"/>
      <c r="BP175" s="407"/>
      <c r="BQ175" s="407"/>
      <c r="BR175" s="407"/>
      <c r="BS175" s="407"/>
      <c r="BT175" s="407"/>
      <c r="BU175" s="407"/>
      <c r="BV175" s="407"/>
      <c r="BW175" s="407"/>
      <c r="BX175" s="407"/>
      <c r="BY175" s="407"/>
      <c r="BZ175" s="407"/>
      <c r="CA175" s="407"/>
      <c r="CB175" s="407"/>
      <c r="CC175" s="407"/>
      <c r="CD175" s="407"/>
      <c r="CE175" s="407"/>
      <c r="CF175" s="407"/>
    </row>
    <row r="176" spans="1:84">
      <c r="A176" s="406"/>
      <c r="B176" s="406"/>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7"/>
      <c r="BL176" s="407"/>
      <c r="BM176" s="407"/>
      <c r="BN176" s="407"/>
      <c r="BO176" s="407"/>
      <c r="BP176" s="407"/>
      <c r="BQ176" s="407"/>
      <c r="BR176" s="407"/>
      <c r="BS176" s="407"/>
      <c r="BT176" s="407"/>
      <c r="BU176" s="407"/>
      <c r="BV176" s="407"/>
      <c r="BW176" s="407"/>
      <c r="BX176" s="407"/>
      <c r="BY176" s="407"/>
      <c r="BZ176" s="407"/>
      <c r="CA176" s="407"/>
      <c r="CB176" s="407"/>
      <c r="CC176" s="407"/>
      <c r="CD176" s="407"/>
      <c r="CE176" s="407"/>
      <c r="CF176" s="407"/>
    </row>
    <row r="177" spans="1:84">
      <c r="A177" s="406"/>
      <c r="B177" s="406"/>
      <c r="C177" s="406"/>
      <c r="D177" s="406"/>
      <c r="E177" s="406"/>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c r="AN177" s="406"/>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7"/>
      <c r="BL177" s="407"/>
      <c r="BM177" s="407"/>
      <c r="BN177" s="407"/>
      <c r="BO177" s="407"/>
      <c r="BP177" s="407"/>
      <c r="BQ177" s="407"/>
      <c r="BR177" s="407"/>
      <c r="BS177" s="407"/>
      <c r="BT177" s="407"/>
      <c r="BU177" s="407"/>
      <c r="BV177" s="407"/>
      <c r="BW177" s="407"/>
      <c r="BX177" s="407"/>
      <c r="BY177" s="407"/>
      <c r="BZ177" s="407"/>
      <c r="CA177" s="407"/>
      <c r="CB177" s="407"/>
      <c r="CC177" s="407"/>
      <c r="CD177" s="407"/>
      <c r="CE177" s="407"/>
      <c r="CF177" s="407"/>
    </row>
    <row r="178" spans="1:84">
      <c r="A178" s="406"/>
      <c r="B178" s="406"/>
      <c r="C178" s="406"/>
      <c r="D178" s="406"/>
      <c r="E178" s="406"/>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7"/>
      <c r="BL178" s="407"/>
      <c r="BM178" s="407"/>
      <c r="BN178" s="407"/>
      <c r="BO178" s="407"/>
      <c r="BP178" s="407"/>
      <c r="BQ178" s="407"/>
      <c r="BR178" s="407"/>
      <c r="BS178" s="407"/>
      <c r="BT178" s="407"/>
      <c r="BU178" s="407"/>
      <c r="BV178" s="407"/>
      <c r="BW178" s="407"/>
      <c r="BX178" s="407"/>
      <c r="BY178" s="407"/>
      <c r="BZ178" s="407"/>
      <c r="CA178" s="407"/>
      <c r="CB178" s="407"/>
      <c r="CC178" s="407"/>
      <c r="CD178" s="407"/>
      <c r="CE178" s="407"/>
      <c r="CF178" s="407"/>
    </row>
    <row r="179" spans="1:84">
      <c r="A179" s="406"/>
      <c r="B179" s="406"/>
      <c r="C179" s="406"/>
      <c r="D179" s="406"/>
      <c r="E179" s="406"/>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406"/>
      <c r="BI179" s="406"/>
      <c r="BJ179" s="406"/>
      <c r="BK179" s="407"/>
      <c r="BL179" s="407"/>
      <c r="BM179" s="407"/>
      <c r="BN179" s="407"/>
      <c r="BO179" s="407"/>
      <c r="BP179" s="407"/>
      <c r="BQ179" s="407"/>
      <c r="BR179" s="407"/>
      <c r="BS179" s="407"/>
      <c r="BT179" s="407"/>
      <c r="BU179" s="407"/>
      <c r="BV179" s="407"/>
      <c r="BW179" s="407"/>
      <c r="BX179" s="407"/>
      <c r="BY179" s="407"/>
      <c r="BZ179" s="407"/>
      <c r="CA179" s="407"/>
      <c r="CB179" s="407"/>
      <c r="CC179" s="407"/>
      <c r="CD179" s="407"/>
      <c r="CE179" s="407"/>
      <c r="CF179" s="407"/>
    </row>
    <row r="180" spans="1:84">
      <c r="A180" s="406"/>
      <c r="B180" s="406"/>
      <c r="C180" s="406"/>
      <c r="D180" s="406"/>
      <c r="E180" s="406"/>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c r="AN180" s="406"/>
      <c r="AO180" s="406"/>
      <c r="AP180" s="406"/>
      <c r="AQ180" s="406"/>
      <c r="AR180" s="406"/>
      <c r="AS180" s="406"/>
      <c r="AT180" s="406"/>
      <c r="AU180" s="406"/>
      <c r="AV180" s="406"/>
      <c r="AW180" s="406"/>
      <c r="AX180" s="406"/>
      <c r="AY180" s="406"/>
      <c r="AZ180" s="406"/>
      <c r="BA180" s="406"/>
      <c r="BB180" s="406"/>
      <c r="BC180" s="406"/>
      <c r="BD180" s="406"/>
      <c r="BE180" s="406"/>
      <c r="BF180" s="406"/>
      <c r="BG180" s="406"/>
      <c r="BH180" s="406"/>
      <c r="BI180" s="406"/>
      <c r="BJ180" s="406"/>
      <c r="BK180" s="407"/>
      <c r="BL180" s="407"/>
      <c r="BM180" s="407"/>
      <c r="BN180" s="407"/>
      <c r="BO180" s="407"/>
      <c r="BP180" s="407"/>
      <c r="BQ180" s="407"/>
      <c r="BR180" s="407"/>
      <c r="BS180" s="407"/>
      <c r="BT180" s="407"/>
      <c r="BU180" s="407"/>
      <c r="BV180" s="407"/>
      <c r="BW180" s="407"/>
      <c r="BX180" s="407"/>
      <c r="BY180" s="407"/>
      <c r="BZ180" s="407"/>
      <c r="CA180" s="407"/>
      <c r="CB180" s="407"/>
      <c r="CC180" s="407"/>
      <c r="CD180" s="407"/>
      <c r="CE180" s="407"/>
      <c r="CF180" s="407"/>
    </row>
    <row r="181" spans="1:84">
      <c r="A181" s="406"/>
      <c r="B181" s="406"/>
      <c r="C181" s="406"/>
      <c r="D181" s="406"/>
      <c r="E181" s="406"/>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c r="AN181" s="406"/>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7"/>
      <c r="BL181" s="407"/>
      <c r="BM181" s="407"/>
      <c r="BN181" s="407"/>
      <c r="BO181" s="407"/>
      <c r="BP181" s="407"/>
      <c r="BQ181" s="407"/>
      <c r="BR181" s="407"/>
      <c r="BS181" s="407"/>
      <c r="BT181" s="407"/>
      <c r="BU181" s="407"/>
      <c r="BV181" s="407"/>
      <c r="BW181" s="407"/>
      <c r="BX181" s="407"/>
      <c r="BY181" s="407"/>
      <c r="BZ181" s="407"/>
      <c r="CA181" s="407"/>
      <c r="CB181" s="407"/>
      <c r="CC181" s="407"/>
      <c r="CD181" s="407"/>
      <c r="CE181" s="407"/>
      <c r="CF181" s="407"/>
    </row>
    <row r="182" spans="1:84">
      <c r="A182" s="406"/>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406"/>
      <c r="AO182" s="406"/>
      <c r="AP182" s="406"/>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7"/>
      <c r="BL182" s="407"/>
      <c r="BM182" s="407"/>
      <c r="BN182" s="407"/>
      <c r="BO182" s="407"/>
      <c r="BP182" s="407"/>
      <c r="BQ182" s="407"/>
      <c r="BR182" s="407"/>
      <c r="BS182" s="407"/>
      <c r="BT182" s="407"/>
      <c r="BU182" s="407"/>
      <c r="BV182" s="407"/>
      <c r="BW182" s="407"/>
      <c r="BX182" s="407"/>
      <c r="BY182" s="407"/>
      <c r="BZ182" s="407"/>
      <c r="CA182" s="407"/>
      <c r="CB182" s="407"/>
      <c r="CC182" s="407"/>
      <c r="CD182" s="407"/>
      <c r="CE182" s="407"/>
      <c r="CF182" s="407"/>
    </row>
    <row r="183" spans="1:84">
      <c r="A183" s="406"/>
      <c r="B183" s="406"/>
      <c r="C183" s="406"/>
      <c r="D183" s="406"/>
      <c r="E183" s="406"/>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7"/>
      <c r="BL183" s="407"/>
      <c r="BM183" s="407"/>
      <c r="BN183" s="407"/>
      <c r="BO183" s="407"/>
      <c r="BP183" s="407"/>
      <c r="BQ183" s="407"/>
      <c r="BR183" s="407"/>
      <c r="BS183" s="407"/>
      <c r="BT183" s="407"/>
      <c r="BU183" s="407"/>
      <c r="BV183" s="407"/>
      <c r="BW183" s="407"/>
      <c r="BX183" s="407"/>
      <c r="BY183" s="407"/>
      <c r="BZ183" s="407"/>
      <c r="CA183" s="407"/>
      <c r="CB183" s="407"/>
      <c r="CC183" s="407"/>
      <c r="CD183" s="407"/>
      <c r="CE183" s="407"/>
      <c r="CF183" s="407"/>
    </row>
    <row r="184" spans="1:84">
      <c r="A184" s="406"/>
      <c r="B184" s="406"/>
      <c r="C184" s="406"/>
      <c r="D184" s="406"/>
      <c r="E184" s="406"/>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406"/>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7"/>
      <c r="BL184" s="407"/>
      <c r="BM184" s="407"/>
      <c r="BN184" s="407"/>
      <c r="BO184" s="407"/>
      <c r="BP184" s="407"/>
      <c r="BQ184" s="407"/>
      <c r="BR184" s="407"/>
      <c r="BS184" s="407"/>
      <c r="BT184" s="407"/>
      <c r="BU184" s="407"/>
      <c r="BV184" s="407"/>
      <c r="BW184" s="407"/>
      <c r="BX184" s="407"/>
      <c r="BY184" s="407"/>
      <c r="BZ184" s="407"/>
      <c r="CA184" s="407"/>
      <c r="CB184" s="407"/>
      <c r="CC184" s="407"/>
      <c r="CD184" s="407"/>
      <c r="CE184" s="407"/>
      <c r="CF184" s="407"/>
    </row>
    <row r="185" spans="1:84">
      <c r="A185" s="406"/>
      <c r="B185" s="406"/>
      <c r="C185" s="406"/>
      <c r="D185" s="406"/>
      <c r="E185" s="406"/>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7"/>
      <c r="BL185" s="407"/>
      <c r="BM185" s="407"/>
      <c r="BN185" s="407"/>
      <c r="BO185" s="407"/>
      <c r="BP185" s="407"/>
      <c r="BQ185" s="407"/>
      <c r="BR185" s="407"/>
      <c r="BS185" s="407"/>
      <c r="BT185" s="407"/>
      <c r="BU185" s="407"/>
      <c r="BV185" s="407"/>
      <c r="BW185" s="407"/>
      <c r="BX185" s="407"/>
      <c r="BY185" s="407"/>
      <c r="BZ185" s="407"/>
      <c r="CA185" s="407"/>
      <c r="CB185" s="407"/>
      <c r="CC185" s="407"/>
      <c r="CD185" s="407"/>
      <c r="CE185" s="407"/>
      <c r="CF185" s="407"/>
    </row>
    <row r="186" spans="1:84">
      <c r="A186" s="406"/>
      <c r="B186" s="406"/>
      <c r="C186" s="406"/>
      <c r="D186" s="406"/>
      <c r="E186" s="406"/>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40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7"/>
      <c r="BL186" s="407"/>
      <c r="BM186" s="407"/>
      <c r="BN186" s="407"/>
      <c r="BO186" s="407"/>
      <c r="BP186" s="407"/>
      <c r="BQ186" s="407"/>
      <c r="BR186" s="407"/>
      <c r="BS186" s="407"/>
      <c r="BT186" s="407"/>
      <c r="BU186" s="407"/>
      <c r="BV186" s="407"/>
      <c r="BW186" s="407"/>
      <c r="BX186" s="407"/>
      <c r="BY186" s="407"/>
      <c r="BZ186" s="407"/>
      <c r="CA186" s="407"/>
      <c r="CB186" s="407"/>
      <c r="CC186" s="407"/>
      <c r="CD186" s="407"/>
      <c r="CE186" s="407"/>
      <c r="CF186" s="407"/>
    </row>
    <row r="187" spans="1:84">
      <c r="A187" s="406"/>
      <c r="B187" s="406"/>
      <c r="C187" s="406"/>
      <c r="D187" s="406"/>
      <c r="E187" s="406"/>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7"/>
      <c r="BL187" s="407"/>
      <c r="BM187" s="407"/>
      <c r="BN187" s="407"/>
      <c r="BO187" s="407"/>
      <c r="BP187" s="407"/>
      <c r="BQ187" s="407"/>
      <c r="BR187" s="407"/>
      <c r="BS187" s="407"/>
      <c r="BT187" s="407"/>
      <c r="BU187" s="407"/>
      <c r="BV187" s="407"/>
      <c r="BW187" s="407"/>
      <c r="BX187" s="407"/>
      <c r="BY187" s="407"/>
      <c r="BZ187" s="407"/>
      <c r="CA187" s="407"/>
      <c r="CB187" s="407"/>
      <c r="CC187" s="407"/>
      <c r="CD187" s="407"/>
      <c r="CE187" s="407"/>
      <c r="CF187" s="407"/>
    </row>
    <row r="188" spans="1:84">
      <c r="A188" s="406"/>
      <c r="B188" s="406"/>
      <c r="C188" s="406"/>
      <c r="D188" s="406"/>
      <c r="E188" s="406"/>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7"/>
      <c r="BL188" s="407"/>
      <c r="BM188" s="407"/>
      <c r="BN188" s="407"/>
      <c r="BO188" s="407"/>
      <c r="BP188" s="407"/>
      <c r="BQ188" s="407"/>
      <c r="BR188" s="407"/>
      <c r="BS188" s="407"/>
      <c r="BT188" s="407"/>
      <c r="BU188" s="407"/>
      <c r="BV188" s="407"/>
      <c r="BW188" s="407"/>
      <c r="BX188" s="407"/>
      <c r="BY188" s="407"/>
      <c r="BZ188" s="407"/>
      <c r="CA188" s="407"/>
      <c r="CB188" s="407"/>
      <c r="CC188" s="407"/>
      <c r="CD188" s="407"/>
      <c r="CE188" s="407"/>
      <c r="CF188" s="407"/>
    </row>
    <row r="189" spans="1:84">
      <c r="A189" s="406"/>
      <c r="B189" s="406"/>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7"/>
      <c r="BL189" s="407"/>
      <c r="BM189" s="407"/>
      <c r="BN189" s="407"/>
      <c r="BO189" s="407"/>
      <c r="BP189" s="407"/>
      <c r="BQ189" s="407"/>
      <c r="BR189" s="407"/>
      <c r="BS189" s="407"/>
      <c r="BT189" s="407"/>
      <c r="BU189" s="407"/>
      <c r="BV189" s="407"/>
      <c r="BW189" s="407"/>
      <c r="BX189" s="407"/>
      <c r="BY189" s="407"/>
      <c r="BZ189" s="407"/>
      <c r="CA189" s="407"/>
      <c r="CB189" s="407"/>
      <c r="CC189" s="407"/>
      <c r="CD189" s="407"/>
      <c r="CE189" s="407"/>
      <c r="CF189" s="407"/>
    </row>
    <row r="190" spans="1:84">
      <c r="A190" s="406"/>
      <c r="B190" s="406"/>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7"/>
      <c r="BL190" s="407"/>
      <c r="BM190" s="407"/>
      <c r="BN190" s="407"/>
      <c r="BO190" s="407"/>
      <c r="BP190" s="407"/>
      <c r="BQ190" s="407"/>
      <c r="BR190" s="407"/>
      <c r="BS190" s="407"/>
      <c r="BT190" s="407"/>
      <c r="BU190" s="407"/>
      <c r="BV190" s="407"/>
      <c r="BW190" s="407"/>
      <c r="BX190" s="407"/>
      <c r="BY190" s="407"/>
      <c r="BZ190" s="407"/>
      <c r="CA190" s="407"/>
      <c r="CB190" s="407"/>
      <c r="CC190" s="407"/>
      <c r="CD190" s="407"/>
      <c r="CE190" s="407"/>
      <c r="CF190" s="407"/>
    </row>
    <row r="191" spans="1:84">
      <c r="A191" s="406"/>
      <c r="B191" s="406"/>
      <c r="C191" s="406"/>
      <c r="D191" s="406"/>
      <c r="E191" s="406"/>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7"/>
      <c r="BL191" s="407"/>
      <c r="BM191" s="407"/>
      <c r="BN191" s="407"/>
      <c r="BO191" s="407"/>
      <c r="BP191" s="407"/>
      <c r="BQ191" s="407"/>
      <c r="BR191" s="407"/>
      <c r="BS191" s="407"/>
      <c r="BT191" s="407"/>
      <c r="BU191" s="407"/>
      <c r="BV191" s="407"/>
      <c r="BW191" s="407"/>
      <c r="BX191" s="407"/>
      <c r="BY191" s="407"/>
      <c r="BZ191" s="407"/>
      <c r="CA191" s="407"/>
      <c r="CB191" s="407"/>
      <c r="CC191" s="407"/>
      <c r="CD191" s="407"/>
      <c r="CE191" s="407"/>
      <c r="CF191" s="407"/>
    </row>
    <row r="192" spans="1:84">
      <c r="A192" s="406"/>
      <c r="B192" s="406"/>
      <c r="C192" s="406"/>
      <c r="D192" s="406"/>
      <c r="E192" s="406"/>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7"/>
      <c r="BL192" s="407"/>
      <c r="BM192" s="407"/>
      <c r="BN192" s="407"/>
      <c r="BO192" s="407"/>
      <c r="BP192" s="407"/>
      <c r="BQ192" s="407"/>
      <c r="BR192" s="407"/>
      <c r="BS192" s="407"/>
      <c r="BT192" s="407"/>
      <c r="BU192" s="407"/>
      <c r="BV192" s="407"/>
      <c r="BW192" s="407"/>
      <c r="BX192" s="407"/>
      <c r="BY192" s="407"/>
      <c r="BZ192" s="407"/>
      <c r="CA192" s="407"/>
      <c r="CB192" s="407"/>
      <c r="CC192" s="407"/>
      <c r="CD192" s="407"/>
      <c r="CE192" s="407"/>
      <c r="CF192" s="407"/>
    </row>
    <row r="193" spans="1:84">
      <c r="A193" s="406"/>
      <c r="B193" s="406"/>
      <c r="C193" s="406"/>
      <c r="D193" s="406"/>
      <c r="E193" s="406"/>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c r="AN193" s="406"/>
      <c r="AO193" s="406"/>
      <c r="AP193" s="406"/>
      <c r="AQ193" s="406"/>
      <c r="AR193" s="406"/>
      <c r="AS193" s="406"/>
      <c r="AT193" s="406"/>
      <c r="AU193" s="406"/>
      <c r="AV193" s="406"/>
      <c r="AW193" s="406"/>
      <c r="AX193" s="406"/>
      <c r="AY193" s="406"/>
      <c r="AZ193" s="406"/>
      <c r="BA193" s="406"/>
      <c r="BB193" s="406"/>
      <c r="BC193" s="406"/>
      <c r="BD193" s="406"/>
      <c r="BE193" s="406"/>
      <c r="BF193" s="406"/>
      <c r="BG193" s="406"/>
      <c r="BH193" s="406"/>
      <c r="BI193" s="406"/>
      <c r="BJ193" s="406"/>
      <c r="BK193" s="407"/>
      <c r="BL193" s="407"/>
      <c r="BM193" s="407"/>
      <c r="BN193" s="407"/>
      <c r="BO193" s="407"/>
      <c r="BP193" s="407"/>
      <c r="BQ193" s="407"/>
      <c r="BR193" s="407"/>
      <c r="BS193" s="407"/>
      <c r="BT193" s="407"/>
      <c r="BU193" s="407"/>
      <c r="BV193" s="407"/>
      <c r="BW193" s="407"/>
      <c r="BX193" s="407"/>
      <c r="BY193" s="407"/>
      <c r="BZ193" s="407"/>
      <c r="CA193" s="407"/>
      <c r="CB193" s="407"/>
      <c r="CC193" s="407"/>
      <c r="CD193" s="407"/>
      <c r="CE193" s="407"/>
      <c r="CF193" s="407"/>
    </row>
    <row r="194" spans="1:84">
      <c r="A194" s="406"/>
      <c r="B194" s="406"/>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7"/>
      <c r="BL194" s="407"/>
      <c r="BM194" s="407"/>
      <c r="BN194" s="407"/>
      <c r="BO194" s="407"/>
      <c r="BP194" s="407"/>
      <c r="BQ194" s="407"/>
      <c r="BR194" s="407"/>
      <c r="BS194" s="407"/>
      <c r="BT194" s="407"/>
      <c r="BU194" s="407"/>
      <c r="BV194" s="407"/>
      <c r="BW194" s="407"/>
      <c r="BX194" s="407"/>
      <c r="BY194" s="407"/>
      <c r="BZ194" s="407"/>
      <c r="CA194" s="407"/>
      <c r="CB194" s="407"/>
      <c r="CC194" s="407"/>
      <c r="CD194" s="407"/>
      <c r="CE194" s="407"/>
      <c r="CF194" s="407"/>
    </row>
    <row r="195" spans="1:84">
      <c r="A195" s="406"/>
      <c r="B195" s="406"/>
      <c r="C195" s="406"/>
      <c r="D195" s="406"/>
      <c r="E195" s="406"/>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c r="AN195" s="406"/>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7"/>
      <c r="BL195" s="407"/>
      <c r="BM195" s="407"/>
      <c r="BN195" s="407"/>
      <c r="BO195" s="407"/>
      <c r="BP195" s="407"/>
      <c r="BQ195" s="407"/>
      <c r="BR195" s="407"/>
      <c r="BS195" s="407"/>
      <c r="BT195" s="407"/>
      <c r="BU195" s="407"/>
      <c r="BV195" s="407"/>
      <c r="BW195" s="407"/>
      <c r="BX195" s="407"/>
      <c r="BY195" s="407"/>
      <c r="BZ195" s="407"/>
      <c r="CA195" s="407"/>
      <c r="CB195" s="407"/>
      <c r="CC195" s="407"/>
      <c r="CD195" s="407"/>
      <c r="CE195" s="407"/>
      <c r="CF195" s="407"/>
    </row>
    <row r="196" spans="1:84">
      <c r="A196" s="406"/>
      <c r="B196" s="406"/>
      <c r="C196" s="406"/>
      <c r="D196" s="406"/>
      <c r="E196" s="406"/>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c r="AN196" s="40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7"/>
      <c r="BL196" s="407"/>
      <c r="BM196" s="407"/>
      <c r="BN196" s="407"/>
      <c r="BO196" s="407"/>
      <c r="BP196" s="407"/>
      <c r="BQ196" s="407"/>
      <c r="BR196" s="407"/>
      <c r="BS196" s="407"/>
      <c r="BT196" s="407"/>
      <c r="BU196" s="407"/>
      <c r="BV196" s="407"/>
      <c r="BW196" s="407"/>
      <c r="BX196" s="407"/>
      <c r="BY196" s="407"/>
      <c r="BZ196" s="407"/>
      <c r="CA196" s="407"/>
      <c r="CB196" s="407"/>
      <c r="CC196" s="407"/>
      <c r="CD196" s="407"/>
      <c r="CE196" s="407"/>
      <c r="CF196" s="407"/>
    </row>
    <row r="197" spans="1:84">
      <c r="A197" s="406"/>
      <c r="B197" s="406"/>
      <c r="C197" s="406"/>
      <c r="D197" s="406"/>
      <c r="E197" s="406"/>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406"/>
      <c r="AO197" s="406"/>
      <c r="AP197" s="406"/>
      <c r="AQ197" s="406"/>
      <c r="AR197" s="406"/>
      <c r="AS197" s="406"/>
      <c r="AT197" s="406"/>
      <c r="AU197" s="406"/>
      <c r="AV197" s="406"/>
      <c r="AW197" s="406"/>
      <c r="AX197" s="406"/>
      <c r="AY197" s="406"/>
      <c r="AZ197" s="406"/>
      <c r="BA197" s="406"/>
      <c r="BB197" s="406"/>
      <c r="BC197" s="406"/>
      <c r="BD197" s="406"/>
      <c r="BE197" s="406"/>
      <c r="BF197" s="406"/>
      <c r="BG197" s="406"/>
      <c r="BH197" s="406"/>
      <c r="BI197" s="406"/>
      <c r="BJ197" s="406"/>
      <c r="BK197" s="407"/>
      <c r="BL197" s="407"/>
      <c r="BM197" s="407"/>
      <c r="BN197" s="407"/>
      <c r="BO197" s="407"/>
      <c r="BP197" s="407"/>
      <c r="BQ197" s="407"/>
      <c r="BR197" s="407"/>
      <c r="BS197" s="407"/>
      <c r="BT197" s="407"/>
      <c r="BU197" s="407"/>
      <c r="BV197" s="407"/>
      <c r="BW197" s="407"/>
      <c r="BX197" s="407"/>
      <c r="BY197" s="407"/>
      <c r="BZ197" s="407"/>
      <c r="CA197" s="407"/>
      <c r="CB197" s="407"/>
      <c r="CC197" s="407"/>
      <c r="CD197" s="407"/>
      <c r="CE197" s="407"/>
      <c r="CF197" s="407"/>
    </row>
    <row r="198" spans="1:84">
      <c r="A198" s="406"/>
      <c r="B198" s="406"/>
      <c r="C198" s="406"/>
      <c r="D198" s="406"/>
      <c r="E198" s="406"/>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406"/>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7"/>
      <c r="BL198" s="407"/>
      <c r="BM198" s="407"/>
      <c r="BN198" s="407"/>
      <c r="BO198" s="407"/>
      <c r="BP198" s="407"/>
      <c r="BQ198" s="407"/>
      <c r="BR198" s="407"/>
      <c r="BS198" s="407"/>
      <c r="BT198" s="407"/>
      <c r="BU198" s="407"/>
      <c r="BV198" s="407"/>
      <c r="BW198" s="407"/>
      <c r="BX198" s="407"/>
      <c r="BY198" s="407"/>
      <c r="BZ198" s="407"/>
      <c r="CA198" s="407"/>
      <c r="CB198" s="407"/>
      <c r="CC198" s="407"/>
      <c r="CD198" s="407"/>
      <c r="CE198" s="407"/>
      <c r="CF198" s="407"/>
    </row>
    <row r="199" spans="1:84">
      <c r="A199" s="406"/>
      <c r="B199" s="406"/>
      <c r="C199" s="406"/>
      <c r="D199" s="406"/>
      <c r="E199" s="406"/>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7"/>
      <c r="BL199" s="407"/>
      <c r="BM199" s="407"/>
      <c r="BN199" s="407"/>
      <c r="BO199" s="407"/>
      <c r="BP199" s="407"/>
      <c r="BQ199" s="407"/>
      <c r="BR199" s="407"/>
      <c r="BS199" s="407"/>
      <c r="BT199" s="407"/>
      <c r="BU199" s="407"/>
      <c r="BV199" s="407"/>
      <c r="BW199" s="407"/>
      <c r="BX199" s="407"/>
      <c r="BY199" s="407"/>
      <c r="BZ199" s="407"/>
      <c r="CA199" s="407"/>
      <c r="CB199" s="407"/>
      <c r="CC199" s="407"/>
      <c r="CD199" s="407"/>
      <c r="CE199" s="407"/>
      <c r="CF199" s="407"/>
    </row>
    <row r="200" spans="1:84">
      <c r="A200" s="406"/>
      <c r="B200" s="406"/>
      <c r="C200" s="406"/>
      <c r="D200" s="406"/>
      <c r="E200" s="406"/>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7"/>
      <c r="BL200" s="407"/>
      <c r="BM200" s="407"/>
      <c r="BN200" s="407"/>
      <c r="BO200" s="407"/>
      <c r="BP200" s="407"/>
      <c r="BQ200" s="407"/>
      <c r="BR200" s="407"/>
      <c r="BS200" s="407"/>
      <c r="BT200" s="407"/>
      <c r="BU200" s="407"/>
      <c r="BV200" s="407"/>
      <c r="BW200" s="407"/>
      <c r="BX200" s="407"/>
      <c r="BY200" s="407"/>
      <c r="BZ200" s="407"/>
      <c r="CA200" s="407"/>
      <c r="CB200" s="407"/>
      <c r="CC200" s="407"/>
      <c r="CD200" s="407"/>
      <c r="CE200" s="407"/>
      <c r="CF200" s="407"/>
    </row>
    <row r="201" spans="1:84">
      <c r="A201" s="406"/>
      <c r="B201" s="406"/>
      <c r="C201" s="406"/>
      <c r="D201" s="406"/>
      <c r="E201" s="406"/>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7"/>
      <c r="BL201" s="407"/>
      <c r="BM201" s="407"/>
      <c r="BN201" s="407"/>
      <c r="BO201" s="407"/>
      <c r="BP201" s="407"/>
      <c r="BQ201" s="407"/>
      <c r="BR201" s="407"/>
      <c r="BS201" s="407"/>
      <c r="BT201" s="407"/>
      <c r="BU201" s="407"/>
      <c r="BV201" s="407"/>
      <c r="BW201" s="407"/>
      <c r="BX201" s="407"/>
      <c r="BY201" s="407"/>
      <c r="BZ201" s="407"/>
      <c r="CA201" s="407"/>
      <c r="CB201" s="407"/>
      <c r="CC201" s="407"/>
      <c r="CD201" s="407"/>
      <c r="CE201" s="407"/>
      <c r="CF201" s="407"/>
    </row>
    <row r="202" spans="1:84">
      <c r="A202" s="406"/>
      <c r="B202" s="406"/>
      <c r="C202" s="406"/>
      <c r="D202" s="406"/>
      <c r="E202" s="406"/>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7"/>
      <c r="BL202" s="407"/>
      <c r="BM202" s="407"/>
      <c r="BN202" s="407"/>
      <c r="BO202" s="407"/>
      <c r="BP202" s="407"/>
      <c r="BQ202" s="407"/>
      <c r="BR202" s="407"/>
      <c r="BS202" s="407"/>
      <c r="BT202" s="407"/>
      <c r="BU202" s="407"/>
      <c r="BV202" s="407"/>
      <c r="BW202" s="407"/>
      <c r="BX202" s="407"/>
      <c r="BY202" s="407"/>
      <c r="BZ202" s="407"/>
      <c r="CA202" s="407"/>
      <c r="CB202" s="407"/>
      <c r="CC202" s="407"/>
      <c r="CD202" s="407"/>
      <c r="CE202" s="407"/>
      <c r="CF202" s="407"/>
    </row>
    <row r="203" spans="1:84">
      <c r="A203" s="406"/>
      <c r="B203" s="406"/>
      <c r="C203" s="406"/>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7"/>
      <c r="BL203" s="407"/>
      <c r="BM203" s="407"/>
      <c r="BN203" s="407"/>
      <c r="BO203" s="407"/>
      <c r="BP203" s="407"/>
      <c r="BQ203" s="407"/>
      <c r="BR203" s="407"/>
      <c r="BS203" s="407"/>
      <c r="BT203" s="407"/>
      <c r="BU203" s="407"/>
      <c r="BV203" s="407"/>
      <c r="BW203" s="407"/>
      <c r="BX203" s="407"/>
      <c r="BY203" s="407"/>
      <c r="BZ203" s="407"/>
      <c r="CA203" s="407"/>
      <c r="CB203" s="407"/>
      <c r="CC203" s="407"/>
      <c r="CD203" s="407"/>
      <c r="CE203" s="407"/>
      <c r="CF203" s="407"/>
    </row>
    <row r="204" spans="1:84">
      <c r="A204" s="406"/>
      <c r="B204" s="406"/>
      <c r="C204" s="406"/>
      <c r="D204" s="406"/>
      <c r="E204" s="406"/>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7"/>
      <c r="BL204" s="407"/>
      <c r="BM204" s="407"/>
      <c r="BN204" s="407"/>
      <c r="BO204" s="407"/>
      <c r="BP204" s="407"/>
      <c r="BQ204" s="407"/>
      <c r="BR204" s="407"/>
      <c r="BS204" s="407"/>
      <c r="BT204" s="407"/>
      <c r="BU204" s="407"/>
      <c r="BV204" s="407"/>
      <c r="BW204" s="407"/>
      <c r="BX204" s="407"/>
      <c r="BY204" s="407"/>
      <c r="BZ204" s="407"/>
      <c r="CA204" s="407"/>
      <c r="CB204" s="407"/>
      <c r="CC204" s="407"/>
      <c r="CD204" s="407"/>
      <c r="CE204" s="407"/>
      <c r="CF204" s="407"/>
    </row>
    <row r="205" spans="1:84">
      <c r="A205" s="406"/>
      <c r="B205" s="406"/>
      <c r="C205" s="406"/>
      <c r="D205" s="406"/>
      <c r="E205" s="406"/>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7"/>
      <c r="BL205" s="407"/>
      <c r="BM205" s="407"/>
      <c r="BN205" s="407"/>
      <c r="BO205" s="407"/>
      <c r="BP205" s="407"/>
      <c r="BQ205" s="407"/>
      <c r="BR205" s="407"/>
      <c r="BS205" s="407"/>
      <c r="BT205" s="407"/>
      <c r="BU205" s="407"/>
      <c r="BV205" s="407"/>
      <c r="BW205" s="407"/>
      <c r="BX205" s="407"/>
      <c r="BY205" s="407"/>
      <c r="BZ205" s="407"/>
      <c r="CA205" s="407"/>
      <c r="CB205" s="407"/>
      <c r="CC205" s="407"/>
      <c r="CD205" s="407"/>
      <c r="CE205" s="407"/>
      <c r="CF205" s="407"/>
    </row>
    <row r="206" spans="1:84">
      <c r="A206" s="406"/>
      <c r="B206" s="406"/>
      <c r="C206" s="406"/>
      <c r="D206" s="406"/>
      <c r="E206" s="406"/>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7"/>
      <c r="BL206" s="407"/>
      <c r="BM206" s="407"/>
      <c r="BN206" s="407"/>
      <c r="BO206" s="407"/>
      <c r="BP206" s="407"/>
      <c r="BQ206" s="407"/>
      <c r="BR206" s="407"/>
      <c r="BS206" s="407"/>
      <c r="BT206" s="407"/>
      <c r="BU206" s="407"/>
      <c r="BV206" s="407"/>
      <c r="BW206" s="407"/>
      <c r="BX206" s="407"/>
      <c r="BY206" s="407"/>
      <c r="BZ206" s="407"/>
      <c r="CA206" s="407"/>
      <c r="CB206" s="407"/>
      <c r="CC206" s="407"/>
      <c r="CD206" s="407"/>
      <c r="CE206" s="407"/>
      <c r="CF206" s="407"/>
    </row>
    <row r="207" spans="1:84">
      <c r="A207" s="406"/>
      <c r="B207" s="406"/>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7"/>
      <c r="BL207" s="407"/>
      <c r="BM207" s="407"/>
      <c r="BN207" s="407"/>
      <c r="BO207" s="407"/>
      <c r="BP207" s="407"/>
      <c r="BQ207" s="407"/>
      <c r="BR207" s="407"/>
      <c r="BS207" s="407"/>
      <c r="BT207" s="407"/>
      <c r="BU207" s="407"/>
      <c r="BV207" s="407"/>
      <c r="BW207" s="407"/>
      <c r="BX207" s="407"/>
      <c r="BY207" s="407"/>
      <c r="BZ207" s="407"/>
      <c r="CA207" s="407"/>
      <c r="CB207" s="407"/>
      <c r="CC207" s="407"/>
      <c r="CD207" s="407"/>
      <c r="CE207" s="407"/>
      <c r="CF207" s="407"/>
    </row>
    <row r="208" spans="1:84">
      <c r="A208" s="406"/>
      <c r="B208" s="406"/>
      <c r="C208" s="406"/>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7"/>
      <c r="BL208" s="407"/>
      <c r="BM208" s="407"/>
      <c r="BN208" s="407"/>
      <c r="BO208" s="407"/>
      <c r="BP208" s="407"/>
      <c r="BQ208" s="407"/>
      <c r="BR208" s="407"/>
      <c r="BS208" s="407"/>
      <c r="BT208" s="407"/>
      <c r="BU208" s="407"/>
      <c r="BV208" s="407"/>
      <c r="BW208" s="407"/>
      <c r="BX208" s="407"/>
      <c r="BY208" s="407"/>
      <c r="BZ208" s="407"/>
      <c r="CA208" s="407"/>
      <c r="CB208" s="407"/>
      <c r="CC208" s="407"/>
      <c r="CD208" s="407"/>
      <c r="CE208" s="407"/>
      <c r="CF208" s="407"/>
    </row>
    <row r="209" spans="1:84">
      <c r="A209" s="406"/>
      <c r="B209" s="406"/>
      <c r="C209" s="406"/>
      <c r="D209" s="406"/>
      <c r="E209" s="406"/>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406"/>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7"/>
      <c r="BL209" s="407"/>
      <c r="BM209" s="407"/>
      <c r="BN209" s="407"/>
      <c r="BO209" s="407"/>
      <c r="BP209" s="407"/>
      <c r="BQ209" s="407"/>
      <c r="BR209" s="407"/>
      <c r="BS209" s="407"/>
      <c r="BT209" s="407"/>
      <c r="BU209" s="407"/>
      <c r="BV209" s="407"/>
      <c r="BW209" s="407"/>
      <c r="BX209" s="407"/>
      <c r="BY209" s="407"/>
      <c r="BZ209" s="407"/>
      <c r="CA209" s="407"/>
      <c r="CB209" s="407"/>
      <c r="CC209" s="407"/>
      <c r="CD209" s="407"/>
      <c r="CE209" s="407"/>
      <c r="CF209" s="407"/>
    </row>
    <row r="210" spans="1:84">
      <c r="A210" s="406"/>
      <c r="B210" s="406"/>
      <c r="C210" s="406"/>
      <c r="D210" s="406"/>
      <c r="E210" s="406"/>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c r="AN210" s="406"/>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7"/>
      <c r="BL210" s="407"/>
      <c r="BM210" s="407"/>
      <c r="BN210" s="407"/>
      <c r="BO210" s="407"/>
      <c r="BP210" s="407"/>
      <c r="BQ210" s="407"/>
      <c r="BR210" s="407"/>
      <c r="BS210" s="407"/>
      <c r="BT210" s="407"/>
      <c r="BU210" s="407"/>
      <c r="BV210" s="407"/>
      <c r="BW210" s="407"/>
      <c r="BX210" s="407"/>
      <c r="BY210" s="407"/>
      <c r="BZ210" s="407"/>
      <c r="CA210" s="407"/>
      <c r="CB210" s="407"/>
      <c r="CC210" s="407"/>
      <c r="CD210" s="407"/>
      <c r="CE210" s="407"/>
      <c r="CF210" s="407"/>
    </row>
    <row r="211" spans="1:84">
      <c r="A211" s="406"/>
      <c r="B211" s="406"/>
      <c r="C211" s="406"/>
      <c r="D211" s="406"/>
      <c r="E211" s="406"/>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7"/>
      <c r="BL211" s="407"/>
      <c r="BM211" s="407"/>
      <c r="BN211" s="407"/>
      <c r="BO211" s="407"/>
      <c r="BP211" s="407"/>
      <c r="BQ211" s="407"/>
      <c r="BR211" s="407"/>
      <c r="BS211" s="407"/>
      <c r="BT211" s="407"/>
      <c r="BU211" s="407"/>
      <c r="BV211" s="407"/>
      <c r="BW211" s="407"/>
      <c r="BX211" s="407"/>
      <c r="BY211" s="407"/>
      <c r="BZ211" s="407"/>
      <c r="CA211" s="407"/>
      <c r="CB211" s="407"/>
      <c r="CC211" s="407"/>
      <c r="CD211" s="407"/>
      <c r="CE211" s="407"/>
      <c r="CF211" s="407"/>
    </row>
    <row r="212" spans="1:84">
      <c r="A212" s="406"/>
      <c r="B212" s="406"/>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7"/>
      <c r="BL212" s="407"/>
      <c r="BM212" s="407"/>
      <c r="BN212" s="407"/>
      <c r="BO212" s="407"/>
      <c r="BP212" s="407"/>
      <c r="BQ212" s="407"/>
      <c r="BR212" s="407"/>
      <c r="BS212" s="407"/>
      <c r="BT212" s="407"/>
      <c r="BU212" s="407"/>
      <c r="BV212" s="407"/>
      <c r="BW212" s="407"/>
      <c r="BX212" s="407"/>
      <c r="BY212" s="407"/>
      <c r="BZ212" s="407"/>
      <c r="CA212" s="407"/>
      <c r="CB212" s="407"/>
      <c r="CC212" s="407"/>
      <c r="CD212" s="407"/>
      <c r="CE212" s="407"/>
      <c r="CF212" s="407"/>
    </row>
    <row r="213" spans="1:84">
      <c r="A213" s="406"/>
      <c r="B213" s="406"/>
      <c r="C213" s="406"/>
      <c r="D213" s="406"/>
      <c r="E213" s="406"/>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406"/>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7"/>
      <c r="BL213" s="407"/>
      <c r="BM213" s="407"/>
      <c r="BN213" s="407"/>
      <c r="BO213" s="407"/>
      <c r="BP213" s="407"/>
      <c r="BQ213" s="407"/>
      <c r="BR213" s="407"/>
      <c r="BS213" s="407"/>
      <c r="BT213" s="407"/>
      <c r="BU213" s="407"/>
      <c r="BV213" s="407"/>
      <c r="BW213" s="407"/>
      <c r="BX213" s="407"/>
      <c r="BY213" s="407"/>
      <c r="BZ213" s="407"/>
      <c r="CA213" s="407"/>
      <c r="CB213" s="407"/>
      <c r="CC213" s="407"/>
      <c r="CD213" s="407"/>
      <c r="CE213" s="407"/>
      <c r="CF213" s="407"/>
    </row>
    <row r="214" spans="1:84">
      <c r="A214" s="406"/>
      <c r="B214" s="406"/>
      <c r="C214" s="406"/>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7"/>
      <c r="BL214" s="407"/>
      <c r="BM214" s="407"/>
      <c r="BN214" s="407"/>
      <c r="BO214" s="407"/>
      <c r="BP214" s="407"/>
      <c r="BQ214" s="407"/>
      <c r="BR214" s="407"/>
      <c r="BS214" s="407"/>
      <c r="BT214" s="407"/>
      <c r="BU214" s="407"/>
      <c r="BV214" s="407"/>
      <c r="BW214" s="407"/>
      <c r="BX214" s="407"/>
      <c r="BY214" s="407"/>
      <c r="BZ214" s="407"/>
      <c r="CA214" s="407"/>
      <c r="CB214" s="407"/>
      <c r="CC214" s="407"/>
      <c r="CD214" s="407"/>
      <c r="CE214" s="407"/>
      <c r="CF214" s="407"/>
    </row>
    <row r="215" spans="1:84">
      <c r="A215" s="406"/>
      <c r="B215" s="406"/>
      <c r="C215" s="406"/>
      <c r="D215" s="406"/>
      <c r="E215" s="406"/>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406"/>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7"/>
      <c r="BL215" s="407"/>
      <c r="BM215" s="407"/>
      <c r="BN215" s="407"/>
      <c r="BO215" s="407"/>
      <c r="BP215" s="407"/>
      <c r="BQ215" s="407"/>
      <c r="BR215" s="407"/>
      <c r="BS215" s="407"/>
      <c r="BT215" s="407"/>
      <c r="BU215" s="407"/>
      <c r="BV215" s="407"/>
      <c r="BW215" s="407"/>
      <c r="BX215" s="407"/>
      <c r="BY215" s="407"/>
      <c r="BZ215" s="407"/>
      <c r="CA215" s="407"/>
      <c r="CB215" s="407"/>
      <c r="CC215" s="407"/>
      <c r="CD215" s="407"/>
      <c r="CE215" s="407"/>
      <c r="CF215" s="407"/>
    </row>
    <row r="216" spans="1:84">
      <c r="A216" s="406"/>
      <c r="B216" s="406"/>
      <c r="C216" s="406"/>
      <c r="D216" s="406"/>
      <c r="E216" s="406"/>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c r="AN216" s="406"/>
      <c r="AO216" s="406"/>
      <c r="AP216" s="406"/>
      <c r="AQ216" s="406"/>
      <c r="AR216" s="406"/>
      <c r="AS216" s="406"/>
      <c r="AT216" s="406"/>
      <c r="AU216" s="406"/>
      <c r="AV216" s="406"/>
      <c r="AW216" s="406"/>
      <c r="AX216" s="406"/>
      <c r="AY216" s="406"/>
      <c r="AZ216" s="406"/>
      <c r="BA216" s="406"/>
      <c r="BB216" s="406"/>
      <c r="BC216" s="406"/>
      <c r="BD216" s="406"/>
      <c r="BE216" s="406"/>
      <c r="BF216" s="406"/>
      <c r="BG216" s="406"/>
      <c r="BH216" s="406"/>
      <c r="BI216" s="406"/>
      <c r="BJ216" s="406"/>
      <c r="BK216" s="407"/>
      <c r="BL216" s="407"/>
      <c r="BM216" s="407"/>
      <c r="BN216" s="407"/>
      <c r="BO216" s="407"/>
      <c r="BP216" s="407"/>
      <c r="BQ216" s="407"/>
      <c r="BR216" s="407"/>
      <c r="BS216" s="407"/>
      <c r="BT216" s="407"/>
      <c r="BU216" s="407"/>
      <c r="BV216" s="407"/>
      <c r="BW216" s="407"/>
      <c r="BX216" s="407"/>
      <c r="BY216" s="407"/>
      <c r="BZ216" s="407"/>
      <c r="CA216" s="407"/>
      <c r="CB216" s="407"/>
      <c r="CC216" s="407"/>
      <c r="CD216" s="407"/>
      <c r="CE216" s="407"/>
      <c r="CF216" s="407"/>
    </row>
    <row r="217" spans="1:84">
      <c r="A217" s="406"/>
      <c r="B217" s="406"/>
      <c r="C217" s="406"/>
      <c r="D217" s="406"/>
      <c r="E217" s="406"/>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c r="AN217" s="406"/>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7"/>
      <c r="BL217" s="407"/>
      <c r="BM217" s="407"/>
      <c r="BN217" s="407"/>
      <c r="BO217" s="407"/>
      <c r="BP217" s="407"/>
      <c r="BQ217" s="407"/>
      <c r="BR217" s="407"/>
      <c r="BS217" s="407"/>
      <c r="BT217" s="407"/>
      <c r="BU217" s="407"/>
      <c r="BV217" s="407"/>
      <c r="BW217" s="407"/>
      <c r="BX217" s="407"/>
      <c r="BY217" s="407"/>
      <c r="BZ217" s="407"/>
      <c r="CA217" s="407"/>
      <c r="CB217" s="407"/>
      <c r="CC217" s="407"/>
      <c r="CD217" s="407"/>
      <c r="CE217" s="407"/>
      <c r="CF217" s="407"/>
    </row>
    <row r="218" spans="1:84">
      <c r="A218" s="406"/>
      <c r="B218" s="406"/>
      <c r="C218" s="406"/>
      <c r="D218" s="406"/>
      <c r="E218" s="406"/>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7"/>
      <c r="BL218" s="407"/>
      <c r="BM218" s="407"/>
      <c r="BN218" s="407"/>
      <c r="BO218" s="407"/>
      <c r="BP218" s="407"/>
      <c r="BQ218" s="407"/>
      <c r="BR218" s="407"/>
      <c r="BS218" s="407"/>
      <c r="BT218" s="407"/>
      <c r="BU218" s="407"/>
      <c r="BV218" s="407"/>
      <c r="BW218" s="407"/>
      <c r="BX218" s="407"/>
      <c r="BY218" s="407"/>
      <c r="BZ218" s="407"/>
      <c r="CA218" s="407"/>
      <c r="CB218" s="407"/>
      <c r="CC218" s="407"/>
      <c r="CD218" s="407"/>
      <c r="CE218" s="407"/>
      <c r="CF218" s="407"/>
    </row>
    <row r="219" spans="1:84">
      <c r="A219" s="406"/>
      <c r="B219" s="406"/>
      <c r="C219" s="406"/>
      <c r="D219" s="406"/>
      <c r="E219" s="406"/>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7"/>
      <c r="BL219" s="407"/>
      <c r="BM219" s="407"/>
      <c r="BN219" s="407"/>
      <c r="BO219" s="407"/>
      <c r="BP219" s="407"/>
      <c r="BQ219" s="407"/>
      <c r="BR219" s="407"/>
      <c r="BS219" s="407"/>
      <c r="BT219" s="407"/>
      <c r="BU219" s="407"/>
      <c r="BV219" s="407"/>
      <c r="BW219" s="407"/>
      <c r="BX219" s="407"/>
      <c r="BY219" s="407"/>
      <c r="BZ219" s="407"/>
      <c r="CA219" s="407"/>
      <c r="CB219" s="407"/>
      <c r="CC219" s="407"/>
      <c r="CD219" s="407"/>
      <c r="CE219" s="407"/>
      <c r="CF219" s="407"/>
    </row>
    <row r="220" spans="1:84">
      <c r="A220" s="406"/>
      <c r="B220" s="406"/>
      <c r="C220" s="406"/>
      <c r="D220" s="406"/>
      <c r="E220" s="406"/>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c r="AN220" s="406"/>
      <c r="AO220" s="406"/>
      <c r="AP220" s="406"/>
      <c r="AQ220" s="406"/>
      <c r="AR220" s="406"/>
      <c r="AS220" s="406"/>
      <c r="AT220" s="406"/>
      <c r="AU220" s="406"/>
      <c r="AV220" s="406"/>
      <c r="AW220" s="406"/>
      <c r="AX220" s="406"/>
      <c r="AY220" s="406"/>
      <c r="AZ220" s="406"/>
      <c r="BA220" s="406"/>
      <c r="BB220" s="406"/>
      <c r="BC220" s="406"/>
      <c r="BD220" s="406"/>
      <c r="BE220" s="406"/>
      <c r="BF220" s="406"/>
      <c r="BG220" s="406"/>
      <c r="BH220" s="406"/>
      <c r="BI220" s="406"/>
      <c r="BJ220" s="406"/>
      <c r="BK220" s="407"/>
      <c r="BL220" s="407"/>
      <c r="BM220" s="407"/>
      <c r="BN220" s="407"/>
      <c r="BO220" s="407"/>
      <c r="BP220" s="407"/>
      <c r="BQ220" s="407"/>
      <c r="BR220" s="407"/>
      <c r="BS220" s="407"/>
      <c r="BT220" s="407"/>
      <c r="BU220" s="407"/>
      <c r="BV220" s="407"/>
      <c r="BW220" s="407"/>
      <c r="BX220" s="407"/>
      <c r="BY220" s="407"/>
      <c r="BZ220" s="407"/>
      <c r="CA220" s="407"/>
      <c r="CB220" s="407"/>
      <c r="CC220" s="407"/>
      <c r="CD220" s="407"/>
      <c r="CE220" s="407"/>
      <c r="CF220" s="407"/>
    </row>
    <row r="221" spans="1:84">
      <c r="A221" s="406"/>
      <c r="B221" s="406"/>
      <c r="C221" s="406"/>
      <c r="D221" s="406"/>
      <c r="E221" s="406"/>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7"/>
      <c r="BL221" s="407"/>
      <c r="BM221" s="407"/>
      <c r="BN221" s="407"/>
      <c r="BO221" s="407"/>
      <c r="BP221" s="407"/>
      <c r="BQ221" s="407"/>
      <c r="BR221" s="407"/>
      <c r="BS221" s="407"/>
      <c r="BT221" s="407"/>
      <c r="BU221" s="407"/>
      <c r="BV221" s="407"/>
      <c r="BW221" s="407"/>
      <c r="BX221" s="407"/>
      <c r="BY221" s="407"/>
      <c r="BZ221" s="407"/>
      <c r="CA221" s="407"/>
      <c r="CB221" s="407"/>
      <c r="CC221" s="407"/>
      <c r="CD221" s="407"/>
      <c r="CE221" s="407"/>
      <c r="CF221" s="407"/>
    </row>
    <row r="222" spans="1:84">
      <c r="A222" s="406"/>
      <c r="B222" s="406"/>
      <c r="C222" s="406"/>
      <c r="D222" s="406"/>
      <c r="E222" s="406"/>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c r="AN222" s="406"/>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7"/>
      <c r="BL222" s="407"/>
      <c r="BM222" s="407"/>
      <c r="BN222" s="407"/>
      <c r="BO222" s="407"/>
      <c r="BP222" s="407"/>
      <c r="BQ222" s="407"/>
      <c r="BR222" s="407"/>
      <c r="BS222" s="407"/>
      <c r="BT222" s="407"/>
      <c r="BU222" s="407"/>
      <c r="BV222" s="407"/>
      <c r="BW222" s="407"/>
      <c r="BX222" s="407"/>
      <c r="BY222" s="407"/>
      <c r="BZ222" s="407"/>
      <c r="CA222" s="407"/>
      <c r="CB222" s="407"/>
      <c r="CC222" s="407"/>
      <c r="CD222" s="407"/>
      <c r="CE222" s="407"/>
      <c r="CF222" s="407"/>
    </row>
    <row r="223" spans="1:84">
      <c r="A223" s="406"/>
      <c r="B223" s="406"/>
      <c r="C223" s="406"/>
      <c r="D223" s="406"/>
      <c r="E223" s="406"/>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406"/>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7"/>
      <c r="BL223" s="407"/>
      <c r="BM223" s="407"/>
      <c r="BN223" s="407"/>
      <c r="BO223" s="407"/>
      <c r="BP223" s="407"/>
      <c r="BQ223" s="407"/>
      <c r="BR223" s="407"/>
      <c r="BS223" s="407"/>
      <c r="BT223" s="407"/>
      <c r="BU223" s="407"/>
      <c r="BV223" s="407"/>
      <c r="BW223" s="407"/>
      <c r="BX223" s="407"/>
      <c r="BY223" s="407"/>
      <c r="BZ223" s="407"/>
      <c r="CA223" s="407"/>
      <c r="CB223" s="407"/>
      <c r="CC223" s="407"/>
      <c r="CD223" s="407"/>
      <c r="CE223" s="407"/>
      <c r="CF223" s="407"/>
    </row>
    <row r="224" spans="1:84">
      <c r="A224" s="406"/>
      <c r="B224" s="406"/>
      <c r="C224" s="406"/>
      <c r="D224" s="406"/>
      <c r="E224" s="406"/>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c r="AN224" s="406"/>
      <c r="AO224" s="406"/>
      <c r="AP224" s="406"/>
      <c r="AQ224" s="406"/>
      <c r="AR224" s="406"/>
      <c r="AS224" s="406"/>
      <c r="AT224" s="406"/>
      <c r="AU224" s="406"/>
      <c r="AV224" s="406"/>
      <c r="AW224" s="406"/>
      <c r="AX224" s="406"/>
      <c r="AY224" s="406"/>
      <c r="AZ224" s="406"/>
      <c r="BA224" s="406"/>
      <c r="BB224" s="406"/>
      <c r="BC224" s="406"/>
      <c r="BD224" s="406"/>
      <c r="BE224" s="406"/>
      <c r="BF224" s="406"/>
      <c r="BG224" s="406"/>
      <c r="BH224" s="406"/>
      <c r="BI224" s="406"/>
      <c r="BJ224" s="406"/>
      <c r="BK224" s="407"/>
      <c r="BL224" s="407"/>
      <c r="BM224" s="407"/>
      <c r="BN224" s="407"/>
      <c r="BO224" s="407"/>
      <c r="BP224" s="407"/>
      <c r="BQ224" s="407"/>
      <c r="BR224" s="407"/>
      <c r="BS224" s="407"/>
      <c r="BT224" s="407"/>
      <c r="BU224" s="407"/>
      <c r="BV224" s="407"/>
      <c r="BW224" s="407"/>
      <c r="BX224" s="407"/>
      <c r="BY224" s="407"/>
      <c r="BZ224" s="407"/>
      <c r="CA224" s="407"/>
      <c r="CB224" s="407"/>
      <c r="CC224" s="407"/>
      <c r="CD224" s="407"/>
      <c r="CE224" s="407"/>
      <c r="CF224" s="407"/>
    </row>
    <row r="225" spans="1:84">
      <c r="A225" s="406"/>
      <c r="B225" s="406"/>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7"/>
      <c r="BL225" s="407"/>
      <c r="BM225" s="407"/>
      <c r="BN225" s="407"/>
      <c r="BO225" s="407"/>
      <c r="BP225" s="407"/>
      <c r="BQ225" s="407"/>
      <c r="BR225" s="407"/>
      <c r="BS225" s="407"/>
      <c r="BT225" s="407"/>
      <c r="BU225" s="407"/>
      <c r="BV225" s="407"/>
      <c r="BW225" s="407"/>
      <c r="BX225" s="407"/>
      <c r="BY225" s="407"/>
      <c r="BZ225" s="407"/>
      <c r="CA225" s="407"/>
      <c r="CB225" s="407"/>
      <c r="CC225" s="407"/>
      <c r="CD225" s="407"/>
      <c r="CE225" s="407"/>
      <c r="CF225" s="407"/>
    </row>
    <row r="226" spans="1:84">
      <c r="A226" s="406"/>
      <c r="B226" s="406"/>
      <c r="C226" s="406"/>
      <c r="D226" s="406"/>
      <c r="E226" s="406"/>
      <c r="F226" s="406"/>
      <c r="G226" s="406"/>
      <c r="H226" s="406"/>
      <c r="I226" s="406"/>
      <c r="J226" s="406"/>
      <c r="K226" s="406"/>
      <c r="L226" s="406"/>
      <c r="M226" s="406"/>
      <c r="N226" s="406"/>
      <c r="O226" s="406"/>
      <c r="P226" s="406"/>
      <c r="Q226" s="406"/>
      <c r="R226" s="406"/>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c r="AN226" s="406"/>
      <c r="AO226" s="406"/>
      <c r="AP226" s="406"/>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7"/>
      <c r="BL226" s="407"/>
      <c r="BM226" s="407"/>
      <c r="BN226" s="407"/>
      <c r="BO226" s="407"/>
      <c r="BP226" s="407"/>
      <c r="BQ226" s="407"/>
      <c r="BR226" s="407"/>
      <c r="BS226" s="407"/>
      <c r="BT226" s="407"/>
      <c r="BU226" s="407"/>
      <c r="BV226" s="407"/>
      <c r="BW226" s="407"/>
      <c r="BX226" s="407"/>
      <c r="BY226" s="407"/>
      <c r="BZ226" s="407"/>
      <c r="CA226" s="407"/>
      <c r="CB226" s="407"/>
      <c r="CC226" s="407"/>
      <c r="CD226" s="407"/>
      <c r="CE226" s="407"/>
      <c r="CF226" s="407"/>
    </row>
    <row r="227" spans="1:84">
      <c r="A227" s="406"/>
      <c r="B227" s="406"/>
      <c r="C227" s="406"/>
      <c r="D227" s="406"/>
      <c r="E227" s="406"/>
      <c r="F227" s="406"/>
      <c r="G227" s="406"/>
      <c r="H227" s="406"/>
      <c r="I227" s="406"/>
      <c r="J227" s="406"/>
      <c r="K227" s="406"/>
      <c r="L227" s="406"/>
      <c r="M227" s="406"/>
      <c r="N227" s="406"/>
      <c r="O227" s="406"/>
      <c r="P227" s="406"/>
      <c r="Q227" s="406"/>
      <c r="R227" s="406"/>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c r="AN227" s="406"/>
      <c r="AO227" s="406"/>
      <c r="AP227" s="406"/>
      <c r="AQ227" s="406"/>
      <c r="AR227" s="406"/>
      <c r="AS227" s="406"/>
      <c r="AT227" s="406"/>
      <c r="AU227" s="406"/>
      <c r="AV227" s="406"/>
      <c r="AW227" s="406"/>
      <c r="AX227" s="406"/>
      <c r="AY227" s="406"/>
      <c r="AZ227" s="406"/>
      <c r="BA227" s="406"/>
      <c r="BB227" s="406"/>
      <c r="BC227" s="406"/>
      <c r="BD227" s="406"/>
      <c r="BE227" s="406"/>
      <c r="BF227" s="406"/>
      <c r="BG227" s="406"/>
      <c r="BH227" s="406"/>
      <c r="BI227" s="406"/>
      <c r="BJ227" s="406"/>
      <c r="BK227" s="407"/>
      <c r="BL227" s="407"/>
      <c r="BM227" s="407"/>
      <c r="BN227" s="407"/>
      <c r="BO227" s="407"/>
      <c r="BP227" s="407"/>
      <c r="BQ227" s="407"/>
      <c r="BR227" s="407"/>
      <c r="BS227" s="407"/>
      <c r="BT227" s="407"/>
      <c r="BU227" s="407"/>
      <c r="BV227" s="407"/>
      <c r="BW227" s="407"/>
      <c r="BX227" s="407"/>
      <c r="BY227" s="407"/>
      <c r="BZ227" s="407"/>
      <c r="CA227" s="407"/>
      <c r="CB227" s="407"/>
      <c r="CC227" s="407"/>
      <c r="CD227" s="407"/>
      <c r="CE227" s="407"/>
      <c r="CF227" s="407"/>
    </row>
    <row r="228" spans="1:84">
      <c r="A228" s="406"/>
      <c r="B228" s="406"/>
      <c r="C228" s="406"/>
      <c r="D228" s="406"/>
      <c r="E228" s="406"/>
      <c r="F228" s="406"/>
      <c r="G228" s="406"/>
      <c r="H228" s="406"/>
      <c r="I228" s="406"/>
      <c r="J228" s="406"/>
      <c r="K228" s="406"/>
      <c r="L228" s="406"/>
      <c r="M228" s="406"/>
      <c r="N228" s="406"/>
      <c r="O228" s="406"/>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7"/>
      <c r="BL228" s="407"/>
      <c r="BM228" s="407"/>
      <c r="BN228" s="407"/>
      <c r="BO228" s="407"/>
      <c r="BP228" s="407"/>
      <c r="BQ228" s="407"/>
      <c r="BR228" s="407"/>
      <c r="BS228" s="407"/>
      <c r="BT228" s="407"/>
      <c r="BU228" s="407"/>
      <c r="BV228" s="407"/>
      <c r="BW228" s="407"/>
      <c r="BX228" s="407"/>
      <c r="BY228" s="407"/>
      <c r="BZ228" s="407"/>
      <c r="CA228" s="407"/>
      <c r="CB228" s="407"/>
      <c r="CC228" s="407"/>
      <c r="CD228" s="407"/>
      <c r="CE228" s="407"/>
      <c r="CF228" s="407"/>
    </row>
    <row r="229" spans="1:84">
      <c r="A229" s="406"/>
      <c r="B229" s="406"/>
      <c r="C229" s="406"/>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c r="AN229" s="406"/>
      <c r="AO229" s="406"/>
      <c r="AP229" s="406"/>
      <c r="AQ229" s="40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7"/>
      <c r="BL229" s="407"/>
      <c r="BM229" s="407"/>
      <c r="BN229" s="407"/>
      <c r="BO229" s="407"/>
      <c r="BP229" s="407"/>
      <c r="BQ229" s="407"/>
      <c r="BR229" s="407"/>
      <c r="BS229" s="407"/>
      <c r="BT229" s="407"/>
      <c r="BU229" s="407"/>
      <c r="BV229" s="407"/>
      <c r="BW229" s="407"/>
      <c r="BX229" s="407"/>
      <c r="BY229" s="407"/>
      <c r="BZ229" s="407"/>
      <c r="CA229" s="407"/>
      <c r="CB229" s="407"/>
      <c r="CC229" s="407"/>
      <c r="CD229" s="407"/>
      <c r="CE229" s="407"/>
      <c r="CF229" s="407"/>
    </row>
    <row r="230" spans="1:84">
      <c r="A230" s="406"/>
      <c r="B230" s="406"/>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7"/>
      <c r="BL230" s="407"/>
      <c r="BM230" s="407"/>
      <c r="BN230" s="407"/>
      <c r="BO230" s="407"/>
      <c r="BP230" s="407"/>
      <c r="BQ230" s="407"/>
      <c r="BR230" s="407"/>
      <c r="BS230" s="407"/>
      <c r="BT230" s="407"/>
      <c r="BU230" s="407"/>
      <c r="BV230" s="407"/>
      <c r="BW230" s="407"/>
      <c r="BX230" s="407"/>
      <c r="BY230" s="407"/>
      <c r="BZ230" s="407"/>
      <c r="CA230" s="407"/>
      <c r="CB230" s="407"/>
      <c r="CC230" s="407"/>
      <c r="CD230" s="407"/>
      <c r="CE230" s="407"/>
      <c r="CF230" s="407"/>
    </row>
    <row r="231" spans="1:84">
      <c r="A231" s="406"/>
      <c r="B231" s="406"/>
      <c r="C231" s="406"/>
      <c r="D231" s="406"/>
      <c r="E231" s="406"/>
      <c r="F231" s="406"/>
      <c r="G231" s="406"/>
      <c r="H231" s="406"/>
      <c r="I231" s="406"/>
      <c r="J231" s="406"/>
      <c r="K231" s="406"/>
      <c r="L231" s="406"/>
      <c r="M231" s="406"/>
      <c r="N231" s="406"/>
      <c r="O231" s="406"/>
      <c r="P231" s="406"/>
      <c r="Q231" s="406"/>
      <c r="R231" s="406"/>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c r="AN231" s="406"/>
      <c r="AO231" s="406"/>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7"/>
      <c r="BL231" s="407"/>
      <c r="BM231" s="407"/>
      <c r="BN231" s="407"/>
      <c r="BO231" s="407"/>
      <c r="BP231" s="407"/>
      <c r="BQ231" s="407"/>
      <c r="BR231" s="407"/>
      <c r="BS231" s="407"/>
      <c r="BT231" s="407"/>
      <c r="BU231" s="407"/>
      <c r="BV231" s="407"/>
      <c r="BW231" s="407"/>
      <c r="BX231" s="407"/>
      <c r="BY231" s="407"/>
      <c r="BZ231" s="407"/>
      <c r="CA231" s="407"/>
      <c r="CB231" s="407"/>
      <c r="CC231" s="407"/>
      <c r="CD231" s="407"/>
      <c r="CE231" s="407"/>
      <c r="CF231" s="407"/>
    </row>
    <row r="232" spans="1:84">
      <c r="A232" s="406"/>
      <c r="B232" s="406"/>
      <c r="C232" s="406"/>
      <c r="D232" s="406"/>
      <c r="E232" s="406"/>
      <c r="F232" s="406"/>
      <c r="G232" s="406"/>
      <c r="H232" s="406"/>
      <c r="I232" s="406"/>
      <c r="J232" s="406"/>
      <c r="K232" s="406"/>
      <c r="L232" s="406"/>
      <c r="M232" s="406"/>
      <c r="N232" s="406"/>
      <c r="O232" s="406"/>
      <c r="P232" s="406"/>
      <c r="Q232" s="406"/>
      <c r="R232" s="406"/>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7"/>
      <c r="BL232" s="407"/>
      <c r="BM232" s="407"/>
      <c r="BN232" s="407"/>
      <c r="BO232" s="407"/>
      <c r="BP232" s="407"/>
      <c r="BQ232" s="407"/>
      <c r="BR232" s="407"/>
      <c r="BS232" s="407"/>
      <c r="BT232" s="407"/>
      <c r="BU232" s="407"/>
      <c r="BV232" s="407"/>
      <c r="BW232" s="407"/>
      <c r="BX232" s="407"/>
      <c r="BY232" s="407"/>
      <c r="BZ232" s="407"/>
      <c r="CA232" s="407"/>
      <c r="CB232" s="407"/>
      <c r="CC232" s="407"/>
      <c r="CD232" s="407"/>
      <c r="CE232" s="407"/>
      <c r="CF232" s="407"/>
    </row>
    <row r="233" spans="1:84">
      <c r="A233" s="406"/>
      <c r="B233" s="406"/>
      <c r="C233" s="406"/>
      <c r="D233" s="406"/>
      <c r="E233" s="406"/>
      <c r="F233" s="406"/>
      <c r="G233" s="406"/>
      <c r="H233" s="406"/>
      <c r="I233" s="406"/>
      <c r="J233" s="406"/>
      <c r="K233" s="406"/>
      <c r="L233" s="406"/>
      <c r="M233" s="406"/>
      <c r="N233" s="406"/>
      <c r="O233" s="406"/>
      <c r="P233" s="406"/>
      <c r="Q233" s="406"/>
      <c r="R233" s="406"/>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7"/>
      <c r="BL233" s="407"/>
      <c r="BM233" s="407"/>
      <c r="BN233" s="407"/>
      <c r="BO233" s="407"/>
      <c r="BP233" s="407"/>
      <c r="BQ233" s="407"/>
      <c r="BR233" s="407"/>
      <c r="BS233" s="407"/>
      <c r="BT233" s="407"/>
      <c r="BU233" s="407"/>
      <c r="BV233" s="407"/>
      <c r="BW233" s="407"/>
      <c r="BX233" s="407"/>
      <c r="BY233" s="407"/>
      <c r="BZ233" s="407"/>
      <c r="CA233" s="407"/>
      <c r="CB233" s="407"/>
      <c r="CC233" s="407"/>
      <c r="CD233" s="407"/>
      <c r="CE233" s="407"/>
      <c r="CF233" s="407"/>
    </row>
    <row r="234" spans="1:84">
      <c r="A234" s="406"/>
      <c r="B234" s="406"/>
      <c r="C234" s="406"/>
      <c r="D234" s="406"/>
      <c r="E234" s="406"/>
      <c r="F234" s="406"/>
      <c r="G234" s="406"/>
      <c r="H234" s="406"/>
      <c r="I234" s="406"/>
      <c r="J234" s="406"/>
      <c r="K234" s="406"/>
      <c r="L234" s="406"/>
      <c r="M234" s="406"/>
      <c r="N234" s="406"/>
      <c r="O234" s="406"/>
      <c r="P234" s="406"/>
      <c r="Q234" s="406"/>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7"/>
      <c r="BL234" s="407"/>
      <c r="BM234" s="407"/>
      <c r="BN234" s="407"/>
      <c r="BO234" s="407"/>
      <c r="BP234" s="407"/>
      <c r="BQ234" s="407"/>
      <c r="BR234" s="407"/>
      <c r="BS234" s="407"/>
      <c r="BT234" s="407"/>
      <c r="BU234" s="407"/>
      <c r="BV234" s="407"/>
      <c r="BW234" s="407"/>
      <c r="BX234" s="407"/>
      <c r="BY234" s="407"/>
      <c r="BZ234" s="407"/>
      <c r="CA234" s="407"/>
      <c r="CB234" s="407"/>
      <c r="CC234" s="407"/>
      <c r="CD234" s="407"/>
      <c r="CE234" s="407"/>
      <c r="CF234" s="407"/>
    </row>
    <row r="235" spans="1:84">
      <c r="A235" s="406"/>
      <c r="B235" s="406"/>
      <c r="C235" s="406"/>
      <c r="D235" s="406"/>
      <c r="E235" s="406"/>
      <c r="F235" s="406"/>
      <c r="G235" s="406"/>
      <c r="H235" s="406"/>
      <c r="I235" s="406"/>
      <c r="J235" s="406"/>
      <c r="K235" s="406"/>
      <c r="L235" s="406"/>
      <c r="M235" s="406"/>
      <c r="N235" s="406"/>
      <c r="O235" s="406"/>
      <c r="P235" s="406"/>
      <c r="Q235" s="406"/>
      <c r="R235" s="406"/>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7"/>
      <c r="BL235" s="407"/>
      <c r="BM235" s="407"/>
      <c r="BN235" s="407"/>
      <c r="BO235" s="407"/>
      <c r="BP235" s="407"/>
      <c r="BQ235" s="407"/>
      <c r="BR235" s="407"/>
      <c r="BS235" s="407"/>
      <c r="BT235" s="407"/>
      <c r="BU235" s="407"/>
      <c r="BV235" s="407"/>
      <c r="BW235" s="407"/>
      <c r="BX235" s="407"/>
      <c r="BY235" s="407"/>
      <c r="BZ235" s="407"/>
      <c r="CA235" s="407"/>
      <c r="CB235" s="407"/>
      <c r="CC235" s="407"/>
      <c r="CD235" s="407"/>
      <c r="CE235" s="407"/>
      <c r="CF235" s="407"/>
    </row>
    <row r="236" spans="1:84">
      <c r="A236" s="406"/>
      <c r="B236" s="406"/>
      <c r="C236" s="406"/>
      <c r="D236" s="406"/>
      <c r="E236" s="406"/>
      <c r="F236" s="406"/>
      <c r="G236" s="406"/>
      <c r="H236" s="406"/>
      <c r="I236" s="406"/>
      <c r="J236" s="406"/>
      <c r="K236" s="406"/>
      <c r="L236" s="406"/>
      <c r="M236" s="406"/>
      <c r="N236" s="406"/>
      <c r="O236" s="406"/>
      <c r="P236" s="406"/>
      <c r="Q236" s="406"/>
      <c r="R236" s="406"/>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c r="AN236" s="406"/>
      <c r="AO236" s="406"/>
      <c r="AP236" s="406"/>
      <c r="AQ236" s="406"/>
      <c r="AR236" s="406"/>
      <c r="AS236" s="406"/>
      <c r="AT236" s="406"/>
      <c r="AU236" s="406"/>
      <c r="AV236" s="406"/>
      <c r="AW236" s="406"/>
      <c r="AX236" s="406"/>
      <c r="AY236" s="406"/>
      <c r="AZ236" s="406"/>
      <c r="BA236" s="406"/>
      <c r="BB236" s="406"/>
      <c r="BC236" s="406"/>
      <c r="BD236" s="406"/>
      <c r="BE236" s="406"/>
      <c r="BF236" s="406"/>
      <c r="BG236" s="406"/>
      <c r="BH236" s="406"/>
      <c r="BI236" s="406"/>
      <c r="BJ236" s="406"/>
      <c r="BK236" s="407"/>
      <c r="BL236" s="407"/>
      <c r="BM236" s="407"/>
      <c r="BN236" s="407"/>
      <c r="BO236" s="407"/>
      <c r="BP236" s="407"/>
      <c r="BQ236" s="407"/>
      <c r="BR236" s="407"/>
      <c r="BS236" s="407"/>
      <c r="BT236" s="407"/>
      <c r="BU236" s="407"/>
      <c r="BV236" s="407"/>
      <c r="BW236" s="407"/>
      <c r="BX236" s="407"/>
      <c r="BY236" s="407"/>
      <c r="BZ236" s="407"/>
      <c r="CA236" s="407"/>
      <c r="CB236" s="407"/>
      <c r="CC236" s="407"/>
      <c r="CD236" s="407"/>
      <c r="CE236" s="407"/>
      <c r="CF236" s="407"/>
    </row>
    <row r="237" spans="1:84">
      <c r="A237" s="406"/>
      <c r="B237" s="406"/>
      <c r="C237" s="406"/>
      <c r="D237" s="406"/>
      <c r="E237" s="406"/>
      <c r="F237" s="406"/>
      <c r="G237" s="406"/>
      <c r="H237" s="406"/>
      <c r="I237" s="406"/>
      <c r="J237" s="406"/>
      <c r="K237" s="406"/>
      <c r="L237" s="406"/>
      <c r="M237" s="406"/>
      <c r="N237" s="406"/>
      <c r="O237" s="406"/>
      <c r="P237" s="406"/>
      <c r="Q237" s="406"/>
      <c r="R237" s="406"/>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7"/>
      <c r="BL237" s="407"/>
      <c r="BM237" s="407"/>
      <c r="BN237" s="407"/>
      <c r="BO237" s="407"/>
      <c r="BP237" s="407"/>
      <c r="BQ237" s="407"/>
      <c r="BR237" s="407"/>
      <c r="BS237" s="407"/>
      <c r="BT237" s="407"/>
      <c r="BU237" s="407"/>
      <c r="BV237" s="407"/>
      <c r="BW237" s="407"/>
      <c r="BX237" s="407"/>
      <c r="BY237" s="407"/>
      <c r="BZ237" s="407"/>
      <c r="CA237" s="407"/>
      <c r="CB237" s="407"/>
      <c r="CC237" s="407"/>
      <c r="CD237" s="407"/>
      <c r="CE237" s="407"/>
      <c r="CF237" s="407"/>
    </row>
    <row r="238" spans="1:84">
      <c r="A238" s="406"/>
      <c r="B238" s="406"/>
      <c r="C238" s="406"/>
      <c r="D238" s="406"/>
      <c r="E238" s="406"/>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7"/>
      <c r="BL238" s="407"/>
      <c r="BM238" s="407"/>
      <c r="BN238" s="407"/>
      <c r="BO238" s="407"/>
      <c r="BP238" s="407"/>
      <c r="BQ238" s="407"/>
      <c r="BR238" s="407"/>
      <c r="BS238" s="407"/>
      <c r="BT238" s="407"/>
      <c r="BU238" s="407"/>
      <c r="BV238" s="407"/>
      <c r="BW238" s="407"/>
      <c r="BX238" s="407"/>
      <c r="BY238" s="407"/>
      <c r="BZ238" s="407"/>
      <c r="CA238" s="407"/>
      <c r="CB238" s="407"/>
      <c r="CC238" s="407"/>
      <c r="CD238" s="407"/>
      <c r="CE238" s="407"/>
      <c r="CF238" s="407"/>
    </row>
    <row r="239" spans="1:84">
      <c r="A239" s="406"/>
      <c r="B239" s="406"/>
      <c r="C239" s="406"/>
      <c r="D239" s="406"/>
      <c r="E239" s="406"/>
      <c r="F239" s="406"/>
      <c r="G239" s="406"/>
      <c r="H239" s="406"/>
      <c r="I239" s="406"/>
      <c r="J239" s="406"/>
      <c r="K239" s="406"/>
      <c r="L239" s="406"/>
      <c r="M239" s="406"/>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7"/>
      <c r="BL239" s="407"/>
      <c r="BM239" s="407"/>
      <c r="BN239" s="407"/>
      <c r="BO239" s="407"/>
      <c r="BP239" s="407"/>
      <c r="BQ239" s="407"/>
      <c r="BR239" s="407"/>
      <c r="BS239" s="407"/>
      <c r="BT239" s="407"/>
      <c r="BU239" s="407"/>
      <c r="BV239" s="407"/>
      <c r="BW239" s="407"/>
      <c r="BX239" s="407"/>
      <c r="BY239" s="407"/>
      <c r="BZ239" s="407"/>
      <c r="CA239" s="407"/>
      <c r="CB239" s="407"/>
      <c r="CC239" s="407"/>
      <c r="CD239" s="407"/>
      <c r="CE239" s="407"/>
      <c r="CF239" s="407"/>
    </row>
    <row r="240" spans="1:84">
      <c r="A240" s="406"/>
      <c r="B240" s="406"/>
      <c r="C240" s="406"/>
      <c r="D240" s="406"/>
      <c r="E240" s="406"/>
      <c r="F240" s="406"/>
      <c r="G240" s="406"/>
      <c r="H240" s="406"/>
      <c r="I240" s="406"/>
      <c r="J240" s="406"/>
      <c r="K240" s="406"/>
      <c r="L240" s="406"/>
      <c r="M240" s="406"/>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7"/>
      <c r="BL240" s="407"/>
      <c r="BM240" s="407"/>
      <c r="BN240" s="407"/>
      <c r="BO240" s="407"/>
      <c r="BP240" s="407"/>
      <c r="BQ240" s="407"/>
      <c r="BR240" s="407"/>
      <c r="BS240" s="407"/>
      <c r="BT240" s="407"/>
      <c r="BU240" s="407"/>
      <c r="BV240" s="407"/>
      <c r="BW240" s="407"/>
      <c r="BX240" s="407"/>
      <c r="BY240" s="407"/>
      <c r="BZ240" s="407"/>
      <c r="CA240" s="407"/>
      <c r="CB240" s="407"/>
      <c r="CC240" s="407"/>
      <c r="CD240" s="407"/>
      <c r="CE240" s="407"/>
      <c r="CF240" s="407"/>
    </row>
    <row r="241" spans="1:84">
      <c r="A241" s="406"/>
      <c r="B241" s="406"/>
      <c r="C241" s="406"/>
      <c r="D241" s="406"/>
      <c r="E241" s="406"/>
      <c r="F241" s="406"/>
      <c r="G241" s="406"/>
      <c r="H241" s="406"/>
      <c r="I241" s="406"/>
      <c r="J241" s="406"/>
      <c r="K241" s="406"/>
      <c r="L241" s="406"/>
      <c r="M241" s="406"/>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7"/>
      <c r="BL241" s="407"/>
      <c r="BM241" s="407"/>
      <c r="BN241" s="407"/>
      <c r="BO241" s="407"/>
      <c r="BP241" s="407"/>
      <c r="BQ241" s="407"/>
      <c r="BR241" s="407"/>
      <c r="BS241" s="407"/>
      <c r="BT241" s="407"/>
      <c r="BU241" s="407"/>
      <c r="BV241" s="407"/>
      <c r="BW241" s="407"/>
      <c r="BX241" s="407"/>
      <c r="BY241" s="407"/>
      <c r="BZ241" s="407"/>
      <c r="CA241" s="407"/>
      <c r="CB241" s="407"/>
      <c r="CC241" s="407"/>
      <c r="CD241" s="407"/>
      <c r="CE241" s="407"/>
      <c r="CF241" s="407"/>
    </row>
    <row r="242" spans="1:84">
      <c r="A242" s="406"/>
      <c r="B242" s="406"/>
      <c r="C242" s="406"/>
      <c r="D242" s="406"/>
      <c r="E242" s="406"/>
      <c r="F242" s="406"/>
      <c r="G242" s="406"/>
      <c r="H242" s="406"/>
      <c r="I242" s="406"/>
      <c r="J242" s="406"/>
      <c r="K242" s="406"/>
      <c r="L242" s="406"/>
      <c r="M242" s="406"/>
      <c r="N242" s="406"/>
      <c r="O242" s="406"/>
      <c r="P242" s="406"/>
      <c r="Q242" s="406"/>
      <c r="R242" s="406"/>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c r="AN242" s="406"/>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7"/>
      <c r="BL242" s="407"/>
      <c r="BM242" s="407"/>
      <c r="BN242" s="407"/>
      <c r="BO242" s="407"/>
      <c r="BP242" s="407"/>
      <c r="BQ242" s="407"/>
      <c r="BR242" s="407"/>
      <c r="BS242" s="407"/>
      <c r="BT242" s="407"/>
      <c r="BU242" s="407"/>
      <c r="BV242" s="407"/>
      <c r="BW242" s="407"/>
      <c r="BX242" s="407"/>
      <c r="BY242" s="407"/>
      <c r="BZ242" s="407"/>
      <c r="CA242" s="407"/>
      <c r="CB242" s="407"/>
      <c r="CC242" s="407"/>
      <c r="CD242" s="407"/>
      <c r="CE242" s="407"/>
      <c r="CF242" s="407"/>
    </row>
    <row r="243" spans="1:84">
      <c r="A243" s="406"/>
      <c r="B243" s="406"/>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7"/>
      <c r="BL243" s="407"/>
      <c r="BM243" s="407"/>
      <c r="BN243" s="407"/>
      <c r="BO243" s="407"/>
      <c r="BP243" s="407"/>
      <c r="BQ243" s="407"/>
      <c r="BR243" s="407"/>
      <c r="BS243" s="407"/>
      <c r="BT243" s="407"/>
      <c r="BU243" s="407"/>
      <c r="BV243" s="407"/>
      <c r="BW243" s="407"/>
      <c r="BX243" s="407"/>
      <c r="BY243" s="407"/>
      <c r="BZ243" s="407"/>
      <c r="CA243" s="407"/>
      <c r="CB243" s="407"/>
      <c r="CC243" s="407"/>
      <c r="CD243" s="407"/>
      <c r="CE243" s="407"/>
      <c r="CF243" s="407"/>
    </row>
    <row r="244" spans="1:84">
      <c r="A244" s="406"/>
      <c r="B244" s="406"/>
      <c r="C244" s="406"/>
      <c r="D244" s="406"/>
      <c r="E244" s="406"/>
      <c r="F244" s="406"/>
      <c r="G244" s="406"/>
      <c r="H244" s="406"/>
      <c r="I244" s="406"/>
      <c r="J244" s="406"/>
      <c r="K244" s="406"/>
      <c r="L244" s="406"/>
      <c r="M244" s="406"/>
      <c r="N244" s="406"/>
      <c r="O244" s="406"/>
      <c r="P244" s="406"/>
      <c r="Q244" s="406"/>
      <c r="R244" s="406"/>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7"/>
      <c r="BL244" s="407"/>
      <c r="BM244" s="407"/>
      <c r="BN244" s="407"/>
      <c r="BO244" s="407"/>
      <c r="BP244" s="407"/>
      <c r="BQ244" s="407"/>
      <c r="BR244" s="407"/>
      <c r="BS244" s="407"/>
      <c r="BT244" s="407"/>
      <c r="BU244" s="407"/>
      <c r="BV244" s="407"/>
      <c r="BW244" s="407"/>
      <c r="BX244" s="407"/>
      <c r="BY244" s="407"/>
      <c r="BZ244" s="407"/>
      <c r="CA244" s="407"/>
      <c r="CB244" s="407"/>
      <c r="CC244" s="407"/>
      <c r="CD244" s="407"/>
      <c r="CE244" s="407"/>
      <c r="CF244" s="407"/>
    </row>
    <row r="245" spans="1:84">
      <c r="A245" s="406"/>
      <c r="B245" s="406"/>
      <c r="C245" s="406"/>
      <c r="D245" s="406"/>
      <c r="E245" s="406"/>
      <c r="F245" s="406"/>
      <c r="G245" s="406"/>
      <c r="H245" s="406"/>
      <c r="I245" s="406"/>
      <c r="J245" s="406"/>
      <c r="K245" s="406"/>
      <c r="L245" s="406"/>
      <c r="M245" s="406"/>
      <c r="N245" s="406"/>
      <c r="O245" s="406"/>
      <c r="P245" s="406"/>
      <c r="Q245" s="406"/>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7"/>
      <c r="BL245" s="407"/>
      <c r="BM245" s="407"/>
      <c r="BN245" s="407"/>
      <c r="BO245" s="407"/>
      <c r="BP245" s="407"/>
      <c r="BQ245" s="407"/>
      <c r="BR245" s="407"/>
      <c r="BS245" s="407"/>
      <c r="BT245" s="407"/>
      <c r="BU245" s="407"/>
      <c r="BV245" s="407"/>
      <c r="BW245" s="407"/>
      <c r="BX245" s="407"/>
      <c r="BY245" s="407"/>
      <c r="BZ245" s="407"/>
      <c r="CA245" s="407"/>
      <c r="CB245" s="407"/>
      <c r="CC245" s="407"/>
      <c r="CD245" s="407"/>
      <c r="CE245" s="407"/>
      <c r="CF245" s="407"/>
    </row>
    <row r="246" spans="1:84">
      <c r="A246" s="406"/>
      <c r="B246" s="406"/>
      <c r="C246" s="406"/>
      <c r="D246" s="406"/>
      <c r="E246" s="406"/>
      <c r="F246" s="406"/>
      <c r="G246" s="406"/>
      <c r="H246" s="406"/>
      <c r="I246" s="406"/>
      <c r="J246" s="406"/>
      <c r="K246" s="406"/>
      <c r="L246" s="406"/>
      <c r="M246" s="406"/>
      <c r="N246" s="406"/>
      <c r="O246" s="406"/>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7"/>
      <c r="BL246" s="407"/>
      <c r="BM246" s="407"/>
      <c r="BN246" s="407"/>
      <c r="BO246" s="407"/>
      <c r="BP246" s="407"/>
      <c r="BQ246" s="407"/>
      <c r="BR246" s="407"/>
      <c r="BS246" s="407"/>
      <c r="BT246" s="407"/>
      <c r="BU246" s="407"/>
      <c r="BV246" s="407"/>
      <c r="BW246" s="407"/>
      <c r="BX246" s="407"/>
      <c r="BY246" s="407"/>
      <c r="BZ246" s="407"/>
      <c r="CA246" s="407"/>
      <c r="CB246" s="407"/>
      <c r="CC246" s="407"/>
      <c r="CD246" s="407"/>
      <c r="CE246" s="407"/>
      <c r="CF246" s="407"/>
    </row>
    <row r="247" spans="1:84">
      <c r="A247" s="406"/>
      <c r="B247" s="406"/>
      <c r="C247" s="406"/>
      <c r="D247" s="406"/>
      <c r="E247" s="406"/>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7"/>
      <c r="BL247" s="407"/>
      <c r="BM247" s="407"/>
      <c r="BN247" s="407"/>
      <c r="BO247" s="407"/>
      <c r="BP247" s="407"/>
      <c r="BQ247" s="407"/>
      <c r="BR247" s="407"/>
      <c r="BS247" s="407"/>
      <c r="BT247" s="407"/>
      <c r="BU247" s="407"/>
      <c r="BV247" s="407"/>
      <c r="BW247" s="407"/>
      <c r="BX247" s="407"/>
      <c r="BY247" s="407"/>
      <c r="BZ247" s="407"/>
      <c r="CA247" s="407"/>
      <c r="CB247" s="407"/>
      <c r="CC247" s="407"/>
      <c r="CD247" s="407"/>
      <c r="CE247" s="407"/>
      <c r="CF247" s="407"/>
    </row>
    <row r="248" spans="1:84">
      <c r="A248" s="406"/>
      <c r="B248" s="406"/>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7"/>
      <c r="BL248" s="407"/>
      <c r="BM248" s="407"/>
      <c r="BN248" s="407"/>
      <c r="BO248" s="407"/>
      <c r="BP248" s="407"/>
      <c r="BQ248" s="407"/>
      <c r="BR248" s="407"/>
      <c r="BS248" s="407"/>
      <c r="BT248" s="407"/>
      <c r="BU248" s="407"/>
      <c r="BV248" s="407"/>
      <c r="BW248" s="407"/>
      <c r="BX248" s="407"/>
      <c r="BY248" s="407"/>
      <c r="BZ248" s="407"/>
      <c r="CA248" s="407"/>
      <c r="CB248" s="407"/>
      <c r="CC248" s="407"/>
      <c r="CD248" s="407"/>
      <c r="CE248" s="407"/>
      <c r="CF248" s="407"/>
    </row>
    <row r="249" spans="1:84">
      <c r="A249" s="406"/>
      <c r="B249" s="406"/>
      <c r="C249" s="406"/>
      <c r="D249" s="406"/>
      <c r="E249" s="406"/>
      <c r="F249" s="406"/>
      <c r="G249" s="406"/>
      <c r="H249" s="406"/>
      <c r="I249" s="406"/>
      <c r="J249" s="406"/>
      <c r="K249" s="406"/>
      <c r="L249" s="406"/>
      <c r="M249" s="406"/>
      <c r="N249" s="406"/>
      <c r="O249" s="406"/>
      <c r="P249" s="406"/>
      <c r="Q249" s="406"/>
      <c r="R249" s="406"/>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7"/>
      <c r="BL249" s="407"/>
      <c r="BM249" s="407"/>
      <c r="BN249" s="407"/>
      <c r="BO249" s="407"/>
      <c r="BP249" s="407"/>
      <c r="BQ249" s="407"/>
      <c r="BR249" s="407"/>
      <c r="BS249" s="407"/>
      <c r="BT249" s="407"/>
      <c r="BU249" s="407"/>
      <c r="BV249" s="407"/>
      <c r="BW249" s="407"/>
      <c r="BX249" s="407"/>
      <c r="BY249" s="407"/>
      <c r="BZ249" s="407"/>
      <c r="CA249" s="407"/>
      <c r="CB249" s="407"/>
      <c r="CC249" s="407"/>
      <c r="CD249" s="407"/>
      <c r="CE249" s="407"/>
      <c r="CF249" s="407"/>
    </row>
    <row r="250" spans="1:84">
      <c r="A250" s="406"/>
      <c r="B250" s="406"/>
      <c r="C250" s="406"/>
      <c r="D250" s="406"/>
      <c r="E250" s="406"/>
      <c r="F250" s="406"/>
      <c r="G250" s="406"/>
      <c r="H250" s="406"/>
      <c r="I250" s="406"/>
      <c r="J250" s="406"/>
      <c r="K250" s="406"/>
      <c r="L250" s="406"/>
      <c r="M250" s="406"/>
      <c r="N250" s="406"/>
      <c r="O250" s="406"/>
      <c r="P250" s="406"/>
      <c r="Q250" s="406"/>
      <c r="R250" s="406"/>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7"/>
      <c r="BL250" s="407"/>
      <c r="BM250" s="407"/>
      <c r="BN250" s="407"/>
      <c r="BO250" s="407"/>
      <c r="BP250" s="407"/>
      <c r="BQ250" s="407"/>
      <c r="BR250" s="407"/>
      <c r="BS250" s="407"/>
      <c r="BT250" s="407"/>
      <c r="BU250" s="407"/>
      <c r="BV250" s="407"/>
      <c r="BW250" s="407"/>
      <c r="BX250" s="407"/>
      <c r="BY250" s="407"/>
      <c r="BZ250" s="407"/>
      <c r="CA250" s="407"/>
      <c r="CB250" s="407"/>
      <c r="CC250" s="407"/>
      <c r="CD250" s="407"/>
      <c r="CE250" s="407"/>
      <c r="CF250" s="407"/>
    </row>
    <row r="251" spans="1:84">
      <c r="A251" s="406"/>
      <c r="B251" s="406"/>
      <c r="C251" s="406"/>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7"/>
      <c r="BL251" s="407"/>
      <c r="BM251" s="407"/>
      <c r="BN251" s="407"/>
      <c r="BO251" s="407"/>
      <c r="BP251" s="407"/>
      <c r="BQ251" s="407"/>
      <c r="BR251" s="407"/>
      <c r="BS251" s="407"/>
      <c r="BT251" s="407"/>
      <c r="BU251" s="407"/>
      <c r="BV251" s="407"/>
      <c r="BW251" s="407"/>
      <c r="BX251" s="407"/>
      <c r="BY251" s="407"/>
      <c r="BZ251" s="407"/>
      <c r="CA251" s="407"/>
      <c r="CB251" s="407"/>
      <c r="CC251" s="407"/>
      <c r="CD251" s="407"/>
      <c r="CE251" s="407"/>
      <c r="CF251" s="407"/>
    </row>
    <row r="252" spans="1:84">
      <c r="A252" s="406"/>
      <c r="B252" s="406"/>
      <c r="C252" s="406"/>
      <c r="D252" s="406"/>
      <c r="E252" s="406"/>
      <c r="F252" s="406"/>
      <c r="G252" s="406"/>
      <c r="H252" s="406"/>
      <c r="I252" s="406"/>
      <c r="J252" s="406"/>
      <c r="K252" s="406"/>
      <c r="L252" s="406"/>
      <c r="M252" s="406"/>
      <c r="N252" s="406"/>
      <c r="O252" s="406"/>
      <c r="P252" s="406"/>
      <c r="Q252" s="406"/>
      <c r="R252" s="406"/>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7"/>
      <c r="BL252" s="407"/>
      <c r="BM252" s="407"/>
      <c r="BN252" s="407"/>
      <c r="BO252" s="407"/>
      <c r="BP252" s="407"/>
      <c r="BQ252" s="407"/>
      <c r="BR252" s="407"/>
      <c r="BS252" s="407"/>
      <c r="BT252" s="407"/>
      <c r="BU252" s="407"/>
      <c r="BV252" s="407"/>
      <c r="BW252" s="407"/>
      <c r="BX252" s="407"/>
      <c r="BY252" s="407"/>
      <c r="BZ252" s="407"/>
      <c r="CA252" s="407"/>
      <c r="CB252" s="407"/>
      <c r="CC252" s="407"/>
      <c r="CD252" s="407"/>
      <c r="CE252" s="407"/>
      <c r="CF252" s="407"/>
    </row>
    <row r="253" spans="1:84">
      <c r="A253" s="406"/>
      <c r="B253" s="406"/>
      <c r="C253" s="406"/>
      <c r="D253" s="406"/>
      <c r="E253" s="406"/>
      <c r="F253" s="406"/>
      <c r="G253" s="406"/>
      <c r="H253" s="406"/>
      <c r="I253" s="406"/>
      <c r="J253" s="406"/>
      <c r="K253" s="406"/>
      <c r="L253" s="406"/>
      <c r="M253" s="406"/>
      <c r="N253" s="406"/>
      <c r="O253" s="406"/>
      <c r="P253" s="406"/>
      <c r="Q253" s="406"/>
      <c r="R253" s="406"/>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7"/>
      <c r="BL253" s="407"/>
      <c r="BM253" s="407"/>
      <c r="BN253" s="407"/>
      <c r="BO253" s="407"/>
      <c r="BP253" s="407"/>
      <c r="BQ253" s="407"/>
      <c r="BR253" s="407"/>
      <c r="BS253" s="407"/>
      <c r="BT253" s="407"/>
      <c r="BU253" s="407"/>
      <c r="BV253" s="407"/>
      <c r="BW253" s="407"/>
      <c r="BX253" s="407"/>
      <c r="BY253" s="407"/>
      <c r="BZ253" s="407"/>
      <c r="CA253" s="407"/>
      <c r="CB253" s="407"/>
      <c r="CC253" s="407"/>
      <c r="CD253" s="407"/>
      <c r="CE253" s="407"/>
      <c r="CF253" s="407"/>
    </row>
    <row r="254" spans="1:84">
      <c r="A254" s="406"/>
      <c r="B254" s="406"/>
      <c r="C254" s="406"/>
      <c r="D254" s="406"/>
      <c r="E254" s="406"/>
      <c r="F254" s="406"/>
      <c r="G254" s="406"/>
      <c r="H254" s="406"/>
      <c r="I254" s="406"/>
      <c r="J254" s="406"/>
      <c r="K254" s="406"/>
      <c r="L254" s="406"/>
      <c r="M254" s="406"/>
      <c r="N254" s="406"/>
      <c r="O254" s="406"/>
      <c r="P254" s="406"/>
      <c r="Q254" s="406"/>
      <c r="R254" s="406"/>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7"/>
      <c r="BL254" s="407"/>
      <c r="BM254" s="407"/>
      <c r="BN254" s="407"/>
      <c r="BO254" s="407"/>
      <c r="BP254" s="407"/>
      <c r="BQ254" s="407"/>
      <c r="BR254" s="407"/>
      <c r="BS254" s="407"/>
      <c r="BT254" s="407"/>
      <c r="BU254" s="407"/>
      <c r="BV254" s="407"/>
      <c r="BW254" s="407"/>
      <c r="BX254" s="407"/>
      <c r="BY254" s="407"/>
      <c r="BZ254" s="407"/>
      <c r="CA254" s="407"/>
      <c r="CB254" s="407"/>
      <c r="CC254" s="407"/>
      <c r="CD254" s="407"/>
      <c r="CE254" s="407"/>
      <c r="CF254" s="407"/>
    </row>
    <row r="255" spans="1:84">
      <c r="A255" s="406"/>
      <c r="B255" s="406"/>
      <c r="C255" s="406"/>
      <c r="D255" s="406"/>
      <c r="E255" s="406"/>
      <c r="F255" s="406"/>
      <c r="G255" s="406"/>
      <c r="H255" s="406"/>
      <c r="I255" s="406"/>
      <c r="J255" s="406"/>
      <c r="K255" s="406"/>
      <c r="L255" s="406"/>
      <c r="M255" s="406"/>
      <c r="N255" s="406"/>
      <c r="O255" s="406"/>
      <c r="P255" s="406"/>
      <c r="Q255" s="406"/>
      <c r="R255" s="406"/>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c r="AN255" s="406"/>
      <c r="AO255" s="406"/>
      <c r="AP255" s="406"/>
      <c r="AQ255" s="406"/>
      <c r="AR255" s="406"/>
      <c r="AS255" s="406"/>
      <c r="AT255" s="406"/>
      <c r="AU255" s="406"/>
      <c r="AV255" s="406"/>
      <c r="AW255" s="406"/>
      <c r="AX255" s="406"/>
      <c r="AY255" s="406"/>
      <c r="AZ255" s="406"/>
      <c r="BA255" s="406"/>
      <c r="BB255" s="406"/>
      <c r="BC255" s="406"/>
      <c r="BD255" s="406"/>
      <c r="BE255" s="406"/>
      <c r="BF255" s="406"/>
      <c r="BG255" s="406"/>
      <c r="BH255" s="406"/>
      <c r="BI255" s="406"/>
      <c r="BJ255" s="406"/>
      <c r="BK255" s="407"/>
      <c r="BL255" s="407"/>
      <c r="BM255" s="407"/>
      <c r="BN255" s="407"/>
      <c r="BO255" s="407"/>
      <c r="BP255" s="407"/>
      <c r="BQ255" s="407"/>
      <c r="BR255" s="407"/>
      <c r="BS255" s="407"/>
      <c r="BT255" s="407"/>
      <c r="BU255" s="407"/>
      <c r="BV255" s="407"/>
      <c r="BW255" s="407"/>
      <c r="BX255" s="407"/>
      <c r="BY255" s="407"/>
      <c r="BZ255" s="407"/>
      <c r="CA255" s="407"/>
      <c r="CB255" s="407"/>
      <c r="CC255" s="407"/>
      <c r="CD255" s="407"/>
      <c r="CE255" s="407"/>
      <c r="CF255" s="407"/>
    </row>
    <row r="256" spans="1:84">
      <c r="A256" s="406"/>
      <c r="B256" s="406"/>
      <c r="C256" s="406"/>
      <c r="D256" s="406"/>
      <c r="E256" s="406"/>
      <c r="F256" s="406"/>
      <c r="G256" s="406"/>
      <c r="H256" s="406"/>
      <c r="I256" s="406"/>
      <c r="J256" s="406"/>
      <c r="K256" s="406"/>
      <c r="L256" s="406"/>
      <c r="M256" s="406"/>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c r="AN256" s="406"/>
      <c r="AO256" s="406"/>
      <c r="AP256" s="406"/>
      <c r="AQ256" s="406"/>
      <c r="AR256" s="406"/>
      <c r="AS256" s="406"/>
      <c r="AT256" s="406"/>
      <c r="AU256" s="406"/>
      <c r="AV256" s="406"/>
      <c r="AW256" s="406"/>
      <c r="AX256" s="406"/>
      <c r="AY256" s="406"/>
      <c r="AZ256" s="406"/>
      <c r="BA256" s="406"/>
      <c r="BB256" s="406"/>
      <c r="BC256" s="406"/>
      <c r="BD256" s="406"/>
      <c r="BE256" s="406"/>
      <c r="BF256" s="406"/>
      <c r="BG256" s="406"/>
      <c r="BH256" s="406"/>
      <c r="BI256" s="406"/>
      <c r="BJ256" s="406"/>
      <c r="BK256" s="407"/>
      <c r="BL256" s="407"/>
      <c r="BM256" s="407"/>
      <c r="BN256" s="407"/>
      <c r="BO256" s="407"/>
      <c r="BP256" s="407"/>
      <c r="BQ256" s="407"/>
      <c r="BR256" s="407"/>
      <c r="BS256" s="407"/>
      <c r="BT256" s="407"/>
      <c r="BU256" s="407"/>
      <c r="BV256" s="407"/>
      <c r="BW256" s="407"/>
      <c r="BX256" s="407"/>
      <c r="BY256" s="407"/>
      <c r="BZ256" s="407"/>
      <c r="CA256" s="407"/>
      <c r="CB256" s="407"/>
      <c r="CC256" s="407"/>
      <c r="CD256" s="407"/>
      <c r="CE256" s="407"/>
      <c r="CF256" s="407"/>
    </row>
    <row r="257" spans="1:84">
      <c r="A257" s="406"/>
      <c r="B257" s="406"/>
      <c r="C257" s="406"/>
      <c r="D257" s="406"/>
      <c r="E257" s="406"/>
      <c r="F257" s="406"/>
      <c r="G257" s="406"/>
      <c r="H257" s="406"/>
      <c r="I257" s="406"/>
      <c r="J257" s="406"/>
      <c r="K257" s="406"/>
      <c r="L257" s="406"/>
      <c r="M257" s="406"/>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7"/>
      <c r="BL257" s="407"/>
      <c r="BM257" s="407"/>
      <c r="BN257" s="407"/>
      <c r="BO257" s="407"/>
      <c r="BP257" s="407"/>
      <c r="BQ257" s="407"/>
      <c r="BR257" s="407"/>
      <c r="BS257" s="407"/>
      <c r="BT257" s="407"/>
      <c r="BU257" s="407"/>
      <c r="BV257" s="407"/>
      <c r="BW257" s="407"/>
      <c r="BX257" s="407"/>
      <c r="BY257" s="407"/>
      <c r="BZ257" s="407"/>
      <c r="CA257" s="407"/>
      <c r="CB257" s="407"/>
      <c r="CC257" s="407"/>
      <c r="CD257" s="407"/>
      <c r="CE257" s="407"/>
      <c r="CF257" s="407"/>
    </row>
    <row r="258" spans="1:84">
      <c r="A258" s="406"/>
      <c r="B258" s="406"/>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7"/>
      <c r="BL258" s="407"/>
      <c r="BM258" s="407"/>
      <c r="BN258" s="407"/>
      <c r="BO258" s="407"/>
      <c r="BP258" s="407"/>
      <c r="BQ258" s="407"/>
      <c r="BR258" s="407"/>
      <c r="BS258" s="407"/>
      <c r="BT258" s="407"/>
      <c r="BU258" s="407"/>
      <c r="BV258" s="407"/>
      <c r="BW258" s="407"/>
      <c r="BX258" s="407"/>
      <c r="BY258" s="407"/>
      <c r="BZ258" s="407"/>
      <c r="CA258" s="407"/>
      <c r="CB258" s="407"/>
      <c r="CC258" s="407"/>
      <c r="CD258" s="407"/>
      <c r="CE258" s="407"/>
      <c r="CF258" s="407"/>
    </row>
    <row r="259" spans="1:84">
      <c r="A259" s="406"/>
      <c r="B259" s="406"/>
      <c r="C259" s="406"/>
      <c r="D259" s="406"/>
      <c r="E259" s="406"/>
      <c r="F259" s="406"/>
      <c r="G259" s="406"/>
      <c r="H259" s="406"/>
      <c r="I259" s="406"/>
      <c r="J259" s="406"/>
      <c r="K259" s="406"/>
      <c r="L259" s="406"/>
      <c r="M259" s="406"/>
      <c r="N259" s="406"/>
      <c r="O259" s="406"/>
      <c r="P259" s="406"/>
      <c r="Q259" s="406"/>
      <c r="R259" s="406"/>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c r="AN259" s="406"/>
      <c r="AO259" s="406"/>
      <c r="AP259" s="406"/>
      <c r="AQ259" s="406"/>
      <c r="AR259" s="406"/>
      <c r="AS259" s="406"/>
      <c r="AT259" s="406"/>
      <c r="AU259" s="406"/>
      <c r="AV259" s="406"/>
      <c r="AW259" s="406"/>
      <c r="AX259" s="406"/>
      <c r="AY259" s="406"/>
      <c r="AZ259" s="406"/>
      <c r="BA259" s="406"/>
      <c r="BB259" s="406"/>
      <c r="BC259" s="406"/>
      <c r="BD259" s="406"/>
      <c r="BE259" s="406"/>
      <c r="BF259" s="406"/>
      <c r="BG259" s="406"/>
      <c r="BH259" s="406"/>
      <c r="BI259" s="406"/>
      <c r="BJ259" s="406"/>
      <c r="BK259" s="407"/>
      <c r="BL259" s="407"/>
      <c r="BM259" s="407"/>
      <c r="BN259" s="407"/>
      <c r="BO259" s="407"/>
      <c r="BP259" s="407"/>
      <c r="BQ259" s="407"/>
      <c r="BR259" s="407"/>
      <c r="BS259" s="407"/>
      <c r="BT259" s="407"/>
      <c r="BU259" s="407"/>
      <c r="BV259" s="407"/>
      <c r="BW259" s="407"/>
      <c r="BX259" s="407"/>
      <c r="BY259" s="407"/>
      <c r="BZ259" s="407"/>
      <c r="CA259" s="407"/>
      <c r="CB259" s="407"/>
      <c r="CC259" s="407"/>
      <c r="CD259" s="407"/>
      <c r="CE259" s="407"/>
      <c r="CF259" s="407"/>
    </row>
    <row r="260" spans="1:84">
      <c r="A260" s="407"/>
      <c r="B260" s="407"/>
      <c r="C260" s="407"/>
      <c r="D260" s="407"/>
      <c r="E260" s="407"/>
      <c r="F260" s="407"/>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407"/>
      <c r="AE260" s="407"/>
      <c r="AF260" s="407"/>
      <c r="AG260" s="407"/>
      <c r="AH260" s="407"/>
      <c r="AI260" s="407"/>
      <c r="AJ260" s="407"/>
      <c r="AK260" s="407"/>
      <c r="AL260" s="407"/>
      <c r="AM260" s="407"/>
      <c r="AN260" s="407"/>
      <c r="AO260" s="407"/>
      <c r="AP260" s="407"/>
      <c r="AQ260" s="407"/>
      <c r="AR260" s="407"/>
      <c r="AS260" s="407"/>
      <c r="AT260" s="407"/>
      <c r="AU260" s="407"/>
      <c r="AV260" s="407"/>
      <c r="AW260" s="407"/>
      <c r="AX260" s="407"/>
      <c r="AY260" s="407"/>
      <c r="AZ260" s="407"/>
      <c r="BA260" s="407"/>
      <c r="BB260" s="407"/>
      <c r="BC260" s="407"/>
      <c r="BD260" s="407"/>
      <c r="BE260" s="407"/>
      <c r="BF260" s="407"/>
      <c r="BG260" s="407"/>
      <c r="BH260" s="407"/>
      <c r="BI260" s="407"/>
      <c r="BJ260" s="407"/>
      <c r="BK260" s="407"/>
      <c r="BL260" s="407"/>
      <c r="BM260" s="407"/>
      <c r="BN260" s="407"/>
      <c r="BO260" s="407"/>
      <c r="BP260" s="407"/>
      <c r="BQ260" s="407"/>
      <c r="BR260" s="407"/>
      <c r="BS260" s="407"/>
      <c r="BT260" s="407"/>
      <c r="BU260" s="407"/>
      <c r="BV260" s="407"/>
      <c r="BW260" s="407"/>
      <c r="BX260" s="407"/>
      <c r="BY260" s="407"/>
      <c r="BZ260" s="407"/>
      <c r="CA260" s="407"/>
      <c r="CB260" s="407"/>
      <c r="CC260" s="407"/>
      <c r="CD260" s="407"/>
      <c r="CE260" s="407"/>
      <c r="CF260" s="407"/>
    </row>
    <row r="261" spans="1:84">
      <c r="A261" s="407"/>
      <c r="B261" s="407"/>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407"/>
      <c r="AC261" s="407"/>
      <c r="AD261" s="407"/>
      <c r="AE261" s="407"/>
      <c r="AF261" s="407"/>
      <c r="AG261" s="407"/>
      <c r="AH261" s="407"/>
      <c r="AI261" s="407"/>
      <c r="AJ261" s="407"/>
      <c r="AK261" s="407"/>
      <c r="AL261" s="407"/>
      <c r="AM261" s="407"/>
      <c r="AN261" s="407"/>
      <c r="AO261" s="407"/>
      <c r="AP261" s="407"/>
      <c r="AQ261" s="407"/>
      <c r="AR261" s="407"/>
      <c r="AS261" s="407"/>
      <c r="AT261" s="407"/>
      <c r="AU261" s="407"/>
      <c r="AV261" s="407"/>
      <c r="AW261" s="407"/>
      <c r="AX261" s="407"/>
      <c r="AY261" s="407"/>
      <c r="AZ261" s="407"/>
      <c r="BA261" s="407"/>
      <c r="BB261" s="407"/>
      <c r="BC261" s="407"/>
      <c r="BD261" s="407"/>
      <c r="BE261" s="407"/>
      <c r="BF261" s="407"/>
      <c r="BG261" s="407"/>
      <c r="BH261" s="407"/>
      <c r="BI261" s="407"/>
      <c r="BJ261" s="407"/>
      <c r="BK261" s="407"/>
      <c r="BL261" s="407"/>
      <c r="BM261" s="407"/>
      <c r="BN261" s="407"/>
      <c r="BO261" s="407"/>
      <c r="BP261" s="407"/>
      <c r="BQ261" s="407"/>
      <c r="BR261" s="407"/>
      <c r="BS261" s="407"/>
      <c r="BT261" s="407"/>
      <c r="BU261" s="407"/>
      <c r="BV261" s="407"/>
      <c r="BW261" s="407"/>
      <c r="BX261" s="407"/>
      <c r="BY261" s="407"/>
      <c r="BZ261" s="407"/>
      <c r="CA261" s="407"/>
      <c r="CB261" s="407"/>
      <c r="CC261" s="407"/>
      <c r="CD261" s="407"/>
      <c r="CE261" s="407"/>
      <c r="CF261" s="407"/>
    </row>
    <row r="262" spans="1:84">
      <c r="A262" s="407"/>
      <c r="B262" s="407"/>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K262" s="407"/>
      <c r="AL262" s="407"/>
      <c r="AM262" s="407"/>
      <c r="AN262" s="407"/>
      <c r="AO262" s="407"/>
      <c r="AP262" s="407"/>
      <c r="AQ262" s="407"/>
      <c r="AR262" s="407"/>
      <c r="AS262" s="407"/>
      <c r="AT262" s="407"/>
      <c r="AU262" s="407"/>
      <c r="AV262" s="407"/>
      <c r="AW262" s="407"/>
      <c r="AX262" s="407"/>
      <c r="AY262" s="407"/>
      <c r="AZ262" s="407"/>
      <c r="BA262" s="407"/>
      <c r="BB262" s="407"/>
      <c r="BC262" s="407"/>
      <c r="BD262" s="407"/>
      <c r="BE262" s="407"/>
      <c r="BF262" s="407"/>
      <c r="BG262" s="407"/>
      <c r="BH262" s="407"/>
      <c r="BI262" s="407"/>
      <c r="BJ262" s="407"/>
      <c r="BK262" s="407"/>
      <c r="BL262" s="407"/>
      <c r="BM262" s="407"/>
      <c r="BN262" s="407"/>
      <c r="BO262" s="407"/>
      <c r="BP262" s="407"/>
      <c r="BQ262" s="407"/>
      <c r="BR262" s="407"/>
      <c r="BS262" s="407"/>
      <c r="BT262" s="407"/>
      <c r="BU262" s="407"/>
      <c r="BV262" s="407"/>
      <c r="BW262" s="407"/>
      <c r="BX262" s="407"/>
      <c r="BY262" s="407"/>
      <c r="BZ262" s="407"/>
      <c r="CA262" s="407"/>
      <c r="CB262" s="407"/>
      <c r="CC262" s="407"/>
      <c r="CD262" s="407"/>
      <c r="CE262" s="407"/>
      <c r="CF262" s="407"/>
    </row>
    <row r="263" spans="1:84">
      <c r="A263" s="407"/>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407"/>
      <c r="AO263" s="407"/>
      <c r="AP263" s="407"/>
      <c r="AQ263" s="407"/>
      <c r="AR263" s="407"/>
      <c r="AS263" s="407"/>
      <c r="AT263" s="407"/>
      <c r="AU263" s="407"/>
      <c r="AV263" s="407"/>
      <c r="AW263" s="407"/>
      <c r="AX263" s="407"/>
      <c r="AY263" s="407"/>
      <c r="AZ263" s="407"/>
      <c r="BA263" s="407"/>
      <c r="BB263" s="407"/>
      <c r="BC263" s="407"/>
      <c r="BD263" s="407"/>
      <c r="BE263" s="407"/>
      <c r="BF263" s="407"/>
      <c r="BG263" s="407"/>
      <c r="BH263" s="407"/>
      <c r="BI263" s="407"/>
      <c r="BJ263" s="407"/>
      <c r="BK263" s="407"/>
      <c r="BL263" s="407"/>
      <c r="BM263" s="407"/>
      <c r="BN263" s="407"/>
      <c r="BO263" s="407"/>
      <c r="BP263" s="407"/>
      <c r="BQ263" s="407"/>
      <c r="BR263" s="407"/>
      <c r="BS263" s="407"/>
      <c r="BT263" s="407"/>
      <c r="BU263" s="407"/>
      <c r="BV263" s="407"/>
      <c r="BW263" s="407"/>
      <c r="BX263" s="407"/>
      <c r="BY263" s="407"/>
      <c r="BZ263" s="407"/>
      <c r="CA263" s="407"/>
      <c r="CB263" s="407"/>
      <c r="CC263" s="407"/>
      <c r="CD263" s="407"/>
      <c r="CE263" s="407"/>
      <c r="CF263" s="407"/>
    </row>
    <row r="264" spans="1:84">
      <c r="A264" s="407"/>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407"/>
      <c r="AE264" s="407"/>
      <c r="AF264" s="407"/>
      <c r="AG264" s="407"/>
      <c r="AH264" s="407"/>
      <c r="AI264" s="407"/>
      <c r="AJ264" s="407"/>
      <c r="AK264" s="407"/>
      <c r="AL264" s="407"/>
      <c r="AM264" s="407"/>
      <c r="AN264" s="407"/>
      <c r="AO264" s="407"/>
      <c r="AP264" s="407"/>
      <c r="AQ264" s="407"/>
      <c r="AR264" s="407"/>
      <c r="AS264" s="407"/>
      <c r="AT264" s="407"/>
      <c r="AU264" s="407"/>
      <c r="AV264" s="407"/>
      <c r="AW264" s="407"/>
      <c r="AX264" s="407"/>
      <c r="AY264" s="407"/>
      <c r="AZ264" s="407"/>
      <c r="BA264" s="407"/>
      <c r="BB264" s="407"/>
      <c r="BC264" s="407"/>
      <c r="BD264" s="407"/>
      <c r="BE264" s="407"/>
      <c r="BF264" s="407"/>
      <c r="BG264" s="407"/>
      <c r="BH264" s="407"/>
      <c r="BI264" s="407"/>
      <c r="BJ264" s="407"/>
      <c r="BK264" s="407"/>
      <c r="BL264" s="407"/>
      <c r="BM264" s="407"/>
      <c r="BN264" s="407"/>
      <c r="BO264" s="407"/>
      <c r="BP264" s="407"/>
      <c r="BQ264" s="407"/>
      <c r="BR264" s="407"/>
      <c r="BS264" s="407"/>
      <c r="BT264" s="407"/>
      <c r="BU264" s="407"/>
      <c r="BV264" s="407"/>
      <c r="BW264" s="407"/>
      <c r="BX264" s="407"/>
      <c r="BY264" s="407"/>
      <c r="BZ264" s="407"/>
      <c r="CA264" s="407"/>
      <c r="CB264" s="407"/>
      <c r="CC264" s="407"/>
      <c r="CD264" s="407"/>
      <c r="CE264" s="407"/>
      <c r="CF264" s="407"/>
    </row>
    <row r="265" spans="1:84">
      <c r="A265" s="407"/>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407"/>
      <c r="AR265" s="407"/>
      <c r="AS265" s="407"/>
      <c r="AT265" s="407"/>
      <c r="AU265" s="407"/>
      <c r="AV265" s="407"/>
      <c r="AW265" s="407"/>
      <c r="AX265" s="407"/>
      <c r="AY265" s="407"/>
      <c r="AZ265" s="407"/>
      <c r="BA265" s="407"/>
      <c r="BB265" s="407"/>
      <c r="BC265" s="407"/>
      <c r="BD265" s="407"/>
      <c r="BE265" s="407"/>
      <c r="BF265" s="407"/>
      <c r="BG265" s="407"/>
      <c r="BH265" s="407"/>
      <c r="BI265" s="407"/>
      <c r="BJ265" s="407"/>
      <c r="BK265" s="407"/>
      <c r="BL265" s="407"/>
      <c r="BM265" s="407"/>
      <c r="BN265" s="407"/>
      <c r="BO265" s="407"/>
      <c r="BP265" s="407"/>
      <c r="BQ265" s="407"/>
      <c r="BR265" s="407"/>
      <c r="BS265" s="407"/>
      <c r="BT265" s="407"/>
      <c r="BU265" s="407"/>
      <c r="BV265" s="407"/>
      <c r="BW265" s="407"/>
      <c r="BX265" s="407"/>
      <c r="BY265" s="407"/>
      <c r="BZ265" s="407"/>
      <c r="CA265" s="407"/>
      <c r="CB265" s="407"/>
      <c r="CC265" s="407"/>
      <c r="CD265" s="407"/>
      <c r="CE265" s="407"/>
      <c r="CF265" s="407"/>
    </row>
    <row r="266" spans="1:84">
      <c r="A266" s="407"/>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407"/>
      <c r="AE266" s="407"/>
      <c r="AF266" s="407"/>
      <c r="AG266" s="407"/>
      <c r="AH266" s="407"/>
      <c r="AI266" s="407"/>
      <c r="AJ266" s="407"/>
      <c r="AK266" s="407"/>
      <c r="AL266" s="407"/>
      <c r="AM266" s="407"/>
      <c r="AN266" s="407"/>
      <c r="AO266" s="407"/>
      <c r="AP266" s="407"/>
      <c r="AQ266" s="407"/>
      <c r="AR266" s="407"/>
      <c r="AS266" s="407"/>
      <c r="AT266" s="407"/>
      <c r="AU266" s="407"/>
      <c r="AV266" s="407"/>
      <c r="AW266" s="407"/>
      <c r="AX266" s="407"/>
      <c r="AY266" s="407"/>
      <c r="AZ266" s="407"/>
      <c r="BA266" s="407"/>
      <c r="BB266" s="407"/>
      <c r="BC266" s="407"/>
      <c r="BD266" s="407"/>
      <c r="BE266" s="407"/>
      <c r="BF266" s="407"/>
      <c r="BG266" s="407"/>
      <c r="BH266" s="407"/>
      <c r="BI266" s="407"/>
      <c r="BJ266" s="407"/>
      <c r="BK266" s="407"/>
      <c r="BL266" s="407"/>
      <c r="BM266" s="407"/>
      <c r="BN266" s="407"/>
      <c r="BO266" s="407"/>
      <c r="BP266" s="407"/>
      <c r="BQ266" s="407"/>
      <c r="BR266" s="407"/>
      <c r="BS266" s="407"/>
      <c r="BT266" s="407"/>
      <c r="BU266" s="407"/>
      <c r="BV266" s="407"/>
      <c r="BW266" s="407"/>
      <c r="BX266" s="407"/>
      <c r="BY266" s="407"/>
      <c r="BZ266" s="407"/>
      <c r="CA266" s="407"/>
      <c r="CB266" s="407"/>
      <c r="CC266" s="407"/>
      <c r="CD266" s="407"/>
      <c r="CE266" s="407"/>
      <c r="CF266" s="407"/>
    </row>
    <row r="267" spans="1:84">
      <c r="A267" s="407"/>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407"/>
      <c r="AE267" s="407"/>
      <c r="AF267" s="407"/>
      <c r="AG267" s="407"/>
      <c r="AH267" s="407"/>
      <c r="AI267" s="407"/>
      <c r="AJ267" s="407"/>
      <c r="AK267" s="407"/>
      <c r="AL267" s="407"/>
      <c r="AM267" s="407"/>
      <c r="AN267" s="407"/>
      <c r="AO267" s="407"/>
      <c r="AP267" s="407"/>
      <c r="AQ267" s="407"/>
      <c r="AR267" s="407"/>
      <c r="AS267" s="407"/>
      <c r="AT267" s="407"/>
      <c r="AU267" s="407"/>
      <c r="AV267" s="407"/>
      <c r="AW267" s="407"/>
      <c r="AX267" s="407"/>
      <c r="AY267" s="407"/>
      <c r="AZ267" s="407"/>
      <c r="BA267" s="407"/>
      <c r="BB267" s="407"/>
      <c r="BC267" s="407"/>
      <c r="BD267" s="407"/>
      <c r="BE267" s="407"/>
      <c r="BF267" s="407"/>
      <c r="BG267" s="407"/>
      <c r="BH267" s="407"/>
      <c r="BI267" s="407"/>
      <c r="BJ267" s="407"/>
      <c r="BK267" s="407"/>
      <c r="BL267" s="407"/>
      <c r="BM267" s="407"/>
      <c r="BN267" s="407"/>
      <c r="BO267" s="407"/>
      <c r="BP267" s="407"/>
      <c r="BQ267" s="407"/>
      <c r="BR267" s="407"/>
      <c r="BS267" s="407"/>
      <c r="BT267" s="407"/>
      <c r="BU267" s="407"/>
      <c r="BV267" s="407"/>
      <c r="BW267" s="407"/>
      <c r="BX267" s="407"/>
      <c r="BY267" s="407"/>
      <c r="BZ267" s="407"/>
      <c r="CA267" s="407"/>
      <c r="CB267" s="407"/>
      <c r="CC267" s="407"/>
      <c r="CD267" s="407"/>
      <c r="CE267" s="407"/>
      <c r="CF267" s="407"/>
    </row>
    <row r="268" spans="1:84">
      <c r="A268" s="407"/>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407"/>
      <c r="AE268" s="407"/>
      <c r="AF268" s="407"/>
      <c r="AG268" s="407"/>
      <c r="AH268" s="407"/>
      <c r="AI268" s="407"/>
      <c r="AJ268" s="407"/>
      <c r="AK268" s="407"/>
      <c r="AL268" s="407"/>
      <c r="AM268" s="407"/>
      <c r="AN268" s="407"/>
      <c r="AO268" s="407"/>
      <c r="AP268" s="407"/>
      <c r="AQ268" s="407"/>
      <c r="AR268" s="407"/>
      <c r="AS268" s="407"/>
      <c r="AT268" s="407"/>
      <c r="AU268" s="407"/>
      <c r="AV268" s="407"/>
      <c r="AW268" s="407"/>
      <c r="AX268" s="407"/>
      <c r="AY268" s="407"/>
      <c r="AZ268" s="407"/>
      <c r="BA268" s="407"/>
      <c r="BB268" s="407"/>
      <c r="BC268" s="407"/>
      <c r="BD268" s="407"/>
      <c r="BE268" s="407"/>
      <c r="BF268" s="407"/>
      <c r="BG268" s="407"/>
      <c r="BH268" s="407"/>
      <c r="BI268" s="407"/>
      <c r="BJ268" s="407"/>
      <c r="BK268" s="407"/>
      <c r="BL268" s="407"/>
      <c r="BM268" s="407"/>
      <c r="BN268" s="407"/>
      <c r="BO268" s="407"/>
      <c r="BP268" s="407"/>
      <c r="BQ268" s="407"/>
      <c r="BR268" s="407"/>
      <c r="BS268" s="407"/>
      <c r="BT268" s="407"/>
      <c r="BU268" s="407"/>
      <c r="BV268" s="407"/>
      <c r="BW268" s="407"/>
      <c r="BX268" s="407"/>
      <c r="BY268" s="407"/>
      <c r="BZ268" s="407"/>
      <c r="CA268" s="407"/>
      <c r="CB268" s="407"/>
      <c r="CC268" s="407"/>
      <c r="CD268" s="407"/>
      <c r="CE268" s="407"/>
      <c r="CF268" s="407"/>
    </row>
    <row r="269" spans="1:84">
      <c r="A269" s="407"/>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407"/>
      <c r="AC269" s="407"/>
      <c r="AD269" s="407"/>
      <c r="AE269" s="407"/>
      <c r="AF269" s="407"/>
      <c r="AG269" s="407"/>
      <c r="AH269" s="407"/>
      <c r="AI269" s="407"/>
      <c r="AJ269" s="407"/>
      <c r="AK269" s="407"/>
      <c r="AL269" s="407"/>
      <c r="AM269" s="407"/>
      <c r="AN269" s="407"/>
      <c r="AO269" s="407"/>
      <c r="AP269" s="407"/>
      <c r="AQ269" s="407"/>
      <c r="AR269" s="407"/>
      <c r="AS269" s="407"/>
      <c r="AT269" s="407"/>
      <c r="AU269" s="407"/>
      <c r="AV269" s="407"/>
      <c r="AW269" s="407"/>
      <c r="AX269" s="407"/>
      <c r="AY269" s="407"/>
      <c r="AZ269" s="407"/>
      <c r="BA269" s="407"/>
      <c r="BB269" s="407"/>
      <c r="BC269" s="407"/>
      <c r="BD269" s="407"/>
      <c r="BE269" s="407"/>
      <c r="BF269" s="407"/>
      <c r="BG269" s="407"/>
      <c r="BH269" s="407"/>
      <c r="BI269" s="407"/>
      <c r="BJ269" s="407"/>
      <c r="BK269" s="407"/>
      <c r="BL269" s="407"/>
      <c r="BM269" s="407"/>
      <c r="BN269" s="407"/>
      <c r="BO269" s="407"/>
      <c r="BP269" s="407"/>
      <c r="BQ269" s="407"/>
      <c r="BR269" s="407"/>
      <c r="BS269" s="407"/>
      <c r="BT269" s="407"/>
      <c r="BU269" s="407"/>
      <c r="BV269" s="407"/>
      <c r="BW269" s="407"/>
      <c r="BX269" s="407"/>
      <c r="BY269" s="407"/>
      <c r="BZ269" s="407"/>
      <c r="CA269" s="407"/>
      <c r="CB269" s="407"/>
      <c r="CC269" s="407"/>
      <c r="CD269" s="407"/>
      <c r="CE269" s="407"/>
      <c r="CF269" s="407"/>
    </row>
    <row r="270" spans="1:84">
      <c r="A270" s="407"/>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407"/>
      <c r="AE270" s="407"/>
      <c r="AF270" s="407"/>
      <c r="AG270" s="407"/>
      <c r="AH270" s="407"/>
      <c r="AI270" s="407"/>
      <c r="AJ270" s="407"/>
      <c r="AK270" s="407"/>
      <c r="AL270" s="407"/>
      <c r="AM270" s="407"/>
      <c r="AN270" s="407"/>
      <c r="AO270" s="407"/>
      <c r="AP270" s="407"/>
      <c r="AQ270" s="407"/>
      <c r="AR270" s="407"/>
      <c r="AS270" s="407"/>
      <c r="AT270" s="407"/>
      <c r="AU270" s="407"/>
      <c r="AV270" s="407"/>
      <c r="AW270" s="407"/>
      <c r="AX270" s="407"/>
      <c r="AY270" s="407"/>
      <c r="AZ270" s="407"/>
      <c r="BA270" s="407"/>
      <c r="BB270" s="407"/>
      <c r="BC270" s="407"/>
      <c r="BD270" s="407"/>
      <c r="BE270" s="407"/>
      <c r="BF270" s="407"/>
      <c r="BG270" s="407"/>
      <c r="BH270" s="407"/>
      <c r="BI270" s="407"/>
      <c r="BJ270" s="407"/>
      <c r="BK270" s="407"/>
      <c r="BL270" s="407"/>
      <c r="BM270" s="407"/>
      <c r="BN270" s="407"/>
      <c r="BO270" s="407"/>
      <c r="BP270" s="407"/>
      <c r="BQ270" s="407"/>
      <c r="BR270" s="407"/>
      <c r="BS270" s="407"/>
      <c r="BT270" s="407"/>
      <c r="BU270" s="407"/>
      <c r="BV270" s="407"/>
      <c r="BW270" s="407"/>
      <c r="BX270" s="407"/>
      <c r="BY270" s="407"/>
      <c r="BZ270" s="407"/>
      <c r="CA270" s="407"/>
      <c r="CB270" s="407"/>
      <c r="CC270" s="407"/>
      <c r="CD270" s="407"/>
      <c r="CE270" s="407"/>
      <c r="CF270" s="407"/>
    </row>
    <row r="271" spans="1:84">
      <c r="A271" s="407"/>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407"/>
      <c r="AE271" s="407"/>
      <c r="AF271" s="407"/>
      <c r="AG271" s="407"/>
      <c r="AH271" s="407"/>
      <c r="AI271" s="407"/>
      <c r="AJ271" s="407"/>
      <c r="AK271" s="407"/>
      <c r="AL271" s="407"/>
      <c r="AM271" s="407"/>
      <c r="AN271" s="407"/>
      <c r="AO271" s="407"/>
      <c r="AP271" s="407"/>
      <c r="AQ271" s="407"/>
      <c r="AR271" s="407"/>
      <c r="AS271" s="407"/>
      <c r="AT271" s="407"/>
      <c r="AU271" s="407"/>
      <c r="AV271" s="407"/>
      <c r="AW271" s="407"/>
      <c r="AX271" s="407"/>
      <c r="AY271" s="407"/>
      <c r="AZ271" s="407"/>
      <c r="BA271" s="407"/>
      <c r="BB271" s="407"/>
      <c r="BC271" s="407"/>
      <c r="BD271" s="407"/>
      <c r="BE271" s="407"/>
      <c r="BF271" s="407"/>
      <c r="BG271" s="407"/>
      <c r="BH271" s="407"/>
      <c r="BI271" s="407"/>
      <c r="BJ271" s="407"/>
      <c r="BK271" s="407"/>
      <c r="BL271" s="407"/>
      <c r="BM271" s="407"/>
      <c r="BN271" s="407"/>
      <c r="BO271" s="407"/>
      <c r="BP271" s="407"/>
      <c r="BQ271" s="407"/>
      <c r="BR271" s="407"/>
      <c r="BS271" s="407"/>
      <c r="BT271" s="407"/>
      <c r="BU271" s="407"/>
      <c r="BV271" s="407"/>
      <c r="BW271" s="407"/>
      <c r="BX271" s="407"/>
      <c r="BY271" s="407"/>
      <c r="BZ271" s="407"/>
      <c r="CA271" s="407"/>
      <c r="CB271" s="407"/>
      <c r="CC271" s="407"/>
      <c r="CD271" s="407"/>
      <c r="CE271" s="407"/>
      <c r="CF271" s="407"/>
    </row>
    <row r="272" spans="1:84">
      <c r="A272" s="407"/>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c r="AA272" s="407"/>
      <c r="AB272" s="407"/>
      <c r="AC272" s="407"/>
      <c r="AD272" s="407"/>
      <c r="AE272" s="407"/>
      <c r="AF272" s="407"/>
      <c r="AG272" s="407"/>
      <c r="AH272" s="407"/>
      <c r="AI272" s="407"/>
      <c r="AJ272" s="407"/>
      <c r="AK272" s="407"/>
      <c r="AL272" s="407"/>
      <c r="AM272" s="407"/>
      <c r="AN272" s="407"/>
      <c r="AO272" s="407"/>
      <c r="AP272" s="407"/>
      <c r="AQ272" s="407"/>
      <c r="AR272" s="407"/>
      <c r="AS272" s="407"/>
      <c r="AT272" s="407"/>
      <c r="AU272" s="407"/>
      <c r="AV272" s="407"/>
      <c r="AW272" s="407"/>
      <c r="AX272" s="407"/>
      <c r="AY272" s="407"/>
      <c r="AZ272" s="407"/>
      <c r="BA272" s="407"/>
      <c r="BB272" s="407"/>
      <c r="BC272" s="407"/>
      <c r="BD272" s="407"/>
      <c r="BE272" s="407"/>
      <c r="BF272" s="407"/>
      <c r="BG272" s="407"/>
      <c r="BH272" s="407"/>
      <c r="BI272" s="407"/>
      <c r="BJ272" s="407"/>
      <c r="BK272" s="407"/>
      <c r="BL272" s="407"/>
      <c r="BM272" s="407"/>
      <c r="BN272" s="407"/>
      <c r="BO272" s="407"/>
      <c r="BP272" s="407"/>
      <c r="BQ272" s="407"/>
      <c r="BR272" s="407"/>
      <c r="BS272" s="407"/>
      <c r="BT272" s="407"/>
      <c r="BU272" s="407"/>
      <c r="BV272" s="407"/>
      <c r="BW272" s="407"/>
      <c r="BX272" s="407"/>
      <c r="BY272" s="407"/>
      <c r="BZ272" s="407"/>
      <c r="CA272" s="407"/>
      <c r="CB272" s="407"/>
      <c r="CC272" s="407"/>
      <c r="CD272" s="407"/>
      <c r="CE272" s="407"/>
      <c r="CF272" s="407"/>
    </row>
    <row r="273" spans="1:84">
      <c r="A273" s="407"/>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407"/>
      <c r="AE273" s="407"/>
      <c r="AF273" s="407"/>
      <c r="AG273" s="407"/>
      <c r="AH273" s="407"/>
      <c r="AI273" s="407"/>
      <c r="AJ273" s="407"/>
      <c r="AK273" s="407"/>
      <c r="AL273" s="407"/>
      <c r="AM273" s="407"/>
      <c r="AN273" s="407"/>
      <c r="AO273" s="407"/>
      <c r="AP273" s="407"/>
      <c r="AQ273" s="407"/>
      <c r="AR273" s="407"/>
      <c r="AS273" s="407"/>
      <c r="AT273" s="407"/>
      <c r="AU273" s="407"/>
      <c r="AV273" s="407"/>
      <c r="AW273" s="407"/>
      <c r="AX273" s="407"/>
      <c r="AY273" s="407"/>
      <c r="AZ273" s="407"/>
      <c r="BA273" s="407"/>
      <c r="BB273" s="407"/>
      <c r="BC273" s="407"/>
      <c r="BD273" s="407"/>
      <c r="BE273" s="407"/>
      <c r="BF273" s="407"/>
      <c r="BG273" s="407"/>
      <c r="BH273" s="407"/>
      <c r="BI273" s="407"/>
      <c r="BJ273" s="407"/>
      <c r="BK273" s="407"/>
      <c r="BL273" s="407"/>
      <c r="BM273" s="407"/>
      <c r="BN273" s="407"/>
      <c r="BO273" s="407"/>
      <c r="BP273" s="407"/>
      <c r="BQ273" s="407"/>
      <c r="BR273" s="407"/>
      <c r="BS273" s="407"/>
      <c r="BT273" s="407"/>
      <c r="BU273" s="407"/>
      <c r="BV273" s="407"/>
      <c r="BW273" s="407"/>
      <c r="BX273" s="407"/>
      <c r="BY273" s="407"/>
      <c r="BZ273" s="407"/>
      <c r="CA273" s="407"/>
      <c r="CB273" s="407"/>
      <c r="CC273" s="407"/>
      <c r="CD273" s="407"/>
      <c r="CE273" s="407"/>
      <c r="CF273" s="407"/>
    </row>
    <row r="274" spans="1:84">
      <c r="A274" s="407"/>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c r="AA274" s="407"/>
      <c r="AB274" s="407"/>
      <c r="AC274" s="407"/>
      <c r="AD274" s="407"/>
      <c r="AE274" s="407"/>
      <c r="AF274" s="407"/>
      <c r="AG274" s="407"/>
      <c r="AH274" s="407"/>
      <c r="AI274" s="407"/>
      <c r="AJ274" s="407"/>
      <c r="AK274" s="407"/>
      <c r="AL274" s="407"/>
      <c r="AM274" s="407"/>
      <c r="AN274" s="407"/>
      <c r="AO274" s="407"/>
      <c r="AP274" s="407"/>
      <c r="AQ274" s="407"/>
      <c r="AR274" s="407"/>
      <c r="AS274" s="407"/>
      <c r="AT274" s="407"/>
      <c r="AU274" s="407"/>
      <c r="AV274" s="407"/>
      <c r="AW274" s="407"/>
      <c r="AX274" s="407"/>
      <c r="AY274" s="407"/>
      <c r="AZ274" s="407"/>
      <c r="BA274" s="407"/>
      <c r="BB274" s="407"/>
      <c r="BC274" s="407"/>
      <c r="BD274" s="407"/>
      <c r="BE274" s="407"/>
      <c r="BF274" s="407"/>
      <c r="BG274" s="407"/>
      <c r="BH274" s="407"/>
      <c r="BI274" s="407"/>
      <c r="BJ274" s="407"/>
      <c r="BK274" s="407"/>
      <c r="BL274" s="407"/>
      <c r="BM274" s="407"/>
      <c r="BN274" s="407"/>
      <c r="BO274" s="407"/>
      <c r="BP274" s="407"/>
      <c r="BQ274" s="407"/>
      <c r="BR274" s="407"/>
      <c r="BS274" s="407"/>
      <c r="BT274" s="407"/>
      <c r="BU274" s="407"/>
      <c r="BV274" s="407"/>
      <c r="BW274" s="407"/>
      <c r="BX274" s="407"/>
      <c r="BY274" s="407"/>
      <c r="BZ274" s="407"/>
      <c r="CA274" s="407"/>
      <c r="CB274" s="407"/>
      <c r="CC274" s="407"/>
      <c r="CD274" s="407"/>
      <c r="CE274" s="407"/>
      <c r="CF274" s="407"/>
    </row>
    <row r="275" spans="1:84">
      <c r="A275" s="407"/>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c r="AA275" s="407"/>
      <c r="AB275" s="407"/>
      <c r="AC275" s="407"/>
      <c r="AD275" s="407"/>
      <c r="AE275" s="407"/>
      <c r="AF275" s="407"/>
      <c r="AG275" s="407"/>
      <c r="AH275" s="407"/>
      <c r="AI275" s="407"/>
      <c r="AJ275" s="407"/>
      <c r="AK275" s="407"/>
      <c r="AL275" s="407"/>
      <c r="AM275" s="407"/>
      <c r="AN275" s="407"/>
      <c r="AO275" s="407"/>
      <c r="AP275" s="407"/>
      <c r="AQ275" s="407"/>
      <c r="AR275" s="407"/>
      <c r="AS275" s="407"/>
      <c r="AT275" s="407"/>
      <c r="AU275" s="407"/>
      <c r="AV275" s="407"/>
      <c r="AW275" s="407"/>
      <c r="AX275" s="407"/>
      <c r="AY275" s="407"/>
      <c r="AZ275" s="407"/>
      <c r="BA275" s="407"/>
      <c r="BB275" s="407"/>
      <c r="BC275" s="407"/>
      <c r="BD275" s="407"/>
      <c r="BE275" s="407"/>
      <c r="BF275" s="407"/>
      <c r="BG275" s="407"/>
      <c r="BH275" s="407"/>
      <c r="BI275" s="407"/>
      <c r="BJ275" s="407"/>
      <c r="BK275" s="407"/>
      <c r="BL275" s="407"/>
      <c r="BM275" s="407"/>
      <c r="BN275" s="407"/>
      <c r="BO275" s="407"/>
      <c r="BP275" s="407"/>
      <c r="BQ275" s="407"/>
      <c r="BR275" s="407"/>
      <c r="BS275" s="407"/>
      <c r="BT275" s="407"/>
      <c r="BU275" s="407"/>
      <c r="BV275" s="407"/>
      <c r="BW275" s="407"/>
      <c r="BX275" s="407"/>
      <c r="BY275" s="407"/>
      <c r="BZ275" s="407"/>
      <c r="CA275" s="407"/>
      <c r="CB275" s="407"/>
      <c r="CC275" s="407"/>
      <c r="CD275" s="407"/>
      <c r="CE275" s="407"/>
      <c r="CF275" s="407"/>
    </row>
    <row r="276" spans="1:84">
      <c r="A276" s="407"/>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407"/>
      <c r="AB276" s="407"/>
      <c r="AC276" s="407"/>
      <c r="AD276" s="407"/>
      <c r="AE276" s="407"/>
      <c r="AF276" s="407"/>
      <c r="AG276" s="407"/>
      <c r="AH276" s="407"/>
      <c r="AI276" s="407"/>
      <c r="AJ276" s="407"/>
      <c r="AK276" s="407"/>
      <c r="AL276" s="407"/>
      <c r="AM276" s="407"/>
      <c r="AN276" s="407"/>
      <c r="AO276" s="407"/>
      <c r="AP276" s="407"/>
      <c r="AQ276" s="407"/>
      <c r="AR276" s="407"/>
      <c r="AS276" s="407"/>
      <c r="AT276" s="407"/>
      <c r="AU276" s="407"/>
      <c r="AV276" s="407"/>
      <c r="AW276" s="407"/>
      <c r="AX276" s="407"/>
      <c r="AY276" s="407"/>
      <c r="AZ276" s="407"/>
      <c r="BA276" s="407"/>
      <c r="BB276" s="407"/>
      <c r="BC276" s="407"/>
      <c r="BD276" s="407"/>
      <c r="BE276" s="407"/>
      <c r="BF276" s="407"/>
      <c r="BG276" s="407"/>
      <c r="BH276" s="407"/>
      <c r="BI276" s="407"/>
      <c r="BJ276" s="407"/>
      <c r="BK276" s="407"/>
      <c r="BL276" s="407"/>
      <c r="BM276" s="407"/>
      <c r="BN276" s="407"/>
      <c r="BO276" s="407"/>
      <c r="BP276" s="407"/>
      <c r="BQ276" s="407"/>
      <c r="BR276" s="407"/>
      <c r="BS276" s="407"/>
      <c r="BT276" s="407"/>
      <c r="BU276" s="407"/>
      <c r="BV276" s="407"/>
      <c r="BW276" s="407"/>
      <c r="BX276" s="407"/>
      <c r="BY276" s="407"/>
      <c r="BZ276" s="407"/>
      <c r="CA276" s="407"/>
      <c r="CB276" s="407"/>
      <c r="CC276" s="407"/>
      <c r="CD276" s="407"/>
      <c r="CE276" s="407"/>
      <c r="CF276" s="407"/>
    </row>
    <row r="277" spans="1:84">
      <c r="A277" s="407"/>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c r="AA277" s="407"/>
      <c r="AB277" s="407"/>
      <c r="AC277" s="407"/>
      <c r="AD277" s="407"/>
      <c r="AE277" s="407"/>
      <c r="AF277" s="407"/>
      <c r="AG277" s="407"/>
      <c r="AH277" s="407"/>
      <c r="AI277" s="407"/>
      <c r="AJ277" s="407"/>
      <c r="AK277" s="407"/>
      <c r="AL277" s="407"/>
      <c r="AM277" s="407"/>
      <c r="AN277" s="407"/>
      <c r="AO277" s="407"/>
      <c r="AP277" s="407"/>
      <c r="AQ277" s="407"/>
      <c r="AR277" s="407"/>
      <c r="AS277" s="407"/>
      <c r="AT277" s="407"/>
      <c r="AU277" s="407"/>
      <c r="AV277" s="407"/>
      <c r="AW277" s="407"/>
      <c r="AX277" s="407"/>
      <c r="AY277" s="407"/>
      <c r="AZ277" s="407"/>
      <c r="BA277" s="407"/>
      <c r="BB277" s="407"/>
      <c r="BC277" s="407"/>
      <c r="BD277" s="407"/>
      <c r="BE277" s="407"/>
      <c r="BF277" s="407"/>
      <c r="BG277" s="407"/>
      <c r="BH277" s="407"/>
      <c r="BI277" s="407"/>
      <c r="BJ277" s="407"/>
      <c r="BK277" s="407"/>
      <c r="BL277" s="407"/>
      <c r="BM277" s="407"/>
      <c r="BN277" s="407"/>
      <c r="BO277" s="407"/>
      <c r="BP277" s="407"/>
      <c r="BQ277" s="407"/>
      <c r="BR277" s="407"/>
      <c r="BS277" s="407"/>
      <c r="BT277" s="407"/>
      <c r="BU277" s="407"/>
      <c r="BV277" s="407"/>
      <c r="BW277" s="407"/>
      <c r="BX277" s="407"/>
      <c r="BY277" s="407"/>
      <c r="BZ277" s="407"/>
      <c r="CA277" s="407"/>
      <c r="CB277" s="407"/>
      <c r="CC277" s="407"/>
      <c r="CD277" s="407"/>
      <c r="CE277" s="407"/>
      <c r="CF277" s="407"/>
    </row>
    <row r="278" spans="1:84">
      <c r="A278" s="407"/>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407"/>
      <c r="AE278" s="407"/>
      <c r="AF278" s="407"/>
      <c r="AG278" s="407"/>
      <c r="AH278" s="407"/>
      <c r="AI278" s="407"/>
      <c r="AJ278" s="407"/>
      <c r="AK278" s="407"/>
      <c r="AL278" s="407"/>
      <c r="AM278" s="407"/>
      <c r="AN278" s="407"/>
      <c r="AO278" s="407"/>
      <c r="AP278" s="407"/>
      <c r="AQ278" s="407"/>
      <c r="AR278" s="407"/>
      <c r="AS278" s="407"/>
      <c r="AT278" s="407"/>
      <c r="AU278" s="407"/>
      <c r="AV278" s="407"/>
      <c r="AW278" s="407"/>
      <c r="AX278" s="407"/>
      <c r="AY278" s="407"/>
      <c r="AZ278" s="407"/>
      <c r="BA278" s="407"/>
      <c r="BB278" s="407"/>
      <c r="BC278" s="407"/>
      <c r="BD278" s="407"/>
      <c r="BE278" s="407"/>
      <c r="BF278" s="407"/>
      <c r="BG278" s="407"/>
      <c r="BH278" s="407"/>
      <c r="BI278" s="407"/>
      <c r="BJ278" s="407"/>
      <c r="BK278" s="407"/>
      <c r="BL278" s="407"/>
      <c r="BM278" s="407"/>
      <c r="BN278" s="407"/>
      <c r="BO278" s="407"/>
      <c r="BP278" s="407"/>
      <c r="BQ278" s="407"/>
      <c r="BR278" s="407"/>
      <c r="BS278" s="407"/>
      <c r="BT278" s="407"/>
      <c r="BU278" s="407"/>
      <c r="BV278" s="407"/>
      <c r="BW278" s="407"/>
      <c r="BX278" s="407"/>
      <c r="BY278" s="407"/>
      <c r="BZ278" s="407"/>
      <c r="CA278" s="407"/>
      <c r="CB278" s="407"/>
      <c r="CC278" s="407"/>
      <c r="CD278" s="407"/>
      <c r="CE278" s="407"/>
      <c r="CF278" s="407"/>
    </row>
    <row r="279" spans="1:84">
      <c r="A279" s="407"/>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407"/>
      <c r="AB279" s="407"/>
      <c r="AC279" s="407"/>
      <c r="AD279" s="407"/>
      <c r="AE279" s="407"/>
      <c r="AF279" s="407"/>
      <c r="AG279" s="407"/>
      <c r="AH279" s="407"/>
      <c r="AI279" s="407"/>
      <c r="AJ279" s="407"/>
      <c r="AK279" s="407"/>
      <c r="AL279" s="407"/>
      <c r="AM279" s="407"/>
      <c r="AN279" s="407"/>
      <c r="AO279" s="407"/>
      <c r="AP279" s="407"/>
      <c r="AQ279" s="407"/>
      <c r="AR279" s="407"/>
      <c r="AS279" s="407"/>
      <c r="AT279" s="407"/>
      <c r="AU279" s="407"/>
      <c r="AV279" s="407"/>
      <c r="AW279" s="407"/>
      <c r="AX279" s="407"/>
      <c r="AY279" s="407"/>
      <c r="AZ279" s="407"/>
      <c r="BA279" s="407"/>
      <c r="BB279" s="407"/>
      <c r="BC279" s="407"/>
      <c r="BD279" s="407"/>
      <c r="BE279" s="407"/>
      <c r="BF279" s="407"/>
      <c r="BG279" s="407"/>
      <c r="BH279" s="407"/>
      <c r="BI279" s="407"/>
      <c r="BJ279" s="407"/>
      <c r="BK279" s="407"/>
      <c r="BL279" s="407"/>
      <c r="BM279" s="407"/>
      <c r="BN279" s="407"/>
      <c r="BO279" s="407"/>
      <c r="BP279" s="407"/>
      <c r="BQ279" s="407"/>
      <c r="BR279" s="407"/>
      <c r="BS279" s="407"/>
      <c r="BT279" s="407"/>
      <c r="BU279" s="407"/>
      <c r="BV279" s="407"/>
      <c r="BW279" s="407"/>
      <c r="BX279" s="407"/>
      <c r="BY279" s="407"/>
      <c r="BZ279" s="407"/>
      <c r="CA279" s="407"/>
      <c r="CB279" s="407"/>
      <c r="CC279" s="407"/>
      <c r="CD279" s="407"/>
      <c r="CE279" s="407"/>
      <c r="CF279" s="407"/>
    </row>
    <row r="280" spans="1:84">
      <c r="A280" s="407"/>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c r="AA280" s="407"/>
      <c r="AB280" s="407"/>
      <c r="AC280" s="407"/>
      <c r="AD280" s="407"/>
      <c r="AE280" s="407"/>
      <c r="AF280" s="407"/>
      <c r="AG280" s="407"/>
      <c r="AH280" s="407"/>
      <c r="AI280" s="407"/>
      <c r="AJ280" s="407"/>
      <c r="AK280" s="407"/>
      <c r="AL280" s="407"/>
      <c r="AM280" s="407"/>
      <c r="AN280" s="407"/>
      <c r="AO280" s="407"/>
      <c r="AP280" s="407"/>
      <c r="AQ280" s="407"/>
      <c r="AR280" s="407"/>
      <c r="AS280" s="407"/>
      <c r="AT280" s="407"/>
      <c r="AU280" s="407"/>
      <c r="AV280" s="407"/>
      <c r="AW280" s="407"/>
      <c r="AX280" s="407"/>
      <c r="AY280" s="407"/>
      <c r="AZ280" s="407"/>
      <c r="BA280" s="407"/>
      <c r="BB280" s="407"/>
      <c r="BC280" s="407"/>
      <c r="BD280" s="407"/>
      <c r="BE280" s="407"/>
      <c r="BF280" s="407"/>
      <c r="BG280" s="407"/>
      <c r="BH280" s="407"/>
      <c r="BI280" s="407"/>
      <c r="BJ280" s="407"/>
      <c r="BK280" s="407"/>
      <c r="BL280" s="407"/>
      <c r="BM280" s="407"/>
      <c r="BN280" s="407"/>
      <c r="BO280" s="407"/>
      <c r="BP280" s="407"/>
      <c r="BQ280" s="407"/>
      <c r="BR280" s="407"/>
      <c r="BS280" s="407"/>
      <c r="BT280" s="407"/>
      <c r="BU280" s="407"/>
      <c r="BV280" s="407"/>
      <c r="BW280" s="407"/>
      <c r="BX280" s="407"/>
      <c r="BY280" s="407"/>
      <c r="BZ280" s="407"/>
      <c r="CA280" s="407"/>
      <c r="CB280" s="407"/>
      <c r="CC280" s="407"/>
      <c r="CD280" s="407"/>
      <c r="CE280" s="407"/>
      <c r="CF280" s="407"/>
    </row>
    <row r="281" spans="1:84">
      <c r="A281" s="407"/>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c r="AA281" s="407"/>
      <c r="AB281" s="407"/>
      <c r="AC281" s="407"/>
      <c r="AD281" s="407"/>
      <c r="AE281" s="407"/>
      <c r="AF281" s="407"/>
      <c r="AG281" s="407"/>
      <c r="AH281" s="407"/>
      <c r="AI281" s="407"/>
      <c r="AJ281" s="407"/>
      <c r="AK281" s="407"/>
      <c r="AL281" s="407"/>
      <c r="AM281" s="407"/>
      <c r="AN281" s="407"/>
      <c r="AO281" s="407"/>
      <c r="AP281" s="407"/>
      <c r="AQ281" s="407"/>
      <c r="AR281" s="407"/>
      <c r="AS281" s="407"/>
      <c r="AT281" s="407"/>
      <c r="AU281" s="407"/>
      <c r="AV281" s="407"/>
      <c r="AW281" s="407"/>
      <c r="AX281" s="407"/>
      <c r="AY281" s="407"/>
      <c r="AZ281" s="407"/>
      <c r="BA281" s="407"/>
      <c r="BB281" s="407"/>
      <c r="BC281" s="407"/>
      <c r="BD281" s="407"/>
      <c r="BE281" s="407"/>
      <c r="BF281" s="407"/>
      <c r="BG281" s="407"/>
      <c r="BH281" s="407"/>
      <c r="BI281" s="407"/>
      <c r="BJ281" s="407"/>
      <c r="BK281" s="407"/>
      <c r="BL281" s="407"/>
      <c r="BM281" s="407"/>
      <c r="BN281" s="407"/>
      <c r="BO281" s="407"/>
      <c r="BP281" s="407"/>
      <c r="BQ281" s="407"/>
      <c r="BR281" s="407"/>
      <c r="BS281" s="407"/>
      <c r="BT281" s="407"/>
      <c r="BU281" s="407"/>
      <c r="BV281" s="407"/>
      <c r="BW281" s="407"/>
      <c r="BX281" s="407"/>
      <c r="BY281" s="407"/>
      <c r="BZ281" s="407"/>
      <c r="CA281" s="407"/>
      <c r="CB281" s="407"/>
      <c r="CC281" s="407"/>
      <c r="CD281" s="407"/>
      <c r="CE281" s="407"/>
      <c r="CF281" s="407"/>
    </row>
    <row r="282" spans="1:84">
      <c r="A282" s="407"/>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c r="AA282" s="407"/>
      <c r="AB282" s="407"/>
      <c r="AC282" s="407"/>
      <c r="AD282" s="407"/>
      <c r="AE282" s="407"/>
      <c r="AF282" s="407"/>
      <c r="AG282" s="407"/>
      <c r="AH282" s="407"/>
      <c r="AI282" s="407"/>
      <c r="AJ282" s="407"/>
      <c r="AK282" s="407"/>
      <c r="AL282" s="407"/>
      <c r="AM282" s="407"/>
      <c r="AN282" s="407"/>
      <c r="AO282" s="407"/>
      <c r="AP282" s="407"/>
      <c r="AQ282" s="407"/>
      <c r="AR282" s="407"/>
      <c r="AS282" s="407"/>
      <c r="AT282" s="407"/>
      <c r="AU282" s="407"/>
      <c r="AV282" s="407"/>
      <c r="AW282" s="407"/>
      <c r="AX282" s="407"/>
      <c r="AY282" s="407"/>
      <c r="AZ282" s="407"/>
      <c r="BA282" s="407"/>
      <c r="BB282" s="407"/>
      <c r="BC282" s="407"/>
      <c r="BD282" s="407"/>
      <c r="BE282" s="407"/>
      <c r="BF282" s="407"/>
      <c r="BG282" s="407"/>
      <c r="BH282" s="407"/>
      <c r="BI282" s="407"/>
      <c r="BJ282" s="407"/>
      <c r="BK282" s="407"/>
      <c r="BL282" s="407"/>
      <c r="BM282" s="407"/>
      <c r="BN282" s="407"/>
      <c r="BO282" s="407"/>
      <c r="BP282" s="407"/>
      <c r="BQ282" s="407"/>
      <c r="BR282" s="407"/>
      <c r="BS282" s="407"/>
      <c r="BT282" s="407"/>
      <c r="BU282" s="407"/>
      <c r="BV282" s="407"/>
      <c r="BW282" s="407"/>
      <c r="BX282" s="407"/>
      <c r="BY282" s="407"/>
      <c r="BZ282" s="407"/>
      <c r="CA282" s="407"/>
      <c r="CB282" s="407"/>
      <c r="CC282" s="407"/>
      <c r="CD282" s="407"/>
      <c r="CE282" s="407"/>
      <c r="CF282" s="407"/>
    </row>
    <row r="283" spans="1:84">
      <c r="A283" s="407"/>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c r="AA283" s="407"/>
      <c r="AB283" s="407"/>
      <c r="AC283" s="407"/>
      <c r="AD283" s="407"/>
      <c r="AE283" s="407"/>
      <c r="AF283" s="407"/>
      <c r="AG283" s="407"/>
      <c r="AH283" s="407"/>
      <c r="AI283" s="407"/>
      <c r="AJ283" s="407"/>
      <c r="AK283" s="407"/>
      <c r="AL283" s="407"/>
      <c r="AM283" s="407"/>
      <c r="AN283" s="407"/>
      <c r="AO283" s="407"/>
      <c r="AP283" s="407"/>
      <c r="AQ283" s="407"/>
      <c r="AR283" s="407"/>
      <c r="AS283" s="407"/>
      <c r="AT283" s="407"/>
      <c r="AU283" s="407"/>
      <c r="AV283" s="407"/>
      <c r="AW283" s="407"/>
      <c r="AX283" s="407"/>
      <c r="AY283" s="407"/>
      <c r="AZ283" s="407"/>
      <c r="BA283" s="407"/>
      <c r="BB283" s="407"/>
      <c r="BC283" s="407"/>
      <c r="BD283" s="407"/>
      <c r="BE283" s="407"/>
      <c r="BF283" s="407"/>
      <c r="BG283" s="407"/>
      <c r="BH283" s="407"/>
      <c r="BI283" s="407"/>
      <c r="BJ283" s="407"/>
      <c r="BK283" s="407"/>
      <c r="BL283" s="407"/>
      <c r="BM283" s="407"/>
      <c r="BN283" s="407"/>
      <c r="BO283" s="407"/>
      <c r="BP283" s="407"/>
      <c r="BQ283" s="407"/>
      <c r="BR283" s="407"/>
      <c r="BS283" s="407"/>
      <c r="BT283" s="407"/>
      <c r="BU283" s="407"/>
      <c r="BV283" s="407"/>
      <c r="BW283" s="407"/>
      <c r="BX283" s="407"/>
      <c r="BY283" s="407"/>
      <c r="BZ283" s="407"/>
      <c r="CA283" s="407"/>
      <c r="CB283" s="407"/>
      <c r="CC283" s="407"/>
      <c r="CD283" s="407"/>
      <c r="CE283" s="407"/>
      <c r="CF283" s="407"/>
    </row>
    <row r="284" spans="1:84">
      <c r="A284" s="407"/>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c r="AA284" s="407"/>
      <c r="AB284" s="407"/>
      <c r="AC284" s="407"/>
      <c r="AD284" s="407"/>
      <c r="AE284" s="407"/>
      <c r="AF284" s="407"/>
      <c r="AG284" s="407"/>
      <c r="AH284" s="407"/>
      <c r="AI284" s="407"/>
      <c r="AJ284" s="407"/>
      <c r="AK284" s="407"/>
      <c r="AL284" s="407"/>
      <c r="AM284" s="407"/>
      <c r="AN284" s="407"/>
      <c r="AO284" s="407"/>
      <c r="AP284" s="407"/>
      <c r="AQ284" s="407"/>
      <c r="AR284" s="407"/>
      <c r="AS284" s="407"/>
      <c r="AT284" s="407"/>
      <c r="AU284" s="407"/>
      <c r="AV284" s="407"/>
      <c r="AW284" s="407"/>
      <c r="AX284" s="407"/>
      <c r="AY284" s="407"/>
      <c r="AZ284" s="407"/>
      <c r="BA284" s="407"/>
      <c r="BB284" s="407"/>
      <c r="BC284" s="407"/>
      <c r="BD284" s="407"/>
      <c r="BE284" s="407"/>
      <c r="BF284" s="407"/>
      <c r="BG284" s="407"/>
      <c r="BH284" s="407"/>
      <c r="BI284" s="407"/>
      <c r="BJ284" s="407"/>
      <c r="BK284" s="407"/>
      <c r="BL284" s="407"/>
      <c r="BM284" s="407"/>
      <c r="BN284" s="407"/>
      <c r="BO284" s="407"/>
      <c r="BP284" s="407"/>
      <c r="BQ284" s="407"/>
      <c r="BR284" s="407"/>
      <c r="BS284" s="407"/>
      <c r="BT284" s="407"/>
      <c r="BU284" s="407"/>
      <c r="BV284" s="407"/>
      <c r="BW284" s="407"/>
      <c r="BX284" s="407"/>
      <c r="BY284" s="407"/>
      <c r="BZ284" s="407"/>
      <c r="CA284" s="407"/>
      <c r="CB284" s="407"/>
      <c r="CC284" s="407"/>
      <c r="CD284" s="407"/>
      <c r="CE284" s="407"/>
      <c r="CF284" s="407"/>
    </row>
    <row r="285" spans="1:84">
      <c r="A285" s="407"/>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c r="AA285" s="407"/>
      <c r="AB285" s="407"/>
      <c r="AC285" s="407"/>
      <c r="AD285" s="407"/>
      <c r="AE285" s="407"/>
      <c r="AF285" s="407"/>
      <c r="AG285" s="407"/>
      <c r="AH285" s="407"/>
      <c r="AI285" s="407"/>
      <c r="AJ285" s="407"/>
      <c r="AK285" s="407"/>
      <c r="AL285" s="407"/>
      <c r="AM285" s="407"/>
      <c r="AN285" s="407"/>
      <c r="AO285" s="407"/>
      <c r="AP285" s="407"/>
      <c r="AQ285" s="407"/>
      <c r="AR285" s="407"/>
      <c r="AS285" s="407"/>
      <c r="AT285" s="407"/>
      <c r="AU285" s="407"/>
      <c r="AV285" s="407"/>
      <c r="AW285" s="407"/>
      <c r="AX285" s="407"/>
      <c r="AY285" s="407"/>
      <c r="AZ285" s="407"/>
      <c r="BA285" s="407"/>
      <c r="BB285" s="407"/>
      <c r="BC285" s="407"/>
      <c r="BD285" s="407"/>
      <c r="BE285" s="407"/>
      <c r="BF285" s="407"/>
      <c r="BG285" s="407"/>
      <c r="BH285" s="407"/>
      <c r="BI285" s="407"/>
      <c r="BJ285" s="407"/>
      <c r="BK285" s="407"/>
      <c r="BL285" s="407"/>
      <c r="BM285" s="407"/>
      <c r="BN285" s="407"/>
      <c r="BO285" s="407"/>
      <c r="BP285" s="407"/>
      <c r="BQ285" s="407"/>
      <c r="BR285" s="407"/>
      <c r="BS285" s="407"/>
      <c r="BT285" s="407"/>
      <c r="BU285" s="407"/>
      <c r="BV285" s="407"/>
      <c r="BW285" s="407"/>
      <c r="BX285" s="407"/>
      <c r="BY285" s="407"/>
      <c r="BZ285" s="407"/>
      <c r="CA285" s="407"/>
      <c r="CB285" s="407"/>
      <c r="CC285" s="407"/>
      <c r="CD285" s="407"/>
      <c r="CE285" s="407"/>
      <c r="CF285" s="407"/>
    </row>
    <row r="286" spans="1:84">
      <c r="A286" s="407"/>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407"/>
      <c r="AE286" s="407"/>
      <c r="AF286" s="407"/>
      <c r="AG286" s="407"/>
      <c r="AH286" s="407"/>
      <c r="AI286" s="407"/>
      <c r="AJ286" s="407"/>
      <c r="AK286" s="407"/>
      <c r="AL286" s="407"/>
      <c r="AM286" s="407"/>
      <c r="AN286" s="407"/>
      <c r="AO286" s="407"/>
      <c r="AP286" s="407"/>
      <c r="AQ286" s="407"/>
      <c r="AR286" s="407"/>
      <c r="AS286" s="407"/>
      <c r="AT286" s="407"/>
      <c r="AU286" s="407"/>
      <c r="AV286" s="407"/>
      <c r="AW286" s="407"/>
      <c r="AX286" s="407"/>
      <c r="AY286" s="407"/>
      <c r="AZ286" s="407"/>
      <c r="BA286" s="407"/>
      <c r="BB286" s="407"/>
      <c r="BC286" s="407"/>
      <c r="BD286" s="407"/>
      <c r="BE286" s="407"/>
      <c r="BF286" s="407"/>
      <c r="BG286" s="407"/>
      <c r="BH286" s="407"/>
      <c r="BI286" s="407"/>
      <c r="BJ286" s="407"/>
      <c r="BK286" s="407"/>
      <c r="BL286" s="407"/>
      <c r="BM286" s="407"/>
      <c r="BN286" s="407"/>
      <c r="BO286" s="407"/>
      <c r="BP286" s="407"/>
      <c r="BQ286" s="407"/>
      <c r="BR286" s="407"/>
      <c r="BS286" s="407"/>
      <c r="BT286" s="407"/>
      <c r="BU286" s="407"/>
      <c r="BV286" s="407"/>
      <c r="BW286" s="407"/>
      <c r="BX286" s="407"/>
      <c r="BY286" s="407"/>
      <c r="BZ286" s="407"/>
      <c r="CA286" s="407"/>
      <c r="CB286" s="407"/>
      <c r="CC286" s="407"/>
      <c r="CD286" s="407"/>
      <c r="CE286" s="407"/>
      <c r="CF286" s="407"/>
    </row>
    <row r="287" spans="1:84">
      <c r="A287" s="407"/>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c r="AA287" s="407"/>
      <c r="AB287" s="407"/>
      <c r="AC287" s="407"/>
      <c r="AD287" s="407"/>
      <c r="AE287" s="407"/>
      <c r="AF287" s="407"/>
      <c r="AG287" s="407"/>
      <c r="AH287" s="407"/>
      <c r="AI287" s="407"/>
      <c r="AJ287" s="407"/>
      <c r="AK287" s="407"/>
      <c r="AL287" s="407"/>
      <c r="AM287" s="407"/>
      <c r="AN287" s="407"/>
      <c r="AO287" s="407"/>
      <c r="AP287" s="407"/>
      <c r="AQ287" s="407"/>
      <c r="AR287" s="407"/>
      <c r="AS287" s="407"/>
      <c r="AT287" s="407"/>
      <c r="AU287" s="407"/>
      <c r="AV287" s="407"/>
      <c r="AW287" s="407"/>
      <c r="AX287" s="407"/>
      <c r="AY287" s="407"/>
      <c r="AZ287" s="407"/>
      <c r="BA287" s="407"/>
      <c r="BB287" s="407"/>
      <c r="BC287" s="407"/>
      <c r="BD287" s="407"/>
      <c r="BE287" s="407"/>
      <c r="BF287" s="407"/>
      <c r="BG287" s="407"/>
      <c r="BH287" s="407"/>
      <c r="BI287" s="407"/>
      <c r="BJ287" s="407"/>
      <c r="BK287" s="407"/>
      <c r="BL287" s="407"/>
      <c r="BM287" s="407"/>
      <c r="BN287" s="407"/>
      <c r="BO287" s="407"/>
      <c r="BP287" s="407"/>
      <c r="BQ287" s="407"/>
      <c r="BR287" s="407"/>
      <c r="BS287" s="407"/>
      <c r="BT287" s="407"/>
      <c r="BU287" s="407"/>
      <c r="BV287" s="407"/>
      <c r="BW287" s="407"/>
      <c r="BX287" s="407"/>
      <c r="BY287" s="407"/>
      <c r="BZ287" s="407"/>
      <c r="CA287" s="407"/>
      <c r="CB287" s="407"/>
      <c r="CC287" s="407"/>
      <c r="CD287" s="407"/>
      <c r="CE287" s="407"/>
      <c r="CF287" s="407"/>
    </row>
    <row r="288" spans="1:84">
      <c r="A288" s="407"/>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c r="AA288" s="407"/>
      <c r="AB288" s="407"/>
      <c r="AC288" s="407"/>
      <c r="AD288" s="407"/>
      <c r="AE288" s="407"/>
      <c r="AF288" s="407"/>
      <c r="AG288" s="407"/>
      <c r="AH288" s="407"/>
      <c r="AI288" s="407"/>
      <c r="AJ288" s="407"/>
      <c r="AK288" s="407"/>
      <c r="AL288" s="407"/>
      <c r="AM288" s="407"/>
      <c r="AN288" s="407"/>
      <c r="AO288" s="407"/>
      <c r="AP288" s="407"/>
      <c r="AQ288" s="407"/>
      <c r="AR288" s="407"/>
      <c r="AS288" s="407"/>
      <c r="AT288" s="407"/>
      <c r="AU288" s="407"/>
      <c r="AV288" s="407"/>
      <c r="AW288" s="407"/>
      <c r="AX288" s="407"/>
      <c r="AY288" s="407"/>
      <c r="AZ288" s="407"/>
      <c r="BA288" s="407"/>
      <c r="BB288" s="407"/>
      <c r="BC288" s="407"/>
      <c r="BD288" s="407"/>
      <c r="BE288" s="407"/>
      <c r="BF288" s="407"/>
      <c r="BG288" s="407"/>
      <c r="BH288" s="407"/>
      <c r="BI288" s="407"/>
      <c r="BJ288" s="407"/>
      <c r="BK288" s="407"/>
      <c r="BL288" s="407"/>
      <c r="BM288" s="407"/>
      <c r="BN288" s="407"/>
      <c r="BO288" s="407"/>
      <c r="BP288" s="407"/>
      <c r="BQ288" s="407"/>
      <c r="BR288" s="407"/>
      <c r="BS288" s="407"/>
      <c r="BT288" s="407"/>
      <c r="BU288" s="407"/>
      <c r="BV288" s="407"/>
      <c r="BW288" s="407"/>
      <c r="BX288" s="407"/>
      <c r="BY288" s="407"/>
      <c r="BZ288" s="407"/>
      <c r="CA288" s="407"/>
      <c r="CB288" s="407"/>
      <c r="CC288" s="407"/>
      <c r="CD288" s="407"/>
      <c r="CE288" s="407"/>
      <c r="CF288" s="407"/>
    </row>
    <row r="289" spans="1:84">
      <c r="A289" s="407"/>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c r="AA289" s="407"/>
      <c r="AB289" s="407"/>
      <c r="AC289" s="407"/>
      <c r="AD289" s="407"/>
      <c r="AE289" s="407"/>
      <c r="AF289" s="407"/>
      <c r="AG289" s="407"/>
      <c r="AH289" s="407"/>
      <c r="AI289" s="407"/>
      <c r="AJ289" s="407"/>
      <c r="AK289" s="407"/>
      <c r="AL289" s="407"/>
      <c r="AM289" s="407"/>
      <c r="AN289" s="407"/>
      <c r="AO289" s="407"/>
      <c r="AP289" s="407"/>
      <c r="AQ289" s="407"/>
      <c r="AR289" s="407"/>
      <c r="AS289" s="407"/>
      <c r="AT289" s="407"/>
      <c r="AU289" s="407"/>
      <c r="AV289" s="407"/>
      <c r="AW289" s="407"/>
      <c r="AX289" s="407"/>
      <c r="AY289" s="407"/>
      <c r="AZ289" s="407"/>
      <c r="BA289" s="407"/>
      <c r="BB289" s="407"/>
      <c r="BC289" s="407"/>
      <c r="BD289" s="407"/>
      <c r="BE289" s="407"/>
      <c r="BF289" s="407"/>
      <c r="BG289" s="407"/>
      <c r="BH289" s="407"/>
      <c r="BI289" s="407"/>
      <c r="BJ289" s="407"/>
      <c r="BK289" s="407"/>
      <c r="BL289" s="407"/>
      <c r="BM289" s="407"/>
      <c r="BN289" s="407"/>
      <c r="BO289" s="407"/>
      <c r="BP289" s="407"/>
      <c r="BQ289" s="407"/>
      <c r="BR289" s="407"/>
      <c r="BS289" s="407"/>
      <c r="BT289" s="407"/>
      <c r="BU289" s="407"/>
      <c r="BV289" s="407"/>
      <c r="BW289" s="407"/>
      <c r="BX289" s="407"/>
      <c r="BY289" s="407"/>
      <c r="BZ289" s="407"/>
      <c r="CA289" s="407"/>
      <c r="CB289" s="407"/>
      <c r="CC289" s="407"/>
      <c r="CD289" s="407"/>
      <c r="CE289" s="407"/>
      <c r="CF289" s="407"/>
    </row>
    <row r="290" spans="1:84">
      <c r="A290" s="407"/>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c r="AA290" s="407"/>
      <c r="AB290" s="407"/>
      <c r="AC290" s="407"/>
      <c r="AD290" s="407"/>
      <c r="AE290" s="407"/>
      <c r="AF290" s="407"/>
      <c r="AG290" s="407"/>
      <c r="AH290" s="407"/>
      <c r="AI290" s="407"/>
      <c r="AJ290" s="407"/>
      <c r="AK290" s="407"/>
      <c r="AL290" s="407"/>
      <c r="AM290" s="407"/>
      <c r="AN290" s="407"/>
      <c r="AO290" s="407"/>
      <c r="AP290" s="407"/>
      <c r="AQ290" s="407"/>
      <c r="AR290" s="407"/>
      <c r="AS290" s="407"/>
      <c r="AT290" s="407"/>
      <c r="AU290" s="407"/>
      <c r="AV290" s="407"/>
      <c r="AW290" s="407"/>
      <c r="AX290" s="407"/>
      <c r="AY290" s="407"/>
      <c r="AZ290" s="407"/>
      <c r="BA290" s="407"/>
      <c r="BB290" s="407"/>
      <c r="BC290" s="407"/>
      <c r="BD290" s="407"/>
      <c r="BE290" s="407"/>
      <c r="BF290" s="407"/>
      <c r="BG290" s="407"/>
      <c r="BH290" s="407"/>
      <c r="BI290" s="407"/>
      <c r="BJ290" s="407"/>
      <c r="BK290" s="407"/>
      <c r="BL290" s="407"/>
      <c r="BM290" s="407"/>
      <c r="BN290" s="407"/>
      <c r="BO290" s="407"/>
      <c r="BP290" s="407"/>
      <c r="BQ290" s="407"/>
      <c r="BR290" s="407"/>
      <c r="BS290" s="407"/>
      <c r="BT290" s="407"/>
      <c r="BU290" s="407"/>
      <c r="BV290" s="407"/>
      <c r="BW290" s="407"/>
      <c r="BX290" s="407"/>
      <c r="BY290" s="407"/>
      <c r="BZ290" s="407"/>
      <c r="CA290" s="407"/>
      <c r="CB290" s="407"/>
      <c r="CC290" s="407"/>
      <c r="CD290" s="407"/>
      <c r="CE290" s="407"/>
      <c r="CF290" s="407"/>
    </row>
    <row r="291" spans="1:84">
      <c r="A291" s="407"/>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c r="AA291" s="407"/>
      <c r="AB291" s="407"/>
      <c r="AC291" s="407"/>
      <c r="AD291" s="407"/>
      <c r="AE291" s="407"/>
      <c r="AF291" s="407"/>
      <c r="AG291" s="407"/>
      <c r="AH291" s="407"/>
      <c r="AI291" s="407"/>
      <c r="AJ291" s="407"/>
      <c r="AK291" s="407"/>
      <c r="AL291" s="407"/>
      <c r="AM291" s="407"/>
      <c r="AN291" s="407"/>
      <c r="AO291" s="407"/>
      <c r="AP291" s="407"/>
      <c r="AQ291" s="407"/>
      <c r="AR291" s="407"/>
      <c r="AS291" s="407"/>
      <c r="AT291" s="407"/>
      <c r="AU291" s="407"/>
      <c r="AV291" s="407"/>
      <c r="AW291" s="407"/>
      <c r="AX291" s="407"/>
      <c r="AY291" s="407"/>
      <c r="AZ291" s="407"/>
      <c r="BA291" s="407"/>
      <c r="BB291" s="407"/>
      <c r="BC291" s="407"/>
      <c r="BD291" s="407"/>
      <c r="BE291" s="407"/>
      <c r="BF291" s="407"/>
      <c r="BG291" s="407"/>
      <c r="BH291" s="407"/>
      <c r="BI291" s="407"/>
      <c r="BJ291" s="407"/>
      <c r="BK291" s="407"/>
      <c r="BL291" s="407"/>
      <c r="BM291" s="407"/>
      <c r="BN291" s="407"/>
      <c r="BO291" s="407"/>
      <c r="BP291" s="407"/>
      <c r="BQ291" s="407"/>
      <c r="BR291" s="407"/>
      <c r="BS291" s="407"/>
      <c r="BT291" s="407"/>
      <c r="BU291" s="407"/>
      <c r="BV291" s="407"/>
      <c r="BW291" s="407"/>
      <c r="BX291" s="407"/>
      <c r="BY291" s="407"/>
      <c r="BZ291" s="407"/>
      <c r="CA291" s="407"/>
      <c r="CB291" s="407"/>
      <c r="CC291" s="407"/>
      <c r="CD291" s="407"/>
      <c r="CE291" s="407"/>
      <c r="CF291" s="407"/>
    </row>
    <row r="292" spans="1:84">
      <c r="A292" s="407"/>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c r="AA292" s="407"/>
      <c r="AB292" s="407"/>
      <c r="AC292" s="407"/>
      <c r="AD292" s="407"/>
      <c r="AE292" s="407"/>
      <c r="AF292" s="407"/>
      <c r="AG292" s="407"/>
      <c r="AH292" s="407"/>
      <c r="AI292" s="407"/>
      <c r="AJ292" s="407"/>
      <c r="AK292" s="407"/>
      <c r="AL292" s="407"/>
      <c r="AM292" s="407"/>
      <c r="AN292" s="407"/>
      <c r="AO292" s="407"/>
      <c r="AP292" s="407"/>
      <c r="AQ292" s="407"/>
      <c r="AR292" s="407"/>
      <c r="AS292" s="407"/>
      <c r="AT292" s="407"/>
      <c r="AU292" s="407"/>
      <c r="AV292" s="407"/>
      <c r="AW292" s="407"/>
      <c r="AX292" s="407"/>
      <c r="AY292" s="407"/>
      <c r="AZ292" s="407"/>
      <c r="BA292" s="407"/>
      <c r="BB292" s="407"/>
      <c r="BC292" s="407"/>
      <c r="BD292" s="407"/>
      <c r="BE292" s="407"/>
      <c r="BF292" s="407"/>
      <c r="BG292" s="407"/>
      <c r="BH292" s="407"/>
      <c r="BI292" s="407"/>
      <c r="BJ292" s="407"/>
      <c r="BK292" s="407"/>
      <c r="BL292" s="407"/>
      <c r="BM292" s="407"/>
      <c r="BN292" s="407"/>
      <c r="BO292" s="407"/>
      <c r="BP292" s="407"/>
      <c r="BQ292" s="407"/>
      <c r="BR292" s="407"/>
      <c r="BS292" s="407"/>
      <c r="BT292" s="407"/>
      <c r="BU292" s="407"/>
      <c r="BV292" s="407"/>
      <c r="BW292" s="407"/>
      <c r="BX292" s="407"/>
      <c r="BY292" s="407"/>
      <c r="BZ292" s="407"/>
      <c r="CA292" s="407"/>
      <c r="CB292" s="407"/>
      <c r="CC292" s="407"/>
      <c r="CD292" s="407"/>
      <c r="CE292" s="407"/>
      <c r="CF292" s="407"/>
    </row>
    <row r="293" spans="1:84">
      <c r="A293" s="407"/>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c r="AA293" s="407"/>
      <c r="AB293" s="407"/>
      <c r="AC293" s="407"/>
      <c r="AD293" s="407"/>
      <c r="AE293" s="407"/>
      <c r="AF293" s="407"/>
      <c r="AG293" s="407"/>
      <c r="AH293" s="407"/>
      <c r="AI293" s="407"/>
      <c r="AJ293" s="407"/>
      <c r="AK293" s="407"/>
      <c r="AL293" s="407"/>
      <c r="AM293" s="407"/>
      <c r="AN293" s="407"/>
      <c r="AO293" s="407"/>
      <c r="AP293" s="407"/>
      <c r="AQ293" s="407"/>
      <c r="AR293" s="407"/>
      <c r="AS293" s="407"/>
      <c r="AT293" s="407"/>
      <c r="AU293" s="407"/>
      <c r="AV293" s="407"/>
      <c r="AW293" s="407"/>
      <c r="AX293" s="407"/>
      <c r="AY293" s="407"/>
      <c r="AZ293" s="407"/>
      <c r="BA293" s="407"/>
      <c r="BB293" s="407"/>
      <c r="BC293" s="407"/>
      <c r="BD293" s="407"/>
      <c r="BE293" s="407"/>
      <c r="BF293" s="407"/>
      <c r="BG293" s="407"/>
      <c r="BH293" s="407"/>
      <c r="BI293" s="407"/>
      <c r="BJ293" s="407"/>
      <c r="BK293" s="407"/>
      <c r="BL293" s="407"/>
      <c r="BM293" s="407"/>
      <c r="BN293" s="407"/>
      <c r="BO293" s="407"/>
      <c r="BP293" s="407"/>
      <c r="BQ293" s="407"/>
      <c r="BR293" s="407"/>
      <c r="BS293" s="407"/>
      <c r="BT293" s="407"/>
      <c r="BU293" s="407"/>
      <c r="BV293" s="407"/>
      <c r="BW293" s="407"/>
      <c r="BX293" s="407"/>
      <c r="BY293" s="407"/>
      <c r="BZ293" s="407"/>
      <c r="CA293" s="407"/>
      <c r="CB293" s="407"/>
      <c r="CC293" s="407"/>
      <c r="CD293" s="407"/>
      <c r="CE293" s="407"/>
      <c r="CF293" s="407"/>
    </row>
    <row r="294" spans="1:84">
      <c r="A294" s="407"/>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407"/>
      <c r="AE294" s="407"/>
      <c r="AF294" s="407"/>
      <c r="AG294" s="407"/>
      <c r="AH294" s="407"/>
      <c r="AI294" s="407"/>
      <c r="AJ294" s="407"/>
      <c r="AK294" s="407"/>
      <c r="AL294" s="407"/>
      <c r="AM294" s="407"/>
      <c r="AN294" s="407"/>
      <c r="AO294" s="407"/>
      <c r="AP294" s="407"/>
      <c r="AQ294" s="407"/>
      <c r="AR294" s="407"/>
      <c r="AS294" s="407"/>
      <c r="AT294" s="407"/>
      <c r="AU294" s="407"/>
      <c r="AV294" s="407"/>
      <c r="AW294" s="407"/>
      <c r="AX294" s="407"/>
      <c r="AY294" s="407"/>
      <c r="AZ294" s="407"/>
      <c r="BA294" s="407"/>
      <c r="BB294" s="407"/>
      <c r="BC294" s="407"/>
      <c r="BD294" s="407"/>
      <c r="BE294" s="407"/>
      <c r="BF294" s="407"/>
      <c r="BG294" s="407"/>
      <c r="BH294" s="407"/>
      <c r="BI294" s="407"/>
      <c r="BJ294" s="407"/>
      <c r="BK294" s="407"/>
      <c r="BL294" s="407"/>
      <c r="BM294" s="407"/>
      <c r="BN294" s="407"/>
      <c r="BO294" s="407"/>
      <c r="BP294" s="407"/>
      <c r="BQ294" s="407"/>
      <c r="BR294" s="407"/>
      <c r="BS294" s="407"/>
      <c r="BT294" s="407"/>
      <c r="BU294" s="407"/>
      <c r="BV294" s="407"/>
      <c r="BW294" s="407"/>
      <c r="BX294" s="407"/>
      <c r="BY294" s="407"/>
      <c r="BZ294" s="407"/>
      <c r="CA294" s="407"/>
      <c r="CB294" s="407"/>
      <c r="CC294" s="407"/>
      <c r="CD294" s="407"/>
      <c r="CE294" s="407"/>
      <c r="CF294" s="407"/>
    </row>
    <row r="295" spans="1:84">
      <c r="A295" s="407"/>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407"/>
      <c r="AE295" s="407"/>
      <c r="AF295" s="407"/>
      <c r="AG295" s="407"/>
      <c r="AH295" s="407"/>
      <c r="AI295" s="407"/>
      <c r="AJ295" s="407"/>
      <c r="AK295" s="407"/>
      <c r="AL295" s="407"/>
      <c r="AM295" s="407"/>
      <c r="AN295" s="407"/>
      <c r="AO295" s="407"/>
      <c r="AP295" s="407"/>
      <c r="AQ295" s="407"/>
      <c r="AR295" s="407"/>
      <c r="AS295" s="407"/>
      <c r="AT295" s="407"/>
      <c r="AU295" s="407"/>
      <c r="AV295" s="407"/>
      <c r="AW295" s="407"/>
      <c r="AX295" s="407"/>
      <c r="AY295" s="407"/>
      <c r="AZ295" s="407"/>
      <c r="BA295" s="407"/>
      <c r="BB295" s="407"/>
      <c r="BC295" s="407"/>
      <c r="BD295" s="407"/>
      <c r="BE295" s="407"/>
      <c r="BF295" s="407"/>
      <c r="BG295" s="407"/>
      <c r="BH295" s="407"/>
      <c r="BI295" s="407"/>
      <c r="BJ295" s="407"/>
      <c r="BK295" s="407"/>
      <c r="BL295" s="407"/>
      <c r="BM295" s="407"/>
      <c r="BN295" s="407"/>
      <c r="BO295" s="407"/>
      <c r="BP295" s="407"/>
      <c r="BQ295" s="407"/>
      <c r="BR295" s="407"/>
      <c r="BS295" s="407"/>
      <c r="BT295" s="407"/>
      <c r="BU295" s="407"/>
      <c r="BV295" s="407"/>
      <c r="BW295" s="407"/>
      <c r="BX295" s="407"/>
      <c r="BY295" s="407"/>
      <c r="BZ295" s="407"/>
      <c r="CA295" s="407"/>
      <c r="CB295" s="407"/>
      <c r="CC295" s="407"/>
      <c r="CD295" s="407"/>
      <c r="CE295" s="407"/>
      <c r="CF295" s="407"/>
    </row>
    <row r="296" spans="1:84">
      <c r="A296" s="407"/>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c r="AA296" s="407"/>
      <c r="AB296" s="407"/>
      <c r="AC296" s="407"/>
      <c r="AD296" s="407"/>
      <c r="AE296" s="407"/>
      <c r="AF296" s="407"/>
      <c r="AG296" s="407"/>
      <c r="AH296" s="407"/>
      <c r="AI296" s="407"/>
      <c r="AJ296" s="407"/>
      <c r="AK296" s="407"/>
      <c r="AL296" s="407"/>
      <c r="AM296" s="407"/>
      <c r="AN296" s="407"/>
      <c r="AO296" s="407"/>
      <c r="AP296" s="407"/>
      <c r="AQ296" s="407"/>
      <c r="AR296" s="407"/>
      <c r="AS296" s="407"/>
      <c r="AT296" s="407"/>
      <c r="AU296" s="407"/>
      <c r="AV296" s="407"/>
      <c r="AW296" s="407"/>
      <c r="AX296" s="407"/>
      <c r="AY296" s="407"/>
      <c r="AZ296" s="407"/>
      <c r="BA296" s="407"/>
      <c r="BB296" s="407"/>
      <c r="BC296" s="407"/>
      <c r="BD296" s="407"/>
      <c r="BE296" s="407"/>
      <c r="BF296" s="407"/>
      <c r="BG296" s="407"/>
      <c r="BH296" s="407"/>
      <c r="BI296" s="407"/>
      <c r="BJ296" s="407"/>
      <c r="BK296" s="407"/>
      <c r="BL296" s="407"/>
      <c r="BM296" s="407"/>
      <c r="BN296" s="407"/>
      <c r="BO296" s="407"/>
      <c r="BP296" s="407"/>
      <c r="BQ296" s="407"/>
      <c r="BR296" s="407"/>
      <c r="BS296" s="407"/>
      <c r="BT296" s="407"/>
      <c r="BU296" s="407"/>
      <c r="BV296" s="407"/>
      <c r="BW296" s="407"/>
      <c r="BX296" s="407"/>
      <c r="BY296" s="407"/>
      <c r="BZ296" s="407"/>
      <c r="CA296" s="407"/>
      <c r="CB296" s="407"/>
      <c r="CC296" s="407"/>
      <c r="CD296" s="407"/>
      <c r="CE296" s="407"/>
      <c r="CF296" s="407"/>
    </row>
    <row r="297" spans="1:84">
      <c r="A297" s="407"/>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c r="AA297" s="407"/>
      <c r="AB297" s="407"/>
      <c r="AC297" s="407"/>
      <c r="AD297" s="407"/>
      <c r="AE297" s="407"/>
      <c r="AF297" s="407"/>
      <c r="AG297" s="407"/>
      <c r="AH297" s="407"/>
      <c r="AI297" s="407"/>
      <c r="AJ297" s="407"/>
      <c r="AK297" s="407"/>
      <c r="AL297" s="407"/>
      <c r="AM297" s="407"/>
      <c r="AN297" s="407"/>
      <c r="AO297" s="407"/>
      <c r="AP297" s="407"/>
      <c r="AQ297" s="407"/>
      <c r="AR297" s="407"/>
      <c r="AS297" s="407"/>
      <c r="AT297" s="407"/>
      <c r="AU297" s="407"/>
      <c r="AV297" s="407"/>
      <c r="AW297" s="407"/>
      <c r="AX297" s="407"/>
      <c r="AY297" s="407"/>
      <c r="AZ297" s="407"/>
      <c r="BA297" s="407"/>
      <c r="BB297" s="407"/>
      <c r="BC297" s="407"/>
      <c r="BD297" s="407"/>
      <c r="BE297" s="407"/>
      <c r="BF297" s="407"/>
      <c r="BG297" s="407"/>
      <c r="BH297" s="407"/>
      <c r="BI297" s="407"/>
      <c r="BJ297" s="407"/>
      <c r="BK297" s="407"/>
      <c r="BL297" s="407"/>
      <c r="BM297" s="407"/>
      <c r="BN297" s="407"/>
      <c r="BO297" s="407"/>
      <c r="BP297" s="407"/>
      <c r="BQ297" s="407"/>
      <c r="BR297" s="407"/>
      <c r="BS297" s="407"/>
      <c r="BT297" s="407"/>
      <c r="BU297" s="407"/>
      <c r="BV297" s="407"/>
      <c r="BW297" s="407"/>
      <c r="BX297" s="407"/>
      <c r="BY297" s="407"/>
      <c r="BZ297" s="407"/>
      <c r="CA297" s="407"/>
      <c r="CB297" s="407"/>
      <c r="CC297" s="407"/>
      <c r="CD297" s="407"/>
      <c r="CE297" s="407"/>
      <c r="CF297" s="407"/>
    </row>
    <row r="298" spans="1:84">
      <c r="A298" s="407"/>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407"/>
      <c r="AE298" s="407"/>
      <c r="AF298" s="407"/>
      <c r="AG298" s="407"/>
      <c r="AH298" s="407"/>
      <c r="AI298" s="407"/>
      <c r="AJ298" s="407"/>
      <c r="AK298" s="407"/>
      <c r="AL298" s="407"/>
      <c r="AM298" s="407"/>
      <c r="AN298" s="407"/>
      <c r="AO298" s="407"/>
      <c r="AP298" s="407"/>
      <c r="AQ298" s="407"/>
      <c r="AR298" s="407"/>
      <c r="AS298" s="407"/>
      <c r="AT298" s="407"/>
      <c r="AU298" s="407"/>
      <c r="AV298" s="407"/>
      <c r="AW298" s="407"/>
      <c r="AX298" s="407"/>
      <c r="AY298" s="407"/>
      <c r="AZ298" s="407"/>
      <c r="BA298" s="407"/>
      <c r="BB298" s="407"/>
      <c r="BC298" s="407"/>
      <c r="BD298" s="407"/>
      <c r="BE298" s="407"/>
      <c r="BF298" s="407"/>
      <c r="BG298" s="407"/>
      <c r="BH298" s="407"/>
      <c r="BI298" s="407"/>
      <c r="BJ298" s="407"/>
      <c r="BK298" s="407"/>
      <c r="BL298" s="407"/>
      <c r="BM298" s="407"/>
      <c r="BN298" s="407"/>
      <c r="BO298" s="407"/>
      <c r="BP298" s="407"/>
      <c r="BQ298" s="407"/>
      <c r="BR298" s="407"/>
      <c r="BS298" s="407"/>
      <c r="BT298" s="407"/>
      <c r="BU298" s="407"/>
      <c r="BV298" s="407"/>
      <c r="BW298" s="407"/>
      <c r="BX298" s="407"/>
      <c r="BY298" s="407"/>
      <c r="BZ298" s="407"/>
      <c r="CA298" s="407"/>
      <c r="CB298" s="407"/>
      <c r="CC298" s="407"/>
      <c r="CD298" s="407"/>
      <c r="CE298" s="407"/>
      <c r="CF298" s="407"/>
    </row>
    <row r="299" spans="1:84">
      <c r="A299" s="407"/>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407"/>
      <c r="AE299" s="407"/>
      <c r="AF299" s="407"/>
      <c r="AG299" s="407"/>
      <c r="AH299" s="407"/>
      <c r="AI299" s="407"/>
      <c r="AJ299" s="407"/>
      <c r="AK299" s="407"/>
      <c r="AL299" s="407"/>
      <c r="AM299" s="407"/>
      <c r="AN299" s="407"/>
      <c r="AO299" s="407"/>
      <c r="AP299" s="407"/>
      <c r="AQ299" s="407"/>
      <c r="AR299" s="407"/>
      <c r="AS299" s="407"/>
      <c r="AT299" s="407"/>
      <c r="AU299" s="407"/>
      <c r="AV299" s="407"/>
      <c r="AW299" s="407"/>
      <c r="AX299" s="407"/>
      <c r="AY299" s="407"/>
      <c r="AZ299" s="407"/>
      <c r="BA299" s="407"/>
      <c r="BB299" s="407"/>
      <c r="BC299" s="407"/>
      <c r="BD299" s="407"/>
      <c r="BE299" s="407"/>
      <c r="BF299" s="407"/>
      <c r="BG299" s="407"/>
      <c r="BH299" s="407"/>
      <c r="BI299" s="407"/>
      <c r="BJ299" s="407"/>
      <c r="BK299" s="407"/>
      <c r="BL299" s="407"/>
      <c r="BM299" s="407"/>
      <c r="BN299" s="407"/>
      <c r="BO299" s="407"/>
      <c r="BP299" s="407"/>
      <c r="BQ299" s="407"/>
      <c r="BR299" s="407"/>
      <c r="BS299" s="407"/>
      <c r="BT299" s="407"/>
      <c r="BU299" s="407"/>
      <c r="BV299" s="407"/>
      <c r="BW299" s="407"/>
      <c r="BX299" s="407"/>
      <c r="BY299" s="407"/>
      <c r="BZ299" s="407"/>
      <c r="CA299" s="407"/>
      <c r="CB299" s="407"/>
      <c r="CC299" s="407"/>
      <c r="CD299" s="407"/>
      <c r="CE299" s="407"/>
      <c r="CF299" s="407"/>
    </row>
    <row r="300" spans="1:84">
      <c r="A300" s="407"/>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c r="AA300" s="407"/>
      <c r="AB300" s="407"/>
      <c r="AC300" s="407"/>
      <c r="AD300" s="407"/>
      <c r="AE300" s="407"/>
      <c r="AF300" s="407"/>
      <c r="AG300" s="407"/>
      <c r="AH300" s="407"/>
      <c r="AI300" s="407"/>
      <c r="AJ300" s="407"/>
      <c r="AK300" s="407"/>
      <c r="AL300" s="407"/>
      <c r="AM300" s="407"/>
      <c r="AN300" s="407"/>
      <c r="AO300" s="407"/>
      <c r="AP300" s="407"/>
      <c r="AQ300" s="407"/>
      <c r="AR300" s="407"/>
      <c r="AS300" s="407"/>
      <c r="AT300" s="407"/>
      <c r="AU300" s="407"/>
      <c r="AV300" s="407"/>
      <c r="AW300" s="407"/>
      <c r="AX300" s="407"/>
      <c r="AY300" s="407"/>
      <c r="AZ300" s="407"/>
      <c r="BA300" s="407"/>
      <c r="BB300" s="407"/>
      <c r="BC300" s="407"/>
      <c r="BD300" s="407"/>
      <c r="BE300" s="407"/>
      <c r="BF300" s="407"/>
      <c r="BG300" s="407"/>
      <c r="BH300" s="407"/>
      <c r="BI300" s="407"/>
      <c r="BJ300" s="407"/>
      <c r="BK300" s="407"/>
      <c r="BL300" s="407"/>
      <c r="BM300" s="407"/>
      <c r="BN300" s="407"/>
      <c r="BO300" s="407"/>
      <c r="BP300" s="407"/>
      <c r="BQ300" s="407"/>
      <c r="BR300" s="407"/>
      <c r="BS300" s="407"/>
      <c r="BT300" s="407"/>
      <c r="BU300" s="407"/>
      <c r="BV300" s="407"/>
      <c r="BW300" s="407"/>
      <c r="BX300" s="407"/>
      <c r="BY300" s="407"/>
      <c r="BZ300" s="407"/>
      <c r="CA300" s="407"/>
      <c r="CB300" s="407"/>
      <c r="CC300" s="407"/>
      <c r="CD300" s="407"/>
      <c r="CE300" s="407"/>
      <c r="CF300" s="407"/>
    </row>
    <row r="301" spans="1:84">
      <c r="A301" s="407"/>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c r="AA301" s="407"/>
      <c r="AB301" s="407"/>
      <c r="AC301" s="407"/>
      <c r="AD301" s="407"/>
      <c r="AE301" s="407"/>
      <c r="AF301" s="407"/>
      <c r="AG301" s="407"/>
      <c r="AH301" s="407"/>
      <c r="AI301" s="407"/>
      <c r="AJ301" s="407"/>
      <c r="AK301" s="407"/>
      <c r="AL301" s="407"/>
      <c r="AM301" s="407"/>
      <c r="AN301" s="407"/>
      <c r="AO301" s="407"/>
      <c r="AP301" s="407"/>
      <c r="AQ301" s="407"/>
      <c r="AR301" s="407"/>
      <c r="AS301" s="407"/>
      <c r="AT301" s="407"/>
      <c r="AU301" s="407"/>
      <c r="AV301" s="407"/>
      <c r="AW301" s="407"/>
      <c r="AX301" s="407"/>
      <c r="AY301" s="407"/>
      <c r="AZ301" s="407"/>
      <c r="BA301" s="407"/>
      <c r="BB301" s="407"/>
      <c r="BC301" s="407"/>
      <c r="BD301" s="407"/>
      <c r="BE301" s="407"/>
      <c r="BF301" s="407"/>
      <c r="BG301" s="407"/>
      <c r="BH301" s="407"/>
      <c r="BI301" s="407"/>
      <c r="BJ301" s="407"/>
      <c r="BK301" s="407"/>
      <c r="BL301" s="407"/>
      <c r="BM301" s="407"/>
      <c r="BN301" s="407"/>
      <c r="BO301" s="407"/>
      <c r="BP301" s="407"/>
      <c r="BQ301" s="407"/>
      <c r="BR301" s="407"/>
      <c r="BS301" s="407"/>
      <c r="BT301" s="407"/>
      <c r="BU301" s="407"/>
      <c r="BV301" s="407"/>
      <c r="BW301" s="407"/>
      <c r="BX301" s="407"/>
      <c r="BY301" s="407"/>
      <c r="BZ301" s="407"/>
      <c r="CA301" s="407"/>
      <c r="CB301" s="407"/>
      <c r="CC301" s="407"/>
      <c r="CD301" s="407"/>
      <c r="CE301" s="407"/>
      <c r="CF301" s="407"/>
    </row>
    <row r="302" spans="1:84">
      <c r="A302" s="407"/>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407"/>
      <c r="AE302" s="407"/>
      <c r="AF302" s="407"/>
      <c r="AG302" s="407"/>
      <c r="AH302" s="407"/>
      <c r="AI302" s="407"/>
      <c r="AJ302" s="407"/>
      <c r="AK302" s="407"/>
      <c r="AL302" s="407"/>
      <c r="AM302" s="407"/>
      <c r="AN302" s="407"/>
      <c r="AO302" s="407"/>
      <c r="AP302" s="407"/>
      <c r="AQ302" s="407"/>
      <c r="AR302" s="407"/>
      <c r="AS302" s="407"/>
      <c r="AT302" s="407"/>
      <c r="AU302" s="407"/>
      <c r="AV302" s="407"/>
      <c r="AW302" s="407"/>
      <c r="AX302" s="407"/>
      <c r="AY302" s="407"/>
      <c r="AZ302" s="407"/>
      <c r="BA302" s="407"/>
      <c r="BB302" s="407"/>
      <c r="BC302" s="407"/>
      <c r="BD302" s="407"/>
      <c r="BE302" s="407"/>
      <c r="BF302" s="407"/>
      <c r="BG302" s="407"/>
      <c r="BH302" s="407"/>
      <c r="BI302" s="407"/>
      <c r="BJ302" s="407"/>
      <c r="BK302" s="407"/>
      <c r="BL302" s="407"/>
      <c r="BM302" s="407"/>
      <c r="BN302" s="407"/>
      <c r="BO302" s="407"/>
      <c r="BP302" s="407"/>
      <c r="BQ302" s="407"/>
      <c r="BR302" s="407"/>
      <c r="BS302" s="407"/>
      <c r="BT302" s="407"/>
      <c r="BU302" s="407"/>
      <c r="BV302" s="407"/>
      <c r="BW302" s="407"/>
      <c r="BX302" s="407"/>
      <c r="BY302" s="407"/>
      <c r="BZ302" s="407"/>
      <c r="CA302" s="407"/>
      <c r="CB302" s="407"/>
      <c r="CC302" s="407"/>
      <c r="CD302" s="407"/>
      <c r="CE302" s="407"/>
      <c r="CF302" s="407"/>
    </row>
    <row r="303" spans="1:84">
      <c r="A303" s="407"/>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c r="AA303" s="407"/>
      <c r="AB303" s="407"/>
      <c r="AC303" s="407"/>
      <c r="AD303" s="407"/>
      <c r="AE303" s="407"/>
      <c r="AF303" s="407"/>
      <c r="AG303" s="407"/>
      <c r="AH303" s="407"/>
      <c r="AI303" s="407"/>
      <c r="AJ303" s="407"/>
      <c r="AK303" s="407"/>
      <c r="AL303" s="407"/>
      <c r="AM303" s="407"/>
      <c r="AN303" s="407"/>
      <c r="AO303" s="407"/>
      <c r="AP303" s="407"/>
      <c r="AQ303" s="407"/>
      <c r="AR303" s="407"/>
      <c r="AS303" s="407"/>
      <c r="AT303" s="407"/>
      <c r="AU303" s="407"/>
      <c r="AV303" s="407"/>
      <c r="AW303" s="407"/>
      <c r="AX303" s="407"/>
      <c r="AY303" s="407"/>
      <c r="AZ303" s="407"/>
      <c r="BA303" s="407"/>
      <c r="BB303" s="407"/>
      <c r="BC303" s="407"/>
      <c r="BD303" s="407"/>
      <c r="BE303" s="407"/>
      <c r="BF303" s="407"/>
      <c r="BG303" s="407"/>
      <c r="BH303" s="407"/>
      <c r="BI303" s="407"/>
      <c r="BJ303" s="407"/>
      <c r="BK303" s="407"/>
      <c r="BL303" s="407"/>
      <c r="BM303" s="407"/>
      <c r="BN303" s="407"/>
      <c r="BO303" s="407"/>
      <c r="BP303" s="407"/>
      <c r="BQ303" s="407"/>
      <c r="BR303" s="407"/>
      <c r="BS303" s="407"/>
      <c r="BT303" s="407"/>
      <c r="BU303" s="407"/>
      <c r="BV303" s="407"/>
      <c r="BW303" s="407"/>
      <c r="BX303" s="407"/>
      <c r="BY303" s="407"/>
      <c r="BZ303" s="407"/>
      <c r="CA303" s="407"/>
      <c r="CB303" s="407"/>
      <c r="CC303" s="407"/>
      <c r="CD303" s="407"/>
      <c r="CE303" s="407"/>
      <c r="CF303" s="407"/>
    </row>
    <row r="304" spans="1:84">
      <c r="A304" s="407"/>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c r="AA304" s="407"/>
      <c r="AB304" s="407"/>
      <c r="AC304" s="407"/>
      <c r="AD304" s="407"/>
      <c r="AE304" s="407"/>
      <c r="AF304" s="407"/>
      <c r="AG304" s="407"/>
      <c r="AH304" s="407"/>
      <c r="AI304" s="407"/>
      <c r="AJ304" s="407"/>
      <c r="AK304" s="407"/>
      <c r="AL304" s="407"/>
      <c r="AM304" s="407"/>
      <c r="AN304" s="407"/>
      <c r="AO304" s="407"/>
      <c r="AP304" s="407"/>
      <c r="AQ304" s="407"/>
      <c r="AR304" s="407"/>
      <c r="AS304" s="407"/>
      <c r="AT304" s="407"/>
      <c r="AU304" s="407"/>
      <c r="AV304" s="407"/>
      <c r="AW304" s="407"/>
      <c r="AX304" s="407"/>
      <c r="AY304" s="407"/>
      <c r="AZ304" s="407"/>
      <c r="BA304" s="407"/>
      <c r="BB304" s="407"/>
      <c r="BC304" s="407"/>
      <c r="BD304" s="407"/>
      <c r="BE304" s="407"/>
      <c r="BF304" s="407"/>
      <c r="BG304" s="407"/>
      <c r="BH304" s="407"/>
      <c r="BI304" s="407"/>
      <c r="BJ304" s="407"/>
      <c r="BK304" s="407"/>
      <c r="BL304" s="407"/>
      <c r="BM304" s="407"/>
      <c r="BN304" s="407"/>
      <c r="BO304" s="407"/>
      <c r="BP304" s="407"/>
      <c r="BQ304" s="407"/>
      <c r="BR304" s="407"/>
      <c r="BS304" s="407"/>
      <c r="BT304" s="407"/>
      <c r="BU304" s="407"/>
      <c r="BV304" s="407"/>
      <c r="BW304" s="407"/>
      <c r="BX304" s="407"/>
      <c r="BY304" s="407"/>
      <c r="BZ304" s="407"/>
      <c r="CA304" s="407"/>
      <c r="CB304" s="407"/>
      <c r="CC304" s="407"/>
      <c r="CD304" s="407"/>
      <c r="CE304" s="407"/>
      <c r="CF304" s="407"/>
    </row>
    <row r="305" spans="1:84">
      <c r="A305" s="407"/>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c r="AA305" s="407"/>
      <c r="AB305" s="407"/>
      <c r="AC305" s="407"/>
      <c r="AD305" s="407"/>
      <c r="AE305" s="407"/>
      <c r="AF305" s="407"/>
      <c r="AG305" s="407"/>
      <c r="AH305" s="407"/>
      <c r="AI305" s="407"/>
      <c r="AJ305" s="407"/>
      <c r="AK305" s="407"/>
      <c r="AL305" s="407"/>
      <c r="AM305" s="407"/>
      <c r="AN305" s="407"/>
      <c r="AO305" s="407"/>
      <c r="AP305" s="407"/>
      <c r="AQ305" s="407"/>
      <c r="AR305" s="407"/>
      <c r="AS305" s="407"/>
      <c r="AT305" s="407"/>
      <c r="AU305" s="407"/>
      <c r="AV305" s="407"/>
      <c r="AW305" s="407"/>
      <c r="AX305" s="407"/>
      <c r="AY305" s="407"/>
      <c r="AZ305" s="407"/>
      <c r="BA305" s="407"/>
      <c r="BB305" s="407"/>
      <c r="BC305" s="407"/>
      <c r="BD305" s="407"/>
      <c r="BE305" s="407"/>
      <c r="BF305" s="407"/>
      <c r="BG305" s="407"/>
      <c r="BH305" s="407"/>
      <c r="BI305" s="407"/>
      <c r="BJ305" s="407"/>
      <c r="BK305" s="407"/>
      <c r="BL305" s="407"/>
      <c r="BM305" s="407"/>
      <c r="BN305" s="407"/>
      <c r="BO305" s="407"/>
      <c r="BP305" s="407"/>
      <c r="BQ305" s="407"/>
      <c r="BR305" s="407"/>
      <c r="BS305" s="407"/>
      <c r="BT305" s="407"/>
      <c r="BU305" s="407"/>
      <c r="BV305" s="407"/>
      <c r="BW305" s="407"/>
      <c r="BX305" s="407"/>
      <c r="BY305" s="407"/>
      <c r="BZ305" s="407"/>
      <c r="CA305" s="407"/>
      <c r="CB305" s="407"/>
      <c r="CC305" s="407"/>
      <c r="CD305" s="407"/>
      <c r="CE305" s="407"/>
      <c r="CF305" s="407"/>
    </row>
    <row r="306" spans="1:84">
      <c r="A306" s="407"/>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c r="AA306" s="407"/>
      <c r="AB306" s="407"/>
      <c r="AC306" s="407"/>
      <c r="AD306" s="407"/>
      <c r="AE306" s="407"/>
      <c r="AF306" s="407"/>
      <c r="AG306" s="407"/>
      <c r="AH306" s="407"/>
      <c r="AI306" s="407"/>
      <c r="AJ306" s="407"/>
      <c r="AK306" s="407"/>
      <c r="AL306" s="407"/>
      <c r="AM306" s="407"/>
      <c r="AN306" s="407"/>
      <c r="AO306" s="407"/>
      <c r="AP306" s="407"/>
      <c r="AQ306" s="407"/>
      <c r="AR306" s="407"/>
      <c r="AS306" s="407"/>
      <c r="AT306" s="407"/>
      <c r="AU306" s="407"/>
      <c r="AV306" s="407"/>
      <c r="AW306" s="407"/>
      <c r="AX306" s="407"/>
      <c r="AY306" s="407"/>
      <c r="AZ306" s="407"/>
      <c r="BA306" s="407"/>
      <c r="BB306" s="407"/>
      <c r="BC306" s="407"/>
      <c r="BD306" s="407"/>
      <c r="BE306" s="407"/>
      <c r="BF306" s="407"/>
      <c r="BG306" s="407"/>
      <c r="BH306" s="407"/>
      <c r="BI306" s="407"/>
      <c r="BJ306" s="407"/>
      <c r="BK306" s="407"/>
      <c r="BL306" s="407"/>
      <c r="BM306" s="407"/>
      <c r="BN306" s="407"/>
      <c r="BO306" s="407"/>
      <c r="BP306" s="407"/>
      <c r="BQ306" s="407"/>
      <c r="BR306" s="407"/>
      <c r="BS306" s="407"/>
      <c r="BT306" s="407"/>
      <c r="BU306" s="407"/>
      <c r="BV306" s="407"/>
      <c r="BW306" s="407"/>
      <c r="BX306" s="407"/>
      <c r="BY306" s="407"/>
      <c r="BZ306" s="407"/>
      <c r="CA306" s="407"/>
      <c r="CB306" s="407"/>
      <c r="CC306" s="407"/>
      <c r="CD306" s="407"/>
      <c r="CE306" s="407"/>
      <c r="CF306" s="407"/>
    </row>
    <row r="307" spans="1:84">
      <c r="A307" s="407"/>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c r="AA307" s="407"/>
      <c r="AB307" s="407"/>
      <c r="AC307" s="407"/>
      <c r="AD307" s="407"/>
      <c r="AE307" s="407"/>
      <c r="AF307" s="407"/>
      <c r="AG307" s="407"/>
      <c r="AH307" s="407"/>
      <c r="AI307" s="407"/>
      <c r="AJ307" s="407"/>
      <c r="AK307" s="407"/>
      <c r="AL307" s="407"/>
      <c r="AM307" s="407"/>
      <c r="AN307" s="407"/>
      <c r="AO307" s="407"/>
      <c r="AP307" s="407"/>
      <c r="AQ307" s="407"/>
      <c r="AR307" s="407"/>
      <c r="AS307" s="407"/>
      <c r="AT307" s="407"/>
      <c r="AU307" s="407"/>
      <c r="AV307" s="407"/>
      <c r="AW307" s="407"/>
      <c r="AX307" s="407"/>
      <c r="AY307" s="407"/>
      <c r="AZ307" s="407"/>
      <c r="BA307" s="407"/>
      <c r="BB307" s="407"/>
      <c r="BC307" s="407"/>
      <c r="BD307" s="407"/>
      <c r="BE307" s="407"/>
      <c r="BF307" s="407"/>
      <c r="BG307" s="407"/>
      <c r="BH307" s="407"/>
      <c r="BI307" s="407"/>
      <c r="BJ307" s="407"/>
      <c r="BK307" s="407"/>
      <c r="BL307" s="407"/>
      <c r="BM307" s="407"/>
      <c r="BN307" s="407"/>
      <c r="BO307" s="407"/>
      <c r="BP307" s="407"/>
      <c r="BQ307" s="407"/>
      <c r="BR307" s="407"/>
      <c r="BS307" s="407"/>
      <c r="BT307" s="407"/>
      <c r="BU307" s="407"/>
      <c r="BV307" s="407"/>
      <c r="BW307" s="407"/>
      <c r="BX307" s="407"/>
      <c r="BY307" s="407"/>
      <c r="BZ307" s="407"/>
      <c r="CA307" s="407"/>
      <c r="CB307" s="407"/>
      <c r="CC307" s="407"/>
      <c r="CD307" s="407"/>
      <c r="CE307" s="407"/>
      <c r="CF307" s="407"/>
    </row>
    <row r="308" spans="1:84">
      <c r="A308" s="407"/>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407"/>
      <c r="AG308" s="407"/>
      <c r="AH308" s="407"/>
      <c r="AI308" s="407"/>
      <c r="AJ308" s="407"/>
      <c r="AK308" s="407"/>
      <c r="AL308" s="407"/>
      <c r="AM308" s="407"/>
      <c r="AN308" s="407"/>
      <c r="AO308" s="407"/>
      <c r="AP308" s="407"/>
      <c r="AQ308" s="407"/>
      <c r="AR308" s="407"/>
      <c r="AS308" s="407"/>
      <c r="AT308" s="407"/>
      <c r="AU308" s="407"/>
      <c r="AV308" s="407"/>
      <c r="AW308" s="407"/>
      <c r="AX308" s="407"/>
      <c r="AY308" s="407"/>
      <c r="AZ308" s="407"/>
      <c r="BA308" s="407"/>
      <c r="BB308" s="407"/>
      <c r="BC308" s="407"/>
      <c r="BD308" s="407"/>
      <c r="BE308" s="407"/>
      <c r="BF308" s="407"/>
      <c r="BG308" s="407"/>
      <c r="BH308" s="407"/>
      <c r="BI308" s="407"/>
      <c r="BJ308" s="407"/>
      <c r="BK308" s="407"/>
      <c r="BL308" s="407"/>
      <c r="BM308" s="407"/>
      <c r="BN308" s="407"/>
      <c r="BO308" s="407"/>
      <c r="BP308" s="407"/>
      <c r="BQ308" s="407"/>
      <c r="BR308" s="407"/>
      <c r="BS308" s="407"/>
      <c r="BT308" s="407"/>
      <c r="BU308" s="407"/>
      <c r="BV308" s="407"/>
      <c r="BW308" s="407"/>
      <c r="BX308" s="407"/>
      <c r="BY308" s="407"/>
      <c r="BZ308" s="407"/>
      <c r="CA308" s="407"/>
      <c r="CB308" s="407"/>
      <c r="CC308" s="407"/>
      <c r="CD308" s="407"/>
      <c r="CE308" s="407"/>
      <c r="CF308" s="407"/>
    </row>
    <row r="309" spans="1:84">
      <c r="A309" s="407"/>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c r="AA309" s="407"/>
      <c r="AB309" s="407"/>
      <c r="AC309" s="407"/>
      <c r="AD309" s="407"/>
      <c r="AE309" s="407"/>
      <c r="AF309" s="407"/>
      <c r="AG309" s="407"/>
      <c r="AH309" s="407"/>
      <c r="AI309" s="407"/>
      <c r="AJ309" s="407"/>
      <c r="AK309" s="407"/>
      <c r="AL309" s="407"/>
      <c r="AM309" s="407"/>
      <c r="AN309" s="407"/>
      <c r="AO309" s="407"/>
      <c r="AP309" s="407"/>
      <c r="AQ309" s="407"/>
      <c r="AR309" s="407"/>
      <c r="AS309" s="407"/>
      <c r="AT309" s="407"/>
      <c r="AU309" s="407"/>
      <c r="AV309" s="407"/>
      <c r="AW309" s="407"/>
      <c r="AX309" s="407"/>
      <c r="AY309" s="407"/>
      <c r="AZ309" s="407"/>
      <c r="BA309" s="407"/>
      <c r="BB309" s="407"/>
      <c r="BC309" s="407"/>
      <c r="BD309" s="407"/>
      <c r="BE309" s="407"/>
      <c r="BF309" s="407"/>
      <c r="BG309" s="407"/>
      <c r="BH309" s="407"/>
      <c r="BI309" s="407"/>
      <c r="BJ309" s="407"/>
      <c r="BK309" s="407"/>
      <c r="BL309" s="407"/>
      <c r="BM309" s="407"/>
      <c r="BN309" s="407"/>
      <c r="BO309" s="407"/>
      <c r="BP309" s="407"/>
      <c r="BQ309" s="407"/>
      <c r="BR309" s="407"/>
      <c r="BS309" s="407"/>
      <c r="BT309" s="407"/>
      <c r="BU309" s="407"/>
      <c r="BV309" s="407"/>
      <c r="BW309" s="407"/>
      <c r="BX309" s="407"/>
      <c r="BY309" s="407"/>
      <c r="BZ309" s="407"/>
      <c r="CA309" s="407"/>
      <c r="CB309" s="407"/>
      <c r="CC309" s="407"/>
      <c r="CD309" s="407"/>
      <c r="CE309" s="407"/>
      <c r="CF309" s="407"/>
    </row>
    <row r="310" spans="1:84">
      <c r="A310" s="407"/>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c r="AA310" s="407"/>
      <c r="AB310" s="407"/>
      <c r="AC310" s="407"/>
      <c r="AD310" s="407"/>
      <c r="AE310" s="407"/>
      <c r="AF310" s="407"/>
      <c r="AG310" s="407"/>
      <c r="AH310" s="407"/>
      <c r="AI310" s="407"/>
      <c r="AJ310" s="407"/>
      <c r="AK310" s="407"/>
      <c r="AL310" s="407"/>
      <c r="AM310" s="407"/>
      <c r="AN310" s="407"/>
      <c r="AO310" s="407"/>
      <c r="AP310" s="407"/>
      <c r="AQ310" s="407"/>
      <c r="AR310" s="407"/>
      <c r="AS310" s="407"/>
      <c r="AT310" s="407"/>
      <c r="AU310" s="407"/>
      <c r="AV310" s="407"/>
      <c r="AW310" s="407"/>
      <c r="AX310" s="407"/>
      <c r="AY310" s="407"/>
      <c r="AZ310" s="407"/>
      <c r="BA310" s="407"/>
      <c r="BB310" s="407"/>
      <c r="BC310" s="407"/>
      <c r="BD310" s="407"/>
      <c r="BE310" s="407"/>
      <c r="BF310" s="407"/>
      <c r="BG310" s="407"/>
      <c r="BH310" s="407"/>
      <c r="BI310" s="407"/>
      <c r="BJ310" s="407"/>
      <c r="BK310" s="407"/>
      <c r="BL310" s="407"/>
      <c r="BM310" s="407"/>
      <c r="BN310" s="407"/>
      <c r="BO310" s="407"/>
      <c r="BP310" s="407"/>
      <c r="BQ310" s="407"/>
      <c r="BR310" s="407"/>
      <c r="BS310" s="407"/>
      <c r="BT310" s="407"/>
      <c r="BU310" s="407"/>
      <c r="BV310" s="407"/>
      <c r="BW310" s="407"/>
      <c r="BX310" s="407"/>
      <c r="BY310" s="407"/>
      <c r="BZ310" s="407"/>
      <c r="CA310" s="407"/>
      <c r="CB310" s="407"/>
      <c r="CC310" s="407"/>
      <c r="CD310" s="407"/>
      <c r="CE310" s="407"/>
      <c r="CF310" s="407"/>
    </row>
    <row r="311" spans="1:84">
      <c r="A311" s="407"/>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c r="AA311" s="407"/>
      <c r="AB311" s="407"/>
      <c r="AC311" s="407"/>
      <c r="AD311" s="407"/>
      <c r="AE311" s="407"/>
      <c r="AF311" s="407"/>
      <c r="AG311" s="407"/>
      <c r="AH311" s="407"/>
      <c r="AI311" s="407"/>
      <c r="AJ311" s="407"/>
      <c r="AK311" s="407"/>
      <c r="AL311" s="407"/>
      <c r="AM311" s="407"/>
      <c r="AN311" s="407"/>
      <c r="AO311" s="407"/>
      <c r="AP311" s="407"/>
      <c r="AQ311" s="407"/>
      <c r="AR311" s="407"/>
      <c r="AS311" s="407"/>
      <c r="AT311" s="407"/>
      <c r="AU311" s="407"/>
      <c r="AV311" s="407"/>
      <c r="AW311" s="407"/>
      <c r="AX311" s="407"/>
      <c r="AY311" s="407"/>
      <c r="AZ311" s="407"/>
      <c r="BA311" s="407"/>
      <c r="BB311" s="407"/>
      <c r="BC311" s="407"/>
      <c r="BD311" s="407"/>
      <c r="BE311" s="407"/>
      <c r="BF311" s="407"/>
      <c r="BG311" s="407"/>
      <c r="BH311" s="407"/>
      <c r="BI311" s="407"/>
      <c r="BJ311" s="407"/>
      <c r="BK311" s="407"/>
      <c r="BL311" s="407"/>
      <c r="BM311" s="407"/>
      <c r="BN311" s="407"/>
      <c r="BO311" s="407"/>
      <c r="BP311" s="407"/>
      <c r="BQ311" s="407"/>
      <c r="BR311" s="407"/>
      <c r="BS311" s="407"/>
      <c r="BT311" s="407"/>
      <c r="BU311" s="407"/>
      <c r="BV311" s="407"/>
      <c r="BW311" s="407"/>
      <c r="BX311" s="407"/>
      <c r="BY311" s="407"/>
      <c r="BZ311" s="407"/>
      <c r="CA311" s="407"/>
      <c r="CB311" s="407"/>
      <c r="CC311" s="407"/>
      <c r="CD311" s="407"/>
      <c r="CE311" s="407"/>
      <c r="CF311" s="407"/>
    </row>
    <row r="312" spans="1:84">
      <c r="A312" s="407"/>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7"/>
      <c r="AI312" s="407"/>
      <c r="AJ312" s="407"/>
      <c r="AK312" s="407"/>
      <c r="AL312" s="407"/>
      <c r="AM312" s="407"/>
      <c r="AN312" s="407"/>
      <c r="AO312" s="407"/>
      <c r="AP312" s="407"/>
      <c r="AQ312" s="407"/>
      <c r="AR312" s="407"/>
      <c r="AS312" s="407"/>
      <c r="AT312" s="407"/>
      <c r="AU312" s="407"/>
      <c r="AV312" s="407"/>
      <c r="AW312" s="407"/>
      <c r="AX312" s="407"/>
      <c r="AY312" s="407"/>
      <c r="AZ312" s="407"/>
      <c r="BA312" s="407"/>
      <c r="BB312" s="407"/>
      <c r="BC312" s="407"/>
      <c r="BD312" s="407"/>
      <c r="BE312" s="407"/>
      <c r="BF312" s="407"/>
      <c r="BG312" s="407"/>
      <c r="BH312" s="407"/>
      <c r="BI312" s="407"/>
      <c r="BJ312" s="407"/>
      <c r="BK312" s="407"/>
      <c r="BL312" s="407"/>
      <c r="BM312" s="407"/>
      <c r="BN312" s="407"/>
      <c r="BO312" s="407"/>
      <c r="BP312" s="407"/>
      <c r="BQ312" s="407"/>
      <c r="BR312" s="407"/>
      <c r="BS312" s="407"/>
      <c r="BT312" s="407"/>
      <c r="BU312" s="407"/>
      <c r="BV312" s="407"/>
      <c r="BW312" s="407"/>
      <c r="BX312" s="407"/>
      <c r="BY312" s="407"/>
      <c r="BZ312" s="407"/>
      <c r="CA312" s="407"/>
      <c r="CB312" s="407"/>
      <c r="CC312" s="407"/>
      <c r="CD312" s="407"/>
      <c r="CE312" s="407"/>
      <c r="CF312" s="407"/>
    </row>
    <row r="313" spans="1:84">
      <c r="A313" s="407"/>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c r="AA313" s="407"/>
      <c r="AB313" s="407"/>
      <c r="AC313" s="407"/>
      <c r="AD313" s="407"/>
      <c r="AE313" s="407"/>
      <c r="AF313" s="407"/>
      <c r="AG313" s="407"/>
      <c r="AH313" s="407"/>
      <c r="AI313" s="407"/>
      <c r="AJ313" s="407"/>
      <c r="AK313" s="407"/>
      <c r="AL313" s="407"/>
      <c r="AM313" s="407"/>
      <c r="AN313" s="407"/>
      <c r="AO313" s="407"/>
      <c r="AP313" s="407"/>
      <c r="AQ313" s="407"/>
      <c r="AR313" s="407"/>
      <c r="AS313" s="407"/>
      <c r="AT313" s="407"/>
      <c r="AU313" s="407"/>
      <c r="AV313" s="407"/>
      <c r="AW313" s="407"/>
      <c r="AX313" s="407"/>
      <c r="AY313" s="407"/>
      <c r="AZ313" s="407"/>
      <c r="BA313" s="407"/>
      <c r="BB313" s="407"/>
      <c r="BC313" s="407"/>
      <c r="BD313" s="407"/>
      <c r="BE313" s="407"/>
      <c r="BF313" s="407"/>
      <c r="BG313" s="407"/>
      <c r="BH313" s="407"/>
      <c r="BI313" s="407"/>
      <c r="BJ313" s="407"/>
      <c r="BK313" s="407"/>
      <c r="BL313" s="407"/>
      <c r="BM313" s="407"/>
      <c r="BN313" s="407"/>
      <c r="BO313" s="407"/>
      <c r="BP313" s="407"/>
      <c r="BQ313" s="407"/>
      <c r="BR313" s="407"/>
      <c r="BS313" s="407"/>
      <c r="BT313" s="407"/>
      <c r="BU313" s="407"/>
      <c r="BV313" s="407"/>
      <c r="BW313" s="407"/>
      <c r="BX313" s="407"/>
      <c r="BY313" s="407"/>
      <c r="BZ313" s="407"/>
      <c r="CA313" s="407"/>
      <c r="CB313" s="407"/>
      <c r="CC313" s="407"/>
      <c r="CD313" s="407"/>
      <c r="CE313" s="407"/>
      <c r="CF313" s="407"/>
    </row>
    <row r="314" spans="1:84">
      <c r="A314" s="407"/>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c r="AA314" s="407"/>
      <c r="AB314" s="407"/>
      <c r="AC314" s="407"/>
      <c r="AD314" s="407"/>
      <c r="AE314" s="407"/>
      <c r="AF314" s="407"/>
      <c r="AG314" s="407"/>
      <c r="AH314" s="407"/>
      <c r="AI314" s="407"/>
      <c r="AJ314" s="407"/>
      <c r="AK314" s="407"/>
      <c r="AL314" s="407"/>
      <c r="AM314" s="407"/>
      <c r="AN314" s="407"/>
      <c r="AO314" s="407"/>
      <c r="AP314" s="407"/>
      <c r="AQ314" s="407"/>
      <c r="AR314" s="407"/>
      <c r="AS314" s="407"/>
      <c r="AT314" s="407"/>
      <c r="AU314" s="407"/>
      <c r="AV314" s="407"/>
      <c r="AW314" s="407"/>
      <c r="AX314" s="407"/>
      <c r="AY314" s="407"/>
      <c r="AZ314" s="407"/>
      <c r="BA314" s="407"/>
      <c r="BB314" s="407"/>
      <c r="BC314" s="407"/>
      <c r="BD314" s="407"/>
      <c r="BE314" s="407"/>
      <c r="BF314" s="407"/>
      <c r="BG314" s="407"/>
      <c r="BH314" s="407"/>
      <c r="BI314" s="407"/>
      <c r="BJ314" s="407"/>
      <c r="BK314" s="407"/>
      <c r="BL314" s="407"/>
      <c r="BM314" s="407"/>
      <c r="BN314" s="407"/>
      <c r="BO314" s="407"/>
      <c r="BP314" s="407"/>
      <c r="BQ314" s="407"/>
      <c r="BR314" s="407"/>
      <c r="BS314" s="407"/>
      <c r="BT314" s="407"/>
      <c r="BU314" s="407"/>
      <c r="BV314" s="407"/>
      <c r="BW314" s="407"/>
      <c r="BX314" s="407"/>
      <c r="BY314" s="407"/>
      <c r="BZ314" s="407"/>
      <c r="CA314" s="407"/>
      <c r="CB314" s="407"/>
      <c r="CC314" s="407"/>
      <c r="CD314" s="407"/>
      <c r="CE314" s="407"/>
      <c r="CF314" s="407"/>
    </row>
    <row r="315" spans="1:84">
      <c r="A315" s="407"/>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c r="AA315" s="407"/>
      <c r="AB315" s="407"/>
      <c r="AC315" s="407"/>
      <c r="AD315" s="407"/>
      <c r="AE315" s="407"/>
      <c r="AF315" s="407"/>
      <c r="AG315" s="407"/>
      <c r="AH315" s="407"/>
      <c r="AI315" s="407"/>
      <c r="AJ315" s="407"/>
      <c r="AK315" s="407"/>
      <c r="AL315" s="407"/>
      <c r="AM315" s="407"/>
      <c r="AN315" s="407"/>
      <c r="AO315" s="407"/>
      <c r="AP315" s="407"/>
      <c r="AQ315" s="407"/>
      <c r="AR315" s="407"/>
      <c r="AS315" s="407"/>
      <c r="AT315" s="407"/>
      <c r="AU315" s="407"/>
      <c r="AV315" s="407"/>
      <c r="AW315" s="407"/>
      <c r="AX315" s="407"/>
      <c r="AY315" s="407"/>
      <c r="AZ315" s="407"/>
      <c r="BA315" s="407"/>
      <c r="BB315" s="407"/>
      <c r="BC315" s="407"/>
      <c r="BD315" s="407"/>
      <c r="BE315" s="407"/>
      <c r="BF315" s="407"/>
      <c r="BG315" s="407"/>
      <c r="BH315" s="407"/>
      <c r="BI315" s="407"/>
      <c r="BJ315" s="407"/>
      <c r="BK315" s="407"/>
      <c r="BL315" s="407"/>
      <c r="BM315" s="407"/>
      <c r="BN315" s="407"/>
      <c r="BO315" s="407"/>
      <c r="BP315" s="407"/>
      <c r="BQ315" s="407"/>
      <c r="BR315" s="407"/>
      <c r="BS315" s="407"/>
      <c r="BT315" s="407"/>
      <c r="BU315" s="407"/>
      <c r="BV315" s="407"/>
      <c r="BW315" s="407"/>
      <c r="BX315" s="407"/>
      <c r="BY315" s="407"/>
      <c r="BZ315" s="407"/>
      <c r="CA315" s="407"/>
      <c r="CB315" s="407"/>
      <c r="CC315" s="407"/>
      <c r="CD315" s="407"/>
      <c r="CE315" s="407"/>
      <c r="CF315" s="407"/>
    </row>
    <row r="316" spans="1:84">
      <c r="A316" s="407"/>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c r="AA316" s="407"/>
      <c r="AB316" s="407"/>
      <c r="AC316" s="407"/>
      <c r="AD316" s="407"/>
      <c r="AE316" s="407"/>
      <c r="AF316" s="407"/>
      <c r="AG316" s="407"/>
      <c r="AH316" s="407"/>
      <c r="AI316" s="407"/>
      <c r="AJ316" s="407"/>
      <c r="AK316" s="407"/>
      <c r="AL316" s="407"/>
      <c r="AM316" s="407"/>
      <c r="AN316" s="407"/>
      <c r="AO316" s="407"/>
      <c r="AP316" s="407"/>
      <c r="AQ316" s="407"/>
      <c r="AR316" s="407"/>
      <c r="AS316" s="407"/>
      <c r="AT316" s="407"/>
      <c r="AU316" s="407"/>
      <c r="AV316" s="407"/>
      <c r="AW316" s="407"/>
      <c r="AX316" s="407"/>
      <c r="AY316" s="407"/>
      <c r="AZ316" s="407"/>
      <c r="BA316" s="407"/>
      <c r="BB316" s="407"/>
      <c r="BC316" s="407"/>
      <c r="BD316" s="407"/>
      <c r="BE316" s="407"/>
      <c r="BF316" s="407"/>
      <c r="BG316" s="407"/>
      <c r="BH316" s="407"/>
      <c r="BI316" s="407"/>
      <c r="BJ316" s="407"/>
      <c r="BK316" s="407"/>
      <c r="BL316" s="407"/>
      <c r="BM316" s="407"/>
      <c r="BN316" s="407"/>
      <c r="BO316" s="407"/>
      <c r="BP316" s="407"/>
      <c r="BQ316" s="407"/>
      <c r="BR316" s="407"/>
      <c r="BS316" s="407"/>
      <c r="BT316" s="407"/>
      <c r="BU316" s="407"/>
      <c r="BV316" s="407"/>
      <c r="BW316" s="407"/>
      <c r="BX316" s="407"/>
      <c r="BY316" s="407"/>
      <c r="BZ316" s="407"/>
      <c r="CA316" s="407"/>
      <c r="CB316" s="407"/>
      <c r="CC316" s="407"/>
      <c r="CD316" s="407"/>
      <c r="CE316" s="407"/>
      <c r="CF316" s="407"/>
    </row>
    <row r="317" spans="1:84">
      <c r="A317" s="407"/>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c r="AA317" s="407"/>
      <c r="AB317" s="407"/>
      <c r="AC317" s="407"/>
      <c r="AD317" s="407"/>
      <c r="AE317" s="407"/>
      <c r="AF317" s="407"/>
      <c r="AG317" s="407"/>
      <c r="AH317" s="407"/>
      <c r="AI317" s="407"/>
      <c r="AJ317" s="407"/>
      <c r="AK317" s="407"/>
      <c r="AL317" s="407"/>
      <c r="AM317" s="407"/>
      <c r="AN317" s="407"/>
      <c r="AO317" s="407"/>
      <c r="AP317" s="407"/>
      <c r="AQ317" s="407"/>
      <c r="AR317" s="407"/>
      <c r="AS317" s="407"/>
      <c r="AT317" s="407"/>
      <c r="AU317" s="407"/>
      <c r="AV317" s="407"/>
      <c r="AW317" s="407"/>
      <c r="AX317" s="407"/>
      <c r="AY317" s="407"/>
      <c r="AZ317" s="407"/>
      <c r="BA317" s="407"/>
      <c r="BB317" s="407"/>
      <c r="BC317" s="407"/>
      <c r="BD317" s="407"/>
      <c r="BE317" s="407"/>
      <c r="BF317" s="407"/>
      <c r="BG317" s="407"/>
      <c r="BH317" s="407"/>
      <c r="BI317" s="407"/>
      <c r="BJ317" s="407"/>
      <c r="BK317" s="407"/>
      <c r="BL317" s="407"/>
      <c r="BM317" s="407"/>
      <c r="BN317" s="407"/>
      <c r="BO317" s="407"/>
      <c r="BP317" s="407"/>
      <c r="BQ317" s="407"/>
      <c r="BR317" s="407"/>
      <c r="BS317" s="407"/>
      <c r="BT317" s="407"/>
      <c r="BU317" s="407"/>
      <c r="BV317" s="407"/>
      <c r="BW317" s="407"/>
      <c r="BX317" s="407"/>
      <c r="BY317" s="407"/>
      <c r="BZ317" s="407"/>
      <c r="CA317" s="407"/>
      <c r="CB317" s="407"/>
      <c r="CC317" s="407"/>
      <c r="CD317" s="407"/>
      <c r="CE317" s="407"/>
      <c r="CF317" s="407"/>
    </row>
    <row r="318" spans="1:84">
      <c r="A318" s="407"/>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c r="AA318" s="407"/>
      <c r="AB318" s="407"/>
      <c r="AC318" s="407"/>
      <c r="AD318" s="407"/>
      <c r="AE318" s="407"/>
      <c r="AF318" s="407"/>
      <c r="AG318" s="407"/>
      <c r="AH318" s="407"/>
      <c r="AI318" s="407"/>
      <c r="AJ318" s="407"/>
      <c r="AK318" s="407"/>
      <c r="AL318" s="407"/>
      <c r="AM318" s="407"/>
      <c r="AN318" s="407"/>
      <c r="AO318" s="407"/>
      <c r="AP318" s="407"/>
      <c r="AQ318" s="407"/>
      <c r="AR318" s="407"/>
      <c r="AS318" s="407"/>
      <c r="AT318" s="407"/>
      <c r="AU318" s="407"/>
      <c r="AV318" s="407"/>
      <c r="AW318" s="407"/>
      <c r="AX318" s="407"/>
      <c r="AY318" s="407"/>
      <c r="AZ318" s="407"/>
      <c r="BA318" s="407"/>
      <c r="BB318" s="407"/>
      <c r="BC318" s="407"/>
      <c r="BD318" s="407"/>
      <c r="BE318" s="407"/>
      <c r="BF318" s="407"/>
      <c r="BG318" s="407"/>
      <c r="BH318" s="407"/>
      <c r="BI318" s="407"/>
      <c r="BJ318" s="407"/>
      <c r="BK318" s="407"/>
      <c r="BL318" s="407"/>
      <c r="BM318" s="407"/>
      <c r="BN318" s="407"/>
      <c r="BO318" s="407"/>
      <c r="BP318" s="407"/>
      <c r="BQ318" s="407"/>
      <c r="BR318" s="407"/>
      <c r="BS318" s="407"/>
      <c r="BT318" s="407"/>
      <c r="BU318" s="407"/>
      <c r="BV318" s="407"/>
      <c r="BW318" s="407"/>
      <c r="BX318" s="407"/>
      <c r="BY318" s="407"/>
      <c r="BZ318" s="407"/>
      <c r="CA318" s="407"/>
      <c r="CB318" s="407"/>
      <c r="CC318" s="407"/>
      <c r="CD318" s="407"/>
      <c r="CE318" s="407"/>
      <c r="CF318" s="407"/>
    </row>
    <row r="319" spans="1:84">
      <c r="A319" s="407"/>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c r="AA319" s="407"/>
      <c r="AB319" s="407"/>
      <c r="AC319" s="407"/>
      <c r="AD319" s="407"/>
      <c r="AE319" s="407"/>
      <c r="AF319" s="407"/>
      <c r="AG319" s="407"/>
      <c r="AH319" s="407"/>
      <c r="AI319" s="407"/>
      <c r="AJ319" s="407"/>
      <c r="AK319" s="407"/>
      <c r="AL319" s="407"/>
      <c r="AM319" s="407"/>
      <c r="AN319" s="407"/>
      <c r="AO319" s="407"/>
      <c r="AP319" s="407"/>
      <c r="AQ319" s="407"/>
      <c r="AR319" s="407"/>
      <c r="AS319" s="407"/>
      <c r="AT319" s="407"/>
      <c r="AU319" s="407"/>
      <c r="AV319" s="407"/>
      <c r="AW319" s="407"/>
      <c r="AX319" s="407"/>
      <c r="AY319" s="407"/>
      <c r="AZ319" s="407"/>
      <c r="BA319" s="407"/>
      <c r="BB319" s="407"/>
      <c r="BC319" s="407"/>
      <c r="BD319" s="407"/>
      <c r="BE319" s="407"/>
      <c r="BF319" s="407"/>
      <c r="BG319" s="407"/>
      <c r="BH319" s="407"/>
      <c r="BI319" s="407"/>
      <c r="BJ319" s="407"/>
      <c r="BK319" s="407"/>
      <c r="BL319" s="407"/>
      <c r="BM319" s="407"/>
      <c r="BN319" s="407"/>
      <c r="BO319" s="407"/>
      <c r="BP319" s="407"/>
      <c r="BQ319" s="407"/>
      <c r="BR319" s="407"/>
      <c r="BS319" s="407"/>
      <c r="BT319" s="407"/>
      <c r="BU319" s="407"/>
      <c r="BV319" s="407"/>
      <c r="BW319" s="407"/>
      <c r="BX319" s="407"/>
      <c r="BY319" s="407"/>
      <c r="BZ319" s="407"/>
      <c r="CA319" s="407"/>
      <c r="CB319" s="407"/>
      <c r="CC319" s="407"/>
      <c r="CD319" s="407"/>
      <c r="CE319" s="407"/>
      <c r="CF319" s="407"/>
    </row>
    <row r="320" spans="1:84">
      <c r="A320" s="407"/>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c r="AA320" s="407"/>
      <c r="AB320" s="407"/>
      <c r="AC320" s="407"/>
      <c r="AD320" s="407"/>
      <c r="AE320" s="407"/>
      <c r="AF320" s="407"/>
      <c r="AG320" s="407"/>
      <c r="AH320" s="407"/>
      <c r="AI320" s="407"/>
      <c r="AJ320" s="407"/>
      <c r="AK320" s="407"/>
      <c r="AL320" s="407"/>
      <c r="AM320" s="407"/>
      <c r="AN320" s="407"/>
      <c r="AO320" s="407"/>
      <c r="AP320" s="407"/>
      <c r="AQ320" s="407"/>
      <c r="AR320" s="407"/>
      <c r="AS320" s="407"/>
      <c r="AT320" s="407"/>
      <c r="AU320" s="407"/>
      <c r="AV320" s="407"/>
      <c r="AW320" s="407"/>
      <c r="AX320" s="407"/>
      <c r="AY320" s="407"/>
      <c r="AZ320" s="407"/>
      <c r="BA320" s="407"/>
      <c r="BB320" s="407"/>
      <c r="BC320" s="407"/>
      <c r="BD320" s="407"/>
      <c r="BE320" s="407"/>
      <c r="BF320" s="407"/>
      <c r="BG320" s="407"/>
      <c r="BH320" s="407"/>
      <c r="BI320" s="407"/>
      <c r="BJ320" s="407"/>
      <c r="BK320" s="407"/>
      <c r="BL320" s="407"/>
      <c r="BM320" s="407"/>
      <c r="BN320" s="407"/>
      <c r="BO320" s="407"/>
      <c r="BP320" s="407"/>
      <c r="BQ320" s="407"/>
      <c r="BR320" s="407"/>
      <c r="BS320" s="407"/>
      <c r="BT320" s="407"/>
      <c r="BU320" s="407"/>
      <c r="BV320" s="407"/>
      <c r="BW320" s="407"/>
      <c r="BX320" s="407"/>
      <c r="BY320" s="407"/>
      <c r="BZ320" s="407"/>
      <c r="CA320" s="407"/>
      <c r="CB320" s="407"/>
      <c r="CC320" s="407"/>
      <c r="CD320" s="407"/>
      <c r="CE320" s="407"/>
      <c r="CF320" s="407"/>
    </row>
    <row r="321" spans="1:84">
      <c r="A321" s="407"/>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c r="AA321" s="407"/>
      <c r="AB321" s="407"/>
      <c r="AC321" s="407"/>
      <c r="AD321" s="407"/>
      <c r="AE321" s="407"/>
      <c r="AF321" s="407"/>
      <c r="AG321" s="407"/>
      <c r="AH321" s="407"/>
      <c r="AI321" s="407"/>
      <c r="AJ321" s="407"/>
      <c r="AK321" s="407"/>
      <c r="AL321" s="407"/>
      <c r="AM321" s="407"/>
      <c r="AN321" s="407"/>
      <c r="AO321" s="407"/>
      <c r="AP321" s="407"/>
      <c r="AQ321" s="407"/>
      <c r="AR321" s="407"/>
      <c r="AS321" s="407"/>
      <c r="AT321" s="407"/>
      <c r="AU321" s="407"/>
      <c r="AV321" s="407"/>
      <c r="AW321" s="407"/>
      <c r="AX321" s="407"/>
      <c r="AY321" s="407"/>
      <c r="AZ321" s="407"/>
      <c r="BA321" s="407"/>
      <c r="BB321" s="407"/>
      <c r="BC321" s="407"/>
      <c r="BD321" s="407"/>
      <c r="BE321" s="407"/>
      <c r="BF321" s="407"/>
      <c r="BG321" s="407"/>
      <c r="BH321" s="407"/>
      <c r="BI321" s="407"/>
      <c r="BJ321" s="407"/>
      <c r="BK321" s="407"/>
      <c r="BL321" s="407"/>
      <c r="BM321" s="407"/>
      <c r="BN321" s="407"/>
      <c r="BO321" s="407"/>
      <c r="BP321" s="407"/>
      <c r="BQ321" s="407"/>
      <c r="BR321" s="407"/>
      <c r="BS321" s="407"/>
      <c r="BT321" s="407"/>
      <c r="BU321" s="407"/>
      <c r="BV321" s="407"/>
      <c r="BW321" s="407"/>
      <c r="BX321" s="407"/>
      <c r="BY321" s="407"/>
      <c r="BZ321" s="407"/>
      <c r="CA321" s="407"/>
      <c r="CB321" s="407"/>
      <c r="CC321" s="407"/>
      <c r="CD321" s="407"/>
      <c r="CE321" s="407"/>
      <c r="CF321" s="407"/>
    </row>
    <row r="322" spans="1:84">
      <c r="A322" s="407"/>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407"/>
      <c r="AE322" s="407"/>
      <c r="AF322" s="407"/>
      <c r="AG322" s="407"/>
      <c r="AH322" s="407"/>
      <c r="AI322" s="407"/>
      <c r="AJ322" s="407"/>
      <c r="AK322" s="407"/>
      <c r="AL322" s="407"/>
      <c r="AM322" s="407"/>
      <c r="AN322" s="407"/>
      <c r="AO322" s="407"/>
      <c r="AP322" s="407"/>
      <c r="AQ322" s="407"/>
      <c r="AR322" s="407"/>
      <c r="AS322" s="407"/>
      <c r="AT322" s="407"/>
      <c r="AU322" s="407"/>
      <c r="AV322" s="407"/>
      <c r="AW322" s="407"/>
      <c r="AX322" s="407"/>
      <c r="AY322" s="407"/>
      <c r="AZ322" s="407"/>
      <c r="BA322" s="407"/>
      <c r="BB322" s="407"/>
      <c r="BC322" s="407"/>
      <c r="BD322" s="407"/>
      <c r="BE322" s="407"/>
      <c r="BF322" s="407"/>
      <c r="BG322" s="407"/>
      <c r="BH322" s="407"/>
      <c r="BI322" s="407"/>
      <c r="BJ322" s="407"/>
      <c r="BK322" s="407"/>
      <c r="BL322" s="407"/>
      <c r="BM322" s="407"/>
      <c r="BN322" s="407"/>
      <c r="BO322" s="407"/>
      <c r="BP322" s="407"/>
      <c r="BQ322" s="407"/>
      <c r="BR322" s="407"/>
      <c r="BS322" s="407"/>
      <c r="BT322" s="407"/>
      <c r="BU322" s="407"/>
      <c r="BV322" s="407"/>
      <c r="BW322" s="407"/>
      <c r="BX322" s="407"/>
      <c r="BY322" s="407"/>
      <c r="BZ322" s="407"/>
      <c r="CA322" s="407"/>
      <c r="CB322" s="407"/>
      <c r="CC322" s="407"/>
      <c r="CD322" s="407"/>
      <c r="CE322" s="407"/>
      <c r="CF322" s="407"/>
    </row>
    <row r="323" spans="1:84">
      <c r="A323" s="407"/>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c r="AA323" s="407"/>
      <c r="AB323" s="407"/>
      <c r="AC323" s="407"/>
      <c r="AD323" s="407"/>
      <c r="AE323" s="407"/>
      <c r="AF323" s="407"/>
      <c r="AG323" s="407"/>
      <c r="AH323" s="407"/>
      <c r="AI323" s="407"/>
      <c r="AJ323" s="407"/>
      <c r="AK323" s="407"/>
      <c r="AL323" s="407"/>
      <c r="AM323" s="407"/>
      <c r="AN323" s="407"/>
      <c r="AO323" s="407"/>
      <c r="AP323" s="407"/>
      <c r="AQ323" s="407"/>
      <c r="AR323" s="407"/>
      <c r="AS323" s="407"/>
      <c r="AT323" s="407"/>
      <c r="AU323" s="407"/>
      <c r="AV323" s="407"/>
      <c r="AW323" s="407"/>
      <c r="AX323" s="407"/>
      <c r="AY323" s="407"/>
      <c r="AZ323" s="407"/>
      <c r="BA323" s="407"/>
      <c r="BB323" s="407"/>
      <c r="BC323" s="407"/>
      <c r="BD323" s="407"/>
      <c r="BE323" s="407"/>
      <c r="BF323" s="407"/>
      <c r="BG323" s="407"/>
      <c r="BH323" s="407"/>
      <c r="BI323" s="407"/>
      <c r="BJ323" s="407"/>
      <c r="BK323" s="407"/>
      <c r="BL323" s="407"/>
      <c r="BM323" s="407"/>
      <c r="BN323" s="407"/>
      <c r="BO323" s="407"/>
      <c r="BP323" s="407"/>
      <c r="BQ323" s="407"/>
      <c r="BR323" s="407"/>
      <c r="BS323" s="407"/>
      <c r="BT323" s="407"/>
      <c r="BU323" s="407"/>
      <c r="BV323" s="407"/>
      <c r="BW323" s="407"/>
      <c r="BX323" s="407"/>
      <c r="BY323" s="407"/>
      <c r="BZ323" s="407"/>
      <c r="CA323" s="407"/>
      <c r="CB323" s="407"/>
      <c r="CC323" s="407"/>
      <c r="CD323" s="407"/>
      <c r="CE323" s="407"/>
      <c r="CF323" s="407"/>
    </row>
    <row r="324" spans="1:84">
      <c r="A324" s="407"/>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c r="AA324" s="407"/>
      <c r="AB324" s="407"/>
      <c r="AC324" s="407"/>
      <c r="AD324" s="407"/>
      <c r="AE324" s="407"/>
      <c r="AF324" s="407"/>
      <c r="AG324" s="407"/>
      <c r="AH324" s="407"/>
      <c r="AI324" s="407"/>
      <c r="AJ324" s="407"/>
      <c r="AK324" s="407"/>
      <c r="AL324" s="407"/>
      <c r="AM324" s="407"/>
      <c r="AN324" s="407"/>
      <c r="AO324" s="407"/>
      <c r="AP324" s="407"/>
      <c r="AQ324" s="407"/>
      <c r="AR324" s="407"/>
      <c r="AS324" s="407"/>
      <c r="AT324" s="407"/>
      <c r="AU324" s="407"/>
      <c r="AV324" s="407"/>
      <c r="AW324" s="407"/>
      <c r="AX324" s="407"/>
      <c r="AY324" s="407"/>
      <c r="AZ324" s="407"/>
      <c r="BA324" s="407"/>
      <c r="BB324" s="407"/>
      <c r="BC324" s="407"/>
      <c r="BD324" s="407"/>
      <c r="BE324" s="407"/>
      <c r="BF324" s="407"/>
      <c r="BG324" s="407"/>
      <c r="BH324" s="407"/>
      <c r="BI324" s="407"/>
      <c r="BJ324" s="407"/>
      <c r="BK324" s="407"/>
      <c r="BL324" s="407"/>
      <c r="BM324" s="407"/>
      <c r="BN324" s="407"/>
      <c r="BO324" s="407"/>
      <c r="BP324" s="407"/>
      <c r="BQ324" s="407"/>
      <c r="BR324" s="407"/>
      <c r="BS324" s="407"/>
      <c r="BT324" s="407"/>
      <c r="BU324" s="407"/>
      <c r="BV324" s="407"/>
      <c r="BW324" s="407"/>
      <c r="BX324" s="407"/>
      <c r="BY324" s="407"/>
      <c r="BZ324" s="407"/>
      <c r="CA324" s="407"/>
      <c r="CB324" s="407"/>
      <c r="CC324" s="407"/>
      <c r="CD324" s="407"/>
      <c r="CE324" s="407"/>
      <c r="CF324" s="407"/>
    </row>
    <row r="325" spans="1:84">
      <c r="A325" s="407"/>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407"/>
      <c r="AE325" s="407"/>
      <c r="AF325" s="407"/>
      <c r="AG325" s="407"/>
      <c r="AH325" s="407"/>
      <c r="AI325" s="407"/>
      <c r="AJ325" s="407"/>
      <c r="AK325" s="407"/>
      <c r="AL325" s="407"/>
      <c r="AM325" s="407"/>
      <c r="AN325" s="407"/>
      <c r="AO325" s="407"/>
      <c r="AP325" s="407"/>
      <c r="AQ325" s="407"/>
      <c r="AR325" s="407"/>
      <c r="AS325" s="407"/>
      <c r="AT325" s="407"/>
      <c r="AU325" s="407"/>
      <c r="AV325" s="407"/>
      <c r="AW325" s="407"/>
      <c r="AX325" s="407"/>
      <c r="AY325" s="407"/>
      <c r="AZ325" s="407"/>
      <c r="BA325" s="407"/>
      <c r="BB325" s="407"/>
      <c r="BC325" s="407"/>
      <c r="BD325" s="407"/>
      <c r="BE325" s="407"/>
      <c r="BF325" s="407"/>
      <c r="BG325" s="407"/>
      <c r="BH325" s="407"/>
      <c r="BI325" s="407"/>
      <c r="BJ325" s="407"/>
      <c r="BK325" s="407"/>
      <c r="BL325" s="407"/>
      <c r="BM325" s="407"/>
      <c r="BN325" s="407"/>
      <c r="BO325" s="407"/>
      <c r="BP325" s="407"/>
      <c r="BQ325" s="407"/>
      <c r="BR325" s="407"/>
      <c r="BS325" s="407"/>
      <c r="BT325" s="407"/>
      <c r="BU325" s="407"/>
      <c r="BV325" s="407"/>
      <c r="BW325" s="407"/>
      <c r="BX325" s="407"/>
      <c r="BY325" s="407"/>
      <c r="BZ325" s="407"/>
      <c r="CA325" s="407"/>
      <c r="CB325" s="407"/>
      <c r="CC325" s="407"/>
      <c r="CD325" s="407"/>
      <c r="CE325" s="407"/>
      <c r="CF325" s="407"/>
    </row>
    <row r="326" spans="1:84">
      <c r="A326" s="407"/>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c r="AA326" s="407"/>
      <c r="AB326" s="407"/>
      <c r="AC326" s="407"/>
      <c r="AD326" s="407"/>
      <c r="AE326" s="407"/>
      <c r="AF326" s="407"/>
      <c r="AG326" s="407"/>
      <c r="AH326" s="407"/>
      <c r="AI326" s="407"/>
      <c r="AJ326" s="407"/>
      <c r="AK326" s="407"/>
      <c r="AL326" s="407"/>
      <c r="AM326" s="407"/>
      <c r="AN326" s="407"/>
      <c r="AO326" s="407"/>
      <c r="AP326" s="407"/>
      <c r="AQ326" s="407"/>
      <c r="AR326" s="407"/>
      <c r="AS326" s="407"/>
      <c r="AT326" s="407"/>
      <c r="AU326" s="407"/>
      <c r="AV326" s="407"/>
      <c r="AW326" s="407"/>
      <c r="AX326" s="407"/>
      <c r="AY326" s="407"/>
      <c r="AZ326" s="407"/>
      <c r="BA326" s="407"/>
      <c r="BB326" s="407"/>
      <c r="BC326" s="407"/>
      <c r="BD326" s="407"/>
      <c r="BE326" s="407"/>
      <c r="BF326" s="407"/>
      <c r="BG326" s="407"/>
      <c r="BH326" s="407"/>
      <c r="BI326" s="407"/>
      <c r="BJ326" s="407"/>
      <c r="BK326" s="407"/>
      <c r="BL326" s="407"/>
      <c r="BM326" s="407"/>
      <c r="BN326" s="407"/>
      <c r="BO326" s="407"/>
      <c r="BP326" s="407"/>
      <c r="BQ326" s="407"/>
      <c r="BR326" s="407"/>
      <c r="BS326" s="407"/>
      <c r="BT326" s="407"/>
      <c r="BU326" s="407"/>
      <c r="BV326" s="407"/>
      <c r="BW326" s="407"/>
      <c r="BX326" s="407"/>
      <c r="BY326" s="407"/>
      <c r="BZ326" s="407"/>
      <c r="CA326" s="407"/>
      <c r="CB326" s="407"/>
      <c r="CC326" s="407"/>
      <c r="CD326" s="407"/>
      <c r="CE326" s="407"/>
      <c r="CF326" s="407"/>
    </row>
    <row r="327" spans="1:84">
      <c r="A327" s="407"/>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407"/>
      <c r="AE327" s="407"/>
      <c r="AF327" s="407"/>
      <c r="AG327" s="407"/>
      <c r="AH327" s="407"/>
      <c r="AI327" s="407"/>
      <c r="AJ327" s="407"/>
      <c r="AK327" s="407"/>
      <c r="AL327" s="407"/>
      <c r="AM327" s="407"/>
      <c r="AN327" s="407"/>
      <c r="AO327" s="407"/>
      <c r="AP327" s="407"/>
      <c r="AQ327" s="407"/>
      <c r="AR327" s="407"/>
      <c r="AS327" s="407"/>
      <c r="AT327" s="407"/>
      <c r="AU327" s="407"/>
      <c r="AV327" s="407"/>
      <c r="AW327" s="407"/>
      <c r="AX327" s="407"/>
      <c r="AY327" s="407"/>
      <c r="AZ327" s="407"/>
      <c r="BA327" s="407"/>
      <c r="BB327" s="407"/>
      <c r="BC327" s="407"/>
      <c r="BD327" s="407"/>
      <c r="BE327" s="407"/>
      <c r="BF327" s="407"/>
      <c r="BG327" s="407"/>
      <c r="BH327" s="407"/>
      <c r="BI327" s="407"/>
      <c r="BJ327" s="407"/>
      <c r="BK327" s="407"/>
      <c r="BL327" s="407"/>
      <c r="BM327" s="407"/>
      <c r="BN327" s="407"/>
      <c r="BO327" s="407"/>
      <c r="BP327" s="407"/>
      <c r="BQ327" s="407"/>
      <c r="BR327" s="407"/>
      <c r="BS327" s="407"/>
      <c r="BT327" s="407"/>
      <c r="BU327" s="407"/>
      <c r="BV327" s="407"/>
      <c r="BW327" s="407"/>
      <c r="BX327" s="407"/>
      <c r="BY327" s="407"/>
      <c r="BZ327" s="407"/>
      <c r="CA327" s="407"/>
      <c r="CB327" s="407"/>
      <c r="CC327" s="407"/>
      <c r="CD327" s="407"/>
      <c r="CE327" s="407"/>
      <c r="CF327" s="407"/>
    </row>
    <row r="328" spans="1:84">
      <c r="A328" s="407"/>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7"/>
      <c r="CD328" s="407"/>
      <c r="CE328" s="407"/>
      <c r="CF328" s="407"/>
    </row>
    <row r="329" spans="1:84">
      <c r="A329" s="407"/>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7"/>
      <c r="CD329" s="407"/>
      <c r="CE329" s="407"/>
      <c r="CF329" s="407"/>
    </row>
    <row r="330" spans="1:84">
      <c r="A330" s="407"/>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7"/>
      <c r="CD330" s="407"/>
      <c r="CE330" s="407"/>
      <c r="CF330" s="407"/>
    </row>
    <row r="331" spans="1:84">
      <c r="A331" s="407"/>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7"/>
      <c r="CD331" s="407"/>
      <c r="CE331" s="407"/>
      <c r="CF331" s="407"/>
    </row>
    <row r="332" spans="1:84">
      <c r="A332" s="407"/>
      <c r="B332" s="407"/>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7"/>
      <c r="CD332" s="407"/>
      <c r="CE332" s="407"/>
      <c r="CF332" s="407"/>
    </row>
    <row r="333" spans="1:84">
      <c r="A333" s="407"/>
      <c r="B333" s="407"/>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7"/>
      <c r="CD333" s="407"/>
      <c r="CE333" s="407"/>
      <c r="CF333" s="407"/>
    </row>
    <row r="334" spans="1:84">
      <c r="A334" s="407"/>
      <c r="B334" s="407"/>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7"/>
      <c r="CD334" s="407"/>
      <c r="CE334" s="407"/>
      <c r="CF334" s="407"/>
    </row>
    <row r="335" spans="1:84">
      <c r="A335" s="407"/>
      <c r="B335" s="407"/>
      <c r="C335" s="407"/>
      <c r="D335" s="407"/>
      <c r="E335" s="407"/>
      <c r="F335" s="407"/>
      <c r="G335" s="407"/>
      <c r="H335" s="407"/>
      <c r="I335" s="407"/>
      <c r="J335" s="407"/>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407"/>
      <c r="BX335" s="407"/>
      <c r="BY335" s="407"/>
      <c r="BZ335" s="407"/>
      <c r="CA335" s="407"/>
      <c r="CB335" s="407"/>
      <c r="CC335" s="407"/>
      <c r="CD335" s="407"/>
      <c r="CE335" s="407"/>
      <c r="CF335" s="407"/>
    </row>
    <row r="336" spans="1:84">
      <c r="A336" s="407"/>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407"/>
      <c r="AE336" s="407"/>
      <c r="AF336" s="407"/>
      <c r="AG336" s="407"/>
      <c r="AH336" s="407"/>
      <c r="AI336" s="407"/>
      <c r="AJ336" s="407"/>
      <c r="AK336" s="407"/>
      <c r="AL336" s="407"/>
      <c r="AM336" s="407"/>
      <c r="AN336" s="407"/>
      <c r="AO336" s="407"/>
      <c r="AP336" s="407"/>
      <c r="AQ336" s="407"/>
      <c r="AR336" s="407"/>
      <c r="AS336" s="407"/>
      <c r="AT336" s="407"/>
      <c r="AU336" s="407"/>
      <c r="AV336" s="407"/>
      <c r="AW336" s="407"/>
      <c r="AX336" s="407"/>
      <c r="AY336" s="407"/>
      <c r="AZ336" s="407"/>
      <c r="BA336" s="407"/>
      <c r="BB336" s="407"/>
      <c r="BC336" s="407"/>
      <c r="BD336" s="407"/>
      <c r="BE336" s="407"/>
      <c r="BF336" s="407"/>
      <c r="BG336" s="407"/>
      <c r="BH336" s="407"/>
      <c r="BI336" s="407"/>
      <c r="BJ336" s="407"/>
      <c r="BK336" s="407"/>
      <c r="BL336" s="407"/>
      <c r="BM336" s="407"/>
      <c r="BN336" s="407"/>
      <c r="BO336" s="407"/>
      <c r="BP336" s="407"/>
      <c r="BQ336" s="407"/>
      <c r="BR336" s="407"/>
      <c r="BS336" s="407"/>
      <c r="BT336" s="407"/>
      <c r="BU336" s="407"/>
      <c r="BV336" s="407"/>
      <c r="BW336" s="407"/>
      <c r="BX336" s="407"/>
      <c r="BY336" s="407"/>
      <c r="BZ336" s="407"/>
      <c r="CA336" s="407"/>
      <c r="CB336" s="407"/>
      <c r="CC336" s="407"/>
      <c r="CD336" s="407"/>
      <c r="CE336" s="407"/>
      <c r="CF336" s="407"/>
    </row>
    <row r="337" spans="1:84">
      <c r="A337" s="407"/>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407"/>
      <c r="AE337" s="407"/>
      <c r="AF337" s="407"/>
      <c r="AG337" s="407"/>
      <c r="AH337" s="407"/>
      <c r="AI337" s="407"/>
      <c r="AJ337" s="407"/>
      <c r="AK337" s="407"/>
      <c r="AL337" s="407"/>
      <c r="AM337" s="407"/>
      <c r="AN337" s="407"/>
      <c r="AO337" s="407"/>
      <c r="AP337" s="407"/>
      <c r="AQ337" s="407"/>
      <c r="AR337" s="407"/>
      <c r="AS337" s="407"/>
      <c r="AT337" s="407"/>
      <c r="AU337" s="407"/>
      <c r="AV337" s="407"/>
      <c r="AW337" s="407"/>
      <c r="AX337" s="407"/>
      <c r="AY337" s="407"/>
      <c r="AZ337" s="407"/>
      <c r="BA337" s="407"/>
      <c r="BB337" s="407"/>
      <c r="BC337" s="407"/>
      <c r="BD337" s="407"/>
      <c r="BE337" s="407"/>
      <c r="BF337" s="407"/>
      <c r="BG337" s="407"/>
      <c r="BH337" s="407"/>
      <c r="BI337" s="407"/>
      <c r="BJ337" s="407"/>
      <c r="BK337" s="407"/>
      <c r="BL337" s="407"/>
      <c r="BM337" s="407"/>
      <c r="BN337" s="407"/>
      <c r="BO337" s="407"/>
      <c r="BP337" s="407"/>
      <c r="BQ337" s="407"/>
      <c r="BR337" s="407"/>
      <c r="BS337" s="407"/>
      <c r="BT337" s="407"/>
      <c r="BU337" s="407"/>
      <c r="BV337" s="407"/>
      <c r="BW337" s="407"/>
      <c r="BX337" s="407"/>
      <c r="BY337" s="407"/>
      <c r="BZ337" s="407"/>
      <c r="CA337" s="407"/>
      <c r="CB337" s="407"/>
      <c r="CC337" s="407"/>
      <c r="CD337" s="407"/>
      <c r="CE337" s="407"/>
      <c r="CF337" s="407"/>
    </row>
    <row r="338" spans="1:84">
      <c r="A338" s="407"/>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7"/>
      <c r="AI338" s="407"/>
      <c r="AJ338" s="407"/>
      <c r="AK338" s="407"/>
      <c r="AL338" s="407"/>
      <c r="AM338" s="407"/>
      <c r="AN338" s="407"/>
      <c r="AO338" s="407"/>
      <c r="AP338" s="407"/>
      <c r="AQ338" s="407"/>
      <c r="AR338" s="407"/>
      <c r="AS338" s="407"/>
      <c r="AT338" s="407"/>
      <c r="AU338" s="407"/>
      <c r="AV338" s="407"/>
      <c r="AW338" s="407"/>
      <c r="AX338" s="407"/>
      <c r="AY338" s="407"/>
      <c r="AZ338" s="407"/>
      <c r="BA338" s="407"/>
      <c r="BB338" s="407"/>
      <c r="BC338" s="407"/>
      <c r="BD338" s="407"/>
      <c r="BE338" s="407"/>
      <c r="BF338" s="407"/>
      <c r="BG338" s="407"/>
      <c r="BH338" s="407"/>
      <c r="BI338" s="407"/>
      <c r="BJ338" s="407"/>
      <c r="BK338" s="407"/>
      <c r="BL338" s="407"/>
      <c r="BM338" s="407"/>
      <c r="BN338" s="407"/>
      <c r="BO338" s="407"/>
      <c r="BP338" s="407"/>
      <c r="BQ338" s="407"/>
      <c r="BR338" s="407"/>
      <c r="BS338" s="407"/>
      <c r="BT338" s="407"/>
      <c r="BU338" s="407"/>
      <c r="BV338" s="407"/>
      <c r="BW338" s="407"/>
      <c r="BX338" s="407"/>
      <c r="BY338" s="407"/>
      <c r="BZ338" s="407"/>
      <c r="CA338" s="407"/>
      <c r="CB338" s="407"/>
      <c r="CC338" s="407"/>
      <c r="CD338" s="407"/>
      <c r="CE338" s="407"/>
      <c r="CF338" s="407"/>
    </row>
    <row r="339" spans="1:84">
      <c r="A339" s="407"/>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c r="AA339" s="407"/>
      <c r="AB339" s="407"/>
      <c r="AC339" s="407"/>
      <c r="AD339" s="407"/>
      <c r="AE339" s="407"/>
      <c r="AF339" s="407"/>
      <c r="AG339" s="407"/>
      <c r="AH339" s="407"/>
      <c r="AI339" s="407"/>
      <c r="AJ339" s="407"/>
      <c r="AK339" s="407"/>
      <c r="AL339" s="407"/>
      <c r="AM339" s="407"/>
      <c r="AN339" s="407"/>
      <c r="AO339" s="407"/>
      <c r="AP339" s="407"/>
      <c r="AQ339" s="407"/>
      <c r="AR339" s="407"/>
      <c r="AS339" s="407"/>
      <c r="AT339" s="407"/>
      <c r="AU339" s="407"/>
      <c r="AV339" s="407"/>
      <c r="AW339" s="407"/>
      <c r="AX339" s="407"/>
      <c r="AY339" s="407"/>
      <c r="AZ339" s="407"/>
      <c r="BA339" s="407"/>
      <c r="BB339" s="407"/>
      <c r="BC339" s="407"/>
      <c r="BD339" s="407"/>
      <c r="BE339" s="407"/>
      <c r="BF339" s="407"/>
      <c r="BG339" s="407"/>
      <c r="BH339" s="407"/>
      <c r="BI339" s="407"/>
      <c r="BJ339" s="407"/>
      <c r="BK339" s="407"/>
      <c r="BL339" s="407"/>
      <c r="BM339" s="407"/>
      <c r="BN339" s="407"/>
      <c r="BO339" s="407"/>
      <c r="BP339" s="407"/>
      <c r="BQ339" s="407"/>
      <c r="BR339" s="407"/>
      <c r="BS339" s="407"/>
      <c r="BT339" s="407"/>
      <c r="BU339" s="407"/>
      <c r="BV339" s="407"/>
      <c r="BW339" s="407"/>
      <c r="BX339" s="407"/>
      <c r="BY339" s="407"/>
      <c r="BZ339" s="407"/>
      <c r="CA339" s="407"/>
      <c r="CB339" s="407"/>
      <c r="CC339" s="407"/>
      <c r="CD339" s="407"/>
      <c r="CE339" s="407"/>
      <c r="CF339" s="407"/>
    </row>
    <row r="340" spans="1:84">
      <c r="A340" s="407"/>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c r="AA340" s="407"/>
      <c r="AB340" s="407"/>
      <c r="AC340" s="407"/>
      <c r="AD340" s="407"/>
      <c r="AE340" s="407"/>
      <c r="AF340" s="407"/>
      <c r="AG340" s="407"/>
      <c r="AH340" s="407"/>
      <c r="AI340" s="407"/>
      <c r="AJ340" s="407"/>
      <c r="AK340" s="407"/>
      <c r="AL340" s="407"/>
      <c r="AM340" s="407"/>
      <c r="AN340" s="407"/>
      <c r="AO340" s="407"/>
      <c r="AP340" s="407"/>
      <c r="AQ340" s="407"/>
      <c r="AR340" s="407"/>
      <c r="AS340" s="407"/>
      <c r="AT340" s="407"/>
      <c r="AU340" s="407"/>
      <c r="AV340" s="407"/>
      <c r="AW340" s="407"/>
      <c r="AX340" s="407"/>
      <c r="AY340" s="407"/>
      <c r="AZ340" s="407"/>
      <c r="BA340" s="407"/>
      <c r="BB340" s="407"/>
      <c r="BC340" s="407"/>
      <c r="BD340" s="407"/>
      <c r="BE340" s="407"/>
      <c r="BF340" s="407"/>
      <c r="BG340" s="407"/>
      <c r="BH340" s="407"/>
      <c r="BI340" s="407"/>
      <c r="BJ340" s="407"/>
      <c r="BK340" s="407"/>
      <c r="BL340" s="407"/>
      <c r="BM340" s="407"/>
      <c r="BN340" s="407"/>
      <c r="BO340" s="407"/>
      <c r="BP340" s="407"/>
      <c r="BQ340" s="407"/>
      <c r="BR340" s="407"/>
      <c r="BS340" s="407"/>
      <c r="BT340" s="407"/>
      <c r="BU340" s="407"/>
      <c r="BV340" s="407"/>
      <c r="BW340" s="407"/>
      <c r="BX340" s="407"/>
      <c r="BY340" s="407"/>
      <c r="BZ340" s="407"/>
      <c r="CA340" s="407"/>
      <c r="CB340" s="407"/>
      <c r="CC340" s="407"/>
      <c r="CD340" s="407"/>
      <c r="CE340" s="407"/>
      <c r="CF340" s="407"/>
    </row>
    <row r="341" spans="1:84">
      <c r="A341" s="407"/>
      <c r="B341" s="407"/>
      <c r="C341" s="407"/>
      <c r="D341" s="407"/>
      <c r="E341" s="407"/>
      <c r="F341" s="407"/>
      <c r="G341" s="407"/>
      <c r="H341" s="407"/>
      <c r="I341" s="407"/>
      <c r="J341" s="407"/>
      <c r="K341" s="407"/>
      <c r="L341" s="407"/>
      <c r="M341" s="407"/>
      <c r="N341" s="407"/>
      <c r="O341" s="407"/>
      <c r="P341" s="407"/>
      <c r="Q341" s="407"/>
      <c r="R341" s="407"/>
      <c r="S341" s="407"/>
      <c r="T341" s="407"/>
      <c r="U341" s="407"/>
      <c r="V341" s="407"/>
      <c r="W341" s="407"/>
      <c r="X341" s="407"/>
      <c r="Y341" s="407"/>
      <c r="Z341" s="407"/>
      <c r="AA341" s="407"/>
      <c r="AB341" s="407"/>
      <c r="AC341" s="407"/>
      <c r="AD341" s="407"/>
      <c r="AE341" s="407"/>
      <c r="AF341" s="407"/>
      <c r="AG341" s="407"/>
      <c r="AH341" s="407"/>
      <c r="AI341" s="407"/>
      <c r="AJ341" s="407"/>
      <c r="AK341" s="407"/>
      <c r="AL341" s="407"/>
      <c r="AM341" s="407"/>
      <c r="AN341" s="407"/>
      <c r="AO341" s="407"/>
      <c r="AP341" s="407"/>
      <c r="AQ341" s="407"/>
      <c r="AR341" s="407"/>
      <c r="AS341" s="407"/>
      <c r="AT341" s="407"/>
      <c r="AU341" s="407"/>
      <c r="AV341" s="407"/>
      <c r="AW341" s="407"/>
      <c r="AX341" s="407"/>
      <c r="AY341" s="407"/>
      <c r="AZ341" s="407"/>
      <c r="BA341" s="407"/>
      <c r="BB341" s="407"/>
      <c r="BC341" s="407"/>
      <c r="BD341" s="407"/>
      <c r="BE341" s="407"/>
      <c r="BF341" s="407"/>
      <c r="BG341" s="407"/>
      <c r="BH341" s="407"/>
      <c r="BI341" s="407"/>
      <c r="BJ341" s="407"/>
      <c r="BK341" s="407"/>
      <c r="BL341" s="407"/>
      <c r="BM341" s="407"/>
      <c r="BN341" s="407"/>
      <c r="BO341" s="407"/>
      <c r="BP341" s="407"/>
      <c r="BQ341" s="407"/>
      <c r="BR341" s="407"/>
      <c r="BS341" s="407"/>
      <c r="BT341" s="407"/>
      <c r="BU341" s="407"/>
      <c r="BV341" s="407"/>
      <c r="BW341" s="407"/>
      <c r="BX341" s="407"/>
      <c r="BY341" s="407"/>
      <c r="BZ341" s="407"/>
      <c r="CA341" s="407"/>
      <c r="CB341" s="407"/>
      <c r="CC341" s="407"/>
      <c r="CD341" s="407"/>
      <c r="CE341" s="407"/>
      <c r="CF341" s="407"/>
    </row>
    <row r="342" spans="1:84">
      <c r="A342" s="407"/>
      <c r="B342" s="407"/>
      <c r="C342" s="407"/>
      <c r="D342" s="407"/>
      <c r="E342" s="407"/>
      <c r="F342" s="407"/>
      <c r="G342" s="407"/>
      <c r="H342" s="407"/>
      <c r="I342" s="407"/>
      <c r="J342" s="407"/>
      <c r="K342" s="407"/>
      <c r="L342" s="407"/>
      <c r="M342" s="407"/>
      <c r="N342" s="407"/>
      <c r="O342" s="407"/>
      <c r="P342" s="407"/>
      <c r="Q342" s="407"/>
      <c r="R342" s="407"/>
      <c r="S342" s="407"/>
      <c r="T342" s="407"/>
      <c r="U342" s="407"/>
      <c r="V342" s="407"/>
      <c r="W342" s="407"/>
      <c r="X342" s="407"/>
      <c r="Y342" s="407"/>
      <c r="Z342" s="407"/>
      <c r="AA342" s="407"/>
      <c r="AB342" s="407"/>
      <c r="AC342" s="407"/>
      <c r="AD342" s="407"/>
      <c r="AE342" s="407"/>
      <c r="AF342" s="407"/>
      <c r="AG342" s="407"/>
      <c r="AH342" s="407"/>
      <c r="AI342" s="407"/>
      <c r="AJ342" s="407"/>
      <c r="AK342" s="407"/>
      <c r="AL342" s="407"/>
      <c r="AM342" s="407"/>
      <c r="AN342" s="407"/>
      <c r="AO342" s="407"/>
      <c r="AP342" s="407"/>
      <c r="AQ342" s="407"/>
      <c r="AR342" s="407"/>
      <c r="AS342" s="407"/>
      <c r="AT342" s="407"/>
      <c r="AU342" s="407"/>
      <c r="AV342" s="407"/>
      <c r="AW342" s="407"/>
      <c r="AX342" s="407"/>
      <c r="AY342" s="407"/>
      <c r="AZ342" s="407"/>
      <c r="BA342" s="407"/>
      <c r="BB342" s="407"/>
      <c r="BC342" s="407"/>
      <c r="BD342" s="407"/>
      <c r="BE342" s="407"/>
      <c r="BF342" s="407"/>
      <c r="BG342" s="407"/>
      <c r="BH342" s="407"/>
      <c r="BI342" s="407"/>
      <c r="BJ342" s="407"/>
      <c r="BK342" s="407"/>
      <c r="BL342" s="407"/>
      <c r="BM342" s="407"/>
      <c r="BN342" s="407"/>
      <c r="BO342" s="407"/>
      <c r="BP342" s="407"/>
      <c r="BQ342" s="407"/>
      <c r="BR342" s="407"/>
      <c r="BS342" s="407"/>
      <c r="BT342" s="407"/>
      <c r="BU342" s="407"/>
      <c r="BV342" s="407"/>
      <c r="BW342" s="407"/>
      <c r="BX342" s="407"/>
      <c r="BY342" s="407"/>
      <c r="BZ342" s="407"/>
      <c r="CA342" s="407"/>
      <c r="CB342" s="407"/>
      <c r="CC342" s="407"/>
      <c r="CD342" s="407"/>
      <c r="CE342" s="407"/>
      <c r="CF342" s="407"/>
    </row>
    <row r="343" spans="1:84">
      <c r="A343" s="407"/>
      <c r="B343" s="407"/>
      <c r="C343" s="407"/>
      <c r="D343" s="407"/>
      <c r="E343" s="407"/>
      <c r="F343" s="407"/>
      <c r="G343" s="407"/>
      <c r="H343" s="407"/>
      <c r="I343" s="407"/>
      <c r="J343" s="407"/>
      <c r="K343" s="407"/>
      <c r="L343" s="407"/>
      <c r="M343" s="407"/>
      <c r="N343" s="407"/>
      <c r="O343" s="407"/>
      <c r="P343" s="407"/>
      <c r="Q343" s="407"/>
      <c r="R343" s="407"/>
      <c r="S343" s="407"/>
      <c r="T343" s="407"/>
      <c r="U343" s="407"/>
      <c r="V343" s="407"/>
      <c r="W343" s="407"/>
      <c r="X343" s="407"/>
      <c r="Y343" s="407"/>
      <c r="Z343" s="407"/>
      <c r="AA343" s="407"/>
      <c r="AB343" s="407"/>
      <c r="AC343" s="407"/>
      <c r="AD343" s="407"/>
      <c r="AE343" s="407"/>
      <c r="AF343" s="407"/>
      <c r="AG343" s="407"/>
      <c r="AH343" s="407"/>
      <c r="AI343" s="407"/>
      <c r="AJ343" s="407"/>
      <c r="AK343" s="407"/>
      <c r="AL343" s="407"/>
      <c r="AM343" s="407"/>
      <c r="AN343" s="407"/>
      <c r="AO343" s="407"/>
      <c r="AP343" s="407"/>
      <c r="AQ343" s="407"/>
      <c r="AR343" s="407"/>
      <c r="AS343" s="407"/>
      <c r="AT343" s="407"/>
      <c r="AU343" s="407"/>
      <c r="AV343" s="407"/>
      <c r="AW343" s="407"/>
      <c r="AX343" s="407"/>
      <c r="AY343" s="407"/>
      <c r="AZ343" s="407"/>
      <c r="BA343" s="407"/>
      <c r="BB343" s="407"/>
      <c r="BC343" s="407"/>
      <c r="BD343" s="407"/>
      <c r="BE343" s="407"/>
      <c r="BF343" s="407"/>
      <c r="BG343" s="407"/>
      <c r="BH343" s="407"/>
      <c r="BI343" s="407"/>
      <c r="BJ343" s="407"/>
      <c r="BK343" s="407"/>
      <c r="BL343" s="407"/>
      <c r="BM343" s="407"/>
      <c r="BN343" s="407"/>
      <c r="BO343" s="407"/>
      <c r="BP343" s="407"/>
      <c r="BQ343" s="407"/>
      <c r="BR343" s="407"/>
      <c r="BS343" s="407"/>
      <c r="BT343" s="407"/>
      <c r="BU343" s="407"/>
      <c r="BV343" s="407"/>
      <c r="BW343" s="407"/>
      <c r="BX343" s="407"/>
      <c r="BY343" s="407"/>
      <c r="BZ343" s="407"/>
      <c r="CA343" s="407"/>
      <c r="CB343" s="407"/>
      <c r="CC343" s="407"/>
      <c r="CD343" s="407"/>
      <c r="CE343" s="407"/>
      <c r="CF343" s="407"/>
    </row>
    <row r="344" spans="1:84">
      <c r="A344" s="407"/>
      <c r="B344" s="407"/>
      <c r="C344" s="407"/>
      <c r="D344" s="407"/>
      <c r="E344" s="407"/>
      <c r="F344" s="407"/>
      <c r="G344" s="407"/>
      <c r="H344" s="407"/>
      <c r="I344" s="407"/>
      <c r="J344" s="407"/>
      <c r="K344" s="407"/>
      <c r="L344" s="407"/>
      <c r="M344" s="407"/>
      <c r="N344" s="407"/>
      <c r="O344" s="407"/>
      <c r="P344" s="407"/>
      <c r="Q344" s="407"/>
      <c r="R344" s="407"/>
      <c r="S344" s="407"/>
      <c r="T344" s="407"/>
      <c r="U344" s="407"/>
      <c r="V344" s="407"/>
      <c r="W344" s="407"/>
      <c r="X344" s="407"/>
      <c r="Y344" s="407"/>
      <c r="Z344" s="407"/>
      <c r="AA344" s="407"/>
      <c r="AB344" s="407"/>
      <c r="AC344" s="407"/>
      <c r="AD344" s="407"/>
      <c r="AE344" s="407"/>
      <c r="AF344" s="407"/>
      <c r="AG344" s="407"/>
      <c r="AH344" s="407"/>
      <c r="AI344" s="407"/>
      <c r="AJ344" s="407"/>
      <c r="AK344" s="407"/>
      <c r="AL344" s="407"/>
      <c r="AM344" s="407"/>
      <c r="AN344" s="407"/>
      <c r="AO344" s="407"/>
      <c r="AP344" s="407"/>
      <c r="AQ344" s="407"/>
      <c r="AR344" s="407"/>
      <c r="AS344" s="407"/>
      <c r="AT344" s="407"/>
      <c r="AU344" s="407"/>
      <c r="AV344" s="407"/>
      <c r="AW344" s="407"/>
      <c r="AX344" s="407"/>
      <c r="AY344" s="407"/>
      <c r="AZ344" s="407"/>
      <c r="BA344" s="407"/>
      <c r="BB344" s="407"/>
      <c r="BC344" s="407"/>
      <c r="BD344" s="407"/>
      <c r="BE344" s="407"/>
      <c r="BF344" s="407"/>
      <c r="BG344" s="407"/>
      <c r="BH344" s="407"/>
      <c r="BI344" s="407"/>
      <c r="BJ344" s="407"/>
      <c r="BK344" s="407"/>
      <c r="BL344" s="407"/>
      <c r="BM344" s="407"/>
      <c r="BN344" s="407"/>
      <c r="BO344" s="407"/>
      <c r="BP344" s="407"/>
      <c r="BQ344" s="407"/>
      <c r="BR344" s="407"/>
      <c r="BS344" s="407"/>
      <c r="BT344" s="407"/>
      <c r="BU344" s="407"/>
      <c r="BV344" s="407"/>
      <c r="BW344" s="407"/>
      <c r="BX344" s="407"/>
      <c r="BY344" s="407"/>
      <c r="BZ344" s="407"/>
      <c r="CA344" s="407"/>
      <c r="CB344" s="407"/>
      <c r="CC344" s="407"/>
      <c r="CD344" s="407"/>
      <c r="CE344" s="407"/>
      <c r="CF344" s="407"/>
    </row>
    <row r="345" spans="1:84">
      <c r="A345" s="407"/>
      <c r="B345" s="407"/>
      <c r="C345" s="407"/>
      <c r="D345" s="407"/>
      <c r="E345" s="407"/>
      <c r="F345" s="407"/>
      <c r="G345" s="407"/>
      <c r="H345" s="407"/>
      <c r="I345" s="407"/>
      <c r="J345" s="407"/>
      <c r="K345" s="407"/>
      <c r="L345" s="407"/>
      <c r="M345" s="407"/>
      <c r="N345" s="407"/>
      <c r="O345" s="407"/>
      <c r="P345" s="407"/>
      <c r="Q345" s="407"/>
      <c r="R345" s="407"/>
      <c r="S345" s="407"/>
      <c r="T345" s="407"/>
      <c r="U345" s="407"/>
      <c r="V345" s="407"/>
      <c r="W345" s="407"/>
      <c r="X345" s="407"/>
      <c r="Y345" s="407"/>
      <c r="Z345" s="407"/>
      <c r="AA345" s="407"/>
      <c r="AB345" s="407"/>
      <c r="AC345" s="407"/>
      <c r="AD345" s="407"/>
      <c r="AE345" s="407"/>
      <c r="AF345" s="407"/>
      <c r="AG345" s="407"/>
      <c r="AH345" s="407"/>
      <c r="AI345" s="407"/>
      <c r="AJ345" s="407"/>
      <c r="AK345" s="407"/>
      <c r="AL345" s="407"/>
      <c r="AM345" s="407"/>
      <c r="AN345" s="407"/>
      <c r="AO345" s="407"/>
      <c r="AP345" s="407"/>
      <c r="AQ345" s="407"/>
      <c r="AR345" s="407"/>
      <c r="AS345" s="407"/>
      <c r="AT345" s="407"/>
      <c r="AU345" s="407"/>
      <c r="AV345" s="407"/>
      <c r="AW345" s="407"/>
      <c r="AX345" s="407"/>
      <c r="AY345" s="407"/>
      <c r="AZ345" s="407"/>
      <c r="BA345" s="407"/>
      <c r="BB345" s="407"/>
      <c r="BC345" s="407"/>
      <c r="BD345" s="407"/>
      <c r="BE345" s="407"/>
      <c r="BF345" s="407"/>
      <c r="BG345" s="407"/>
      <c r="BH345" s="407"/>
      <c r="BI345" s="407"/>
      <c r="BJ345" s="407"/>
      <c r="BK345" s="407"/>
      <c r="BL345" s="407"/>
      <c r="BM345" s="407"/>
      <c r="BN345" s="407"/>
      <c r="BO345" s="407"/>
      <c r="BP345" s="407"/>
      <c r="BQ345" s="407"/>
      <c r="BR345" s="407"/>
      <c r="BS345" s="407"/>
      <c r="BT345" s="407"/>
      <c r="BU345" s="407"/>
      <c r="BV345" s="407"/>
      <c r="BW345" s="407"/>
      <c r="BX345" s="407"/>
      <c r="BY345" s="407"/>
      <c r="BZ345" s="407"/>
      <c r="CA345" s="407"/>
      <c r="CB345" s="407"/>
      <c r="CC345" s="407"/>
      <c r="CD345" s="407"/>
      <c r="CE345" s="407"/>
      <c r="CF345" s="407"/>
    </row>
    <row r="346" spans="1:84">
      <c r="A346" s="407"/>
      <c r="B346" s="407"/>
      <c r="C346" s="407"/>
      <c r="D346" s="407"/>
      <c r="E346" s="407"/>
      <c r="F346" s="407"/>
      <c r="G346" s="407"/>
      <c r="H346" s="407"/>
      <c r="I346" s="407"/>
      <c r="J346" s="407"/>
      <c r="K346" s="407"/>
      <c r="L346" s="407"/>
      <c r="M346" s="407"/>
      <c r="N346" s="407"/>
      <c r="O346" s="407"/>
      <c r="P346" s="407"/>
      <c r="Q346" s="407"/>
      <c r="R346" s="407"/>
      <c r="S346" s="407"/>
      <c r="T346" s="407"/>
      <c r="U346" s="407"/>
      <c r="V346" s="407"/>
      <c r="W346" s="407"/>
      <c r="X346" s="407"/>
      <c r="Y346" s="407"/>
      <c r="Z346" s="407"/>
      <c r="AA346" s="407"/>
      <c r="AB346" s="407"/>
      <c r="AC346" s="407"/>
      <c r="AD346" s="407"/>
      <c r="AE346" s="407"/>
      <c r="AF346" s="407"/>
      <c r="AG346" s="407"/>
      <c r="AH346" s="407"/>
      <c r="AI346" s="407"/>
      <c r="AJ346" s="407"/>
      <c r="AK346" s="407"/>
      <c r="AL346" s="407"/>
      <c r="AM346" s="407"/>
      <c r="AN346" s="407"/>
      <c r="AO346" s="407"/>
      <c r="AP346" s="407"/>
      <c r="AQ346" s="407"/>
      <c r="AR346" s="407"/>
      <c r="AS346" s="407"/>
      <c r="AT346" s="407"/>
      <c r="AU346" s="407"/>
      <c r="AV346" s="407"/>
      <c r="AW346" s="407"/>
      <c r="AX346" s="407"/>
      <c r="AY346" s="407"/>
      <c r="AZ346" s="407"/>
      <c r="BA346" s="407"/>
      <c r="BB346" s="407"/>
      <c r="BC346" s="407"/>
      <c r="BD346" s="407"/>
      <c r="BE346" s="407"/>
      <c r="BF346" s="407"/>
      <c r="BG346" s="407"/>
      <c r="BH346" s="407"/>
      <c r="BI346" s="407"/>
      <c r="BJ346" s="407"/>
      <c r="BK346" s="407"/>
      <c r="BL346" s="407"/>
      <c r="BM346" s="407"/>
      <c r="BN346" s="407"/>
      <c r="BO346" s="407"/>
      <c r="BP346" s="407"/>
      <c r="BQ346" s="407"/>
      <c r="BR346" s="407"/>
      <c r="BS346" s="407"/>
      <c r="BT346" s="407"/>
      <c r="BU346" s="407"/>
      <c r="BV346" s="407"/>
      <c r="BW346" s="407"/>
      <c r="BX346" s="407"/>
      <c r="BY346" s="407"/>
      <c r="BZ346" s="407"/>
      <c r="CA346" s="407"/>
      <c r="CB346" s="407"/>
      <c r="CC346" s="407"/>
      <c r="CD346" s="407"/>
      <c r="CE346" s="407"/>
      <c r="CF346" s="407"/>
    </row>
    <row r="347" spans="1:84">
      <c r="A347" s="407"/>
      <c r="B347" s="407"/>
      <c r="C347" s="407"/>
      <c r="D347" s="407"/>
      <c r="E347" s="407"/>
      <c r="F347" s="407"/>
      <c r="G347" s="407"/>
      <c r="H347" s="407"/>
      <c r="I347" s="407"/>
      <c r="J347" s="407"/>
      <c r="K347" s="407"/>
      <c r="L347" s="407"/>
      <c r="M347" s="407"/>
      <c r="N347" s="407"/>
      <c r="O347" s="407"/>
      <c r="P347" s="407"/>
      <c r="Q347" s="407"/>
      <c r="R347" s="407"/>
      <c r="S347" s="407"/>
      <c r="T347" s="407"/>
      <c r="U347" s="407"/>
      <c r="V347" s="407"/>
      <c r="W347" s="407"/>
      <c r="X347" s="407"/>
      <c r="Y347" s="407"/>
      <c r="Z347" s="407"/>
      <c r="AA347" s="407"/>
      <c r="AB347" s="407"/>
      <c r="AC347" s="407"/>
      <c r="AD347" s="407"/>
      <c r="AE347" s="407"/>
      <c r="AF347" s="407"/>
      <c r="AG347" s="407"/>
      <c r="AH347" s="407"/>
      <c r="AI347" s="407"/>
      <c r="AJ347" s="407"/>
      <c r="AK347" s="407"/>
      <c r="AL347" s="407"/>
      <c r="AM347" s="407"/>
      <c r="AN347" s="407"/>
      <c r="AO347" s="407"/>
      <c r="AP347" s="407"/>
      <c r="AQ347" s="407"/>
      <c r="AR347" s="407"/>
      <c r="AS347" s="407"/>
      <c r="AT347" s="407"/>
      <c r="AU347" s="407"/>
      <c r="AV347" s="407"/>
      <c r="AW347" s="407"/>
      <c r="AX347" s="407"/>
      <c r="AY347" s="407"/>
      <c r="AZ347" s="407"/>
      <c r="BA347" s="407"/>
      <c r="BB347" s="407"/>
      <c r="BC347" s="407"/>
      <c r="BD347" s="407"/>
      <c r="BE347" s="407"/>
      <c r="BF347" s="407"/>
      <c r="BG347" s="407"/>
      <c r="BH347" s="407"/>
      <c r="BI347" s="407"/>
      <c r="BJ347" s="407"/>
      <c r="BK347" s="407"/>
      <c r="BL347" s="407"/>
      <c r="BM347" s="407"/>
      <c r="BN347" s="407"/>
      <c r="BO347" s="407"/>
      <c r="BP347" s="407"/>
      <c r="BQ347" s="407"/>
      <c r="BR347" s="407"/>
      <c r="BS347" s="407"/>
      <c r="BT347" s="407"/>
      <c r="BU347" s="407"/>
      <c r="BV347" s="407"/>
      <c r="BW347" s="407"/>
      <c r="BX347" s="407"/>
      <c r="BY347" s="407"/>
      <c r="BZ347" s="407"/>
      <c r="CA347" s="407"/>
      <c r="CB347" s="407"/>
      <c r="CC347" s="407"/>
      <c r="CD347" s="407"/>
      <c r="CE347" s="407"/>
      <c r="CF347" s="407"/>
    </row>
    <row r="348" spans="1:84">
      <c r="A348" s="407"/>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c r="AA348" s="407"/>
      <c r="AB348" s="407"/>
      <c r="AC348" s="407"/>
      <c r="AD348" s="407"/>
      <c r="AE348" s="407"/>
      <c r="AF348" s="407"/>
      <c r="AG348" s="407"/>
      <c r="AH348" s="407"/>
      <c r="AI348" s="407"/>
      <c r="AJ348" s="407"/>
      <c r="AK348" s="407"/>
      <c r="AL348" s="407"/>
      <c r="AM348" s="407"/>
      <c r="AN348" s="407"/>
      <c r="AO348" s="407"/>
      <c r="AP348" s="407"/>
      <c r="AQ348" s="407"/>
      <c r="AR348" s="407"/>
      <c r="AS348" s="407"/>
      <c r="AT348" s="407"/>
      <c r="AU348" s="407"/>
      <c r="AV348" s="407"/>
      <c r="AW348" s="407"/>
      <c r="AX348" s="407"/>
      <c r="AY348" s="407"/>
      <c r="AZ348" s="407"/>
      <c r="BA348" s="407"/>
      <c r="BB348" s="407"/>
      <c r="BC348" s="407"/>
      <c r="BD348" s="407"/>
      <c r="BE348" s="407"/>
      <c r="BF348" s="407"/>
      <c r="BG348" s="407"/>
      <c r="BH348" s="407"/>
      <c r="BI348" s="407"/>
      <c r="BJ348" s="407"/>
      <c r="BK348" s="407"/>
      <c r="BL348" s="407"/>
      <c r="BM348" s="407"/>
      <c r="BN348" s="407"/>
      <c r="BO348" s="407"/>
      <c r="BP348" s="407"/>
      <c r="BQ348" s="407"/>
      <c r="BR348" s="407"/>
      <c r="BS348" s="407"/>
      <c r="BT348" s="407"/>
      <c r="BU348" s="407"/>
      <c r="BV348" s="407"/>
      <c r="BW348" s="407"/>
      <c r="BX348" s="407"/>
      <c r="BY348" s="407"/>
      <c r="BZ348" s="407"/>
      <c r="CA348" s="407"/>
      <c r="CB348" s="407"/>
      <c r="CC348" s="407"/>
      <c r="CD348" s="407"/>
      <c r="CE348" s="407"/>
      <c r="CF348" s="407"/>
    </row>
    <row r="349" spans="1:84">
      <c r="A349" s="407"/>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407"/>
      <c r="AE349" s="407"/>
      <c r="AF349" s="407"/>
      <c r="AG349" s="407"/>
      <c r="AH349" s="407"/>
      <c r="AI349" s="407"/>
      <c r="AJ349" s="407"/>
      <c r="AK349" s="407"/>
      <c r="AL349" s="407"/>
      <c r="AM349" s="407"/>
      <c r="AN349" s="407"/>
      <c r="AO349" s="407"/>
      <c r="AP349" s="407"/>
      <c r="AQ349" s="407"/>
      <c r="AR349" s="407"/>
      <c r="AS349" s="407"/>
      <c r="AT349" s="407"/>
      <c r="AU349" s="407"/>
      <c r="AV349" s="407"/>
      <c r="AW349" s="407"/>
      <c r="AX349" s="407"/>
      <c r="AY349" s="407"/>
      <c r="AZ349" s="407"/>
      <c r="BA349" s="407"/>
      <c r="BB349" s="407"/>
      <c r="BC349" s="407"/>
      <c r="BD349" s="407"/>
      <c r="BE349" s="407"/>
      <c r="BF349" s="407"/>
      <c r="BG349" s="407"/>
      <c r="BH349" s="407"/>
      <c r="BI349" s="407"/>
      <c r="BJ349" s="407"/>
      <c r="BK349" s="407"/>
      <c r="BL349" s="407"/>
      <c r="BM349" s="407"/>
      <c r="BN349" s="407"/>
      <c r="BO349" s="407"/>
      <c r="BP349" s="407"/>
      <c r="BQ349" s="407"/>
      <c r="BR349" s="407"/>
      <c r="BS349" s="407"/>
      <c r="BT349" s="407"/>
      <c r="BU349" s="407"/>
      <c r="BV349" s="407"/>
      <c r="BW349" s="407"/>
      <c r="BX349" s="407"/>
      <c r="BY349" s="407"/>
      <c r="BZ349" s="407"/>
      <c r="CA349" s="407"/>
      <c r="CB349" s="407"/>
      <c r="CC349" s="407"/>
      <c r="CD349" s="407"/>
      <c r="CE349" s="407"/>
      <c r="CF349" s="407"/>
    </row>
    <row r="350" spans="1:84">
      <c r="A350" s="407"/>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c r="AA350" s="407"/>
      <c r="AB350" s="407"/>
      <c r="AC350" s="407"/>
      <c r="AD350" s="407"/>
      <c r="AE350" s="407"/>
      <c r="AF350" s="407"/>
      <c r="AG350" s="407"/>
      <c r="AH350" s="407"/>
      <c r="AI350" s="407"/>
      <c r="AJ350" s="407"/>
      <c r="AK350" s="407"/>
      <c r="AL350" s="407"/>
      <c r="AM350" s="407"/>
      <c r="AN350" s="407"/>
      <c r="AO350" s="407"/>
      <c r="AP350" s="407"/>
      <c r="AQ350" s="407"/>
      <c r="AR350" s="407"/>
      <c r="AS350" s="407"/>
      <c r="AT350" s="407"/>
      <c r="AU350" s="407"/>
      <c r="AV350" s="407"/>
      <c r="AW350" s="407"/>
      <c r="AX350" s="407"/>
      <c r="AY350" s="407"/>
      <c r="AZ350" s="407"/>
      <c r="BA350" s="407"/>
      <c r="BB350" s="407"/>
      <c r="BC350" s="407"/>
      <c r="BD350" s="407"/>
      <c r="BE350" s="407"/>
      <c r="BF350" s="407"/>
      <c r="BG350" s="407"/>
      <c r="BH350" s="407"/>
      <c r="BI350" s="407"/>
      <c r="BJ350" s="407"/>
      <c r="BK350" s="407"/>
      <c r="BL350" s="407"/>
      <c r="BM350" s="407"/>
      <c r="BN350" s="407"/>
      <c r="BO350" s="407"/>
      <c r="BP350" s="407"/>
      <c r="BQ350" s="407"/>
      <c r="BR350" s="407"/>
      <c r="BS350" s="407"/>
      <c r="BT350" s="407"/>
      <c r="BU350" s="407"/>
      <c r="BV350" s="407"/>
      <c r="BW350" s="407"/>
      <c r="BX350" s="407"/>
      <c r="BY350" s="407"/>
      <c r="BZ350" s="407"/>
      <c r="CA350" s="407"/>
      <c r="CB350" s="407"/>
      <c r="CC350" s="407"/>
      <c r="CD350" s="407"/>
      <c r="CE350" s="407"/>
      <c r="CF350" s="407"/>
    </row>
    <row r="351" spans="1:84">
      <c r="A351" s="407"/>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407"/>
      <c r="AE351" s="407"/>
      <c r="AF351" s="407"/>
      <c r="AG351" s="407"/>
      <c r="AH351" s="407"/>
      <c r="AI351" s="407"/>
      <c r="AJ351" s="407"/>
      <c r="AK351" s="407"/>
      <c r="AL351" s="407"/>
      <c r="AM351" s="407"/>
      <c r="AN351" s="407"/>
      <c r="AO351" s="407"/>
      <c r="AP351" s="407"/>
      <c r="AQ351" s="407"/>
      <c r="AR351" s="407"/>
      <c r="AS351" s="407"/>
      <c r="AT351" s="407"/>
      <c r="AU351" s="407"/>
      <c r="AV351" s="407"/>
      <c r="AW351" s="407"/>
      <c r="AX351" s="407"/>
      <c r="AY351" s="407"/>
      <c r="AZ351" s="407"/>
      <c r="BA351" s="407"/>
      <c r="BB351" s="407"/>
      <c r="BC351" s="407"/>
      <c r="BD351" s="407"/>
      <c r="BE351" s="407"/>
      <c r="BF351" s="407"/>
      <c r="BG351" s="407"/>
      <c r="BH351" s="407"/>
      <c r="BI351" s="407"/>
      <c r="BJ351" s="407"/>
      <c r="BK351" s="407"/>
      <c r="BL351" s="407"/>
      <c r="BM351" s="407"/>
      <c r="BN351" s="407"/>
      <c r="BO351" s="407"/>
      <c r="BP351" s="407"/>
      <c r="BQ351" s="407"/>
      <c r="BR351" s="407"/>
      <c r="BS351" s="407"/>
      <c r="BT351" s="407"/>
      <c r="BU351" s="407"/>
      <c r="BV351" s="407"/>
      <c r="BW351" s="407"/>
      <c r="BX351" s="407"/>
      <c r="BY351" s="407"/>
      <c r="BZ351" s="407"/>
      <c r="CA351" s="407"/>
      <c r="CB351" s="407"/>
      <c r="CC351" s="407"/>
      <c r="CD351" s="407"/>
      <c r="CE351" s="407"/>
      <c r="CF351" s="407"/>
    </row>
    <row r="352" spans="1:84">
      <c r="A352" s="407"/>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c r="AA352" s="407"/>
      <c r="AB352" s="407"/>
      <c r="AC352" s="407"/>
      <c r="AD352" s="407"/>
      <c r="AE352" s="407"/>
      <c r="AF352" s="407"/>
      <c r="AG352" s="407"/>
      <c r="AH352" s="407"/>
      <c r="AI352" s="407"/>
      <c r="AJ352" s="407"/>
      <c r="AK352" s="407"/>
      <c r="AL352" s="407"/>
      <c r="AM352" s="407"/>
      <c r="AN352" s="407"/>
      <c r="AO352" s="407"/>
      <c r="AP352" s="407"/>
      <c r="AQ352" s="407"/>
      <c r="AR352" s="407"/>
      <c r="AS352" s="407"/>
      <c r="AT352" s="407"/>
      <c r="AU352" s="407"/>
      <c r="AV352" s="407"/>
      <c r="AW352" s="407"/>
      <c r="AX352" s="407"/>
      <c r="AY352" s="407"/>
      <c r="AZ352" s="407"/>
      <c r="BA352" s="407"/>
      <c r="BB352" s="407"/>
      <c r="BC352" s="407"/>
      <c r="BD352" s="407"/>
      <c r="BE352" s="407"/>
      <c r="BF352" s="407"/>
      <c r="BG352" s="407"/>
      <c r="BH352" s="407"/>
      <c r="BI352" s="407"/>
      <c r="BJ352" s="407"/>
      <c r="BK352" s="407"/>
      <c r="BL352" s="407"/>
      <c r="BM352" s="407"/>
      <c r="BN352" s="407"/>
      <c r="BO352" s="407"/>
      <c r="BP352" s="407"/>
      <c r="BQ352" s="407"/>
      <c r="BR352" s="407"/>
      <c r="BS352" s="407"/>
      <c r="BT352" s="407"/>
      <c r="BU352" s="407"/>
      <c r="BV352" s="407"/>
      <c r="BW352" s="407"/>
      <c r="BX352" s="407"/>
      <c r="BY352" s="407"/>
      <c r="BZ352" s="407"/>
      <c r="CA352" s="407"/>
      <c r="CB352" s="407"/>
      <c r="CC352" s="407"/>
      <c r="CD352" s="407"/>
      <c r="CE352" s="407"/>
      <c r="CF352" s="407"/>
    </row>
    <row r="353" spans="1:84">
      <c r="A353" s="407"/>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c r="AA353" s="407"/>
      <c r="AB353" s="407"/>
      <c r="AC353" s="407"/>
      <c r="AD353" s="407"/>
      <c r="AE353" s="407"/>
      <c r="AF353" s="407"/>
      <c r="AG353" s="407"/>
      <c r="AH353" s="407"/>
      <c r="AI353" s="407"/>
      <c r="AJ353" s="407"/>
      <c r="AK353" s="407"/>
      <c r="AL353" s="407"/>
      <c r="AM353" s="407"/>
      <c r="AN353" s="407"/>
      <c r="AO353" s="407"/>
      <c r="AP353" s="407"/>
      <c r="AQ353" s="407"/>
      <c r="AR353" s="407"/>
      <c r="AS353" s="407"/>
      <c r="AT353" s="407"/>
      <c r="AU353" s="407"/>
      <c r="AV353" s="407"/>
      <c r="AW353" s="407"/>
      <c r="AX353" s="407"/>
      <c r="AY353" s="407"/>
      <c r="AZ353" s="407"/>
      <c r="BA353" s="407"/>
      <c r="BB353" s="407"/>
      <c r="BC353" s="407"/>
      <c r="BD353" s="407"/>
      <c r="BE353" s="407"/>
      <c r="BF353" s="407"/>
      <c r="BG353" s="407"/>
      <c r="BH353" s="407"/>
      <c r="BI353" s="407"/>
      <c r="BJ353" s="407"/>
      <c r="BK353" s="407"/>
      <c r="BL353" s="407"/>
      <c r="BM353" s="407"/>
      <c r="BN353" s="407"/>
      <c r="BO353" s="407"/>
      <c r="BP353" s="407"/>
      <c r="BQ353" s="407"/>
      <c r="BR353" s="407"/>
      <c r="BS353" s="407"/>
      <c r="BT353" s="407"/>
      <c r="BU353" s="407"/>
      <c r="BV353" s="407"/>
      <c r="BW353" s="407"/>
      <c r="BX353" s="407"/>
      <c r="BY353" s="407"/>
      <c r="BZ353" s="407"/>
      <c r="CA353" s="407"/>
      <c r="CB353" s="407"/>
      <c r="CC353" s="407"/>
      <c r="CD353" s="407"/>
      <c r="CE353" s="407"/>
      <c r="CF353" s="407"/>
    </row>
    <row r="354" spans="1:84">
      <c r="A354" s="407"/>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7"/>
      <c r="BA354" s="407"/>
      <c r="BB354" s="407"/>
      <c r="BC354" s="407"/>
      <c r="BD354" s="407"/>
      <c r="BE354" s="407"/>
      <c r="BF354" s="407"/>
      <c r="BG354" s="407"/>
      <c r="BH354" s="407"/>
      <c r="BI354" s="407"/>
      <c r="BJ354" s="407"/>
      <c r="BK354" s="407"/>
      <c r="BL354" s="407"/>
      <c r="BM354" s="407"/>
      <c r="BN354" s="407"/>
      <c r="BO354" s="407"/>
      <c r="BP354" s="407"/>
      <c r="BQ354" s="407"/>
      <c r="BR354" s="407"/>
      <c r="BS354" s="407"/>
      <c r="BT354" s="407"/>
      <c r="BU354" s="407"/>
      <c r="BV354" s="407"/>
      <c r="BW354" s="407"/>
      <c r="BX354" s="407"/>
      <c r="BY354" s="407"/>
      <c r="BZ354" s="407"/>
      <c r="CA354" s="407"/>
      <c r="CB354" s="407"/>
      <c r="CC354" s="407"/>
      <c r="CD354" s="407"/>
      <c r="CE354" s="407"/>
      <c r="CF354" s="407"/>
    </row>
    <row r="355" spans="1:84">
      <c r="A355" s="407"/>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c r="AA355" s="407"/>
      <c r="AB355" s="407"/>
      <c r="AC355" s="407"/>
      <c r="AD355" s="407"/>
      <c r="AE355" s="407"/>
      <c r="AF355" s="407"/>
      <c r="AG355" s="407"/>
      <c r="AH355" s="407"/>
      <c r="AI355" s="407"/>
      <c r="AJ355" s="407"/>
      <c r="AK355" s="407"/>
      <c r="AL355" s="407"/>
      <c r="AM355" s="407"/>
      <c r="AN355" s="407"/>
      <c r="AO355" s="407"/>
      <c r="AP355" s="407"/>
      <c r="AQ355" s="407"/>
      <c r="AR355" s="407"/>
      <c r="AS355" s="407"/>
      <c r="AT355" s="407"/>
      <c r="AU355" s="407"/>
      <c r="AV355" s="407"/>
      <c r="AW355" s="407"/>
      <c r="AX355" s="407"/>
      <c r="AY355" s="407"/>
      <c r="AZ355" s="407"/>
      <c r="BA355" s="407"/>
      <c r="BB355" s="407"/>
      <c r="BC355" s="407"/>
      <c r="BD355" s="407"/>
      <c r="BE355" s="407"/>
      <c r="BF355" s="407"/>
      <c r="BG355" s="407"/>
      <c r="BH355" s="407"/>
      <c r="BI355" s="407"/>
      <c r="BJ355" s="407"/>
      <c r="BK355" s="407"/>
      <c r="BL355" s="407"/>
      <c r="BM355" s="407"/>
      <c r="BN355" s="407"/>
      <c r="BO355" s="407"/>
      <c r="BP355" s="407"/>
      <c r="BQ355" s="407"/>
      <c r="BR355" s="407"/>
      <c r="BS355" s="407"/>
      <c r="BT355" s="407"/>
      <c r="BU355" s="407"/>
      <c r="BV355" s="407"/>
      <c r="BW355" s="407"/>
      <c r="BX355" s="407"/>
      <c r="BY355" s="407"/>
      <c r="BZ355" s="407"/>
      <c r="CA355" s="407"/>
      <c r="CB355" s="407"/>
      <c r="CC355" s="407"/>
      <c r="CD355" s="407"/>
      <c r="CE355" s="407"/>
      <c r="CF355" s="407"/>
    </row>
    <row r="356" spans="1:84">
      <c r="A356" s="407"/>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407"/>
      <c r="AE356" s="407"/>
      <c r="AF356" s="407"/>
      <c r="AG356" s="407"/>
      <c r="AH356" s="407"/>
      <c r="AI356" s="407"/>
      <c r="AJ356" s="407"/>
      <c r="AK356" s="407"/>
      <c r="AL356" s="407"/>
      <c r="AM356" s="407"/>
      <c r="AN356" s="407"/>
      <c r="AO356" s="407"/>
      <c r="AP356" s="407"/>
      <c r="AQ356" s="407"/>
      <c r="AR356" s="407"/>
      <c r="AS356" s="407"/>
      <c r="AT356" s="407"/>
      <c r="AU356" s="407"/>
      <c r="AV356" s="407"/>
      <c r="AW356" s="407"/>
      <c r="AX356" s="407"/>
      <c r="AY356" s="407"/>
      <c r="AZ356" s="407"/>
      <c r="BA356" s="407"/>
      <c r="BB356" s="407"/>
      <c r="BC356" s="407"/>
      <c r="BD356" s="407"/>
      <c r="BE356" s="407"/>
      <c r="BF356" s="407"/>
      <c r="BG356" s="407"/>
      <c r="BH356" s="407"/>
      <c r="BI356" s="407"/>
      <c r="BJ356" s="407"/>
      <c r="BK356" s="407"/>
      <c r="BL356" s="407"/>
      <c r="BM356" s="407"/>
      <c r="BN356" s="407"/>
      <c r="BO356" s="407"/>
      <c r="BP356" s="407"/>
      <c r="BQ356" s="407"/>
      <c r="BR356" s="407"/>
      <c r="BS356" s="407"/>
      <c r="BT356" s="407"/>
      <c r="BU356" s="407"/>
      <c r="BV356" s="407"/>
      <c r="BW356" s="407"/>
      <c r="BX356" s="407"/>
      <c r="BY356" s="407"/>
      <c r="BZ356" s="407"/>
      <c r="CA356" s="407"/>
      <c r="CB356" s="407"/>
      <c r="CC356" s="407"/>
      <c r="CD356" s="407"/>
      <c r="CE356" s="407"/>
      <c r="CF356" s="407"/>
    </row>
    <row r="357" spans="1:84">
      <c r="A357" s="407"/>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7"/>
      <c r="AI357" s="407"/>
      <c r="AJ357" s="407"/>
      <c r="AK357" s="407"/>
      <c r="AL357" s="407"/>
      <c r="AM357" s="407"/>
      <c r="AN357" s="407"/>
      <c r="AO357" s="407"/>
      <c r="AP357" s="407"/>
      <c r="AQ357" s="407"/>
      <c r="AR357" s="407"/>
      <c r="AS357" s="407"/>
      <c r="AT357" s="407"/>
      <c r="AU357" s="407"/>
      <c r="AV357" s="407"/>
      <c r="AW357" s="407"/>
      <c r="AX357" s="407"/>
      <c r="AY357" s="407"/>
      <c r="AZ357" s="407"/>
      <c r="BA357" s="407"/>
      <c r="BB357" s="407"/>
      <c r="BC357" s="407"/>
      <c r="BD357" s="407"/>
      <c r="BE357" s="407"/>
      <c r="BF357" s="407"/>
      <c r="BG357" s="407"/>
      <c r="BH357" s="407"/>
      <c r="BI357" s="407"/>
      <c r="BJ357" s="407"/>
      <c r="BK357" s="407"/>
      <c r="BL357" s="407"/>
      <c r="BM357" s="407"/>
      <c r="BN357" s="407"/>
      <c r="BO357" s="407"/>
      <c r="BP357" s="407"/>
      <c r="BQ357" s="407"/>
      <c r="BR357" s="407"/>
      <c r="BS357" s="407"/>
      <c r="BT357" s="407"/>
      <c r="BU357" s="407"/>
      <c r="BV357" s="407"/>
      <c r="BW357" s="407"/>
      <c r="BX357" s="407"/>
      <c r="BY357" s="407"/>
      <c r="BZ357" s="407"/>
      <c r="CA357" s="407"/>
      <c r="CB357" s="407"/>
      <c r="CC357" s="407"/>
      <c r="CD357" s="407"/>
      <c r="CE357" s="407"/>
      <c r="CF357" s="407"/>
    </row>
    <row r="358" spans="1:84">
      <c r="A358" s="407"/>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7"/>
      <c r="AI358" s="407"/>
      <c r="AJ358" s="407"/>
      <c r="AK358" s="407"/>
      <c r="AL358" s="407"/>
      <c r="AM358" s="407"/>
      <c r="AN358" s="407"/>
      <c r="AO358" s="407"/>
      <c r="AP358" s="407"/>
      <c r="AQ358" s="407"/>
      <c r="AR358" s="407"/>
      <c r="AS358" s="407"/>
      <c r="AT358" s="407"/>
      <c r="AU358" s="407"/>
      <c r="AV358" s="407"/>
      <c r="AW358" s="407"/>
      <c r="AX358" s="407"/>
      <c r="AY358" s="407"/>
      <c r="AZ358" s="407"/>
      <c r="BA358" s="407"/>
      <c r="BB358" s="407"/>
      <c r="BC358" s="407"/>
      <c r="BD358" s="407"/>
      <c r="BE358" s="407"/>
      <c r="BF358" s="407"/>
      <c r="BG358" s="407"/>
      <c r="BH358" s="407"/>
      <c r="BI358" s="407"/>
      <c r="BJ358" s="407"/>
      <c r="BK358" s="407"/>
      <c r="BL358" s="407"/>
      <c r="BM358" s="407"/>
      <c r="BN358" s="407"/>
      <c r="BO358" s="407"/>
      <c r="BP358" s="407"/>
      <c r="BQ358" s="407"/>
      <c r="BR358" s="407"/>
      <c r="BS358" s="407"/>
      <c r="BT358" s="407"/>
      <c r="BU358" s="407"/>
      <c r="BV358" s="407"/>
      <c r="BW358" s="407"/>
      <c r="BX358" s="407"/>
      <c r="BY358" s="407"/>
      <c r="BZ358" s="407"/>
      <c r="CA358" s="407"/>
      <c r="CB358" s="407"/>
      <c r="CC358" s="407"/>
      <c r="CD358" s="407"/>
      <c r="CE358" s="407"/>
      <c r="CF358" s="407"/>
    </row>
    <row r="359" spans="1:84">
      <c r="A359" s="407"/>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row>
    <row r="360" spans="1:84">
      <c r="A360" s="407"/>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row>
    <row r="361" spans="1:84">
      <c r="A361" s="407"/>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row>
    <row r="362" spans="1:84">
      <c r="A362" s="407"/>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7"/>
      <c r="AI362" s="407"/>
      <c r="AJ362" s="407"/>
      <c r="AK362" s="407"/>
      <c r="AL362" s="407"/>
      <c r="AM362" s="407"/>
      <c r="AN362" s="407"/>
      <c r="AO362" s="407"/>
      <c r="AP362" s="407"/>
      <c r="AQ362" s="407"/>
      <c r="AR362" s="407"/>
      <c r="AS362" s="407"/>
      <c r="AT362" s="407"/>
      <c r="AU362" s="407"/>
      <c r="AV362" s="407"/>
      <c r="AW362" s="407"/>
      <c r="AX362" s="407"/>
      <c r="AY362" s="407"/>
      <c r="AZ362" s="407"/>
      <c r="BA362" s="407"/>
      <c r="BB362" s="407"/>
      <c r="BC362" s="407"/>
      <c r="BD362" s="407"/>
      <c r="BE362" s="407"/>
      <c r="BF362" s="407"/>
      <c r="BG362" s="407"/>
      <c r="BH362" s="407"/>
      <c r="BI362" s="407"/>
      <c r="BJ362" s="407"/>
      <c r="BK362" s="407"/>
      <c r="BL362" s="407"/>
      <c r="BM362" s="407"/>
      <c r="BN362" s="407"/>
      <c r="BO362" s="407"/>
      <c r="BP362" s="407"/>
      <c r="BQ362" s="407"/>
      <c r="BR362" s="407"/>
      <c r="BS362" s="407"/>
      <c r="BT362" s="407"/>
      <c r="BU362" s="407"/>
      <c r="BV362" s="407"/>
      <c r="BW362" s="407"/>
      <c r="BX362" s="407"/>
      <c r="BY362" s="407"/>
      <c r="BZ362" s="407"/>
      <c r="CA362" s="407"/>
      <c r="CB362" s="407"/>
      <c r="CC362" s="407"/>
      <c r="CD362" s="407"/>
      <c r="CE362" s="407"/>
      <c r="CF362" s="407"/>
    </row>
    <row r="363" spans="1:84">
      <c r="A363" s="407"/>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row>
    <row r="364" spans="1:84">
      <c r="A364" s="407"/>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c r="BU364" s="407"/>
      <c r="BV364" s="407"/>
      <c r="BW364" s="407"/>
      <c r="BX364" s="407"/>
      <c r="BY364" s="407"/>
      <c r="BZ364" s="407"/>
      <c r="CA364" s="407"/>
      <c r="CB364" s="407"/>
      <c r="CC364" s="407"/>
      <c r="CD364" s="407"/>
      <c r="CE364" s="407"/>
      <c r="CF364" s="407"/>
    </row>
    <row r="365" spans="1:84">
      <c r="A365" s="407"/>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c r="AA365" s="407"/>
      <c r="AB365" s="407"/>
      <c r="AC365" s="407"/>
      <c r="AD365" s="407"/>
      <c r="AE365" s="407"/>
      <c r="AF365" s="407"/>
      <c r="AG365" s="407"/>
      <c r="AH365" s="407"/>
      <c r="AI365" s="407"/>
      <c r="AJ365" s="407"/>
      <c r="AK365" s="407"/>
      <c r="AL365" s="407"/>
      <c r="AM365" s="407"/>
      <c r="AN365" s="407"/>
      <c r="AO365" s="407"/>
      <c r="AP365" s="407"/>
      <c r="AQ365" s="407"/>
      <c r="AR365" s="407"/>
      <c r="AS365" s="407"/>
      <c r="AT365" s="407"/>
      <c r="AU365" s="407"/>
      <c r="AV365" s="407"/>
      <c r="AW365" s="407"/>
      <c r="AX365" s="407"/>
      <c r="AY365" s="407"/>
      <c r="AZ365" s="407"/>
      <c r="BA365" s="407"/>
      <c r="BB365" s="407"/>
      <c r="BC365" s="407"/>
      <c r="BD365" s="407"/>
      <c r="BE365" s="407"/>
      <c r="BF365" s="407"/>
      <c r="BG365" s="407"/>
      <c r="BH365" s="407"/>
      <c r="BI365" s="407"/>
      <c r="BJ365" s="407"/>
      <c r="BK365" s="407"/>
      <c r="BL365" s="407"/>
      <c r="BM365" s="407"/>
      <c r="BN365" s="407"/>
      <c r="BO365" s="407"/>
      <c r="BP365" s="407"/>
      <c r="BQ365" s="407"/>
      <c r="BR365" s="407"/>
      <c r="BS365" s="407"/>
      <c r="BT365" s="407"/>
      <c r="BU365" s="407"/>
      <c r="BV365" s="407"/>
      <c r="BW365" s="407"/>
      <c r="BX365" s="407"/>
      <c r="BY365" s="407"/>
      <c r="BZ365" s="407"/>
      <c r="CA365" s="407"/>
      <c r="CB365" s="407"/>
      <c r="CC365" s="407"/>
      <c r="CD365" s="407"/>
      <c r="CE365" s="407"/>
      <c r="CF365" s="407"/>
    </row>
    <row r="366" spans="1:84">
      <c r="A366" s="407"/>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c r="AA366" s="407"/>
      <c r="AB366" s="407"/>
      <c r="AC366" s="407"/>
      <c r="AD366" s="407"/>
      <c r="AE366" s="407"/>
      <c r="AF366" s="407"/>
      <c r="AG366" s="407"/>
      <c r="AH366" s="407"/>
      <c r="AI366" s="407"/>
      <c r="AJ366" s="407"/>
      <c r="AK366" s="407"/>
      <c r="AL366" s="407"/>
      <c r="AM366" s="407"/>
      <c r="AN366" s="407"/>
      <c r="AO366" s="407"/>
      <c r="AP366" s="407"/>
      <c r="AQ366" s="407"/>
      <c r="AR366" s="407"/>
      <c r="AS366" s="407"/>
      <c r="AT366" s="407"/>
      <c r="AU366" s="407"/>
      <c r="AV366" s="407"/>
      <c r="AW366" s="407"/>
      <c r="AX366" s="407"/>
      <c r="AY366" s="407"/>
      <c r="AZ366" s="407"/>
      <c r="BA366" s="407"/>
      <c r="BB366" s="407"/>
      <c r="BC366" s="407"/>
      <c r="BD366" s="407"/>
      <c r="BE366" s="407"/>
      <c r="BF366" s="407"/>
      <c r="BG366" s="407"/>
      <c r="BH366" s="407"/>
      <c r="BI366" s="407"/>
      <c r="BJ366" s="407"/>
      <c r="BK366" s="407"/>
      <c r="BL366" s="407"/>
      <c r="BM366" s="407"/>
      <c r="BN366" s="407"/>
      <c r="BO366" s="407"/>
      <c r="BP366" s="407"/>
      <c r="BQ366" s="407"/>
      <c r="BR366" s="407"/>
      <c r="BS366" s="407"/>
      <c r="BT366" s="407"/>
      <c r="BU366" s="407"/>
      <c r="BV366" s="407"/>
      <c r="BW366" s="407"/>
      <c r="BX366" s="407"/>
      <c r="BY366" s="407"/>
      <c r="BZ366" s="407"/>
      <c r="CA366" s="407"/>
      <c r="CB366" s="407"/>
      <c r="CC366" s="407"/>
      <c r="CD366" s="407"/>
      <c r="CE366" s="407"/>
      <c r="CF366" s="407"/>
    </row>
    <row r="367" spans="1:84">
      <c r="A367" s="407"/>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407"/>
      <c r="AE367" s="407"/>
      <c r="AF367" s="407"/>
      <c r="AG367" s="407"/>
      <c r="AH367" s="407"/>
      <c r="AI367" s="407"/>
      <c r="AJ367" s="407"/>
      <c r="AK367" s="407"/>
      <c r="AL367" s="407"/>
      <c r="AM367" s="407"/>
      <c r="AN367" s="407"/>
      <c r="AO367" s="407"/>
      <c r="AP367" s="407"/>
      <c r="AQ367" s="407"/>
      <c r="AR367" s="407"/>
      <c r="AS367" s="407"/>
      <c r="AT367" s="407"/>
      <c r="AU367" s="407"/>
      <c r="AV367" s="407"/>
      <c r="AW367" s="407"/>
      <c r="AX367" s="407"/>
      <c r="AY367" s="407"/>
      <c r="AZ367" s="407"/>
      <c r="BA367" s="407"/>
      <c r="BB367" s="407"/>
      <c r="BC367" s="407"/>
      <c r="BD367" s="407"/>
      <c r="BE367" s="407"/>
      <c r="BF367" s="407"/>
      <c r="BG367" s="407"/>
      <c r="BH367" s="407"/>
      <c r="BI367" s="407"/>
      <c r="BJ367" s="407"/>
      <c r="BK367" s="407"/>
      <c r="BL367" s="407"/>
      <c r="BM367" s="407"/>
      <c r="BN367" s="407"/>
      <c r="BO367" s="407"/>
      <c r="BP367" s="407"/>
      <c r="BQ367" s="407"/>
      <c r="BR367" s="407"/>
      <c r="BS367" s="407"/>
      <c r="BT367" s="407"/>
      <c r="BU367" s="407"/>
      <c r="BV367" s="407"/>
      <c r="BW367" s="407"/>
      <c r="BX367" s="407"/>
      <c r="BY367" s="407"/>
      <c r="BZ367" s="407"/>
      <c r="CA367" s="407"/>
      <c r="CB367" s="407"/>
      <c r="CC367" s="407"/>
      <c r="CD367" s="407"/>
      <c r="CE367" s="407"/>
      <c r="CF367" s="407"/>
    </row>
    <row r="368" spans="1:84">
      <c r="A368" s="407"/>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407"/>
      <c r="AE368" s="407"/>
      <c r="AF368" s="407"/>
      <c r="AG368" s="407"/>
      <c r="AH368" s="407"/>
      <c r="AI368" s="407"/>
      <c r="AJ368" s="407"/>
      <c r="AK368" s="407"/>
      <c r="AL368" s="407"/>
      <c r="AM368" s="407"/>
      <c r="AN368" s="407"/>
      <c r="AO368" s="407"/>
      <c r="AP368" s="407"/>
      <c r="AQ368" s="407"/>
      <c r="AR368" s="407"/>
      <c r="AS368" s="407"/>
      <c r="AT368" s="407"/>
      <c r="AU368" s="407"/>
      <c r="AV368" s="407"/>
      <c r="AW368" s="407"/>
      <c r="AX368" s="407"/>
      <c r="AY368" s="407"/>
      <c r="AZ368" s="407"/>
      <c r="BA368" s="407"/>
      <c r="BB368" s="407"/>
      <c r="BC368" s="407"/>
      <c r="BD368" s="407"/>
      <c r="BE368" s="407"/>
      <c r="BF368" s="407"/>
      <c r="BG368" s="407"/>
      <c r="BH368" s="407"/>
      <c r="BI368" s="407"/>
      <c r="BJ368" s="407"/>
      <c r="BK368" s="407"/>
      <c r="BL368" s="407"/>
      <c r="BM368" s="407"/>
      <c r="BN368" s="407"/>
      <c r="BO368" s="407"/>
      <c r="BP368" s="407"/>
      <c r="BQ368" s="407"/>
      <c r="BR368" s="407"/>
      <c r="BS368" s="407"/>
      <c r="BT368" s="407"/>
      <c r="BU368" s="407"/>
      <c r="BV368" s="407"/>
      <c r="BW368" s="407"/>
      <c r="BX368" s="407"/>
      <c r="BY368" s="407"/>
      <c r="BZ368" s="407"/>
      <c r="CA368" s="407"/>
      <c r="CB368" s="407"/>
      <c r="CC368" s="407"/>
      <c r="CD368" s="407"/>
      <c r="CE368" s="407"/>
      <c r="CF368" s="407"/>
    </row>
    <row r="369" spans="1:84">
      <c r="A369" s="407"/>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07"/>
      <c r="BG369" s="407"/>
      <c r="BH369" s="407"/>
      <c r="BI369" s="407"/>
      <c r="BJ369" s="407"/>
      <c r="BK369" s="407"/>
      <c r="BL369" s="407"/>
      <c r="BM369" s="407"/>
      <c r="BN369" s="407"/>
      <c r="BO369" s="407"/>
      <c r="BP369" s="407"/>
      <c r="BQ369" s="407"/>
      <c r="BR369" s="407"/>
      <c r="BS369" s="407"/>
      <c r="BT369" s="407"/>
      <c r="BU369" s="407"/>
      <c r="BV369" s="407"/>
      <c r="BW369" s="407"/>
      <c r="BX369" s="407"/>
      <c r="BY369" s="407"/>
      <c r="BZ369" s="407"/>
      <c r="CA369" s="407"/>
      <c r="CB369" s="407"/>
      <c r="CC369" s="407"/>
      <c r="CD369" s="407"/>
      <c r="CE369" s="407"/>
      <c r="CF369" s="407"/>
    </row>
    <row r="370" spans="1:84">
      <c r="A370" s="407"/>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c r="AA370" s="407"/>
      <c r="AB370" s="407"/>
      <c r="AC370" s="407"/>
      <c r="AD370" s="407"/>
      <c r="AE370" s="407"/>
      <c r="AF370" s="407"/>
      <c r="AG370" s="407"/>
      <c r="AH370" s="407"/>
      <c r="AI370" s="407"/>
      <c r="AJ370" s="407"/>
      <c r="AK370" s="407"/>
      <c r="AL370" s="407"/>
      <c r="AM370" s="407"/>
      <c r="AN370" s="407"/>
      <c r="AO370" s="407"/>
      <c r="AP370" s="407"/>
      <c r="AQ370" s="407"/>
      <c r="AR370" s="407"/>
      <c r="AS370" s="407"/>
      <c r="AT370" s="407"/>
      <c r="AU370" s="407"/>
      <c r="AV370" s="407"/>
      <c r="AW370" s="407"/>
      <c r="AX370" s="407"/>
      <c r="AY370" s="407"/>
      <c r="AZ370" s="407"/>
      <c r="BA370" s="407"/>
      <c r="BB370" s="407"/>
      <c r="BC370" s="407"/>
      <c r="BD370" s="407"/>
      <c r="BE370" s="407"/>
      <c r="BF370" s="407"/>
      <c r="BG370" s="407"/>
      <c r="BH370" s="407"/>
      <c r="BI370" s="407"/>
      <c r="BJ370" s="407"/>
      <c r="BK370" s="407"/>
      <c r="BL370" s="407"/>
      <c r="BM370" s="407"/>
      <c r="BN370" s="407"/>
      <c r="BO370" s="407"/>
      <c r="BP370" s="407"/>
      <c r="BQ370" s="407"/>
      <c r="BR370" s="407"/>
      <c r="BS370" s="407"/>
      <c r="BT370" s="407"/>
      <c r="BU370" s="407"/>
      <c r="BV370" s="407"/>
      <c r="BW370" s="407"/>
      <c r="BX370" s="407"/>
      <c r="BY370" s="407"/>
      <c r="BZ370" s="407"/>
      <c r="CA370" s="407"/>
      <c r="CB370" s="407"/>
      <c r="CC370" s="407"/>
      <c r="CD370" s="407"/>
      <c r="CE370" s="407"/>
      <c r="CF370" s="407"/>
    </row>
    <row r="371" spans="1:84">
      <c r="A371" s="407"/>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c r="AA371" s="407"/>
      <c r="AB371" s="407"/>
      <c r="AC371" s="407"/>
      <c r="AD371" s="407"/>
      <c r="AE371" s="407"/>
      <c r="AF371" s="407"/>
      <c r="AG371" s="407"/>
      <c r="AH371" s="407"/>
      <c r="AI371" s="407"/>
      <c r="AJ371" s="407"/>
      <c r="AK371" s="407"/>
      <c r="AL371" s="407"/>
      <c r="AM371" s="407"/>
      <c r="AN371" s="407"/>
      <c r="AO371" s="407"/>
      <c r="AP371" s="407"/>
      <c r="AQ371" s="407"/>
      <c r="AR371" s="407"/>
      <c r="AS371" s="407"/>
      <c r="AT371" s="407"/>
      <c r="AU371" s="407"/>
      <c r="AV371" s="407"/>
      <c r="AW371" s="407"/>
      <c r="AX371" s="407"/>
      <c r="AY371" s="407"/>
      <c r="AZ371" s="407"/>
      <c r="BA371" s="407"/>
      <c r="BB371" s="407"/>
      <c r="BC371" s="407"/>
      <c r="BD371" s="407"/>
      <c r="BE371" s="407"/>
      <c r="BF371" s="407"/>
      <c r="BG371" s="407"/>
      <c r="BH371" s="407"/>
      <c r="BI371" s="407"/>
      <c r="BJ371" s="407"/>
      <c r="BK371" s="407"/>
      <c r="BL371" s="407"/>
      <c r="BM371" s="407"/>
      <c r="BN371" s="407"/>
      <c r="BO371" s="407"/>
      <c r="BP371" s="407"/>
      <c r="BQ371" s="407"/>
      <c r="BR371" s="407"/>
      <c r="BS371" s="407"/>
      <c r="BT371" s="407"/>
      <c r="BU371" s="407"/>
      <c r="BV371" s="407"/>
      <c r="BW371" s="407"/>
      <c r="BX371" s="407"/>
      <c r="BY371" s="407"/>
      <c r="BZ371" s="407"/>
      <c r="CA371" s="407"/>
      <c r="CB371" s="407"/>
      <c r="CC371" s="407"/>
      <c r="CD371" s="407"/>
      <c r="CE371" s="407"/>
      <c r="CF371" s="407"/>
    </row>
  </sheetData>
  <pageMargins left="0.7" right="0.7" top="0.75" bottom="0.75" header="0.3" footer="0.3"/>
  <pageSetup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workbookViewId="0">
      <selection activeCell="J11" sqref="J11"/>
    </sheetView>
  </sheetViews>
  <sheetFormatPr defaultRowHeight="15"/>
  <cols>
    <col min="1" max="1" width="2" style="401" customWidth="1"/>
    <col min="2" max="4" width="9.140625" style="401"/>
    <col min="5" max="5" width="13" style="401" customWidth="1"/>
    <col min="6" max="6" width="9.7109375" style="401" bestFit="1" customWidth="1"/>
    <col min="7" max="7" width="9.140625" style="401"/>
    <col min="8" max="8" width="9.7109375" style="401" bestFit="1" customWidth="1"/>
    <col min="9" max="10" width="9.140625" style="401"/>
    <col min="11" max="11" width="10" style="401" customWidth="1"/>
    <col min="12" max="12" width="9.140625" style="401"/>
    <col min="13" max="13" width="11.140625" style="401" customWidth="1"/>
    <col min="14" max="16384" width="9.140625" style="401"/>
  </cols>
  <sheetData>
    <row r="1" spans="1:84">
      <c r="A1" s="406"/>
      <c r="B1" s="406"/>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7"/>
      <c r="BL1" s="407"/>
      <c r="BM1" s="407"/>
      <c r="BN1" s="407"/>
      <c r="BO1" s="407"/>
      <c r="BP1" s="407"/>
      <c r="BQ1" s="407"/>
      <c r="BR1" s="407"/>
      <c r="BS1" s="407"/>
      <c r="BT1" s="407"/>
      <c r="BU1" s="407"/>
      <c r="BV1" s="407"/>
      <c r="BW1" s="407"/>
      <c r="BX1" s="407"/>
      <c r="BY1" s="407"/>
      <c r="BZ1" s="407"/>
      <c r="CA1" s="407"/>
      <c r="CB1" s="407"/>
      <c r="CC1" s="407"/>
      <c r="CD1" s="407"/>
      <c r="CE1" s="407"/>
      <c r="CF1" s="407"/>
    </row>
    <row r="2" spans="1:84">
      <c r="A2" s="406"/>
      <c r="B2" s="406"/>
      <c r="C2" s="406"/>
      <c r="D2" s="406"/>
      <c r="E2" s="406"/>
      <c r="F2" s="406"/>
      <c r="G2" s="406"/>
      <c r="H2" s="406"/>
      <c r="I2" s="406"/>
      <c r="J2" s="406"/>
      <c r="K2" s="408"/>
      <c r="L2" s="408"/>
      <c r="M2" s="408"/>
      <c r="N2" s="408"/>
      <c r="O2" s="408"/>
      <c r="P2" s="408"/>
      <c r="Q2" s="408"/>
      <c r="R2" s="408"/>
      <c r="S2" s="408"/>
      <c r="T2" s="408"/>
      <c r="U2" s="408"/>
      <c r="V2" s="408"/>
      <c r="W2" s="408"/>
      <c r="X2" s="408"/>
      <c r="Y2" s="408"/>
      <c r="Z2" s="408"/>
      <c r="AA2" s="408"/>
      <c r="AB2" s="408"/>
      <c r="AC2" s="408"/>
      <c r="AD2" s="408"/>
      <c r="AE2" s="409" t="s">
        <v>924</v>
      </c>
      <c r="AF2" s="409" t="s">
        <v>925</v>
      </c>
      <c r="AG2" s="408"/>
      <c r="AH2" s="408"/>
      <c r="AI2" s="408" t="s">
        <v>926</v>
      </c>
      <c r="AJ2" s="408"/>
      <c r="AK2" s="408"/>
      <c r="AL2" s="408"/>
      <c r="AM2" s="408"/>
      <c r="AN2" s="408"/>
      <c r="AO2" s="408"/>
      <c r="AP2" s="408"/>
      <c r="AQ2" s="408"/>
      <c r="AR2" s="408"/>
      <c r="AS2" s="406"/>
      <c r="AT2" s="406"/>
      <c r="AU2" s="406"/>
      <c r="AV2" s="406"/>
      <c r="AW2" s="406"/>
      <c r="AX2" s="406"/>
      <c r="AY2" s="406"/>
      <c r="AZ2" s="406"/>
      <c r="BA2" s="406"/>
      <c r="BB2" s="406"/>
      <c r="BC2" s="406"/>
      <c r="BD2" s="406"/>
      <c r="BE2" s="406"/>
      <c r="BF2" s="406"/>
      <c r="BG2" s="406"/>
      <c r="BH2" s="406"/>
      <c r="BI2" s="406"/>
      <c r="BJ2" s="406"/>
      <c r="BK2" s="407"/>
      <c r="BL2" s="407"/>
      <c r="BM2" s="407"/>
      <c r="BN2" s="407"/>
      <c r="BO2" s="407"/>
      <c r="BP2" s="407"/>
      <c r="BQ2" s="407"/>
      <c r="BR2" s="407"/>
      <c r="BS2" s="407"/>
      <c r="BT2" s="407"/>
      <c r="BU2" s="407"/>
      <c r="BV2" s="407"/>
      <c r="BW2" s="407"/>
      <c r="BX2" s="407"/>
      <c r="BY2" s="407"/>
      <c r="BZ2" s="407"/>
      <c r="CA2" s="407"/>
      <c r="CB2" s="407"/>
      <c r="CC2" s="407"/>
      <c r="CD2" s="407"/>
      <c r="CE2" s="407"/>
      <c r="CF2" s="407"/>
    </row>
    <row r="3" spans="1:84">
      <c r="A3" s="406"/>
      <c r="B3" s="408" t="s">
        <v>2252</v>
      </c>
      <c r="C3" s="406"/>
      <c r="D3" s="406"/>
      <c r="E3" s="406"/>
      <c r="F3" s="406"/>
      <c r="G3" s="406"/>
      <c r="H3" s="406"/>
      <c r="I3" s="406"/>
      <c r="J3" s="406"/>
      <c r="K3" s="408"/>
      <c r="L3" s="408"/>
      <c r="M3" s="408"/>
      <c r="N3" s="408"/>
      <c r="O3" s="408"/>
      <c r="P3" s="408"/>
      <c r="Q3" s="408"/>
      <c r="R3" s="408"/>
      <c r="S3" s="408"/>
      <c r="T3" s="408"/>
      <c r="U3" s="408"/>
      <c r="V3" s="408"/>
      <c r="W3" s="408"/>
      <c r="X3" s="408"/>
      <c r="Y3" s="408"/>
      <c r="Z3" s="408"/>
      <c r="AA3" s="408"/>
      <c r="AB3" s="408"/>
      <c r="AC3" s="408"/>
      <c r="AD3" s="408"/>
      <c r="AE3" s="409"/>
      <c r="AF3" s="409"/>
      <c r="AG3" s="408"/>
      <c r="AH3" s="408"/>
      <c r="AI3" s="408"/>
      <c r="AJ3" s="408"/>
      <c r="AK3" s="408"/>
      <c r="AL3" s="408"/>
      <c r="AM3" s="408"/>
      <c r="AN3" s="408"/>
      <c r="AO3" s="408"/>
      <c r="AP3" s="408"/>
      <c r="AQ3" s="408"/>
      <c r="AR3" s="408"/>
      <c r="AS3" s="406"/>
      <c r="AT3" s="406"/>
      <c r="AU3" s="406"/>
      <c r="AV3" s="406"/>
      <c r="AW3" s="406"/>
      <c r="AX3" s="406"/>
      <c r="AY3" s="406"/>
      <c r="AZ3" s="406"/>
      <c r="BA3" s="406"/>
      <c r="BB3" s="406"/>
      <c r="BC3" s="406"/>
      <c r="BD3" s="406"/>
      <c r="BE3" s="406"/>
      <c r="BF3" s="406"/>
      <c r="BG3" s="406"/>
      <c r="BH3" s="406"/>
      <c r="BI3" s="406"/>
      <c r="BJ3" s="406"/>
      <c r="BK3" s="407"/>
      <c r="BL3" s="407"/>
      <c r="BM3" s="407"/>
      <c r="BN3" s="407"/>
      <c r="BO3" s="407"/>
      <c r="BP3" s="407"/>
      <c r="BQ3" s="407"/>
      <c r="BR3" s="407"/>
      <c r="BS3" s="407"/>
      <c r="BT3" s="407"/>
      <c r="BU3" s="407"/>
      <c r="BV3" s="407"/>
      <c r="BW3" s="407"/>
      <c r="BX3" s="407"/>
      <c r="BY3" s="407"/>
      <c r="BZ3" s="407"/>
      <c r="CA3" s="407"/>
      <c r="CB3" s="407"/>
      <c r="CC3" s="407"/>
      <c r="CD3" s="407"/>
      <c r="CE3" s="407"/>
      <c r="CF3" s="407"/>
    </row>
    <row r="4" spans="1:84">
      <c r="A4" s="406"/>
      <c r="B4" s="410"/>
      <c r="C4" s="408"/>
      <c r="D4" s="408"/>
      <c r="E4" s="411"/>
      <c r="F4" s="408"/>
      <c r="G4" s="412"/>
      <c r="H4" s="408"/>
      <c r="I4" s="408"/>
      <c r="J4" s="408"/>
      <c r="K4" s="408"/>
      <c r="L4" s="408"/>
      <c r="M4" s="408"/>
      <c r="N4" s="408" t="s">
        <v>927</v>
      </c>
      <c r="O4" s="408"/>
      <c r="P4" s="408"/>
      <c r="Q4" s="408"/>
      <c r="R4" s="408"/>
      <c r="S4" s="408"/>
      <c r="T4" s="408"/>
      <c r="U4" s="409" t="s">
        <v>928</v>
      </c>
      <c r="V4" s="409" t="s">
        <v>929</v>
      </c>
      <c r="W4" s="409" t="s">
        <v>718</v>
      </c>
      <c r="X4" s="409" t="s">
        <v>930</v>
      </c>
      <c r="Y4" s="409" t="s">
        <v>931</v>
      </c>
      <c r="Z4" s="408"/>
      <c r="AA4" s="409" t="s">
        <v>932</v>
      </c>
      <c r="AB4" s="408" t="s">
        <v>933</v>
      </c>
      <c r="AC4" s="409" t="s">
        <v>934</v>
      </c>
      <c r="AD4" s="409" t="s">
        <v>935</v>
      </c>
      <c r="AE4" s="409" t="s">
        <v>936</v>
      </c>
      <c r="AF4" s="408"/>
      <c r="AG4" s="408"/>
      <c r="AH4" s="408"/>
      <c r="AI4" s="408" t="s">
        <v>937</v>
      </c>
      <c r="AJ4" s="408"/>
      <c r="AK4" s="408"/>
      <c r="AL4" s="408"/>
      <c r="AM4" s="408"/>
      <c r="AN4" s="408"/>
      <c r="AO4" s="408"/>
      <c r="AP4" s="408"/>
      <c r="AQ4" s="408"/>
      <c r="AR4" s="408"/>
      <c r="AS4" s="406"/>
      <c r="AT4" s="406"/>
      <c r="AU4" s="406"/>
      <c r="AV4" s="406"/>
      <c r="AW4" s="406"/>
      <c r="AX4" s="406"/>
      <c r="AY4" s="406"/>
      <c r="AZ4" s="406"/>
      <c r="BA4" s="406"/>
      <c r="BB4" s="406"/>
      <c r="BC4" s="406"/>
      <c r="BD4" s="406"/>
      <c r="BE4" s="406"/>
      <c r="BF4" s="406"/>
      <c r="BG4" s="406"/>
      <c r="BH4" s="406"/>
      <c r="BI4" s="406"/>
      <c r="BJ4" s="406"/>
      <c r="BK4" s="407"/>
      <c r="BL4" s="407"/>
      <c r="BM4" s="407"/>
      <c r="BN4" s="407"/>
      <c r="BO4" s="407"/>
      <c r="BP4" s="407"/>
      <c r="BQ4" s="407"/>
      <c r="BR4" s="407"/>
      <c r="BS4" s="407"/>
      <c r="BT4" s="407"/>
      <c r="BU4" s="407"/>
      <c r="BV4" s="407"/>
      <c r="BW4" s="407"/>
      <c r="BX4" s="407"/>
      <c r="BY4" s="407"/>
      <c r="BZ4" s="407"/>
      <c r="CA4" s="407"/>
      <c r="CB4" s="407"/>
      <c r="CC4" s="407"/>
      <c r="CD4" s="407"/>
      <c r="CE4" s="407"/>
      <c r="CF4" s="407"/>
    </row>
    <row r="5" spans="1:84">
      <c r="A5" s="406"/>
      <c r="B5" s="413" t="s">
        <v>938</v>
      </c>
      <c r="C5" s="413" t="s">
        <v>939</v>
      </c>
      <c r="D5" s="408"/>
      <c r="E5" s="411">
        <f>E7+E6</f>
        <v>2705833.1427515047</v>
      </c>
      <c r="F5" s="413" t="s">
        <v>940</v>
      </c>
      <c r="G5" s="408"/>
      <c r="H5" s="408"/>
      <c r="I5" s="408"/>
      <c r="J5" s="413"/>
      <c r="K5" s="408"/>
      <c r="L5" s="414"/>
      <c r="M5" s="408"/>
      <c r="N5" s="413" t="s">
        <v>941</v>
      </c>
      <c r="O5" s="408"/>
      <c r="P5" s="408"/>
      <c r="Q5" s="413" t="s">
        <v>942</v>
      </c>
      <c r="R5" s="408"/>
      <c r="S5" s="408"/>
      <c r="T5" s="408"/>
      <c r="U5" s="415">
        <f>$E$8*1.25</f>
        <v>3141060.2629090142</v>
      </c>
      <c r="V5" s="416">
        <f>100*(+U5/$E$9)</f>
        <v>342.51832060388807</v>
      </c>
      <c r="W5" s="417">
        <f>EXP(5.7226-(0.68367*LN(+V5)))</f>
        <v>5.6546577534912279</v>
      </c>
      <c r="X5" s="417">
        <f>(+W5*V5)/100</f>
        <v>19.368238773155699</v>
      </c>
      <c r="Y5" s="416">
        <f>100*((((X5/100)-((X5/100)-0.03574)*$E$21)-0.03574-0.00619)/0.344)</f>
        <v>28.50348136710106</v>
      </c>
      <c r="Z5" s="408">
        <f>$E$20</f>
        <v>0.25</v>
      </c>
      <c r="AA5" s="416">
        <f>Y5+Z5</f>
        <v>28.75348136710106</v>
      </c>
      <c r="AB5" s="416">
        <f>100*($E$17*$E$19+($E$18*(AA5/100))/(1-$E$21))</f>
        <v>22.505806476736794</v>
      </c>
      <c r="AC5" s="417">
        <f>AB5/V5</f>
        <v>6.5706869159749465E-2</v>
      </c>
      <c r="AD5" s="415">
        <f>$E$8/(1-AC5)</f>
        <v>2689571.5352924592</v>
      </c>
      <c r="AE5" s="408" t="str">
        <f>IF(AD5=$U$5,"yes","not yet")</f>
        <v>not yet</v>
      </c>
      <c r="AF5" s="416">
        <f>100*(1-AC5)</f>
        <v>93.429313084025054</v>
      </c>
      <c r="AG5" s="408"/>
      <c r="AH5" s="408"/>
      <c r="AI5" s="408">
        <v>0</v>
      </c>
      <c r="AJ5" s="408">
        <v>1</v>
      </c>
      <c r="AK5" s="408"/>
      <c r="AL5" s="408"/>
      <c r="AM5" s="408"/>
      <c r="AN5" s="408"/>
      <c r="AO5" s="408"/>
      <c r="AP5" s="408"/>
      <c r="AQ5" s="408"/>
      <c r="AR5" s="408"/>
      <c r="AS5" s="406"/>
      <c r="AT5" s="406"/>
      <c r="AU5" s="406"/>
      <c r="AV5" s="406"/>
      <c r="AW5" s="406"/>
      <c r="AX5" s="406"/>
      <c r="AY5" s="406"/>
      <c r="AZ5" s="406"/>
      <c r="BA5" s="406"/>
      <c r="BB5" s="406"/>
      <c r="BC5" s="406"/>
      <c r="BD5" s="406"/>
      <c r="BE5" s="406"/>
      <c r="BF5" s="406"/>
      <c r="BG5" s="406"/>
      <c r="BH5" s="406"/>
      <c r="BI5" s="406"/>
      <c r="BJ5" s="406"/>
      <c r="BK5" s="407"/>
      <c r="BL5" s="407"/>
      <c r="BM5" s="407"/>
      <c r="BN5" s="407"/>
      <c r="BO5" s="407"/>
      <c r="BP5" s="407"/>
      <c r="BQ5" s="407"/>
      <c r="BR5" s="407"/>
      <c r="BS5" s="407"/>
      <c r="BT5" s="407"/>
      <c r="BU5" s="407"/>
      <c r="BV5" s="407"/>
      <c r="BW5" s="407"/>
      <c r="BX5" s="407"/>
      <c r="BY5" s="407"/>
      <c r="BZ5" s="407"/>
      <c r="CA5" s="407"/>
      <c r="CB5" s="407"/>
      <c r="CC5" s="407"/>
      <c r="CD5" s="407"/>
      <c r="CE5" s="407"/>
      <c r="CF5" s="407"/>
    </row>
    <row r="6" spans="1:84">
      <c r="A6" s="406"/>
      <c r="B6" s="413" t="s">
        <v>938</v>
      </c>
      <c r="C6" s="413" t="s">
        <v>943</v>
      </c>
      <c r="D6" s="408"/>
      <c r="E6" s="411">
        <f>(+E8-((H15/100)*E7))/H25</f>
        <v>144353.91247484117</v>
      </c>
      <c r="F6" s="418" t="s">
        <v>940</v>
      </c>
      <c r="G6" s="408"/>
      <c r="H6" s="419"/>
      <c r="I6" s="408"/>
      <c r="J6" s="420">
        <f>E6/E7</f>
        <v>5.6355683375675709E-2</v>
      </c>
      <c r="K6" s="408" t="s">
        <v>944</v>
      </c>
      <c r="L6" s="414"/>
      <c r="M6" s="408"/>
      <c r="N6" s="413" t="s">
        <v>945</v>
      </c>
      <c r="O6" s="408"/>
      <c r="P6" s="408"/>
      <c r="Q6" s="413" t="s">
        <v>946</v>
      </c>
      <c r="R6" s="408"/>
      <c r="S6" s="408"/>
      <c r="T6" s="408"/>
      <c r="U6" s="415">
        <f>$E$8*1.25</f>
        <v>3141060.2629090142</v>
      </c>
      <c r="V6" s="416">
        <f>100*(+U6/$E$9)</f>
        <v>342.51832060388807</v>
      </c>
      <c r="W6" s="417">
        <f>EXP(5.70827-(0.68367*LN(+V6)))</f>
        <v>5.5742043333858176</v>
      </c>
      <c r="X6" s="417">
        <f>(+W6*V6)/100</f>
        <v>19.092671069742256</v>
      </c>
      <c r="Y6" s="416">
        <f>100*((((X6/100)-((X6/100)-0.03574)*$E$21)-0.03574-0.00619)/0.344)</f>
        <v>27.974775889621771</v>
      </c>
      <c r="Z6" s="408">
        <f>$E$20</f>
        <v>0.25</v>
      </c>
      <c r="AA6" s="416">
        <f>Y6+Z6</f>
        <v>28.224775889621771</v>
      </c>
      <c r="AB6" s="416">
        <f>100*($E$17*$E$19+($E$18*(AA6/100))/(1-$E$21))</f>
        <v>22.12050302853773</v>
      </c>
      <c r="AC6" s="417">
        <f>AB6/V6</f>
        <v>6.4581955760899035E-2</v>
      </c>
      <c r="AD6" s="415">
        <f>$E$8/(1-AC6)</f>
        <v>2686337.1150502479</v>
      </c>
      <c r="AE6" s="408" t="str">
        <f>IF(AD6=$U$6,"yes","not yet")</f>
        <v>not yet</v>
      </c>
      <c r="AF6" s="416">
        <f>100*(1-AC6)</f>
        <v>93.541804423910094</v>
      </c>
      <c r="AG6" s="408"/>
      <c r="AH6" s="408"/>
      <c r="AI6" s="408">
        <v>50</v>
      </c>
      <c r="AJ6" s="408">
        <v>2</v>
      </c>
      <c r="AK6" s="408"/>
      <c r="AL6" s="408"/>
      <c r="AM6" s="408"/>
      <c r="AN6" s="408"/>
      <c r="AO6" s="408"/>
      <c r="AP6" s="408"/>
      <c r="AQ6" s="408"/>
      <c r="AR6" s="408"/>
      <c r="AS6" s="406"/>
      <c r="AT6" s="406"/>
      <c r="AU6" s="406"/>
      <c r="AV6" s="406"/>
      <c r="AW6" s="406"/>
      <c r="AX6" s="406"/>
      <c r="AY6" s="406"/>
      <c r="AZ6" s="406"/>
      <c r="BA6" s="406"/>
      <c r="BB6" s="406"/>
      <c r="BC6" s="406"/>
      <c r="BD6" s="406"/>
      <c r="BE6" s="406"/>
      <c r="BF6" s="406"/>
      <c r="BG6" s="406"/>
      <c r="BH6" s="406"/>
      <c r="BI6" s="406"/>
      <c r="BJ6" s="406"/>
      <c r="BK6" s="407"/>
      <c r="BL6" s="407"/>
      <c r="BM6" s="407"/>
      <c r="BN6" s="407"/>
      <c r="BO6" s="407"/>
      <c r="BP6" s="407"/>
      <c r="BQ6" s="407"/>
      <c r="BR6" s="407"/>
      <c r="BS6" s="407"/>
      <c r="BT6" s="407"/>
      <c r="BU6" s="407"/>
      <c r="BV6" s="407"/>
      <c r="BW6" s="407"/>
      <c r="BX6" s="407"/>
      <c r="BY6" s="407"/>
      <c r="BZ6" s="407"/>
      <c r="CA6" s="407"/>
      <c r="CB6" s="407"/>
      <c r="CC6" s="407"/>
      <c r="CD6" s="407"/>
      <c r="CE6" s="407"/>
      <c r="CF6" s="407"/>
    </row>
    <row r="7" spans="1:84">
      <c r="A7" s="406"/>
      <c r="B7" s="421" t="s">
        <v>592</v>
      </c>
      <c r="C7" s="413" t="s">
        <v>64</v>
      </c>
      <c r="D7" s="421" t="s">
        <v>717</v>
      </c>
      <c r="E7" s="422">
        <f>'Consolidated IS'!R15</f>
        <v>2561479.2302766633</v>
      </c>
      <c r="F7" s="413" t="s">
        <v>947</v>
      </c>
      <c r="G7" s="408"/>
      <c r="H7" s="423"/>
      <c r="I7" s="408"/>
      <c r="J7" s="413"/>
      <c r="K7" s="408"/>
      <c r="L7" s="414"/>
      <c r="M7" s="408"/>
      <c r="N7" s="413" t="s">
        <v>948</v>
      </c>
      <c r="O7" s="408"/>
      <c r="P7" s="408"/>
      <c r="Q7" s="413" t="s">
        <v>949</v>
      </c>
      <c r="R7" s="408"/>
      <c r="S7" s="408"/>
      <c r="T7" s="408"/>
      <c r="U7" s="415">
        <f>$E$8*1.25</f>
        <v>3141060.2629090142</v>
      </c>
      <c r="V7" s="416">
        <f>100*(+U7/$E$9)</f>
        <v>342.51832060388807</v>
      </c>
      <c r="W7" s="417">
        <f>EXP(5.6985-(0.68367*LN(V7)))</f>
        <v>5.5200095297513068</v>
      </c>
      <c r="X7" s="417">
        <f>(+W7*V7)/100</f>
        <v>18.907043938478754</v>
      </c>
      <c r="Y7" s="416">
        <f>100*((((X7/100)-((X7/100)-0.03574)*$E$21)-0.03574-0.00619)/0.344)</f>
        <v>27.618630812197615</v>
      </c>
      <c r="Z7" s="408">
        <f>$E$20</f>
        <v>0.25</v>
      </c>
      <c r="AA7" s="416">
        <f>Y7+Z7</f>
        <v>27.868630812197615</v>
      </c>
      <c r="AB7" s="416">
        <f>100*($E$17*$E$19+($E$18*(AA7/100))/(1-$E$21))</f>
        <v>21.860956017515839</v>
      </c>
      <c r="AC7" s="417">
        <f>AB7/V7</f>
        <v>6.3824194802115014E-2</v>
      </c>
      <c r="AD7" s="415">
        <f>$E$8/(1-AC7)</f>
        <v>2684162.7356477724</v>
      </c>
      <c r="AE7" s="408" t="str">
        <f>IF(AD7=$U$7,"yes","not yet")</f>
        <v>not yet</v>
      </c>
      <c r="AF7" s="416">
        <f>100*(1-AC7)</f>
        <v>93.617580519788504</v>
      </c>
      <c r="AG7" s="408"/>
      <c r="AH7" s="408"/>
      <c r="AI7" s="408">
        <v>125</v>
      </c>
      <c r="AJ7" s="408">
        <v>3</v>
      </c>
      <c r="AK7" s="408"/>
      <c r="AL7" s="408"/>
      <c r="AM7" s="408"/>
      <c r="AN7" s="408"/>
      <c r="AO7" s="408"/>
      <c r="AP7" s="408"/>
      <c r="AQ7" s="408"/>
      <c r="AR7" s="408"/>
      <c r="AS7" s="406"/>
      <c r="AT7" s="406"/>
      <c r="AU7" s="406"/>
      <c r="AV7" s="406"/>
      <c r="AW7" s="406"/>
      <c r="AX7" s="406"/>
      <c r="AY7" s="406"/>
      <c r="AZ7" s="406"/>
      <c r="BA7" s="406"/>
      <c r="BB7" s="406"/>
      <c r="BC7" s="406"/>
      <c r="BD7" s="406"/>
      <c r="BE7" s="406"/>
      <c r="BF7" s="406"/>
      <c r="BG7" s="406"/>
      <c r="BH7" s="406"/>
      <c r="BI7" s="406"/>
      <c r="BJ7" s="406"/>
      <c r="BK7" s="407"/>
      <c r="BL7" s="407"/>
      <c r="BM7" s="407"/>
      <c r="BN7" s="407"/>
      <c r="BO7" s="407"/>
      <c r="BP7" s="407"/>
      <c r="BQ7" s="407"/>
      <c r="BR7" s="407"/>
      <c r="BS7" s="407"/>
      <c r="BT7" s="407"/>
      <c r="BU7" s="407"/>
      <c r="BV7" s="407"/>
      <c r="BW7" s="407"/>
      <c r="BX7" s="407"/>
      <c r="BY7" s="407"/>
      <c r="BZ7" s="407"/>
      <c r="CA7" s="407"/>
      <c r="CB7" s="407"/>
      <c r="CC7" s="407"/>
      <c r="CD7" s="407"/>
      <c r="CE7" s="407"/>
      <c r="CF7" s="407"/>
    </row>
    <row r="8" spans="1:84">
      <c r="A8" s="406"/>
      <c r="B8" s="421" t="s">
        <v>592</v>
      </c>
      <c r="C8" s="413" t="s">
        <v>950</v>
      </c>
      <c r="D8" s="421" t="s">
        <v>717</v>
      </c>
      <c r="E8" s="422">
        <f>'Consolidated IS'!R195</f>
        <v>2512848.2103272113</v>
      </c>
      <c r="F8" s="413" t="s">
        <v>947</v>
      </c>
      <c r="G8" s="408"/>
      <c r="H8" s="423"/>
      <c r="I8" s="408"/>
      <c r="J8" s="420"/>
      <c r="K8" s="419"/>
      <c r="L8" s="414"/>
      <c r="M8" s="408"/>
      <c r="N8" s="413" t="s">
        <v>951</v>
      </c>
      <c r="O8" s="408"/>
      <c r="P8" s="408"/>
      <c r="Q8" s="413" t="s">
        <v>952</v>
      </c>
      <c r="R8" s="408"/>
      <c r="S8" s="408"/>
      <c r="T8" s="408"/>
      <c r="U8" s="415">
        <f>$E$8*1.25</f>
        <v>3141060.2629090142</v>
      </c>
      <c r="V8" s="416">
        <f>100*(+U8/$E$9)</f>
        <v>342.51832060388807</v>
      </c>
      <c r="W8" s="417">
        <f>EXP(5.6922-(0.68367*LN(V8)))</f>
        <v>5.4853427846212144</v>
      </c>
      <c r="X8" s="417">
        <f>(+W8*V8)/100</f>
        <v>18.788303985251133</v>
      </c>
      <c r="Y8" s="416">
        <f>100*((((X8/100)-((X8/100)-0.03574)*$E$21)-0.03574-0.00619)/0.344)</f>
        <v>27.390815785656251</v>
      </c>
      <c r="Z8" s="408">
        <f>$E$20</f>
        <v>0.25</v>
      </c>
      <c r="AA8" s="416">
        <f>Y8+Z8</f>
        <v>27.640815785656251</v>
      </c>
      <c r="AB8" s="416">
        <f>100*($E$17*$E$19+($E$18*(AA8/100))/(1-$E$21))</f>
        <v>21.694931796059979</v>
      </c>
      <c r="AC8" s="417">
        <f>AB8/V8</f>
        <v>6.3339478477560038E-2</v>
      </c>
      <c r="AD8" s="415">
        <f>$E$8/(1-AC8)</f>
        <v>2682773.6971799019</v>
      </c>
      <c r="AE8" s="408" t="str">
        <f>IF(AD8=$U$8,"yes","not yet")</f>
        <v>not yet</v>
      </c>
      <c r="AF8" s="416">
        <f>100*(1-AC8)</f>
        <v>93.666052152243992</v>
      </c>
      <c r="AG8" s="408"/>
      <c r="AH8" s="408"/>
      <c r="AI8" s="408">
        <v>401</v>
      </c>
      <c r="AJ8" s="408">
        <v>4</v>
      </c>
      <c r="AK8" s="408"/>
      <c r="AL8" s="408"/>
      <c r="AM8" s="408"/>
      <c r="AN8" s="408"/>
      <c r="AO8" s="408"/>
      <c r="AP8" s="408"/>
      <c r="AQ8" s="408"/>
      <c r="AR8" s="408"/>
      <c r="AS8" s="406"/>
      <c r="AT8" s="406"/>
      <c r="AU8" s="406"/>
      <c r="AV8" s="406"/>
      <c r="AW8" s="406"/>
      <c r="AX8" s="406"/>
      <c r="AY8" s="406"/>
      <c r="AZ8" s="406"/>
      <c r="BA8" s="406"/>
      <c r="BB8" s="406"/>
      <c r="BC8" s="406"/>
      <c r="BD8" s="406"/>
      <c r="BE8" s="406"/>
      <c r="BF8" s="406"/>
      <c r="BG8" s="406"/>
      <c r="BH8" s="406"/>
      <c r="BI8" s="406"/>
      <c r="BJ8" s="406"/>
      <c r="BK8" s="407"/>
      <c r="BL8" s="407"/>
      <c r="BM8" s="407"/>
      <c r="BN8" s="407"/>
      <c r="BO8" s="407"/>
      <c r="BP8" s="407"/>
      <c r="BQ8" s="407"/>
      <c r="BR8" s="407"/>
      <c r="BS8" s="407"/>
      <c r="BT8" s="407"/>
      <c r="BU8" s="407"/>
      <c r="BV8" s="407"/>
      <c r="BW8" s="407"/>
      <c r="BX8" s="407"/>
      <c r="BY8" s="407"/>
      <c r="BZ8" s="407"/>
      <c r="CA8" s="407"/>
      <c r="CB8" s="407"/>
      <c r="CC8" s="407"/>
      <c r="CD8" s="407"/>
      <c r="CE8" s="407"/>
      <c r="CF8" s="407"/>
    </row>
    <row r="9" spans="1:84">
      <c r="A9" s="406"/>
      <c r="B9" s="421" t="s">
        <v>592</v>
      </c>
      <c r="C9" s="413" t="s">
        <v>953</v>
      </c>
      <c r="D9" s="408"/>
      <c r="E9" s="422">
        <f>'Consolidated IS'!R201</f>
        <v>917048.83329191431</v>
      </c>
      <c r="F9" s="413" t="s">
        <v>947</v>
      </c>
      <c r="G9" s="408"/>
      <c r="H9" s="408"/>
      <c r="I9" s="408"/>
      <c r="J9" s="994"/>
      <c r="K9" s="424"/>
      <c r="L9" s="414"/>
      <c r="M9" s="408"/>
      <c r="N9" s="408"/>
      <c r="O9" s="408"/>
      <c r="P9" s="408"/>
      <c r="Q9" s="408"/>
      <c r="R9" s="408"/>
      <c r="S9" s="408"/>
      <c r="T9" s="408"/>
      <c r="U9" s="408"/>
      <c r="V9" s="408"/>
      <c r="W9" s="408"/>
      <c r="X9" s="408"/>
      <c r="Y9" s="408"/>
      <c r="Z9" s="408"/>
      <c r="AA9" s="416"/>
      <c r="AB9" s="408"/>
      <c r="AC9" s="408"/>
      <c r="AD9" s="408"/>
      <c r="AE9" s="408"/>
      <c r="AF9" s="408"/>
      <c r="AG9" s="408"/>
      <c r="AH9" s="408"/>
      <c r="AI9" s="408"/>
      <c r="AJ9" s="408"/>
      <c r="AK9" s="408"/>
      <c r="AL9" s="408"/>
      <c r="AM9" s="408"/>
      <c r="AN9" s="408"/>
      <c r="AO9" s="408"/>
      <c r="AP9" s="408"/>
      <c r="AQ9" s="408"/>
      <c r="AR9" s="408"/>
      <c r="AS9" s="406"/>
      <c r="AT9" s="406"/>
      <c r="AU9" s="406"/>
      <c r="AV9" s="406"/>
      <c r="AW9" s="406"/>
      <c r="AX9" s="406"/>
      <c r="AY9" s="406"/>
      <c r="AZ9" s="406"/>
      <c r="BA9" s="406"/>
      <c r="BB9" s="406"/>
      <c r="BC9" s="406"/>
      <c r="BD9" s="406"/>
      <c r="BE9" s="406"/>
      <c r="BF9" s="406"/>
      <c r="BG9" s="406"/>
      <c r="BH9" s="406"/>
      <c r="BI9" s="406"/>
      <c r="BJ9" s="406"/>
      <c r="BK9" s="407"/>
      <c r="BL9" s="407"/>
      <c r="BM9" s="407"/>
      <c r="BN9" s="407"/>
      <c r="BO9" s="407"/>
      <c r="BP9" s="407"/>
      <c r="BQ9" s="407"/>
      <c r="BR9" s="407"/>
      <c r="BS9" s="407"/>
      <c r="BT9" s="407"/>
      <c r="BU9" s="407"/>
      <c r="BV9" s="407"/>
      <c r="BW9" s="407"/>
      <c r="BX9" s="407"/>
      <c r="BY9" s="407"/>
      <c r="BZ9" s="407"/>
      <c r="CA9" s="407"/>
      <c r="CB9" s="407"/>
      <c r="CC9" s="407"/>
      <c r="CD9" s="407"/>
      <c r="CE9" s="407"/>
      <c r="CF9" s="407"/>
    </row>
    <row r="10" spans="1:84">
      <c r="A10" s="406"/>
      <c r="B10" s="410"/>
      <c r="C10" s="413" t="s">
        <v>954</v>
      </c>
      <c r="D10" s="408"/>
      <c r="E10" s="416">
        <f>V5</f>
        <v>342.51832060388807</v>
      </c>
      <c r="F10" s="413" t="s">
        <v>955</v>
      </c>
      <c r="G10" s="408"/>
      <c r="H10" s="416"/>
      <c r="I10" s="416"/>
      <c r="J10" s="410"/>
      <c r="K10" s="412"/>
      <c r="L10" s="408"/>
      <c r="M10" s="408"/>
      <c r="N10" s="408"/>
      <c r="O10" s="408"/>
      <c r="P10" s="408"/>
      <c r="Q10" s="408"/>
      <c r="R10" s="408"/>
      <c r="S10" s="408"/>
      <c r="T10" s="408"/>
      <c r="U10" s="408"/>
      <c r="V10" s="425" t="s">
        <v>956</v>
      </c>
      <c r="W10" s="425" t="s">
        <v>718</v>
      </c>
      <c r="X10" s="425" t="s">
        <v>930</v>
      </c>
      <c r="Y10" s="425" t="s">
        <v>931</v>
      </c>
      <c r="Z10" s="408"/>
      <c r="AA10" s="416"/>
      <c r="AB10" s="408"/>
      <c r="AC10" s="408"/>
      <c r="AD10" s="408"/>
      <c r="AE10" s="408"/>
      <c r="AF10" s="408"/>
      <c r="AG10" s="408"/>
      <c r="AH10" s="408"/>
      <c r="AI10" s="408" t="s">
        <v>957</v>
      </c>
      <c r="AJ10" s="408"/>
      <c r="AK10" s="408"/>
      <c r="AL10" s="408"/>
      <c r="AM10" s="408"/>
      <c r="AN10" s="408"/>
      <c r="AO10" s="408"/>
      <c r="AP10" s="408"/>
      <c r="AQ10" s="408"/>
      <c r="AR10" s="408"/>
      <c r="AS10" s="406"/>
      <c r="AT10" s="406"/>
      <c r="AU10" s="406"/>
      <c r="AV10" s="406"/>
      <c r="AW10" s="406"/>
      <c r="AX10" s="406"/>
      <c r="AY10" s="406"/>
      <c r="AZ10" s="406"/>
      <c r="BA10" s="406"/>
      <c r="BB10" s="406"/>
      <c r="BC10" s="406"/>
      <c r="BD10" s="406"/>
      <c r="BE10" s="406"/>
      <c r="BF10" s="406"/>
      <c r="BG10" s="406"/>
      <c r="BH10" s="406"/>
      <c r="BI10" s="406"/>
      <c r="BJ10" s="406"/>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row>
    <row r="11" spans="1:84">
      <c r="A11" s="406"/>
      <c r="B11" s="410"/>
      <c r="C11" s="413" t="s">
        <v>958</v>
      </c>
      <c r="D11" s="408"/>
      <c r="E11" s="416">
        <f>HLOOKUP($AJ$34,$AJ$28:$AR$32,($E$12)+1)</f>
        <v>294.6461411766374</v>
      </c>
      <c r="F11" s="413" t="s">
        <v>955</v>
      </c>
      <c r="G11" s="408"/>
      <c r="H11" s="408"/>
      <c r="I11" s="408"/>
      <c r="J11" s="421"/>
      <c r="K11" s="411"/>
      <c r="L11" s="408"/>
      <c r="M11" s="408"/>
      <c r="N11" s="408"/>
      <c r="O11" s="408"/>
      <c r="P11" s="408"/>
      <c r="Q11" s="408"/>
      <c r="R11" s="408"/>
      <c r="S11" s="408"/>
      <c r="T11" s="408"/>
      <c r="U11" s="408"/>
      <c r="V11" s="416">
        <f>100*(+AD5/$E$9)</f>
        <v>293.28553045945773</v>
      </c>
      <c r="W11" s="426">
        <f>EXP(5.7226-(0.68367*LN(+V11)))</f>
        <v>6.287543637902318</v>
      </c>
      <c r="X11" s="417">
        <f>(+W11*V11)/100</f>
        <v>18.440455711291701</v>
      </c>
      <c r="Y11" s="416">
        <f>100*((((X11/100)-((X11/100)-0.03574)*$E$21)-0.03574-0.00619)/0.344)</f>
        <v>26.723432469338732</v>
      </c>
      <c r="Z11" s="408">
        <f>$E$20</f>
        <v>0.25</v>
      </c>
      <c r="AA11" s="416">
        <f>Y11+Z11</f>
        <v>26.973432469338732</v>
      </c>
      <c r="AB11" s="416">
        <f>100*($E$17*$E$19+($E$18*(AA11/100))/(1-$E$21))</f>
        <v>21.208564425187141</v>
      </c>
      <c r="AC11" s="417">
        <f>AB11/V11</f>
        <v>7.231370873279036E-2</v>
      </c>
      <c r="AD11" s="415">
        <f>$E$8/(1-AC11)</f>
        <v>2708726.2515162178</v>
      </c>
      <c r="AE11" s="408" t="str">
        <f>IF(AD11=AD5,"yes","not yet")</f>
        <v>not yet</v>
      </c>
      <c r="AF11" s="416">
        <f>100*(1-AC11)</f>
        <v>92.768629126720967</v>
      </c>
      <c r="AG11" s="408"/>
      <c r="AH11" s="408"/>
      <c r="AI11" s="408"/>
      <c r="AJ11" s="408"/>
      <c r="AK11" s="408"/>
      <c r="AL11" s="408"/>
      <c r="AM11" s="408"/>
      <c r="AN11" s="408"/>
      <c r="AO11" s="408"/>
      <c r="AP11" s="408"/>
      <c r="AQ11" s="408"/>
      <c r="AR11" s="408"/>
      <c r="AS11" s="406"/>
      <c r="AT11" s="406"/>
      <c r="AU11" s="406"/>
      <c r="AV11" s="406"/>
      <c r="AW11" s="406"/>
      <c r="AX11" s="406"/>
      <c r="AY11" s="406"/>
      <c r="AZ11" s="406"/>
      <c r="BA11" s="406"/>
      <c r="BB11" s="406"/>
      <c r="BC11" s="406"/>
      <c r="BD11" s="406"/>
      <c r="BE11" s="406"/>
      <c r="BF11" s="406"/>
      <c r="BG11" s="406"/>
      <c r="BH11" s="406"/>
      <c r="BI11" s="406"/>
      <c r="BJ11" s="406"/>
      <c r="BK11" s="407"/>
      <c r="BL11" s="407"/>
      <c r="BM11" s="407"/>
      <c r="BN11" s="407"/>
      <c r="BO11" s="407"/>
      <c r="BP11" s="407"/>
      <c r="BQ11" s="407"/>
      <c r="BR11" s="407"/>
      <c r="BS11" s="407"/>
      <c r="BT11" s="407"/>
      <c r="BU11" s="407"/>
      <c r="BV11" s="407"/>
      <c r="BW11" s="407"/>
      <c r="BX11" s="407"/>
      <c r="BY11" s="407"/>
      <c r="BZ11" s="407"/>
      <c r="CA11" s="407"/>
      <c r="CB11" s="407"/>
      <c r="CC11" s="407"/>
      <c r="CD11" s="407"/>
      <c r="CE11" s="407"/>
      <c r="CF11" s="407"/>
    </row>
    <row r="12" spans="1:84">
      <c r="A12" s="406"/>
      <c r="B12" s="410"/>
      <c r="C12" s="413" t="s">
        <v>959</v>
      </c>
      <c r="D12" s="408"/>
      <c r="E12" s="408">
        <f>VLOOKUP(E10,AI5:AJ8,2)</f>
        <v>3</v>
      </c>
      <c r="F12" s="413" t="s">
        <v>955</v>
      </c>
      <c r="G12" s="408"/>
      <c r="H12" s="408"/>
      <c r="I12" s="408"/>
      <c r="J12" s="421"/>
      <c r="K12" s="411"/>
      <c r="L12" s="408"/>
      <c r="M12" s="408"/>
      <c r="N12" s="408"/>
      <c r="O12" s="408"/>
      <c r="P12" s="408"/>
      <c r="Q12" s="408"/>
      <c r="R12" s="408"/>
      <c r="S12" s="408"/>
      <c r="T12" s="408"/>
      <c r="U12" s="408"/>
      <c r="V12" s="416">
        <f>100*(+AD6/$E$9)</f>
        <v>292.93283165817354</v>
      </c>
      <c r="W12" s="426">
        <f>EXP(5.70827-(0.68367*LN(+V12)))</f>
        <v>6.2031866589217719</v>
      </c>
      <c r="X12" s="417">
        <f>(+W12*V12)/100</f>
        <v>18.171170333021593</v>
      </c>
      <c r="Y12" s="416">
        <f>100*((((X12/100)-((X12/100)-0.03574)*$E$21)-0.03574-0.00619)/0.344)</f>
        <v>26.206780290099569</v>
      </c>
      <c r="Z12" s="408">
        <f>$E$20</f>
        <v>0.25</v>
      </c>
      <c r="AA12" s="416">
        <f>Y12+Z12</f>
        <v>26.456780290099569</v>
      </c>
      <c r="AB12" s="416">
        <f>100*($E$17*$E$19+($E$18*(AA12/100))/(1-$E$21))</f>
        <v>20.832045030817508</v>
      </c>
      <c r="AC12" s="417">
        <f>AB12/V12</f>
        <v>7.1115432547781618E-2</v>
      </c>
      <c r="AD12" s="415">
        <f>$E$8/(1-AC12)</f>
        <v>2705231.9506389815</v>
      </c>
      <c r="AE12" s="408" t="str">
        <f>IF(AD12=AD6,"yes","not yet")</f>
        <v>not yet</v>
      </c>
      <c r="AF12" s="416">
        <f>100*(1-AC12)</f>
        <v>92.888456745221831</v>
      </c>
      <c r="AG12" s="408"/>
      <c r="AH12" s="408"/>
      <c r="AI12" s="408"/>
      <c r="AJ12" s="408"/>
      <c r="AK12" s="408"/>
      <c r="AL12" s="408"/>
      <c r="AM12" s="408"/>
      <c r="AN12" s="408"/>
      <c r="AO12" s="408"/>
      <c r="AP12" s="408"/>
      <c r="AQ12" s="408"/>
      <c r="AR12" s="408"/>
      <c r="AS12" s="406"/>
      <c r="AT12" s="406"/>
      <c r="AU12" s="406"/>
      <c r="AV12" s="406"/>
      <c r="AW12" s="406"/>
      <c r="AX12" s="406"/>
      <c r="AY12" s="406"/>
      <c r="AZ12" s="406"/>
      <c r="BA12" s="406"/>
      <c r="BB12" s="406"/>
      <c r="BC12" s="406"/>
      <c r="BD12" s="406"/>
      <c r="BE12" s="406"/>
      <c r="BF12" s="406"/>
      <c r="BG12" s="406"/>
      <c r="BH12" s="406"/>
      <c r="BI12" s="406"/>
      <c r="BJ12" s="406"/>
      <c r="BK12" s="407"/>
      <c r="BL12" s="407"/>
      <c r="BM12" s="407"/>
      <c r="BN12" s="407"/>
      <c r="BO12" s="407"/>
      <c r="BP12" s="407"/>
      <c r="BQ12" s="407"/>
      <c r="BR12" s="407"/>
      <c r="BS12" s="407"/>
      <c r="BT12" s="407"/>
      <c r="BU12" s="407"/>
      <c r="BV12" s="407"/>
      <c r="BW12" s="407"/>
      <c r="BX12" s="407"/>
      <c r="BY12" s="407"/>
      <c r="BZ12" s="407"/>
      <c r="CA12" s="407"/>
      <c r="CB12" s="407"/>
      <c r="CC12" s="407"/>
      <c r="CD12" s="407"/>
      <c r="CE12" s="407"/>
      <c r="CF12" s="407"/>
    </row>
    <row r="13" spans="1:84">
      <c r="A13" s="406"/>
      <c r="B13" s="410"/>
      <c r="C13" s="408"/>
      <c r="D13" s="408"/>
      <c r="E13" s="408"/>
      <c r="F13" s="408"/>
      <c r="G13" s="408"/>
      <c r="H13" s="408"/>
      <c r="I13" s="408"/>
      <c r="J13" s="421"/>
      <c r="L13" s="427"/>
      <c r="M13" s="412"/>
      <c r="N13" s="411"/>
      <c r="O13" s="408"/>
      <c r="P13" s="408"/>
      <c r="Q13" s="408"/>
      <c r="R13" s="408"/>
      <c r="S13" s="408"/>
      <c r="T13" s="408"/>
      <c r="U13" s="408"/>
      <c r="V13" s="416">
        <f>100*(+AD7/$E$9)</f>
        <v>292.69572548415772</v>
      </c>
      <c r="W13" s="426">
        <f>EXP(5.6985-(0.68367*LN(V13)))</f>
        <v>6.1462782659624686</v>
      </c>
      <c r="X13" s="417">
        <f>(+W13*V13)/100</f>
        <v>17.989893760833958</v>
      </c>
      <c r="Y13" s="416">
        <f>100*((((X13/100)-((X13/100)-0.03574)*$E$21)-0.03574-0.00619)/0.344)</f>
        <v>25.858982215553528</v>
      </c>
      <c r="Z13" s="408">
        <f>$E$20</f>
        <v>0.25</v>
      </c>
      <c r="AA13" s="416">
        <f>Y13+Z13</f>
        <v>26.108982215553528</v>
      </c>
      <c r="AB13" s="416">
        <f>100*($E$17*$E$19+($E$18*(AA13/100))/(1-$E$21))</f>
        <v>20.578581045465029</v>
      </c>
      <c r="AC13" s="417">
        <f>AB13/V13</f>
        <v>7.0307077465601234E-2</v>
      </c>
      <c r="AD13" s="415">
        <f>$E$8/(1-AC13)</f>
        <v>2702879.7890351107</v>
      </c>
      <c r="AE13" s="408" t="str">
        <f>IF(AD13=AD7,"yes","not yet")</f>
        <v>not yet</v>
      </c>
      <c r="AF13" s="416">
        <f>100*(1-AC13)</f>
        <v>92.969292253439875</v>
      </c>
      <c r="AG13" s="408"/>
      <c r="AH13" s="408"/>
      <c r="AI13" s="408"/>
      <c r="AJ13" s="408">
        <v>1</v>
      </c>
      <c r="AK13" s="408">
        <v>2</v>
      </c>
      <c r="AL13" s="408">
        <v>3</v>
      </c>
      <c r="AM13" s="408">
        <v>4</v>
      </c>
      <c r="AN13" s="408">
        <v>5</v>
      </c>
      <c r="AO13" s="408">
        <v>6</v>
      </c>
      <c r="AP13" s="408">
        <v>7</v>
      </c>
      <c r="AQ13" s="408">
        <v>8</v>
      </c>
      <c r="AR13" s="408">
        <v>9</v>
      </c>
      <c r="AS13" s="406"/>
      <c r="AT13" s="406"/>
      <c r="AU13" s="406"/>
      <c r="AV13" s="406"/>
      <c r="AW13" s="406"/>
      <c r="AX13" s="406"/>
      <c r="AY13" s="406"/>
      <c r="AZ13" s="406"/>
      <c r="BA13" s="406"/>
      <c r="BB13" s="406"/>
      <c r="BC13" s="406"/>
      <c r="BD13" s="406"/>
      <c r="BE13" s="406"/>
      <c r="BF13" s="406"/>
      <c r="BG13" s="406"/>
      <c r="BH13" s="406"/>
      <c r="BI13" s="406"/>
      <c r="BJ13" s="406"/>
      <c r="BK13" s="407"/>
      <c r="BL13" s="407"/>
      <c r="BM13" s="407"/>
      <c r="BN13" s="407"/>
      <c r="BO13" s="407"/>
      <c r="BP13" s="407"/>
      <c r="BQ13" s="407"/>
      <c r="BR13" s="407"/>
      <c r="BS13" s="407"/>
      <c r="BT13" s="407"/>
      <c r="BU13" s="407"/>
      <c r="BV13" s="407"/>
      <c r="BW13" s="407"/>
      <c r="BX13" s="407"/>
      <c r="BY13" s="407"/>
      <c r="BZ13" s="407"/>
      <c r="CA13" s="407"/>
      <c r="CB13" s="407"/>
      <c r="CC13" s="407"/>
      <c r="CD13" s="407"/>
      <c r="CE13" s="407"/>
      <c r="CF13" s="407"/>
    </row>
    <row r="14" spans="1:84">
      <c r="A14" s="406"/>
      <c r="B14" s="410"/>
      <c r="C14" s="413" t="s">
        <v>960</v>
      </c>
      <c r="D14" s="408"/>
      <c r="E14" s="408"/>
      <c r="F14" s="408"/>
      <c r="G14" s="408"/>
      <c r="H14" s="408"/>
      <c r="I14" s="408"/>
      <c r="J14" s="410"/>
      <c r="L14" s="427"/>
      <c r="M14" s="412"/>
      <c r="N14" s="411"/>
      <c r="O14" s="408"/>
      <c r="P14" s="408"/>
      <c r="Q14" s="408"/>
      <c r="R14" s="408"/>
      <c r="S14" s="408"/>
      <c r="T14" s="408"/>
      <c r="U14" s="408"/>
      <c r="V14" s="416">
        <f>100*(+AD8/$E$9)</f>
        <v>292.54425716344849</v>
      </c>
      <c r="W14" s="426">
        <f>EXP(5.6922-(0.68367*LN(V14)))</f>
        <v>6.1098402392421782</v>
      </c>
      <c r="X14" s="417">
        <f>(+W14*V14)/100</f>
        <v>17.873986741764494</v>
      </c>
      <c r="Y14" s="416">
        <f>100*((((X14/100)-((X14/100)-0.03574)*$E$21)-0.03574-0.00619)/0.344)</f>
        <v>25.636602469664432</v>
      </c>
      <c r="Z14" s="408">
        <f>$E$20</f>
        <v>0.25</v>
      </c>
      <c r="AA14" s="416">
        <f>Y14+Z14</f>
        <v>25.886602469664432</v>
      </c>
      <c r="AB14" s="416">
        <f>100*($E$17*$E$19+($E$18*(AA14/100))/(1-$E$21))</f>
        <v>20.41651788071551</v>
      </c>
      <c r="AC14" s="417">
        <f>AB14/V14</f>
        <v>6.9789501522528677E-2</v>
      </c>
      <c r="AD14" s="415">
        <f>$E$8/(1-AC14)</f>
        <v>2701375.8868988617</v>
      </c>
      <c r="AE14" s="408" t="str">
        <f>IF(AD14=AD8,"yes","not yet")</f>
        <v>not yet</v>
      </c>
      <c r="AF14" s="416">
        <f>100*(1-AC14)</f>
        <v>93.021049847747122</v>
      </c>
      <c r="AG14" s="408"/>
      <c r="AH14" s="408"/>
      <c r="AI14" s="408"/>
      <c r="AJ14" s="408" t="str">
        <f>AE5</f>
        <v>not yet</v>
      </c>
      <c r="AK14" s="408" t="str">
        <f>AE11</f>
        <v>not yet</v>
      </c>
      <c r="AL14" s="408" t="str">
        <f>AE17</f>
        <v>not yet</v>
      </c>
      <c r="AM14" s="408" t="str">
        <f>AE23</f>
        <v>not yet</v>
      </c>
      <c r="AN14" s="408" t="str">
        <f>AE29</f>
        <v>not yet</v>
      </c>
      <c r="AO14" s="408" t="str">
        <f>AE35</f>
        <v>not yet</v>
      </c>
      <c r="AP14" s="408" t="str">
        <f>AE41</f>
        <v>yes</v>
      </c>
      <c r="AQ14" s="408" t="str">
        <f>AE47</f>
        <v>yes</v>
      </c>
      <c r="AR14" s="408" t="str">
        <f>AE53</f>
        <v>yes</v>
      </c>
      <c r="AS14" s="406"/>
      <c r="AT14" s="406"/>
      <c r="AU14" s="406"/>
      <c r="AV14" s="406"/>
      <c r="AW14" s="406"/>
      <c r="AX14" s="406"/>
      <c r="AY14" s="406"/>
      <c r="AZ14" s="406"/>
      <c r="BA14" s="406"/>
      <c r="BB14" s="406"/>
      <c r="BC14" s="406"/>
      <c r="BD14" s="406"/>
      <c r="BE14" s="406"/>
      <c r="BF14" s="406"/>
      <c r="BG14" s="406"/>
      <c r="BH14" s="406"/>
      <c r="BI14" s="406"/>
      <c r="BJ14" s="406"/>
      <c r="BK14" s="407"/>
      <c r="BL14" s="407"/>
      <c r="BM14" s="407"/>
      <c r="BN14" s="407"/>
      <c r="BO14" s="407"/>
      <c r="BP14" s="407"/>
      <c r="BQ14" s="407"/>
      <c r="BR14" s="407"/>
      <c r="BS14" s="407"/>
      <c r="BT14" s="407"/>
      <c r="BU14" s="407"/>
      <c r="BV14" s="407"/>
      <c r="BW14" s="407"/>
      <c r="BX14" s="407"/>
      <c r="BY14" s="407"/>
      <c r="BZ14" s="407"/>
      <c r="CA14" s="407"/>
      <c r="CB14" s="407"/>
      <c r="CC14" s="407"/>
      <c r="CD14" s="407"/>
      <c r="CE14" s="407"/>
      <c r="CF14" s="407"/>
    </row>
    <row r="15" spans="1:84">
      <c r="A15" s="406"/>
      <c r="B15" s="410"/>
      <c r="C15" s="413" t="s">
        <v>961</v>
      </c>
      <c r="D15" s="408"/>
      <c r="E15" s="421" t="s">
        <v>938</v>
      </c>
      <c r="F15" s="413" t="s">
        <v>962</v>
      </c>
      <c r="G15" s="408"/>
      <c r="H15" s="416">
        <f>HLOOKUP($AJ$25,$AJ$19:$AR$23,($E$12)+1)</f>
        <v>92.997877921117265</v>
      </c>
      <c r="I15" s="413" t="s">
        <v>940</v>
      </c>
      <c r="J15" s="406"/>
      <c r="L15" s="427"/>
      <c r="M15" s="412"/>
      <c r="N15" s="411"/>
      <c r="O15" s="408"/>
      <c r="P15" s="408"/>
      <c r="Q15" s="408"/>
      <c r="R15" s="408"/>
      <c r="S15" s="408"/>
      <c r="T15" s="408"/>
      <c r="U15" s="408"/>
      <c r="V15" s="408"/>
      <c r="W15" s="408"/>
      <c r="X15" s="408"/>
      <c r="Y15" s="408"/>
      <c r="Z15" s="408"/>
      <c r="AA15" s="416"/>
      <c r="AB15" s="408"/>
      <c r="AC15" s="408"/>
      <c r="AD15" s="408"/>
      <c r="AE15" s="408"/>
      <c r="AF15" s="408"/>
      <c r="AG15" s="408"/>
      <c r="AH15" s="408"/>
      <c r="AI15" s="408"/>
      <c r="AJ15" s="408" t="str">
        <f>AE6</f>
        <v>not yet</v>
      </c>
      <c r="AK15" s="408" t="str">
        <f>AE12</f>
        <v>not yet</v>
      </c>
      <c r="AL15" s="408" t="str">
        <f>AE18</f>
        <v>not yet</v>
      </c>
      <c r="AM15" s="408" t="str">
        <f>AE24</f>
        <v>not yet</v>
      </c>
      <c r="AN15" s="408" t="str">
        <f>AE30</f>
        <v>not yet</v>
      </c>
      <c r="AO15" s="408" t="str">
        <f>AE36</f>
        <v>not yet</v>
      </c>
      <c r="AP15" s="408" t="str">
        <f>AE42</f>
        <v>yes</v>
      </c>
      <c r="AQ15" s="408" t="str">
        <f>AE48</f>
        <v>yes</v>
      </c>
      <c r="AR15" s="408" t="str">
        <f>AE54</f>
        <v>yes</v>
      </c>
      <c r="AS15" s="406"/>
      <c r="AT15" s="406"/>
      <c r="AU15" s="406"/>
      <c r="AV15" s="406"/>
      <c r="AW15" s="406"/>
      <c r="AX15" s="406"/>
      <c r="AY15" s="406"/>
      <c r="AZ15" s="406"/>
      <c r="BA15" s="406"/>
      <c r="BB15" s="406"/>
      <c r="BC15" s="406"/>
      <c r="BD15" s="406"/>
      <c r="BE15" s="406"/>
      <c r="BF15" s="406"/>
      <c r="BG15" s="406"/>
      <c r="BH15" s="406"/>
      <c r="BI15" s="406"/>
      <c r="BJ15" s="406"/>
      <c r="BK15" s="407"/>
      <c r="BL15" s="407"/>
      <c r="BM15" s="407"/>
      <c r="BN15" s="407"/>
      <c r="BO15" s="407"/>
      <c r="BP15" s="407"/>
      <c r="BQ15" s="407"/>
      <c r="BR15" s="407"/>
      <c r="BS15" s="407"/>
      <c r="BT15" s="407"/>
      <c r="BU15" s="407"/>
      <c r="BV15" s="407"/>
      <c r="BW15" s="407"/>
      <c r="BX15" s="407"/>
      <c r="BY15" s="407"/>
      <c r="BZ15" s="407"/>
      <c r="CA15" s="407"/>
      <c r="CB15" s="407"/>
      <c r="CC15" s="407"/>
      <c r="CD15" s="407"/>
      <c r="CE15" s="407"/>
      <c r="CF15" s="407"/>
    </row>
    <row r="16" spans="1:84">
      <c r="A16" s="406"/>
      <c r="B16" s="410"/>
      <c r="C16" s="428"/>
      <c r="D16" s="428"/>
      <c r="E16" s="429"/>
      <c r="F16" s="408"/>
      <c r="G16" s="408"/>
      <c r="H16" s="428"/>
      <c r="I16" s="410"/>
      <c r="J16" s="406"/>
      <c r="K16" s="411"/>
      <c r="L16" s="408"/>
      <c r="M16" s="408"/>
      <c r="N16" s="408"/>
      <c r="O16" s="408"/>
      <c r="P16" s="408"/>
      <c r="Q16" s="408"/>
      <c r="R16" s="408"/>
      <c r="S16" s="408"/>
      <c r="T16" s="408"/>
      <c r="U16" s="408"/>
      <c r="V16" s="413" t="s">
        <v>963</v>
      </c>
      <c r="W16" s="425" t="s">
        <v>718</v>
      </c>
      <c r="X16" s="425" t="s">
        <v>930</v>
      </c>
      <c r="Y16" s="425" t="s">
        <v>931</v>
      </c>
      <c r="Z16" s="408"/>
      <c r="AA16" s="416"/>
      <c r="AB16" s="408"/>
      <c r="AC16" s="408"/>
      <c r="AD16" s="408"/>
      <c r="AE16" s="408"/>
      <c r="AF16" s="408"/>
      <c r="AG16" s="408"/>
      <c r="AH16" s="408"/>
      <c r="AI16" s="408"/>
      <c r="AJ16" s="408" t="str">
        <f>AE7</f>
        <v>not yet</v>
      </c>
      <c r="AK16" s="408" t="str">
        <f>AE13</f>
        <v>not yet</v>
      </c>
      <c r="AL16" s="408" t="str">
        <f>AE19</f>
        <v>not yet</v>
      </c>
      <c r="AM16" s="408" t="str">
        <f>AE25</f>
        <v>not yet</v>
      </c>
      <c r="AN16" s="408" t="str">
        <f>AE31</f>
        <v>not yet</v>
      </c>
      <c r="AO16" s="408" t="str">
        <f>AE37</f>
        <v>not yet</v>
      </c>
      <c r="AP16" s="408" t="str">
        <f>AE43</f>
        <v>yes</v>
      </c>
      <c r="AQ16" s="408" t="str">
        <f>AE49</f>
        <v>yes</v>
      </c>
      <c r="AR16" s="408" t="str">
        <f>AE55</f>
        <v>yes</v>
      </c>
      <c r="AS16" s="406"/>
      <c r="AT16" s="406"/>
      <c r="AU16" s="406"/>
      <c r="AV16" s="406"/>
      <c r="AW16" s="406"/>
      <c r="AX16" s="406"/>
      <c r="AY16" s="406"/>
      <c r="AZ16" s="406"/>
      <c r="BA16" s="406"/>
      <c r="BB16" s="406"/>
      <c r="BC16" s="406"/>
      <c r="BD16" s="406"/>
      <c r="BE16" s="406"/>
      <c r="BF16" s="406"/>
      <c r="BG16" s="406"/>
      <c r="BH16" s="406"/>
      <c r="BI16" s="406"/>
      <c r="BJ16" s="406"/>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row>
    <row r="17" spans="1:84">
      <c r="A17" s="406"/>
      <c r="B17" s="421" t="s">
        <v>592</v>
      </c>
      <c r="C17" s="413" t="s">
        <v>964</v>
      </c>
      <c r="D17" s="408"/>
      <c r="E17" s="430">
        <f>'Corp-BS'!$D$65</f>
        <v>0.51901335120677927</v>
      </c>
      <c r="F17" s="413" t="s">
        <v>965</v>
      </c>
      <c r="G17" s="408"/>
      <c r="H17" s="408"/>
      <c r="I17" s="410"/>
      <c r="J17" s="406"/>
      <c r="K17" s="408"/>
      <c r="L17" s="408"/>
      <c r="M17" s="408"/>
      <c r="N17" s="408"/>
      <c r="O17" s="408"/>
      <c r="P17" s="408"/>
      <c r="Q17" s="408"/>
      <c r="R17" s="408"/>
      <c r="S17" s="408"/>
      <c r="T17" s="408"/>
      <c r="U17" s="408"/>
      <c r="V17" s="416">
        <f>100*(+AD11/$E$9)</f>
        <v>295.37426505333968</v>
      </c>
      <c r="W17" s="426">
        <f>EXP(5.7226-(0.68367*LN(+V17)))</f>
        <v>6.2571120143605699</v>
      </c>
      <c r="X17" s="417">
        <f>(+W17*V17)/100</f>
        <v>18.481898625981749</v>
      </c>
      <c r="Y17" s="416">
        <f>100*((((X17/100)-((X17/100)-0.03574)*$E$21)-0.03574-0.00619)/0.344)</f>
        <v>26.802945038220805</v>
      </c>
      <c r="Z17" s="408">
        <f>$E$20</f>
        <v>0.25</v>
      </c>
      <c r="AA17" s="416">
        <f>Y17+Z17</f>
        <v>27.052945038220805</v>
      </c>
      <c r="AB17" s="416">
        <f>100*($E$17*$E$19+($E$18*(AA17/100))/(1-$E$21))</f>
        <v>21.266510613131885</v>
      </c>
      <c r="AC17" s="417">
        <f>AB17/V17</f>
        <v>7.1998522313010266E-2</v>
      </c>
      <c r="AD17" s="415">
        <f>$E$8/(1-AC17)</f>
        <v>2707806.2597382874</v>
      </c>
      <c r="AE17" s="408" t="str">
        <f>IF(AD17=AD11,"yes","not yet")</f>
        <v>not yet</v>
      </c>
      <c r="AF17" s="416">
        <f>100*(1-AC17)</f>
        <v>92.800147768698977</v>
      </c>
      <c r="AG17" s="408"/>
      <c r="AH17" s="408"/>
      <c r="AI17" s="408"/>
      <c r="AJ17" s="408" t="str">
        <f>AE8</f>
        <v>not yet</v>
      </c>
      <c r="AK17" s="408" t="str">
        <f>AE14</f>
        <v>not yet</v>
      </c>
      <c r="AL17" s="408" t="str">
        <f>AE20</f>
        <v>not yet</v>
      </c>
      <c r="AM17" s="408" t="str">
        <f>AE26</f>
        <v>not yet</v>
      </c>
      <c r="AN17" s="408" t="str">
        <f>AE32</f>
        <v>not yet</v>
      </c>
      <c r="AO17" s="408" t="str">
        <f>AE38</f>
        <v>not yet</v>
      </c>
      <c r="AP17" s="408" t="str">
        <f>AE44</f>
        <v>yes</v>
      </c>
      <c r="AQ17" s="408" t="str">
        <f>AE50</f>
        <v>yes</v>
      </c>
      <c r="AR17" s="408" t="str">
        <f>AE56</f>
        <v>yes</v>
      </c>
      <c r="AS17" s="406"/>
      <c r="AT17" s="406"/>
      <c r="AU17" s="406"/>
      <c r="AV17" s="406"/>
      <c r="AW17" s="406"/>
      <c r="AX17" s="406"/>
      <c r="AY17" s="406"/>
      <c r="AZ17" s="406"/>
      <c r="BA17" s="406"/>
      <c r="BB17" s="406"/>
      <c r="BC17" s="406"/>
      <c r="BD17" s="406"/>
      <c r="BE17" s="406"/>
      <c r="BF17" s="406"/>
      <c r="BG17" s="406"/>
      <c r="BH17" s="406"/>
      <c r="BI17" s="406"/>
      <c r="BJ17" s="406"/>
      <c r="BK17" s="407"/>
      <c r="BL17" s="407"/>
      <c r="BM17" s="407"/>
      <c r="BN17" s="407"/>
      <c r="BO17" s="407"/>
      <c r="BP17" s="407"/>
      <c r="BQ17" s="407"/>
      <c r="BR17" s="407"/>
      <c r="BS17" s="407"/>
      <c r="BT17" s="407"/>
      <c r="BU17" s="407"/>
      <c r="BV17" s="407"/>
      <c r="BW17" s="407"/>
      <c r="BX17" s="407"/>
      <c r="BY17" s="407"/>
      <c r="BZ17" s="407"/>
      <c r="CA17" s="407"/>
      <c r="CB17" s="407"/>
      <c r="CC17" s="407"/>
      <c r="CD17" s="407"/>
      <c r="CE17" s="407"/>
      <c r="CF17" s="407"/>
    </row>
    <row r="18" spans="1:84">
      <c r="A18" s="406"/>
      <c r="B18" s="421" t="s">
        <v>592</v>
      </c>
      <c r="C18" s="413" t="s">
        <v>966</v>
      </c>
      <c r="D18" s="408"/>
      <c r="E18" s="430">
        <f>'Corp-BS'!$D$66</f>
        <v>0.48098664879322067</v>
      </c>
      <c r="F18" s="413" t="s">
        <v>967</v>
      </c>
      <c r="G18" s="408"/>
      <c r="H18" s="414">
        <v>1.4999999999999999E-2</v>
      </c>
      <c r="I18" s="413" t="s">
        <v>592</v>
      </c>
      <c r="J18" s="406"/>
      <c r="K18" s="408"/>
      <c r="L18" s="408"/>
      <c r="M18" s="408"/>
      <c r="N18" s="408"/>
      <c r="O18" s="408"/>
      <c r="P18" s="408"/>
      <c r="Q18" s="408"/>
      <c r="R18" s="408"/>
      <c r="S18" s="408"/>
      <c r="T18" s="408"/>
      <c r="U18" s="408"/>
      <c r="V18" s="416">
        <f>100*(+AD12/$E$9)</f>
        <v>294.99322745202755</v>
      </c>
      <c r="W18" s="426">
        <f>EXP(5.70827-(0.68367*LN(+V18)))</f>
        <v>6.173532817411723</v>
      </c>
      <c r="X18" s="417">
        <f>(+W18*V18)/100</f>
        <v>18.211503705892927</v>
      </c>
      <c r="Y18" s="416">
        <f>100*((((X18/100)-((X18/100)-0.03574)*$E$21)-0.03574-0.00619)/0.344)</f>
        <v>26.284164086887589</v>
      </c>
      <c r="Z18" s="408">
        <f>$E$20</f>
        <v>0.25</v>
      </c>
      <c r="AA18" s="416">
        <f>Y18+Z18</f>
        <v>26.534164086887589</v>
      </c>
      <c r="AB18" s="416">
        <f>100*($E$17*$E$19+($E$18*(AA18/100))/(1-$E$21))</f>
        <v>20.888439838526544</v>
      </c>
      <c r="AC18" s="417">
        <f>AB18/V18</f>
        <v>7.0809896277783085E-2</v>
      </c>
      <c r="AD18" s="415">
        <f>$E$8/(1-AC18)</f>
        <v>2704342.4163269307</v>
      </c>
      <c r="AE18" s="408" t="str">
        <f>IF(AD18=AD12,"yes","not yet")</f>
        <v>not yet</v>
      </c>
      <c r="AF18" s="416">
        <f>100*(1-AC18)</f>
        <v>92.919010372221692</v>
      </c>
      <c r="AG18" s="408"/>
      <c r="AH18" s="408"/>
      <c r="AI18" s="408"/>
      <c r="AJ18" s="408"/>
      <c r="AK18" s="408"/>
      <c r="AL18" s="408"/>
      <c r="AM18" s="408"/>
      <c r="AN18" s="408"/>
      <c r="AO18" s="408"/>
      <c r="AP18" s="408"/>
      <c r="AQ18" s="408"/>
      <c r="AR18" s="408"/>
      <c r="AS18" s="406"/>
      <c r="AT18" s="406"/>
      <c r="AU18" s="406"/>
      <c r="AV18" s="406"/>
      <c r="AW18" s="406"/>
      <c r="AX18" s="406"/>
      <c r="AY18" s="406"/>
      <c r="AZ18" s="406"/>
      <c r="BA18" s="406"/>
      <c r="BB18" s="406"/>
      <c r="BC18" s="406"/>
      <c r="BD18" s="406"/>
      <c r="BE18" s="406"/>
      <c r="BF18" s="406"/>
      <c r="BG18" s="406"/>
      <c r="BH18" s="406"/>
      <c r="BI18" s="406"/>
      <c r="BJ18" s="406"/>
      <c r="BK18" s="407"/>
      <c r="BL18" s="407"/>
      <c r="BM18" s="407"/>
      <c r="BN18" s="407"/>
      <c r="BO18" s="407"/>
      <c r="BP18" s="407"/>
      <c r="BQ18" s="407"/>
      <c r="BR18" s="407"/>
      <c r="BS18" s="407"/>
      <c r="BT18" s="407"/>
      <c r="BU18" s="407"/>
      <c r="BV18" s="407"/>
      <c r="BW18" s="407"/>
      <c r="BX18" s="407"/>
      <c r="BY18" s="407"/>
      <c r="BZ18" s="407"/>
      <c r="CA18" s="407"/>
      <c r="CB18" s="407"/>
      <c r="CC18" s="407"/>
      <c r="CD18" s="407"/>
      <c r="CE18" s="407"/>
      <c r="CF18" s="407"/>
    </row>
    <row r="19" spans="1:84">
      <c r="A19" s="406"/>
      <c r="B19" s="421" t="s">
        <v>592</v>
      </c>
      <c r="C19" s="413" t="s">
        <v>968</v>
      </c>
      <c r="D19" s="408"/>
      <c r="E19" s="430">
        <f>'Corp-BS'!$C$75</f>
        <v>2.9887466997092278E-2</v>
      </c>
      <c r="F19" s="413" t="s">
        <v>969</v>
      </c>
      <c r="G19" s="408"/>
      <c r="H19" s="431">
        <v>4.2750000000000002E-3</v>
      </c>
      <c r="I19" s="413" t="s">
        <v>592</v>
      </c>
      <c r="J19" s="406"/>
      <c r="K19" s="408"/>
      <c r="L19" s="408"/>
      <c r="M19" s="408"/>
      <c r="N19" s="408"/>
      <c r="O19" s="408"/>
      <c r="P19" s="408"/>
      <c r="Q19" s="408"/>
      <c r="R19" s="408"/>
      <c r="S19" s="408"/>
      <c r="T19" s="408"/>
      <c r="U19" s="408"/>
      <c r="V19" s="416">
        <f>100*(+AD13/$E$9)</f>
        <v>294.73673493838163</v>
      </c>
      <c r="W19" s="426">
        <f>EXP(5.6985-(0.68367*LN(V19)))</f>
        <v>6.1171478726202473</v>
      </c>
      <c r="X19" s="417">
        <f>(+W19*V19)/100</f>
        <v>18.029481911113589</v>
      </c>
      <c r="Y19" s="416">
        <f>100*((((X19/100)-((X19/100)-0.03574)*$E$21)-0.03574-0.00619)/0.344)</f>
        <v>25.934936224810954</v>
      </c>
      <c r="Z19" s="408">
        <f>$E$20</f>
        <v>0.25</v>
      </c>
      <c r="AA19" s="416">
        <f>Y19+Z19</f>
        <v>26.184936224810954</v>
      </c>
      <c r="AB19" s="416">
        <f>100*($E$17*$E$19+($E$18*(AA19/100))/(1-$E$21))</f>
        <v>20.63393387027585</v>
      </c>
      <c r="AC19" s="417">
        <f>AB19/V19</f>
        <v>7.0008015372056115E-2</v>
      </c>
      <c r="AD19" s="415">
        <f>$E$8/(1-AC19)</f>
        <v>2702010.6106962962</v>
      </c>
      <c r="AE19" s="408" t="str">
        <f>IF(AD19=AD13,"yes","not yet")</f>
        <v>not yet</v>
      </c>
      <c r="AF19" s="416">
        <f>100*(1-AC19)</f>
        <v>92.999198462794382</v>
      </c>
      <c r="AG19" s="408"/>
      <c r="AH19" s="408"/>
      <c r="AI19" s="408"/>
      <c r="AJ19" s="408" t="str">
        <f>HLOOKUP(1,$AJ$13:$AR$17,($E$12)+1)</f>
        <v>not yet</v>
      </c>
      <c r="AK19" s="408" t="str">
        <f>HLOOKUP(2,$AJ$13:$AR$17,($E$12)+1)</f>
        <v>not yet</v>
      </c>
      <c r="AL19" s="408" t="str">
        <f>HLOOKUP(3,$AJ$13:$AR$17,($E$12)+1)</f>
        <v>not yet</v>
      </c>
      <c r="AM19" s="408" t="str">
        <f>HLOOKUP(4,$AJ$13:$AR$17,($E$12)+1)</f>
        <v>not yet</v>
      </c>
      <c r="AN19" s="408" t="str">
        <f>HLOOKUP(5,$AJ$13:$AR$17,($E$12)+1)</f>
        <v>not yet</v>
      </c>
      <c r="AO19" s="408" t="str">
        <f>HLOOKUP(6,$AJ$13:$AR$17,($E$12)+1)</f>
        <v>not yet</v>
      </c>
      <c r="AP19" s="408" t="str">
        <f>HLOOKUP(7,$AJ$13:$AR$17,($E$12)+1)</f>
        <v>yes</v>
      </c>
      <c r="AQ19" s="408" t="str">
        <f>HLOOKUP(8,$AJ$13:$AR$17,($E$12)+1)</f>
        <v>yes</v>
      </c>
      <c r="AR19" s="408" t="str">
        <f>HLOOKUP(9,$AJ$13:$AR$17,($E$12)+1)</f>
        <v>yes</v>
      </c>
      <c r="AS19" s="406"/>
      <c r="AT19" s="406"/>
      <c r="AU19" s="406"/>
      <c r="AV19" s="406"/>
      <c r="AW19" s="406"/>
      <c r="AX19" s="406"/>
      <c r="AY19" s="406"/>
      <c r="AZ19" s="406"/>
      <c r="BA19" s="406"/>
      <c r="BB19" s="406"/>
      <c r="BC19" s="406"/>
      <c r="BD19" s="406"/>
      <c r="BE19" s="406"/>
      <c r="BF19" s="406"/>
      <c r="BG19" s="406"/>
      <c r="BH19" s="406"/>
      <c r="BI19" s="406"/>
      <c r="BJ19" s="406"/>
      <c r="BK19" s="407"/>
      <c r="BL19" s="407"/>
      <c r="BM19" s="407"/>
      <c r="BN19" s="407"/>
      <c r="BO19" s="407"/>
      <c r="BP19" s="407"/>
      <c r="BQ19" s="407"/>
      <c r="BR19" s="407"/>
      <c r="BS19" s="407"/>
      <c r="BT19" s="407"/>
      <c r="BU19" s="407"/>
      <c r="BV19" s="407"/>
      <c r="BW19" s="407"/>
      <c r="BX19" s="407"/>
      <c r="BY19" s="407"/>
      <c r="BZ19" s="407"/>
      <c r="CA19" s="407"/>
      <c r="CB19" s="407"/>
      <c r="CC19" s="407"/>
      <c r="CD19" s="407"/>
      <c r="CE19" s="407"/>
      <c r="CF19" s="407"/>
    </row>
    <row r="20" spans="1:84">
      <c r="A20" s="406"/>
      <c r="B20" s="421" t="s">
        <v>592</v>
      </c>
      <c r="C20" s="413" t="s">
        <v>970</v>
      </c>
      <c r="D20" s="408"/>
      <c r="E20" s="432">
        <v>0.25</v>
      </c>
      <c r="F20" s="413" t="s">
        <v>971</v>
      </c>
      <c r="G20" s="408"/>
      <c r="H20" s="414"/>
      <c r="I20" s="413" t="s">
        <v>592</v>
      </c>
      <c r="J20" s="406"/>
      <c r="K20" s="433"/>
      <c r="L20" s="408"/>
      <c r="M20" s="408"/>
      <c r="N20" s="408"/>
      <c r="O20" s="408"/>
      <c r="P20" s="408"/>
      <c r="Q20" s="408"/>
      <c r="R20" s="408"/>
      <c r="S20" s="408"/>
      <c r="T20" s="408"/>
      <c r="U20" s="408"/>
      <c r="V20" s="416">
        <f>100*(+AD14/$E$9)</f>
        <v>294.57274125760347</v>
      </c>
      <c r="W20" s="426">
        <f>EXP(5.6922-(0.68367*LN(V20)))</f>
        <v>6.0810444081394008</v>
      </c>
      <c r="X20" s="417">
        <f>(+W20*V20)/100</f>
        <v>17.913099210148442</v>
      </c>
      <c r="Y20" s="416">
        <f>100*((((X20/100)-((X20/100)-0.03574)*$E$21)-0.03574-0.00619)/0.344)</f>
        <v>25.71164383342434</v>
      </c>
      <c r="Z20" s="408">
        <f>$E$20</f>
        <v>0.25</v>
      </c>
      <c r="AA20" s="416">
        <f>Y20+Z20</f>
        <v>25.96164383342434</v>
      </c>
      <c r="AB20" s="416">
        <f>100*($E$17*$E$19+($E$18*(AA20/100))/(1-$E$21))</f>
        <v>20.471205599012105</v>
      </c>
      <c r="AC20" s="417">
        <f>AB20/V20</f>
        <v>6.9494568681458757E-2</v>
      </c>
      <c r="AD20" s="415">
        <f>$E$8/(1-AC20)</f>
        <v>2700519.6592635303</v>
      </c>
      <c r="AE20" s="408" t="str">
        <f>IF(AD20=AD14,"yes","not yet")</f>
        <v>not yet</v>
      </c>
      <c r="AF20" s="416">
        <f>100*(1-AC20)</f>
        <v>93.050543131854127</v>
      </c>
      <c r="AG20" s="408"/>
      <c r="AH20" s="408"/>
      <c r="AI20" s="408">
        <v>1</v>
      </c>
      <c r="AJ20" s="416">
        <f>AF5</f>
        <v>93.429313084025054</v>
      </c>
      <c r="AK20" s="416">
        <f>AF11</f>
        <v>92.768629126720967</v>
      </c>
      <c r="AL20" s="416">
        <f>AF17</f>
        <v>92.800147768698977</v>
      </c>
      <c r="AM20" s="416">
        <f>AF23</f>
        <v>92.798641965044453</v>
      </c>
      <c r="AN20" s="416">
        <f>AF29</f>
        <v>92.798713899873036</v>
      </c>
      <c r="AO20" s="416">
        <f>AF35</f>
        <v>92.798710463411311</v>
      </c>
      <c r="AP20" s="416">
        <f>AF41</f>
        <v>92.798710301168768</v>
      </c>
      <c r="AQ20" s="416">
        <f>AF47</f>
        <v>92.798710301168768</v>
      </c>
      <c r="AR20" s="416">
        <f>AF53</f>
        <v>92.798710301168768</v>
      </c>
      <c r="AS20" s="406"/>
      <c r="AT20" s="406"/>
      <c r="AU20" s="406"/>
      <c r="AV20" s="406"/>
      <c r="AW20" s="406"/>
      <c r="AX20" s="406"/>
      <c r="AY20" s="406"/>
      <c r="AZ20" s="406"/>
      <c r="BA20" s="406"/>
      <c r="BB20" s="406"/>
      <c r="BC20" s="406"/>
      <c r="BD20" s="406"/>
      <c r="BE20" s="406"/>
      <c r="BF20" s="406"/>
      <c r="BG20" s="406"/>
      <c r="BH20" s="406"/>
      <c r="BI20" s="406"/>
      <c r="BJ20" s="406"/>
      <c r="BK20" s="407"/>
      <c r="BL20" s="407"/>
      <c r="BM20" s="407"/>
      <c r="BN20" s="407"/>
      <c r="BO20" s="407"/>
      <c r="BP20" s="407"/>
      <c r="BQ20" s="407"/>
      <c r="BR20" s="407"/>
      <c r="BS20" s="407"/>
      <c r="BT20" s="407"/>
      <c r="BU20" s="407"/>
      <c r="BV20" s="407"/>
      <c r="BW20" s="407"/>
      <c r="BX20" s="407"/>
      <c r="BY20" s="407"/>
      <c r="BZ20" s="407"/>
      <c r="CA20" s="407"/>
      <c r="CB20" s="407"/>
      <c r="CC20" s="407"/>
      <c r="CD20" s="407"/>
      <c r="CE20" s="407"/>
      <c r="CF20" s="407"/>
    </row>
    <row r="21" spans="1:84">
      <c r="A21" s="406"/>
      <c r="B21" s="421" t="s">
        <v>592</v>
      </c>
      <c r="C21" s="413" t="s">
        <v>972</v>
      </c>
      <c r="D21" s="408"/>
      <c r="E21" s="432">
        <v>0.34</v>
      </c>
      <c r="F21" s="413" t="s">
        <v>973</v>
      </c>
      <c r="G21" s="408"/>
      <c r="H21" s="430">
        <f>'Restating Adj''s'!$E$125</f>
        <v>5.1039202358942552E-3</v>
      </c>
      <c r="I21" s="413" t="s">
        <v>592</v>
      </c>
      <c r="J21" s="406"/>
      <c r="K21" s="434"/>
      <c r="L21" s="408"/>
      <c r="M21" s="408"/>
      <c r="N21" s="408"/>
      <c r="O21" s="408"/>
      <c r="P21" s="408"/>
      <c r="Q21" s="408"/>
      <c r="R21" s="408"/>
      <c r="S21" s="408"/>
      <c r="T21" s="408"/>
      <c r="U21" s="408"/>
      <c r="V21" s="408"/>
      <c r="W21" s="408"/>
      <c r="X21" s="408"/>
      <c r="Y21" s="408"/>
      <c r="Z21" s="408"/>
      <c r="AA21" s="416"/>
      <c r="AB21" s="408"/>
      <c r="AC21" s="408"/>
      <c r="AD21" s="408"/>
      <c r="AE21" s="408"/>
      <c r="AF21" s="408"/>
      <c r="AG21" s="408"/>
      <c r="AH21" s="408"/>
      <c r="AI21" s="408">
        <v>2</v>
      </c>
      <c r="AJ21" s="416">
        <f>AF6</f>
        <v>93.541804423910094</v>
      </c>
      <c r="AK21" s="416">
        <f>AF12</f>
        <v>92.888456745221831</v>
      </c>
      <c r="AL21" s="416">
        <f>AF18</f>
        <v>92.919010372221692</v>
      </c>
      <c r="AM21" s="416">
        <f>AF24</f>
        <v>92.917579488273446</v>
      </c>
      <c r="AN21" s="416">
        <f>AF30</f>
        <v>92.917646494759396</v>
      </c>
      <c r="AO21" s="416">
        <f>AF36</f>
        <v>92.917643356920507</v>
      </c>
      <c r="AP21" s="416">
        <f>AF42</f>
        <v>92.917643177355558</v>
      </c>
      <c r="AQ21" s="416">
        <f>AF48</f>
        <v>92.917643177355558</v>
      </c>
      <c r="AR21" s="416">
        <f>AF54</f>
        <v>92.917643177355558</v>
      </c>
      <c r="AS21" s="406"/>
      <c r="AT21" s="406"/>
      <c r="AU21" s="406"/>
      <c r="AV21" s="406"/>
      <c r="AW21" s="406"/>
      <c r="AX21" s="406"/>
      <c r="AY21" s="406"/>
      <c r="AZ21" s="406"/>
      <c r="BA21" s="406"/>
      <c r="BB21" s="406"/>
      <c r="BC21" s="406"/>
      <c r="BD21" s="406"/>
      <c r="BE21" s="406"/>
      <c r="BF21" s="406"/>
      <c r="BG21" s="406"/>
      <c r="BH21" s="406"/>
      <c r="BI21" s="406"/>
      <c r="BJ21" s="406"/>
      <c r="BK21" s="407"/>
      <c r="BL21" s="407"/>
      <c r="BM21" s="407"/>
      <c r="BN21" s="407"/>
      <c r="BO21" s="407"/>
      <c r="BP21" s="407"/>
      <c r="BQ21" s="407"/>
      <c r="BR21" s="407"/>
      <c r="BS21" s="407"/>
      <c r="BT21" s="407"/>
      <c r="BU21" s="407"/>
      <c r="BV21" s="407"/>
      <c r="BW21" s="407"/>
      <c r="BX21" s="407"/>
      <c r="BY21" s="407"/>
      <c r="BZ21" s="407"/>
      <c r="CA21" s="407"/>
      <c r="CB21" s="407"/>
      <c r="CC21" s="407"/>
      <c r="CD21" s="407"/>
      <c r="CE21" s="407"/>
      <c r="CF21" s="407"/>
    </row>
    <row r="22" spans="1:84">
      <c r="A22" s="406"/>
      <c r="B22" s="410"/>
      <c r="C22" s="408"/>
      <c r="D22" s="408"/>
      <c r="E22" s="408"/>
      <c r="F22" s="408"/>
      <c r="G22" s="408"/>
      <c r="H22" s="428"/>
      <c r="I22" s="428"/>
      <c r="J22" s="410"/>
      <c r="K22" s="408"/>
      <c r="L22" s="408"/>
      <c r="M22" s="408"/>
      <c r="N22" s="408"/>
      <c r="O22" s="408"/>
      <c r="P22" s="408"/>
      <c r="Q22" s="408"/>
      <c r="R22" s="408"/>
      <c r="S22" s="408"/>
      <c r="T22" s="408"/>
      <c r="U22" s="408"/>
      <c r="V22" s="413" t="s">
        <v>974</v>
      </c>
      <c r="W22" s="425" t="s">
        <v>718</v>
      </c>
      <c r="X22" s="425" t="s">
        <v>930</v>
      </c>
      <c r="Y22" s="425" t="s">
        <v>931</v>
      </c>
      <c r="Z22" s="408"/>
      <c r="AA22" s="416"/>
      <c r="AB22" s="408"/>
      <c r="AC22" s="408"/>
      <c r="AD22" s="408"/>
      <c r="AE22" s="408"/>
      <c r="AF22" s="408"/>
      <c r="AG22" s="408"/>
      <c r="AH22" s="408"/>
      <c r="AI22" s="408">
        <v>3</v>
      </c>
      <c r="AJ22" s="416">
        <f>AF7</f>
        <v>93.617580519788504</v>
      </c>
      <c r="AK22" s="416">
        <f>AF13</f>
        <v>92.969292253439875</v>
      </c>
      <c r="AL22" s="416">
        <f>AF19</f>
        <v>92.999198462794382</v>
      </c>
      <c r="AM22" s="416">
        <f>AF25</f>
        <v>92.997816885801527</v>
      </c>
      <c r="AN22" s="416">
        <f>AF31</f>
        <v>92.997880706290672</v>
      </c>
      <c r="AO22" s="416">
        <f>AF37</f>
        <v>92.997877758161621</v>
      </c>
      <c r="AP22" s="416">
        <f>AF43</f>
        <v>92.997877921117265</v>
      </c>
      <c r="AQ22" s="416">
        <f>AF49</f>
        <v>92.997877921117265</v>
      </c>
      <c r="AR22" s="416">
        <f>AF55</f>
        <v>92.997877921117265</v>
      </c>
      <c r="AS22" s="406"/>
      <c r="AT22" s="406"/>
      <c r="AU22" s="406"/>
      <c r="AV22" s="406"/>
      <c r="AW22" s="406"/>
      <c r="AX22" s="406"/>
      <c r="AY22" s="406"/>
      <c r="AZ22" s="406"/>
      <c r="BA22" s="406"/>
      <c r="BB22" s="406"/>
      <c r="BC22" s="406"/>
      <c r="BD22" s="406"/>
      <c r="BE22" s="406"/>
      <c r="BF22" s="406"/>
      <c r="BG22" s="406"/>
      <c r="BH22" s="406"/>
      <c r="BI22" s="406"/>
      <c r="BJ22" s="406"/>
      <c r="BK22" s="407"/>
      <c r="BL22" s="407"/>
      <c r="BM22" s="407"/>
      <c r="BN22" s="407"/>
      <c r="BO22" s="407"/>
      <c r="BP22" s="407"/>
      <c r="BQ22" s="407"/>
      <c r="BR22" s="407"/>
      <c r="BS22" s="407"/>
      <c r="BT22" s="407"/>
      <c r="BU22" s="407"/>
      <c r="BV22" s="407"/>
      <c r="BW22" s="407"/>
      <c r="BX22" s="407"/>
      <c r="BY22" s="407"/>
      <c r="BZ22" s="407"/>
      <c r="CA22" s="407"/>
      <c r="CB22" s="407"/>
      <c r="CC22" s="407"/>
      <c r="CD22" s="407"/>
      <c r="CE22" s="407"/>
      <c r="CF22" s="407"/>
    </row>
    <row r="23" spans="1:84">
      <c r="A23" s="406"/>
      <c r="B23" s="410"/>
      <c r="C23" s="408"/>
      <c r="D23" s="408"/>
      <c r="E23" s="408"/>
      <c r="F23" s="413" t="s">
        <v>975</v>
      </c>
      <c r="G23" s="408"/>
      <c r="H23" s="414">
        <f>SUM(H18:H21)</f>
        <v>2.4378920235894254E-2</v>
      </c>
      <c r="I23" s="414"/>
      <c r="J23" s="410"/>
      <c r="K23" s="435"/>
      <c r="L23" s="408"/>
      <c r="M23" s="408"/>
      <c r="N23" s="411"/>
      <c r="O23" s="408"/>
      <c r="P23" s="411"/>
      <c r="Q23" s="408"/>
      <c r="R23" s="408"/>
      <c r="S23" s="408"/>
      <c r="T23" s="408"/>
      <c r="U23" s="408"/>
      <c r="V23" s="416">
        <f>100*(+AD17/$E$9)</f>
        <v>295.27394413862589</v>
      </c>
      <c r="W23" s="426">
        <f>EXP(5.7226-(0.68367*LN(+V23)))</f>
        <v>6.258565341809101</v>
      </c>
      <c r="X23" s="417">
        <f>(+W23*V23)/100</f>
        <v>18.479912731252806</v>
      </c>
      <c r="Y23" s="416">
        <f>100*((((X23/100)-((X23/100)-0.03574)*$E$21)-0.03574-0.00619)/0.344)</f>
        <v>26.799134891357131</v>
      </c>
      <c r="Z23" s="408">
        <f>$E$20</f>
        <v>0.25</v>
      </c>
      <c r="AA23" s="416">
        <f>Y23+Z23</f>
        <v>27.049134891357131</v>
      </c>
      <c r="AB23" s="416">
        <f>100*($E$17*$E$19+($E$18*(AA23/100))/(1-$E$21))</f>
        <v>21.263733901357082</v>
      </c>
      <c r="AC23" s="417">
        <f>AB23/V23</f>
        <v>7.2013580349555448E-2</v>
      </c>
      <c r="AD23" s="415">
        <f>$E$8/(1-AC23)</f>
        <v>2707850.1981459544</v>
      </c>
      <c r="AE23" s="408" t="str">
        <f>IF(AD23=AD17,"yes","not yet")</f>
        <v>not yet</v>
      </c>
      <c r="AF23" s="416">
        <f>100*(1-AC23)</f>
        <v>92.798641965044453</v>
      </c>
      <c r="AG23" s="408"/>
      <c r="AH23" s="408"/>
      <c r="AI23" s="408">
        <v>4</v>
      </c>
      <c r="AJ23" s="416">
        <f>AF8</f>
        <v>93.666052152243992</v>
      </c>
      <c r="AK23" s="416">
        <f>AF14</f>
        <v>93.021049847747122</v>
      </c>
      <c r="AL23" s="416">
        <f>AF20</f>
        <v>93.050543131854127</v>
      </c>
      <c r="AM23" s="416">
        <f>AF26</f>
        <v>93.049192603352708</v>
      </c>
      <c r="AN23" s="416">
        <f>AF32</f>
        <v>93.049254441435963</v>
      </c>
      <c r="AO23" s="416">
        <f>AF38</f>
        <v>93.049251609981482</v>
      </c>
      <c r="AP23" s="416">
        <f>AF44</f>
        <v>93.049251514929196</v>
      </c>
      <c r="AQ23" s="416">
        <f>AF50</f>
        <v>93.049251514929196</v>
      </c>
      <c r="AR23" s="416">
        <f>AF56</f>
        <v>93.049251514929196</v>
      </c>
      <c r="AS23" s="406"/>
      <c r="AT23" s="406"/>
      <c r="AU23" s="406"/>
      <c r="AV23" s="406"/>
      <c r="AW23" s="406"/>
      <c r="AX23" s="406"/>
      <c r="AY23" s="406"/>
      <c r="AZ23" s="406"/>
      <c r="BA23" s="406"/>
      <c r="BB23" s="406"/>
      <c r="BC23" s="406"/>
      <c r="BD23" s="406"/>
      <c r="BE23" s="406"/>
      <c r="BF23" s="406"/>
      <c r="BG23" s="406"/>
      <c r="BH23" s="406"/>
      <c r="BI23" s="406"/>
      <c r="BJ23" s="406"/>
      <c r="BK23" s="407"/>
      <c r="BL23" s="407"/>
      <c r="BM23" s="407"/>
      <c r="BN23" s="407"/>
      <c r="BO23" s="407"/>
      <c r="BP23" s="407"/>
      <c r="BQ23" s="407"/>
      <c r="BR23" s="407"/>
      <c r="BS23" s="407"/>
      <c r="BT23" s="407"/>
      <c r="BU23" s="407"/>
      <c r="BV23" s="407"/>
      <c r="BW23" s="407"/>
      <c r="BX23" s="407"/>
      <c r="BY23" s="407"/>
      <c r="BZ23" s="407"/>
      <c r="CA23" s="407"/>
      <c r="CB23" s="407"/>
      <c r="CC23" s="407"/>
      <c r="CD23" s="407"/>
      <c r="CE23" s="407"/>
      <c r="CF23" s="407"/>
    </row>
    <row r="24" spans="1:84">
      <c r="A24" s="406"/>
      <c r="B24" s="410"/>
      <c r="C24" s="408"/>
      <c r="D24" s="408"/>
      <c r="E24" s="408"/>
      <c r="F24" s="408"/>
      <c r="G24" s="408"/>
      <c r="H24" s="408"/>
      <c r="I24" s="408"/>
      <c r="J24" s="410"/>
      <c r="K24" s="408"/>
      <c r="L24" s="408"/>
      <c r="M24" s="408"/>
      <c r="N24" s="408"/>
      <c r="O24" s="408"/>
      <c r="P24" s="408"/>
      <c r="Q24" s="408"/>
      <c r="R24" s="408"/>
      <c r="S24" s="408"/>
      <c r="T24" s="408"/>
      <c r="U24" s="408"/>
      <c r="V24" s="416">
        <f>100*(+AD18/$E$9)</f>
        <v>294.89622778529684</v>
      </c>
      <c r="W24" s="426">
        <f>EXP(5.70827-(0.68367*LN(+V24)))</f>
        <v>6.1749210387565086</v>
      </c>
      <c r="X24" s="417">
        <f>(+W24*V24)/100</f>
        <v>18.209609212013611</v>
      </c>
      <c r="Y24" s="416">
        <f>100*((((X24/100)-((X24/100)-0.03574)*$E$21)-0.03574-0.00619)/0.344)</f>
        <v>26.280529302119138</v>
      </c>
      <c r="Z24" s="408">
        <f>$E$20</f>
        <v>0.25</v>
      </c>
      <c r="AA24" s="416">
        <f>Y24+Z24</f>
        <v>26.530529302119138</v>
      </c>
      <c r="AB24" s="416">
        <f>100*($E$17*$E$19+($E$18*(AA24/100))/(1-$E$21))</f>
        <v>20.885790924973726</v>
      </c>
      <c r="AC24" s="417">
        <f>AB24/V24</f>
        <v>7.0824205117265546E-2</v>
      </c>
      <c r="AD24" s="415">
        <f>$E$8/(1-AC24)</f>
        <v>2704384.0618387419</v>
      </c>
      <c r="AE24" s="408" t="str">
        <f>IF(AD24=AD18,"yes","not yet")</f>
        <v>not yet</v>
      </c>
      <c r="AF24" s="416">
        <f>100*(1-AC24)</f>
        <v>92.917579488273446</v>
      </c>
      <c r="AG24" s="408"/>
      <c r="AH24" s="408"/>
      <c r="AI24" s="408"/>
      <c r="AJ24" s="408"/>
      <c r="AK24" s="408"/>
      <c r="AL24" s="408"/>
      <c r="AM24" s="408"/>
      <c r="AN24" s="408"/>
      <c r="AO24" s="408"/>
      <c r="AP24" s="408"/>
      <c r="AQ24" s="408"/>
      <c r="AR24" s="408"/>
      <c r="AS24" s="406"/>
      <c r="AT24" s="406"/>
      <c r="AU24" s="406"/>
      <c r="AV24" s="406"/>
      <c r="AW24" s="406"/>
      <c r="AX24" s="406"/>
      <c r="AY24" s="406"/>
      <c r="AZ24" s="406"/>
      <c r="BA24" s="406"/>
      <c r="BB24" s="406"/>
      <c r="BC24" s="406"/>
      <c r="BD24" s="406"/>
      <c r="BE24" s="406"/>
      <c r="BF24" s="406"/>
      <c r="BG24" s="406"/>
      <c r="BH24" s="406"/>
      <c r="BI24" s="406"/>
      <c r="BJ24" s="406"/>
      <c r="BK24" s="407"/>
      <c r="BL24" s="407"/>
      <c r="BM24" s="407"/>
      <c r="BN24" s="407"/>
      <c r="BO24" s="407"/>
      <c r="BP24" s="407"/>
      <c r="BQ24" s="407"/>
      <c r="BR24" s="407"/>
      <c r="BS24" s="407"/>
      <c r="BT24" s="407"/>
      <c r="BU24" s="407"/>
      <c r="BV24" s="407"/>
      <c r="BW24" s="407"/>
      <c r="BX24" s="407"/>
      <c r="BY24" s="407"/>
      <c r="BZ24" s="407"/>
      <c r="CA24" s="407"/>
      <c r="CB24" s="407"/>
      <c r="CC24" s="407"/>
      <c r="CD24" s="407"/>
      <c r="CE24" s="407"/>
      <c r="CF24" s="407"/>
    </row>
    <row r="25" spans="1:84">
      <c r="A25" s="406"/>
      <c r="B25" s="410"/>
      <c r="C25" s="408"/>
      <c r="D25" s="408"/>
      <c r="E25" s="408"/>
      <c r="F25" s="413" t="s">
        <v>976</v>
      </c>
      <c r="G25" s="408"/>
      <c r="H25" s="417">
        <f>((+H15/100)-H23)</f>
        <v>0.90559985897527839</v>
      </c>
      <c r="I25" s="417"/>
      <c r="J25" s="410"/>
      <c r="K25" s="408"/>
      <c r="L25" s="411"/>
      <c r="M25" s="408"/>
      <c r="N25" s="408"/>
      <c r="O25" s="408"/>
      <c r="P25" s="408"/>
      <c r="Q25" s="408"/>
      <c r="R25" s="408"/>
      <c r="S25" s="408"/>
      <c r="T25" s="408"/>
      <c r="U25" s="408"/>
      <c r="V25" s="416">
        <f>100*(+AD19/$E$9)</f>
        <v>294.64195499785279</v>
      </c>
      <c r="W25" s="426">
        <f>EXP(5.6985-(0.68367*LN(V25)))</f>
        <v>6.1184930986213137</v>
      </c>
      <c r="X25" s="417">
        <f>(+W25*V25)/100</f>
        <v>18.02764768218654</v>
      </c>
      <c r="Y25" s="416">
        <f>100*((((X25/100)-((X25/100)-0.03574)*$E$21)-0.03574-0.00619)/0.344)</f>
        <v>25.931417064660224</v>
      </c>
      <c r="Z25" s="408">
        <f>$E$20</f>
        <v>0.25</v>
      </c>
      <c r="AA25" s="416">
        <f>Y25+Z25</f>
        <v>26.181417064660224</v>
      </c>
      <c r="AB25" s="416">
        <f>100*($E$17*$E$19+($E$18*(AA25/100))/(1-$E$21))</f>
        <v>20.631369220203929</v>
      </c>
      <c r="AC25" s="417">
        <f>AB25/V25</f>
        <v>7.0021831141984792E-2</v>
      </c>
      <c r="AD25" s="415">
        <f>$E$8/(1-AC25)</f>
        <v>2702050.7518073376</v>
      </c>
      <c r="AE25" s="408" t="str">
        <f>IF(AD25=AD19,"yes","not yet")</f>
        <v>not yet</v>
      </c>
      <c r="AF25" s="416">
        <f>100*(1-AC25)</f>
        <v>92.997816885801527</v>
      </c>
      <c r="AG25" s="408"/>
      <c r="AH25" s="408"/>
      <c r="AI25" s="408"/>
      <c r="AJ25" s="408" t="s">
        <v>977</v>
      </c>
      <c r="AK25" s="408"/>
      <c r="AL25" s="408"/>
      <c r="AM25" s="408"/>
      <c r="AN25" s="408"/>
      <c r="AO25" s="408"/>
      <c r="AP25" s="408"/>
      <c r="AQ25" s="408"/>
      <c r="AR25" s="408"/>
      <c r="AS25" s="406"/>
      <c r="AT25" s="406"/>
      <c r="AU25" s="406"/>
      <c r="AV25" s="406"/>
      <c r="AW25" s="406"/>
      <c r="AX25" s="406"/>
      <c r="AY25" s="406"/>
      <c r="AZ25" s="406"/>
      <c r="BA25" s="406"/>
      <c r="BB25" s="406"/>
      <c r="BC25" s="406"/>
      <c r="BD25" s="406"/>
      <c r="BE25" s="406"/>
      <c r="BF25" s="406"/>
      <c r="BG25" s="406"/>
      <c r="BH25" s="406"/>
      <c r="BI25" s="406"/>
      <c r="BJ25" s="406"/>
      <c r="BK25" s="407"/>
      <c r="BL25" s="407"/>
      <c r="BM25" s="407"/>
      <c r="BN25" s="407"/>
      <c r="BO25" s="407"/>
      <c r="BP25" s="407"/>
      <c r="BQ25" s="407"/>
      <c r="BR25" s="407"/>
      <c r="BS25" s="407"/>
      <c r="BT25" s="407"/>
      <c r="BU25" s="407"/>
      <c r="BV25" s="407"/>
      <c r="BW25" s="407"/>
      <c r="BX25" s="407"/>
      <c r="BY25" s="407"/>
      <c r="BZ25" s="407"/>
      <c r="CA25" s="407"/>
      <c r="CB25" s="407"/>
      <c r="CC25" s="407"/>
      <c r="CD25" s="407"/>
      <c r="CE25" s="407"/>
      <c r="CF25" s="407"/>
    </row>
    <row r="26" spans="1:84">
      <c r="A26" s="406"/>
      <c r="B26" s="410"/>
      <c r="C26" s="408"/>
      <c r="D26" s="408"/>
      <c r="E26" s="408"/>
      <c r="F26" s="408"/>
      <c r="G26" s="408"/>
      <c r="H26" s="408"/>
      <c r="I26" s="408"/>
      <c r="J26" s="410"/>
      <c r="K26" s="408"/>
      <c r="L26" s="408"/>
      <c r="M26" s="408"/>
      <c r="N26" s="408"/>
      <c r="O26" s="408"/>
      <c r="P26" s="408"/>
      <c r="Q26" s="408"/>
      <c r="R26" s="408"/>
      <c r="S26" s="408"/>
      <c r="T26" s="408"/>
      <c r="U26" s="408"/>
      <c r="V26" s="416">
        <f>100*(+AD20/$E$9)</f>
        <v>294.47937353232561</v>
      </c>
      <c r="W26" s="426">
        <f>EXP(5.6922-(0.68367*LN(V26)))</f>
        <v>6.0823624973931647</v>
      </c>
      <c r="X26" s="417">
        <f>(+W26*V26)/100</f>
        <v>17.911302978288507</v>
      </c>
      <c r="Y26" s="416">
        <f>100*((((X26/100)-((X26/100)-0.03574)*$E$21)-0.03574-0.00619)/0.344)</f>
        <v>25.708197574623306</v>
      </c>
      <c r="Z26" s="408">
        <f>$E$20</f>
        <v>0.25</v>
      </c>
      <c r="AA26" s="416">
        <f>Y26+Z26</f>
        <v>25.958197574623306</v>
      </c>
      <c r="AB26" s="416">
        <f>100*($E$17*$E$19+($E$18*(AA26/100))/(1-$E$21))</f>
        <v>20.468694077085459</v>
      </c>
      <c r="AC26" s="417">
        <f>AB26/V26</f>
        <v>6.9508073966472794E-2</v>
      </c>
      <c r="AD26" s="415">
        <f>$E$8/(1-AC26)</f>
        <v>2700558.8549692254</v>
      </c>
      <c r="AE26" s="408" t="str">
        <f>IF(AD26=AD20,"yes","not yet")</f>
        <v>not yet</v>
      </c>
      <c r="AF26" s="416">
        <f>100*(1-AC26)</f>
        <v>93.049192603352708</v>
      </c>
      <c r="AG26" s="408"/>
      <c r="AH26" s="408"/>
      <c r="AI26" s="408"/>
      <c r="AJ26" s="416">
        <f>HLOOKUP($AJ$25,$AJ$19:$AR$23,($E$12)+1)</f>
        <v>92.997877921117265</v>
      </c>
      <c r="AK26" s="408"/>
      <c r="AL26" s="408"/>
      <c r="AM26" s="408"/>
      <c r="AN26" s="408"/>
      <c r="AO26" s="408"/>
      <c r="AP26" s="408"/>
      <c r="AQ26" s="408"/>
      <c r="AR26" s="408"/>
      <c r="AS26" s="406"/>
      <c r="AT26" s="406"/>
      <c r="AU26" s="406"/>
      <c r="AV26" s="406"/>
      <c r="AW26" s="406"/>
      <c r="AX26" s="406"/>
      <c r="AY26" s="406"/>
      <c r="AZ26" s="406"/>
      <c r="BA26" s="406"/>
      <c r="BB26" s="406"/>
      <c r="BC26" s="406"/>
      <c r="BD26" s="406"/>
      <c r="BE26" s="406"/>
      <c r="BF26" s="406"/>
      <c r="BG26" s="406"/>
      <c r="BH26" s="406"/>
      <c r="BI26" s="406"/>
      <c r="BJ26" s="406"/>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row>
    <row r="27" spans="1:84" ht="15.75">
      <c r="A27" s="406"/>
      <c r="B27" s="410"/>
      <c r="C27" s="408"/>
      <c r="D27" s="408"/>
      <c r="E27" s="436"/>
      <c r="F27" s="437"/>
      <c r="G27" s="437"/>
      <c r="H27" s="408"/>
      <c r="I27" s="408"/>
      <c r="J27" s="410"/>
      <c r="K27" s="408"/>
      <c r="L27" s="408"/>
      <c r="M27" s="408"/>
      <c r="N27" s="408"/>
      <c r="O27" s="408"/>
      <c r="P27" s="408"/>
      <c r="Q27" s="408"/>
      <c r="R27" s="408"/>
      <c r="S27" s="408"/>
      <c r="T27" s="408"/>
      <c r="U27" s="408"/>
      <c r="V27" s="408"/>
      <c r="W27" s="408"/>
      <c r="X27" s="408"/>
      <c r="Y27" s="408"/>
      <c r="Z27" s="408"/>
      <c r="AA27" s="416"/>
      <c r="AB27" s="408"/>
      <c r="AC27" s="408"/>
      <c r="AD27" s="408"/>
      <c r="AE27" s="408"/>
      <c r="AF27" s="408"/>
      <c r="AG27" s="408"/>
      <c r="AH27" s="408"/>
      <c r="AI27" s="408"/>
      <c r="AJ27" s="408"/>
      <c r="AK27" s="408"/>
      <c r="AL27" s="408"/>
      <c r="AM27" s="408"/>
      <c r="AN27" s="408"/>
      <c r="AO27" s="408"/>
      <c r="AP27" s="408"/>
      <c r="AQ27" s="408"/>
      <c r="AR27" s="408"/>
      <c r="AS27" s="406"/>
      <c r="AT27" s="406"/>
      <c r="AU27" s="406"/>
      <c r="AV27" s="406"/>
      <c r="AW27" s="406"/>
      <c r="AX27" s="406"/>
      <c r="AY27" s="406"/>
      <c r="AZ27" s="406"/>
      <c r="BA27" s="406"/>
      <c r="BB27" s="406"/>
      <c r="BC27" s="406"/>
      <c r="BD27" s="406"/>
      <c r="BE27" s="406"/>
      <c r="BF27" s="406"/>
      <c r="BG27" s="406"/>
      <c r="BH27" s="406"/>
      <c r="BI27" s="406"/>
      <c r="BJ27" s="406"/>
      <c r="BK27" s="407"/>
      <c r="BL27" s="407"/>
      <c r="BM27" s="407"/>
      <c r="BN27" s="407"/>
      <c r="BO27" s="407"/>
      <c r="BP27" s="407"/>
      <c r="BQ27" s="407"/>
      <c r="BR27" s="407"/>
      <c r="BS27" s="407"/>
      <c r="BT27" s="407"/>
      <c r="BU27" s="407"/>
      <c r="BV27" s="407"/>
      <c r="BW27" s="407"/>
      <c r="BX27" s="407"/>
      <c r="BY27" s="407"/>
      <c r="BZ27" s="407"/>
      <c r="CA27" s="407"/>
      <c r="CB27" s="407"/>
      <c r="CC27" s="407"/>
      <c r="CD27" s="407"/>
      <c r="CE27" s="407"/>
      <c r="CF27" s="407"/>
    </row>
    <row r="28" spans="1:84" ht="15.75" thickBot="1">
      <c r="A28" s="406"/>
      <c r="B28" s="410"/>
      <c r="C28" s="438"/>
      <c r="D28" s="439"/>
      <c r="E28" s="422"/>
      <c r="F28" s="440"/>
      <c r="G28" s="441"/>
      <c r="H28" s="438"/>
      <c r="I28" s="438"/>
      <c r="J28" s="408"/>
      <c r="K28" s="408"/>
      <c r="L28" s="408"/>
      <c r="M28" s="408"/>
      <c r="N28" s="408"/>
      <c r="O28" s="408"/>
      <c r="P28" s="408"/>
      <c r="Q28" s="408"/>
      <c r="R28" s="408"/>
      <c r="S28" s="408"/>
      <c r="T28" s="408"/>
      <c r="U28" s="408"/>
      <c r="V28" s="413" t="s">
        <v>978</v>
      </c>
      <c r="W28" s="425" t="s">
        <v>718</v>
      </c>
      <c r="X28" s="425" t="s">
        <v>930</v>
      </c>
      <c r="Y28" s="425" t="s">
        <v>931</v>
      </c>
      <c r="Z28" s="408"/>
      <c r="AA28" s="416"/>
      <c r="AB28" s="408"/>
      <c r="AC28" s="408"/>
      <c r="AD28" s="408"/>
      <c r="AE28" s="408"/>
      <c r="AF28" s="408"/>
      <c r="AG28" s="408"/>
      <c r="AH28" s="408"/>
      <c r="AI28" s="408"/>
      <c r="AJ28" s="408" t="str">
        <f>HLOOKUP(1,$AJ$13:$AR$17,($E$12)+1)</f>
        <v>not yet</v>
      </c>
      <c r="AK28" s="408" t="str">
        <f>HLOOKUP(2,$AJ$13:$AR$17,($E$12)+1)</f>
        <v>not yet</v>
      </c>
      <c r="AL28" s="408" t="str">
        <f>HLOOKUP(3,$AJ$13:$AR$17,($E$12)+1)</f>
        <v>not yet</v>
      </c>
      <c r="AM28" s="408" t="str">
        <f>HLOOKUP(4,$AJ$13:$AR$17,($E$12)+1)</f>
        <v>not yet</v>
      </c>
      <c r="AN28" s="408" t="str">
        <f>HLOOKUP(5,$AJ$13:$AR$17,($E$12)+1)</f>
        <v>not yet</v>
      </c>
      <c r="AO28" s="408" t="str">
        <f>HLOOKUP(6,$AJ$13:$AR$17,($E$12)+1)</f>
        <v>not yet</v>
      </c>
      <c r="AP28" s="408" t="str">
        <f>HLOOKUP(7,$AJ$13:$AR$17,($E$12)+1)</f>
        <v>yes</v>
      </c>
      <c r="AQ28" s="408" t="str">
        <f>HLOOKUP(8,$AJ$13:$AR$17,($E$12)+1)</f>
        <v>yes</v>
      </c>
      <c r="AR28" s="408" t="str">
        <f>HLOOKUP(9,$AJ$13:$AR$17,($E$12)+1)</f>
        <v>yes</v>
      </c>
      <c r="AS28" s="406"/>
      <c r="AT28" s="406"/>
      <c r="AU28" s="406"/>
      <c r="AV28" s="406"/>
      <c r="AW28" s="406"/>
      <c r="AX28" s="406"/>
      <c r="AY28" s="406"/>
      <c r="AZ28" s="406"/>
      <c r="BA28" s="406"/>
      <c r="BB28" s="406"/>
      <c r="BC28" s="406"/>
      <c r="BD28" s="406"/>
      <c r="BE28" s="406"/>
      <c r="BF28" s="406"/>
      <c r="BG28" s="406"/>
      <c r="BH28" s="406"/>
      <c r="BI28" s="406"/>
      <c r="BJ28" s="406"/>
      <c r="BK28" s="407"/>
      <c r="BL28" s="407"/>
      <c r="BM28" s="407"/>
      <c r="BN28" s="407"/>
      <c r="BO28" s="407"/>
      <c r="BP28" s="407"/>
      <c r="BQ28" s="407"/>
      <c r="BR28" s="407"/>
      <c r="BS28" s="407"/>
      <c r="BT28" s="407"/>
      <c r="BU28" s="407"/>
      <c r="BV28" s="407"/>
      <c r="BW28" s="407"/>
      <c r="BX28" s="407"/>
      <c r="BY28" s="407"/>
      <c r="BZ28" s="407"/>
      <c r="CA28" s="407"/>
      <c r="CB28" s="407"/>
      <c r="CC28" s="407"/>
      <c r="CD28" s="407"/>
      <c r="CE28" s="407"/>
      <c r="CF28" s="407"/>
    </row>
    <row r="29" spans="1:84">
      <c r="A29" s="406"/>
      <c r="B29" s="408"/>
      <c r="C29" s="442" t="s">
        <v>979</v>
      </c>
      <c r="D29" s="443"/>
      <c r="E29" s="444">
        <f>E5</f>
        <v>2705833.1427515047</v>
      </c>
      <c r="F29" s="445"/>
      <c r="G29" s="446"/>
      <c r="H29" s="408"/>
      <c r="I29" s="412"/>
      <c r="J29" s="408"/>
      <c r="K29" s="408"/>
      <c r="L29" s="408"/>
      <c r="M29" s="408"/>
      <c r="N29" s="408"/>
      <c r="O29" s="408"/>
      <c r="P29" s="408"/>
      <c r="Q29" s="408"/>
      <c r="R29" s="408"/>
      <c r="S29" s="408"/>
      <c r="T29" s="408"/>
      <c r="U29" s="408"/>
      <c r="V29" s="416">
        <f>100*(+AD23/$E$9)</f>
        <v>295.27873542193294</v>
      </c>
      <c r="W29" s="426">
        <f>EXP(5.7226-(0.68367*LN(+V29)))</f>
        <v>6.2584959126176614</v>
      </c>
      <c r="X29" s="417">
        <f>(+W29*V29)/100</f>
        <v>18.480007587210793</v>
      </c>
      <c r="Y29" s="416">
        <f>100*((((X29/100)-((X29/100)-0.03574)*$E$21)-0.03574-0.00619)/0.344)</f>
        <v>26.799316882439317</v>
      </c>
      <c r="Z29" s="408">
        <f>$E$20</f>
        <v>0.25</v>
      </c>
      <c r="AA29" s="416">
        <f>Y29+Z29</f>
        <v>27.049316882439317</v>
      </c>
      <c r="AB29" s="416">
        <f>100*($E$17*$E$19+($E$18*(AA29/100))/(1-$E$21))</f>
        <v>21.263866530570311</v>
      </c>
      <c r="AC29" s="417">
        <f>AB29/V29</f>
        <v>7.2012861001269579E-2</v>
      </c>
      <c r="AD29" s="415">
        <f>$E$8/(1-AC29)</f>
        <v>2707848.0991002712</v>
      </c>
      <c r="AE29" s="408" t="str">
        <f>IF(AD29=AD23,"yes","not yet")</f>
        <v>not yet</v>
      </c>
      <c r="AF29" s="416">
        <f>100*(1-AC29)</f>
        <v>92.798713899873036</v>
      </c>
      <c r="AG29" s="408"/>
      <c r="AH29" s="408"/>
      <c r="AI29" s="408">
        <v>1</v>
      </c>
      <c r="AJ29" s="416">
        <f>V5</f>
        <v>342.51832060388807</v>
      </c>
      <c r="AK29" s="416">
        <f>V11</f>
        <v>293.28553045945773</v>
      </c>
      <c r="AL29" s="416">
        <f>V17</f>
        <v>295.37426505333968</v>
      </c>
      <c r="AM29" s="416">
        <f>V23</f>
        <v>295.27394413862589</v>
      </c>
      <c r="AN29" s="416">
        <f>V29</f>
        <v>295.27873542193294</v>
      </c>
      <c r="AO29" s="416">
        <f>V35</f>
        <v>295.27850653055799</v>
      </c>
      <c r="AP29" s="416">
        <f>V41</f>
        <v>295.27849572412464</v>
      </c>
      <c r="AQ29" s="416">
        <f>V47</f>
        <v>295.27849572412464</v>
      </c>
      <c r="AR29" s="416">
        <f>V53</f>
        <v>295.27849572412464</v>
      </c>
      <c r="AS29" s="406"/>
      <c r="AT29" s="406"/>
      <c r="AU29" s="406"/>
      <c r="AV29" s="406"/>
      <c r="AW29" s="406"/>
      <c r="AX29" s="406"/>
      <c r="AY29" s="406"/>
      <c r="AZ29" s="406"/>
      <c r="BA29" s="406"/>
      <c r="BB29" s="406"/>
      <c r="BC29" s="406"/>
      <c r="BD29" s="406"/>
      <c r="BE29" s="406"/>
      <c r="BF29" s="406"/>
      <c r="BG29" s="406"/>
      <c r="BH29" s="406"/>
      <c r="BI29" s="406"/>
      <c r="BJ29" s="406"/>
      <c r="BK29" s="407"/>
      <c r="BL29" s="407"/>
      <c r="BM29" s="407"/>
      <c r="BN29" s="407"/>
      <c r="BO29" s="407"/>
      <c r="BP29" s="407"/>
      <c r="BQ29" s="407"/>
      <c r="BR29" s="407"/>
      <c r="BS29" s="407"/>
      <c r="BT29" s="407"/>
      <c r="BU29" s="407"/>
      <c r="BV29" s="407"/>
      <c r="BW29" s="407"/>
      <c r="BX29" s="407"/>
      <c r="BY29" s="407"/>
      <c r="BZ29" s="407"/>
      <c r="CA29" s="407"/>
      <c r="CB29" s="407"/>
      <c r="CC29" s="407"/>
      <c r="CD29" s="407"/>
      <c r="CE29" s="407"/>
      <c r="CF29" s="407"/>
    </row>
    <row r="30" spans="1:84">
      <c r="A30" s="406"/>
      <c r="B30" s="408"/>
      <c r="C30" s="447" t="s">
        <v>980</v>
      </c>
      <c r="D30" s="448"/>
      <c r="E30" s="449">
        <f>'Consolidated IS'!R11</f>
        <v>65549.09</v>
      </c>
      <c r="F30" s="445"/>
      <c r="G30" s="446"/>
      <c r="H30" s="408"/>
      <c r="I30" s="412"/>
      <c r="J30" s="408"/>
      <c r="K30" s="408"/>
      <c r="L30" s="408"/>
      <c r="M30" s="408"/>
      <c r="N30" s="408"/>
      <c r="O30" s="408"/>
      <c r="P30" s="408"/>
      <c r="Q30" s="408"/>
      <c r="R30" s="408"/>
      <c r="S30" s="408"/>
      <c r="T30" s="408"/>
      <c r="U30" s="408"/>
      <c r="V30" s="416">
        <f>100*(+AD24/$E$9)</f>
        <v>294.90076903875024</v>
      </c>
      <c r="W30" s="426">
        <f>EXP(5.70827-(0.68367*LN(+V30)))</f>
        <v>6.1748560289571879</v>
      </c>
      <c r="X30" s="417">
        <f>(+W30*V30)/100</f>
        <v>18.209697916430382</v>
      </c>
      <c r="Y30" s="416">
        <f>100*((((X30/100)-((X30/100)-0.03574)*$E$21)-0.03574-0.00619)/0.344)</f>
        <v>26.280699490825732</v>
      </c>
      <c r="Z30" s="408">
        <f>$E$20</f>
        <v>0.25</v>
      </c>
      <c r="AA30" s="416">
        <f>Y30+Z30</f>
        <v>26.530699490825732</v>
      </c>
      <c r="AB30" s="416">
        <f>100*($E$17*$E$19+($E$18*(AA30/100))/(1-$E$21))</f>
        <v>20.885914952997435</v>
      </c>
      <c r="AC30" s="417">
        <f>AB30/V30</f>
        <v>7.0823535052406072E-2</v>
      </c>
      <c r="AD30" s="415">
        <f>$E$8/(1-AC30)</f>
        <v>2704382.1116034589</v>
      </c>
      <c r="AE30" s="408" t="str">
        <f>IF(AD30=AD24,"yes","not yet")</f>
        <v>not yet</v>
      </c>
      <c r="AF30" s="416">
        <f>100*(1-AC30)</f>
        <v>92.917646494759396</v>
      </c>
      <c r="AG30" s="408"/>
      <c r="AH30" s="408"/>
      <c r="AI30" s="408">
        <v>2</v>
      </c>
      <c r="AJ30" s="416">
        <f>V6</f>
        <v>342.51832060388807</v>
      </c>
      <c r="AK30" s="416">
        <f>V12</f>
        <v>292.93283165817354</v>
      </c>
      <c r="AL30" s="416">
        <f>V18</f>
        <v>294.99322745202755</v>
      </c>
      <c r="AM30" s="416">
        <f>V24</f>
        <v>294.89622778529684</v>
      </c>
      <c r="AN30" s="416">
        <f>V30</f>
        <v>294.90076903875024</v>
      </c>
      <c r="AO30" s="416">
        <f>V36</f>
        <v>294.90055637447193</v>
      </c>
      <c r="AP30" s="416">
        <f>V42</f>
        <v>294.90054420462286</v>
      </c>
      <c r="AQ30" s="416">
        <f>V48</f>
        <v>294.90054420462286</v>
      </c>
      <c r="AR30" s="416">
        <f>V54</f>
        <v>294.90054420462286</v>
      </c>
      <c r="AS30" s="406"/>
      <c r="AT30" s="406"/>
      <c r="AU30" s="406"/>
      <c r="AV30" s="406"/>
      <c r="AW30" s="406"/>
      <c r="AX30" s="406"/>
      <c r="AY30" s="406"/>
      <c r="AZ30" s="406"/>
      <c r="BA30" s="406"/>
      <c r="BB30" s="406"/>
      <c r="BC30" s="406"/>
      <c r="BD30" s="406"/>
      <c r="BE30" s="406"/>
      <c r="BF30" s="406"/>
      <c r="BG30" s="406"/>
      <c r="BH30" s="406"/>
      <c r="BI30" s="406"/>
      <c r="BJ30" s="406"/>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row>
    <row r="31" spans="1:84">
      <c r="A31" s="406"/>
      <c r="B31" s="408"/>
      <c r="C31" s="447"/>
      <c r="D31" s="450"/>
      <c r="E31" s="451">
        <f>SUM(E29:E30)</f>
        <v>2771382.2327515045</v>
      </c>
      <c r="F31" s="452"/>
      <c r="G31" s="453"/>
      <c r="H31" s="454"/>
      <c r="I31" s="453"/>
      <c r="J31" s="408"/>
      <c r="K31" s="408"/>
      <c r="L31" s="408"/>
      <c r="M31" s="408"/>
      <c r="N31" s="408"/>
      <c r="O31" s="408"/>
      <c r="P31" s="408"/>
      <c r="Q31" s="408"/>
      <c r="R31" s="408"/>
      <c r="S31" s="408"/>
      <c r="T31" s="408"/>
      <c r="U31" s="408"/>
      <c r="V31" s="416">
        <f>100*(+AD25/$E$9)</f>
        <v>294.64633220325169</v>
      </c>
      <c r="W31" s="426">
        <f>EXP(5.6985-(0.68367*LN(V31)))</f>
        <v>6.1184309562380728</v>
      </c>
      <c r="X31" s="417">
        <f>(+W31*V31)/100</f>
        <v>18.027732400943822</v>
      </c>
      <c r="Y31" s="416">
        <f>100*((((X31/100)-((X31/100)-0.03574)*$E$21)-0.03574-0.00619)/0.344)</f>
        <v>25.931579606461984</v>
      </c>
      <c r="Z31" s="408">
        <f>$E$20</f>
        <v>0.25</v>
      </c>
      <c r="AA31" s="416">
        <f>Y31+Z31</f>
        <v>26.181579606461984</v>
      </c>
      <c r="AB31" s="416">
        <f>100*($E$17*$E$19+($E$18*(AA31/100))/(1-$E$21))</f>
        <v>20.631487675410774</v>
      </c>
      <c r="AC31" s="417">
        <f>AB31/V31</f>
        <v>7.0021192937093302E-2</v>
      </c>
      <c r="AD31" s="415">
        <f>$E$8/(1-AC31)</f>
        <v>2702048.8975048591</v>
      </c>
      <c r="AE31" s="408" t="str">
        <f>IF(AD31=AD25,"yes","not yet")</f>
        <v>not yet</v>
      </c>
      <c r="AF31" s="416">
        <f>100*(1-AC31)</f>
        <v>92.997880706290672</v>
      </c>
      <c r="AG31" s="408"/>
      <c r="AH31" s="408"/>
      <c r="AI31" s="408">
        <v>3</v>
      </c>
      <c r="AJ31" s="416">
        <f>V7</f>
        <v>342.51832060388807</v>
      </c>
      <c r="AK31" s="416">
        <f>V13</f>
        <v>292.69572548415772</v>
      </c>
      <c r="AL31" s="416">
        <f>V19</f>
        <v>294.73673493838163</v>
      </c>
      <c r="AM31" s="416">
        <f>V25</f>
        <v>294.64195499785279</v>
      </c>
      <c r="AN31" s="416">
        <f>V31</f>
        <v>294.64633220325169</v>
      </c>
      <c r="AO31" s="416">
        <f>V37</f>
        <v>294.64613000000895</v>
      </c>
      <c r="AP31" s="416">
        <f>V43</f>
        <v>294.6461411766374</v>
      </c>
      <c r="AQ31" s="416">
        <f>V49</f>
        <v>294.6461411766374</v>
      </c>
      <c r="AR31" s="416">
        <f>V55</f>
        <v>294.6461411766374</v>
      </c>
      <c r="AS31" s="406"/>
      <c r="AT31" s="406"/>
      <c r="AU31" s="406"/>
      <c r="AV31" s="406"/>
      <c r="AW31" s="406"/>
      <c r="AX31" s="406"/>
      <c r="AY31" s="406"/>
      <c r="AZ31" s="406"/>
      <c r="BA31" s="406"/>
      <c r="BB31" s="406"/>
      <c r="BC31" s="406"/>
      <c r="BD31" s="406"/>
      <c r="BE31" s="406"/>
      <c r="BF31" s="406"/>
      <c r="BG31" s="406"/>
      <c r="BH31" s="406"/>
      <c r="BI31" s="406"/>
      <c r="BJ31" s="406"/>
      <c r="BK31" s="407"/>
      <c r="BL31" s="407"/>
      <c r="BM31" s="407"/>
      <c r="BN31" s="407"/>
      <c r="BO31" s="407"/>
      <c r="BP31" s="407"/>
      <c r="BQ31" s="407"/>
      <c r="BR31" s="407"/>
      <c r="BS31" s="407"/>
      <c r="BT31" s="407"/>
      <c r="BU31" s="407"/>
      <c r="BV31" s="407"/>
      <c r="BW31" s="407"/>
      <c r="BX31" s="407"/>
      <c r="BY31" s="407"/>
      <c r="BZ31" s="407"/>
      <c r="CA31" s="407"/>
      <c r="CB31" s="407"/>
      <c r="CC31" s="407"/>
      <c r="CD31" s="407"/>
      <c r="CE31" s="407"/>
      <c r="CF31" s="407"/>
    </row>
    <row r="32" spans="1:84">
      <c r="A32" s="406"/>
      <c r="B32" s="408"/>
      <c r="C32" s="447"/>
      <c r="D32" s="455"/>
      <c r="E32" s="456"/>
      <c r="F32" s="452"/>
      <c r="G32" s="415"/>
      <c r="H32" s="408"/>
      <c r="I32" s="408"/>
      <c r="J32" s="408"/>
      <c r="K32" s="408"/>
      <c r="L32" s="408"/>
      <c r="M32" s="408"/>
      <c r="N32" s="408"/>
      <c r="O32" s="408"/>
      <c r="P32" s="408"/>
      <c r="Q32" s="408"/>
      <c r="R32" s="408"/>
      <c r="S32" s="408"/>
      <c r="T32" s="408"/>
      <c r="U32" s="408"/>
      <c r="V32" s="416">
        <f>100*(+AD26/$E$9)</f>
        <v>294.4836476455759</v>
      </c>
      <c r="W32" s="426">
        <f>EXP(5.6922-(0.68367*LN(V32)))</f>
        <v>6.0823021435873361</v>
      </c>
      <c r="X32" s="417">
        <f>(+W32*V32)/100</f>
        <v>17.911385213261042</v>
      </c>
      <c r="Y32" s="416">
        <f>100*((((X32/100)-((X32/100)-0.03574)*$E$21)-0.03574-0.00619)/0.344)</f>
        <v>25.708355351024085</v>
      </c>
      <c r="Z32" s="408">
        <f>$E$20</f>
        <v>0.25</v>
      </c>
      <c r="AA32" s="416">
        <f>Y32+Z32</f>
        <v>25.958355351024085</v>
      </c>
      <c r="AB32" s="416">
        <f>100*($E$17*$E$19+($E$18*(AA32/100))/(1-$E$21))</f>
        <v>20.468809059422234</v>
      </c>
      <c r="AC32" s="417">
        <f>AB32/V32</f>
        <v>6.9507455585640365E-2</v>
      </c>
      <c r="AD32" s="415">
        <f>$E$8/(1-AC32)</f>
        <v>2700557.0602489528</v>
      </c>
      <c r="AE32" s="408" t="str">
        <f>IF(AD32=AD26,"yes","not yet")</f>
        <v>not yet</v>
      </c>
      <c r="AF32" s="416">
        <f>100*(1-AC32)</f>
        <v>93.049254441435963</v>
      </c>
      <c r="AG32" s="408"/>
      <c r="AH32" s="408"/>
      <c r="AI32" s="408">
        <v>4</v>
      </c>
      <c r="AJ32" s="416">
        <f>V8</f>
        <v>342.51832060388807</v>
      </c>
      <c r="AK32" s="416">
        <f>V14</f>
        <v>292.54425716344849</v>
      </c>
      <c r="AL32" s="416">
        <f>V20</f>
        <v>294.57274125760347</v>
      </c>
      <c r="AM32" s="416">
        <f>V26</f>
        <v>294.47937353232561</v>
      </c>
      <c r="AN32" s="416">
        <f>V32</f>
        <v>294.4836476455759</v>
      </c>
      <c r="AO32" s="416">
        <f>V38</f>
        <v>294.48345193950138</v>
      </c>
      <c r="AP32" s="416">
        <f>V44</f>
        <v>294.48344536962742</v>
      </c>
      <c r="AQ32" s="416">
        <f>V50</f>
        <v>294.48344536962742</v>
      </c>
      <c r="AR32" s="416">
        <f>V56</f>
        <v>294.48344536962742</v>
      </c>
      <c r="AS32" s="406"/>
      <c r="AT32" s="406"/>
      <c r="AU32" s="406"/>
      <c r="AV32" s="406"/>
      <c r="AW32" s="406"/>
      <c r="AX32" s="406"/>
      <c r="AY32" s="406"/>
      <c r="AZ32" s="406"/>
      <c r="BA32" s="406"/>
      <c r="BB32" s="406"/>
      <c r="BC32" s="406"/>
      <c r="BD32" s="406"/>
      <c r="BE32" s="406"/>
      <c r="BF32" s="406"/>
      <c r="BG32" s="406"/>
      <c r="BH32" s="406"/>
      <c r="BI32" s="406"/>
      <c r="BJ32" s="406"/>
      <c r="BK32" s="407"/>
      <c r="BL32" s="407"/>
      <c r="BM32" s="407"/>
      <c r="BN32" s="407"/>
      <c r="BO32" s="407"/>
      <c r="BP32" s="407"/>
      <c r="BQ32" s="407"/>
      <c r="BR32" s="407"/>
      <c r="BS32" s="407"/>
      <c r="BT32" s="407"/>
      <c r="BU32" s="407"/>
      <c r="BV32" s="407"/>
      <c r="BW32" s="407"/>
      <c r="BX32" s="407"/>
      <c r="BY32" s="407"/>
      <c r="BZ32" s="407"/>
      <c r="CA32" s="407"/>
      <c r="CB32" s="407"/>
      <c r="CC32" s="407"/>
      <c r="CD32" s="407"/>
      <c r="CE32" s="407"/>
      <c r="CF32" s="407"/>
    </row>
    <row r="33" spans="1:84">
      <c r="A33" s="406"/>
      <c r="B33" s="408"/>
      <c r="C33" s="447" t="s">
        <v>64</v>
      </c>
      <c r="D33" s="450"/>
      <c r="E33" s="457">
        <f>E7</f>
        <v>2561479.2302766633</v>
      </c>
      <c r="F33" s="452"/>
      <c r="G33" s="414"/>
      <c r="H33" s="408"/>
      <c r="I33" s="414"/>
      <c r="J33" s="408"/>
      <c r="K33" s="408"/>
      <c r="L33" s="408"/>
      <c r="M33" s="408"/>
      <c r="N33" s="408"/>
      <c r="O33" s="408"/>
      <c r="P33" s="408"/>
      <c r="Q33" s="408"/>
      <c r="R33" s="408"/>
      <c r="S33" s="408"/>
      <c r="T33" s="408"/>
      <c r="U33" s="408"/>
      <c r="V33" s="408"/>
      <c r="W33" s="408"/>
      <c r="X33" s="408"/>
      <c r="Y33" s="408"/>
      <c r="Z33" s="408"/>
      <c r="AA33" s="416"/>
      <c r="AB33" s="408"/>
      <c r="AC33" s="408"/>
      <c r="AD33" s="408"/>
      <c r="AE33" s="408"/>
      <c r="AF33" s="408"/>
      <c r="AG33" s="408"/>
      <c r="AH33" s="408"/>
      <c r="AI33" s="408"/>
      <c r="AJ33" s="408"/>
      <c r="AK33" s="408"/>
      <c r="AL33" s="408"/>
      <c r="AM33" s="408"/>
      <c r="AN33" s="408"/>
      <c r="AO33" s="408"/>
      <c r="AP33" s="408"/>
      <c r="AQ33" s="408"/>
      <c r="AR33" s="408"/>
      <c r="AS33" s="406"/>
      <c r="AT33" s="406"/>
      <c r="AU33" s="406"/>
      <c r="AV33" s="406"/>
      <c r="AW33" s="406"/>
      <c r="AX33" s="406"/>
      <c r="AY33" s="406"/>
      <c r="AZ33" s="406"/>
      <c r="BA33" s="406"/>
      <c r="BB33" s="406"/>
      <c r="BC33" s="406"/>
      <c r="BD33" s="406"/>
      <c r="BE33" s="406"/>
      <c r="BF33" s="406"/>
      <c r="BG33" s="406"/>
      <c r="BH33" s="406"/>
      <c r="BI33" s="406"/>
      <c r="BJ33" s="406"/>
      <c r="BK33" s="407"/>
      <c r="BL33" s="407"/>
      <c r="BM33" s="407"/>
      <c r="BN33" s="407"/>
      <c r="BO33" s="407"/>
      <c r="BP33" s="407"/>
      <c r="BQ33" s="407"/>
      <c r="BR33" s="407"/>
      <c r="BS33" s="407"/>
      <c r="BT33" s="407"/>
      <c r="BU33" s="407"/>
      <c r="BV33" s="407"/>
      <c r="BW33" s="407"/>
      <c r="BX33" s="407"/>
      <c r="BY33" s="407"/>
      <c r="BZ33" s="407"/>
      <c r="CA33" s="407"/>
      <c r="CB33" s="407"/>
      <c r="CC33" s="407"/>
      <c r="CD33" s="407"/>
      <c r="CE33" s="407"/>
      <c r="CF33" s="407"/>
    </row>
    <row r="34" spans="1:84">
      <c r="A34" s="406"/>
      <c r="B34" s="408"/>
      <c r="C34" s="447" t="s">
        <v>980</v>
      </c>
      <c r="D34" s="450"/>
      <c r="E34" s="449">
        <f>-E30</f>
        <v>-65549.09</v>
      </c>
      <c r="F34" s="452"/>
      <c r="G34" s="408"/>
      <c r="H34" s="408"/>
      <c r="I34" s="408"/>
      <c r="J34" s="408"/>
      <c r="K34" s="408"/>
      <c r="L34" s="408"/>
      <c r="M34" s="408"/>
      <c r="N34" s="408"/>
      <c r="O34" s="408"/>
      <c r="P34" s="408"/>
      <c r="Q34" s="408"/>
      <c r="R34" s="408"/>
      <c r="S34" s="408"/>
      <c r="T34" s="408"/>
      <c r="U34" s="408"/>
      <c r="V34" s="413" t="s">
        <v>981</v>
      </c>
      <c r="W34" s="425" t="s">
        <v>718</v>
      </c>
      <c r="X34" s="425" t="s">
        <v>930</v>
      </c>
      <c r="Y34" s="425" t="s">
        <v>931</v>
      </c>
      <c r="Z34" s="408"/>
      <c r="AA34" s="416"/>
      <c r="AB34" s="408"/>
      <c r="AC34" s="408"/>
      <c r="AD34" s="408"/>
      <c r="AE34" s="408"/>
      <c r="AF34" s="408"/>
      <c r="AG34" s="408"/>
      <c r="AH34" s="408"/>
      <c r="AI34" s="408"/>
      <c r="AJ34" s="408" t="s">
        <v>977</v>
      </c>
      <c r="AK34" s="408"/>
      <c r="AL34" s="408"/>
      <c r="AM34" s="408"/>
      <c r="AN34" s="408"/>
      <c r="AO34" s="408"/>
      <c r="AP34" s="408"/>
      <c r="AQ34" s="408"/>
      <c r="AR34" s="408"/>
      <c r="AS34" s="406"/>
      <c r="AT34" s="406"/>
      <c r="AU34" s="406"/>
      <c r="AV34" s="406"/>
      <c r="AW34" s="406"/>
      <c r="AX34" s="406"/>
      <c r="AY34" s="406"/>
      <c r="AZ34" s="406"/>
      <c r="BA34" s="406"/>
      <c r="BB34" s="406"/>
      <c r="BC34" s="406"/>
      <c r="BD34" s="406"/>
      <c r="BE34" s="406"/>
      <c r="BF34" s="406"/>
      <c r="BG34" s="406"/>
      <c r="BH34" s="406"/>
      <c r="BI34" s="406"/>
      <c r="BJ34" s="406"/>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row>
    <row r="35" spans="1:84">
      <c r="A35" s="406"/>
      <c r="B35" s="408"/>
      <c r="C35" s="447"/>
      <c r="D35" s="450"/>
      <c r="E35" s="458">
        <f>E33+E34</f>
        <v>2495930.1402766635</v>
      </c>
      <c r="F35" s="452"/>
      <c r="G35" s="452"/>
      <c r="H35" s="408"/>
      <c r="I35" s="408"/>
      <c r="J35" s="408"/>
      <c r="K35" s="408"/>
      <c r="L35" s="408"/>
      <c r="M35" s="408"/>
      <c r="N35" s="408"/>
      <c r="O35" s="408"/>
      <c r="P35" s="408"/>
      <c r="Q35" s="408"/>
      <c r="R35" s="408"/>
      <c r="S35" s="408"/>
      <c r="T35" s="408"/>
      <c r="U35" s="408"/>
      <c r="V35" s="416">
        <f>100*(+AD29/$E$9)</f>
        <v>295.27850653055799</v>
      </c>
      <c r="W35" s="426">
        <f>EXP(5.7226-(0.68367*LN(+V35)))</f>
        <v>6.2584992293775699</v>
      </c>
      <c r="X35" s="417">
        <f>(+W35*V35)/100</f>
        <v>18.480003055732567</v>
      </c>
      <c r="Y35" s="416">
        <f>100*((((X35/100)-((X35/100)-0.03574)*$E$21)-0.03574-0.00619)/0.344)</f>
        <v>26.799308188324112</v>
      </c>
      <c r="Z35" s="408">
        <f>$E$20</f>
        <v>0.25</v>
      </c>
      <c r="AA35" s="416">
        <f>Y35+Z35</f>
        <v>27.049308188324112</v>
      </c>
      <c r="AB35" s="416">
        <f>100*($E$17*$E$19+($E$18*(AA35/100))/(1-$E$21))</f>
        <v>21.263860194580406</v>
      </c>
      <c r="AC35" s="417">
        <f>AB35/V35</f>
        <v>7.2012895365886842E-2</v>
      </c>
      <c r="AD35" s="415">
        <f>ROUND($E$8/(1-AC35),0)</f>
        <v>2707848</v>
      </c>
      <c r="AE35" s="408" t="str">
        <f>IF(AD35=AD29,"yes","not yet")</f>
        <v>not yet</v>
      </c>
      <c r="AF35" s="416">
        <f>100*(1-AC35)</f>
        <v>92.798710463411311</v>
      </c>
      <c r="AG35" s="408"/>
      <c r="AH35" s="408"/>
      <c r="AI35" s="408"/>
      <c r="AJ35" s="416">
        <f>HLOOKUP($AJ$34,$AJ$28:$AR$32,($E$12)+1)</f>
        <v>294.6461411766374</v>
      </c>
      <c r="AK35" s="408"/>
      <c r="AL35" s="408"/>
      <c r="AM35" s="408"/>
      <c r="AN35" s="408"/>
      <c r="AO35" s="408"/>
      <c r="AP35" s="408"/>
      <c r="AQ35" s="408"/>
      <c r="AR35" s="408"/>
      <c r="AS35" s="406"/>
      <c r="AT35" s="406"/>
      <c r="AU35" s="406"/>
      <c r="AV35" s="406"/>
      <c r="AW35" s="406"/>
      <c r="AX35" s="406"/>
      <c r="AY35" s="406"/>
      <c r="AZ35" s="406"/>
      <c r="BA35" s="406"/>
      <c r="BB35" s="406"/>
      <c r="BC35" s="406"/>
      <c r="BD35" s="406"/>
      <c r="BE35" s="406"/>
      <c r="BF35" s="406"/>
      <c r="BG35" s="406"/>
      <c r="BH35" s="406"/>
      <c r="BI35" s="406"/>
      <c r="BJ35" s="406"/>
      <c r="BK35" s="407"/>
      <c r="BL35" s="407"/>
      <c r="BM35" s="407"/>
      <c r="BN35" s="407"/>
      <c r="BO35" s="407"/>
      <c r="BP35" s="407"/>
      <c r="BQ35" s="407"/>
      <c r="BR35" s="407"/>
      <c r="BS35" s="407"/>
      <c r="BT35" s="407"/>
      <c r="BU35" s="407"/>
      <c r="BV35" s="407"/>
      <c r="BW35" s="407"/>
      <c r="BX35" s="407"/>
      <c r="BY35" s="407"/>
      <c r="BZ35" s="407"/>
      <c r="CA35" s="407"/>
      <c r="CB35" s="407"/>
      <c r="CC35" s="407"/>
      <c r="CD35" s="407"/>
      <c r="CE35" s="407"/>
      <c r="CF35" s="407"/>
    </row>
    <row r="36" spans="1:84" ht="15.75">
      <c r="A36" s="406"/>
      <c r="B36" s="408"/>
      <c r="C36" s="447"/>
      <c r="D36" s="450"/>
      <c r="E36" s="459"/>
      <c r="F36" s="408"/>
      <c r="G36" s="408"/>
      <c r="H36" s="408"/>
      <c r="I36" s="408"/>
      <c r="J36" s="408"/>
      <c r="K36" s="408"/>
      <c r="L36" s="408"/>
      <c r="M36" s="408"/>
      <c r="N36" s="408"/>
      <c r="O36" s="408"/>
      <c r="P36" s="408"/>
      <c r="Q36" s="408"/>
      <c r="R36" s="408"/>
      <c r="S36" s="408"/>
      <c r="T36" s="408"/>
      <c r="U36" s="408"/>
      <c r="V36" s="416">
        <f>100*(+AD30/$E$9)</f>
        <v>294.90055637447193</v>
      </c>
      <c r="W36" s="426">
        <f>EXP(5.70827-(0.68367*LN(+V36)))</f>
        <v>6.1748590732909499</v>
      </c>
      <c r="X36" s="417">
        <f>(+W36*V36)/100</f>
        <v>18.209693762474572</v>
      </c>
      <c r="Y36" s="416">
        <f>100*((((X36/100)-((X36/100)-0.03574)*$E$21)-0.03574-0.00619)/0.344)</f>
        <v>26.280691521026796</v>
      </c>
      <c r="Z36" s="408">
        <f>$E$20</f>
        <v>0.25</v>
      </c>
      <c r="AA36" s="416">
        <f>Y36+Z36</f>
        <v>26.530691521026796</v>
      </c>
      <c r="AB36" s="416">
        <f>100*($E$17*$E$19+($E$18*(AA36/100))/(1-$E$21))</f>
        <v>20.885909144865796</v>
      </c>
      <c r="AC36" s="417">
        <f>AB36/V36</f>
        <v>7.0823566430794918E-2</v>
      </c>
      <c r="AD36" s="415">
        <f>ROUND($E$8/(1-AC36),0)</f>
        <v>2704382</v>
      </c>
      <c r="AE36" s="408" t="str">
        <f>IF(AD36=AD30,"yes","not yet")</f>
        <v>not yet</v>
      </c>
      <c r="AF36" s="416">
        <f>100*(1-AC36)</f>
        <v>92.917643356920507</v>
      </c>
      <c r="AG36" s="408"/>
      <c r="AH36" s="408"/>
      <c r="AI36" s="408"/>
      <c r="AJ36" s="408"/>
      <c r="AK36" s="408"/>
      <c r="AL36" s="408"/>
      <c r="AM36" s="408"/>
      <c r="AN36" s="408"/>
      <c r="AO36" s="408"/>
      <c r="AP36" s="408"/>
      <c r="AQ36" s="408"/>
      <c r="AR36" s="408"/>
      <c r="AS36" s="406"/>
      <c r="AT36" s="406"/>
      <c r="AU36" s="406"/>
      <c r="AV36" s="406"/>
      <c r="AW36" s="406"/>
      <c r="AX36" s="406"/>
      <c r="AY36" s="406"/>
      <c r="AZ36" s="406"/>
      <c r="BA36" s="406"/>
      <c r="BB36" s="406"/>
      <c r="BC36" s="406"/>
      <c r="BD36" s="406"/>
      <c r="BE36" s="406"/>
      <c r="BF36" s="406"/>
      <c r="BG36" s="406"/>
      <c r="BH36" s="406"/>
      <c r="BI36" s="406"/>
      <c r="BJ36" s="406"/>
      <c r="BK36" s="407"/>
      <c r="BL36" s="407"/>
      <c r="BM36" s="407"/>
      <c r="BN36" s="407"/>
      <c r="BO36" s="407"/>
      <c r="BP36" s="407"/>
      <c r="BQ36" s="407"/>
      <c r="BR36" s="407"/>
      <c r="BS36" s="407"/>
      <c r="BT36" s="407"/>
      <c r="BU36" s="407"/>
      <c r="BV36" s="407"/>
      <c r="BW36" s="407"/>
      <c r="BX36" s="407"/>
      <c r="BY36" s="407"/>
      <c r="BZ36" s="407"/>
      <c r="CA36" s="407"/>
      <c r="CB36" s="407"/>
      <c r="CC36" s="407"/>
      <c r="CD36" s="407"/>
      <c r="CE36" s="407"/>
      <c r="CF36" s="407"/>
    </row>
    <row r="37" spans="1:84">
      <c r="A37" s="406"/>
      <c r="B37" s="408"/>
      <c r="C37" s="447" t="s">
        <v>943</v>
      </c>
      <c r="D37" s="450"/>
      <c r="E37" s="460">
        <f>E6</f>
        <v>144353.91247484117</v>
      </c>
      <c r="F37" s="408"/>
      <c r="G37" s="452"/>
      <c r="H37" s="408"/>
      <c r="I37" s="408"/>
      <c r="J37" s="408"/>
      <c r="K37" s="408"/>
      <c r="L37" s="408"/>
      <c r="M37" s="408"/>
      <c r="N37" s="408"/>
      <c r="O37" s="408"/>
      <c r="P37" s="408"/>
      <c r="Q37" s="408"/>
      <c r="R37" s="408"/>
      <c r="S37" s="408"/>
      <c r="T37" s="408"/>
      <c r="U37" s="408"/>
      <c r="V37" s="416">
        <f>100*(+AD31/$E$9)</f>
        <v>294.64613000000895</v>
      </c>
      <c r="W37" s="426">
        <f>EXP(5.6985-(0.68367*LN(V37)))</f>
        <v>6.1184338268462284</v>
      </c>
      <c r="X37" s="417">
        <f>(+W37*V37)/100</f>
        <v>18.02772848741386</v>
      </c>
      <c r="Y37" s="416">
        <f>100*((((X37/100)-((X37/100)-0.03574)*$E$21)-0.03574-0.00619)/0.344)</f>
        <v>25.9315720979452</v>
      </c>
      <c r="Z37" s="408">
        <f>$E$20</f>
        <v>0.25</v>
      </c>
      <c r="AA37" s="416">
        <f>Y37+Z37</f>
        <v>26.1815720979452</v>
      </c>
      <c r="AB37" s="416">
        <f>100*($E$17*$E$19+($E$18*(AA37/100))/(1-$E$21))</f>
        <v>20.631482203446645</v>
      </c>
      <c r="AC37" s="417">
        <f>AB37/V37</f>
        <v>7.0021222418383766E-2</v>
      </c>
      <c r="AD37" s="415">
        <f>ROUND($E$8/(1-AC37),0)</f>
        <v>2702049</v>
      </c>
      <c r="AE37" s="408" t="str">
        <f>IF(AD37=AD31,"yes","not yet")</f>
        <v>not yet</v>
      </c>
      <c r="AF37" s="416">
        <f>100*(1-AC37)</f>
        <v>92.997877758161621</v>
      </c>
      <c r="AG37" s="408"/>
      <c r="AH37" s="408"/>
      <c r="AI37" s="408"/>
      <c r="AJ37" s="408" t="str">
        <f>HLOOKUP(1,$AJ$13:$AR$17,($E$12)+1)</f>
        <v>not yet</v>
      </c>
      <c r="AK37" s="408" t="str">
        <f>HLOOKUP(2,$AJ$13:$AR$17,($E$12)+1)</f>
        <v>not yet</v>
      </c>
      <c r="AL37" s="408" t="str">
        <f>HLOOKUP(3,$AJ$13:$AR$17,($E$12)+1)</f>
        <v>not yet</v>
      </c>
      <c r="AM37" s="408" t="str">
        <f>HLOOKUP(4,$AJ$13:$AR$17,($E$12)+1)</f>
        <v>not yet</v>
      </c>
      <c r="AN37" s="408" t="str">
        <f>HLOOKUP(5,$AJ$13:$AR$17,($E$12)+1)</f>
        <v>not yet</v>
      </c>
      <c r="AO37" s="408" t="str">
        <f>HLOOKUP(6,$AJ$13:$AR$17,($E$12)+1)</f>
        <v>not yet</v>
      </c>
      <c r="AP37" s="408" t="str">
        <f>HLOOKUP(7,$AJ$13:$AR$17,($E$12)+1)</f>
        <v>yes</v>
      </c>
      <c r="AQ37" s="408" t="str">
        <f>HLOOKUP(8,$AJ$13:$AR$17,($E$12)+1)</f>
        <v>yes</v>
      </c>
      <c r="AR37" s="408" t="str">
        <f>HLOOKUP(9,$AJ$13:$AR$17,($E$12)+1)</f>
        <v>yes</v>
      </c>
      <c r="AS37" s="406"/>
      <c r="AT37" s="406"/>
      <c r="AU37" s="406"/>
      <c r="AV37" s="406"/>
      <c r="AW37" s="406"/>
      <c r="AX37" s="406"/>
      <c r="AY37" s="406"/>
      <c r="AZ37" s="406"/>
      <c r="BA37" s="406"/>
      <c r="BB37" s="406"/>
      <c r="BC37" s="406"/>
      <c r="BD37" s="406"/>
      <c r="BE37" s="406"/>
      <c r="BF37" s="406"/>
      <c r="BG37" s="406"/>
      <c r="BH37" s="406"/>
      <c r="BI37" s="406"/>
      <c r="BJ37" s="406"/>
      <c r="BK37" s="407"/>
      <c r="BL37" s="407"/>
      <c r="BM37" s="407"/>
      <c r="BN37" s="407"/>
      <c r="BO37" s="407"/>
      <c r="BP37" s="407"/>
      <c r="BQ37" s="407"/>
      <c r="BR37" s="407"/>
      <c r="BS37" s="407"/>
      <c r="BT37" s="407"/>
      <c r="BU37" s="407"/>
      <c r="BV37" s="407"/>
      <c r="BW37" s="407"/>
      <c r="BX37" s="407"/>
      <c r="BY37" s="407"/>
      <c r="BZ37" s="407"/>
      <c r="CA37" s="407"/>
      <c r="CB37" s="407"/>
      <c r="CC37" s="407"/>
      <c r="CD37" s="407"/>
      <c r="CE37" s="407"/>
      <c r="CF37" s="407"/>
    </row>
    <row r="38" spans="1:84">
      <c r="A38" s="406"/>
      <c r="B38" s="408"/>
      <c r="C38" s="447"/>
      <c r="D38" s="450"/>
      <c r="E38" s="458"/>
      <c r="F38" s="408"/>
      <c r="G38" s="408"/>
      <c r="H38" s="408"/>
      <c r="I38" s="408"/>
      <c r="J38" s="408"/>
      <c r="K38" s="408"/>
      <c r="L38" s="408"/>
      <c r="M38" s="408"/>
      <c r="N38" s="408"/>
      <c r="O38" s="408"/>
      <c r="P38" s="408"/>
      <c r="Q38" s="408"/>
      <c r="R38" s="408"/>
      <c r="S38" s="408"/>
      <c r="T38" s="408"/>
      <c r="U38" s="408"/>
      <c r="V38" s="416">
        <f>100*(+AD32/$E$9)</f>
        <v>294.48345193950138</v>
      </c>
      <c r="W38" s="426">
        <f>EXP(5.6922-(0.68367*LN(V38)))</f>
        <v>6.0823049070772184</v>
      </c>
      <c r="X38" s="417">
        <f>(+W38*V38)/100</f>
        <v>17.911381447846676</v>
      </c>
      <c r="Y38" s="416">
        <f>100*((((X38/100)-((X38/100)-0.03574)*$E$21)-0.03574-0.00619)/0.344)</f>
        <v>25.708348126682573</v>
      </c>
      <c r="Z38" s="408">
        <f>$E$20</f>
        <v>0.25</v>
      </c>
      <c r="AA38" s="416">
        <f>Y38+Z38</f>
        <v>25.958348126682573</v>
      </c>
      <c r="AB38" s="416">
        <f>100*($E$17*$E$19+($E$18*(AA38/100))/(1-$E$21))</f>
        <v>20.46880379455585</v>
      </c>
      <c r="AC38" s="417">
        <f>AB38/V38</f>
        <v>6.9507483900185185E-2</v>
      </c>
      <c r="AD38" s="415">
        <f>ROUND($E$8/(1-AC38),0)</f>
        <v>2700557</v>
      </c>
      <c r="AE38" s="408" t="str">
        <f>IF(AD38=AD32,"yes","not yet")</f>
        <v>not yet</v>
      </c>
      <c r="AF38" s="416">
        <f>100*(1-AC38)</f>
        <v>93.049251609981482</v>
      </c>
      <c r="AG38" s="408"/>
      <c r="AH38" s="408"/>
      <c r="AI38" s="408">
        <v>1</v>
      </c>
      <c r="AJ38" s="415">
        <f>AD5</f>
        <v>2689571.5352924592</v>
      </c>
      <c r="AK38" s="415">
        <f>AD11</f>
        <v>2708726.2515162178</v>
      </c>
      <c r="AL38" s="415">
        <f>AD17</f>
        <v>2707806.2597382874</v>
      </c>
      <c r="AM38" s="415">
        <f>AD23</f>
        <v>2707850.1981459544</v>
      </c>
      <c r="AN38" s="415">
        <f>AD29</f>
        <v>2707848.0991002712</v>
      </c>
      <c r="AO38" s="415">
        <f>AD35</f>
        <v>2707848</v>
      </c>
      <c r="AP38" s="415">
        <f>AD41</f>
        <v>2707848</v>
      </c>
      <c r="AQ38" s="415">
        <f>AD47</f>
        <v>2707848</v>
      </c>
      <c r="AR38" s="415">
        <f>AD53</f>
        <v>2707848</v>
      </c>
      <c r="AS38" s="406"/>
      <c r="AT38" s="406"/>
      <c r="AU38" s="406"/>
      <c r="AV38" s="406"/>
      <c r="AW38" s="406"/>
      <c r="AX38" s="406"/>
      <c r="AY38" s="406"/>
      <c r="AZ38" s="406"/>
      <c r="BA38" s="406"/>
      <c r="BB38" s="406"/>
      <c r="BC38" s="406"/>
      <c r="BD38" s="406"/>
      <c r="BE38" s="406"/>
      <c r="BF38" s="406"/>
      <c r="BG38" s="406"/>
      <c r="BH38" s="406"/>
      <c r="BI38" s="406"/>
      <c r="BJ38" s="406"/>
      <c r="BK38" s="407"/>
      <c r="BL38" s="407"/>
      <c r="BM38" s="407"/>
      <c r="BN38" s="407"/>
      <c r="BO38" s="407"/>
      <c r="BP38" s="407"/>
      <c r="BQ38" s="407"/>
      <c r="BR38" s="407"/>
      <c r="BS38" s="407"/>
      <c r="BT38" s="407"/>
      <c r="BU38" s="407"/>
      <c r="BV38" s="407"/>
      <c r="BW38" s="407"/>
      <c r="BX38" s="407"/>
      <c r="BY38" s="407"/>
      <c r="BZ38" s="407"/>
      <c r="CA38" s="407"/>
      <c r="CB38" s="407"/>
      <c r="CC38" s="407"/>
      <c r="CD38" s="407"/>
      <c r="CE38" s="407"/>
      <c r="CF38" s="407"/>
    </row>
    <row r="39" spans="1:84" ht="16.5" thickBot="1">
      <c r="A39" s="406"/>
      <c r="B39" s="408"/>
      <c r="C39" s="461" t="s">
        <v>982</v>
      </c>
      <c r="D39" s="462"/>
      <c r="E39" s="463">
        <f>E37/E35</f>
        <v>5.7835718294118654E-2</v>
      </c>
      <c r="F39" s="408"/>
      <c r="G39" s="408"/>
      <c r="H39" s="408"/>
      <c r="I39" s="408"/>
      <c r="J39" s="408"/>
      <c r="K39" s="408"/>
      <c r="L39" s="408"/>
      <c r="M39" s="408"/>
      <c r="N39" s="408"/>
      <c r="O39" s="408"/>
      <c r="P39" s="408"/>
      <c r="Q39" s="408"/>
      <c r="R39" s="408"/>
      <c r="S39" s="408"/>
      <c r="T39" s="408"/>
      <c r="U39" s="408"/>
      <c r="V39" s="408"/>
      <c r="W39" s="408"/>
      <c r="X39" s="408"/>
      <c r="Y39" s="408"/>
      <c r="Z39" s="408"/>
      <c r="AA39" s="416"/>
      <c r="AB39" s="408"/>
      <c r="AC39" s="408"/>
      <c r="AD39" s="408"/>
      <c r="AE39" s="408"/>
      <c r="AF39" s="408"/>
      <c r="AG39" s="408"/>
      <c r="AH39" s="408"/>
      <c r="AI39" s="408">
        <v>2</v>
      </c>
      <c r="AJ39" s="415">
        <f>AD6</f>
        <v>2686337.1150502479</v>
      </c>
      <c r="AK39" s="415">
        <f>AD12</f>
        <v>2705231.9506389815</v>
      </c>
      <c r="AL39" s="415">
        <f>AD18</f>
        <v>2704342.4163269307</v>
      </c>
      <c r="AM39" s="415">
        <f>AD24</f>
        <v>2704384.0618387419</v>
      </c>
      <c r="AN39" s="415">
        <f>AD30</f>
        <v>2704382.1116034589</v>
      </c>
      <c r="AO39" s="415">
        <f>AD36</f>
        <v>2704382</v>
      </c>
      <c r="AP39" s="415">
        <f>AD42</f>
        <v>2704382</v>
      </c>
      <c r="AQ39" s="415">
        <f>AD48</f>
        <v>2704382</v>
      </c>
      <c r="AR39" s="415">
        <f>AD54</f>
        <v>2704382</v>
      </c>
      <c r="AS39" s="406"/>
      <c r="AT39" s="406"/>
      <c r="AU39" s="406"/>
      <c r="AV39" s="406"/>
      <c r="AW39" s="406"/>
      <c r="AX39" s="406"/>
      <c r="AY39" s="406"/>
      <c r="AZ39" s="406"/>
      <c r="BA39" s="406"/>
      <c r="BB39" s="406"/>
      <c r="BC39" s="406"/>
      <c r="BD39" s="406"/>
      <c r="BE39" s="406"/>
      <c r="BF39" s="406"/>
      <c r="BG39" s="406"/>
      <c r="BH39" s="406"/>
      <c r="BI39" s="406"/>
      <c r="BJ39" s="406"/>
      <c r="BK39" s="407"/>
      <c r="BL39" s="407"/>
      <c r="BM39" s="407"/>
      <c r="BN39" s="407"/>
      <c r="BO39" s="407"/>
      <c r="BP39" s="407"/>
      <c r="BQ39" s="407"/>
      <c r="BR39" s="407"/>
      <c r="BS39" s="407"/>
      <c r="BT39" s="407"/>
      <c r="BU39" s="407"/>
      <c r="BV39" s="407"/>
      <c r="BW39" s="407"/>
      <c r="BX39" s="407"/>
      <c r="BY39" s="407"/>
      <c r="BZ39" s="407"/>
      <c r="CA39" s="407"/>
      <c r="CB39" s="407"/>
      <c r="CC39" s="407"/>
      <c r="CD39" s="407"/>
      <c r="CE39" s="407"/>
      <c r="CF39" s="407"/>
    </row>
    <row r="40" spans="1:84">
      <c r="A40" s="406"/>
      <c r="B40" s="408"/>
      <c r="C40" s="408"/>
      <c r="D40" s="408"/>
      <c r="E40" s="412"/>
      <c r="F40" s="408"/>
      <c r="G40" s="408"/>
      <c r="H40" s="408"/>
      <c r="I40" s="408"/>
      <c r="J40" s="408"/>
      <c r="K40" s="408"/>
      <c r="L40" s="408"/>
      <c r="M40" s="408"/>
      <c r="N40" s="408"/>
      <c r="O40" s="408"/>
      <c r="P40" s="408"/>
      <c r="Q40" s="408"/>
      <c r="R40" s="408"/>
      <c r="S40" s="408"/>
      <c r="T40" s="408"/>
      <c r="U40" s="408"/>
      <c r="V40" s="413" t="s">
        <v>983</v>
      </c>
      <c r="W40" s="425" t="s">
        <v>718</v>
      </c>
      <c r="X40" s="425" t="s">
        <v>930</v>
      </c>
      <c r="Y40" s="425" t="s">
        <v>931</v>
      </c>
      <c r="Z40" s="408"/>
      <c r="AA40" s="416"/>
      <c r="AB40" s="408"/>
      <c r="AC40" s="408"/>
      <c r="AD40" s="408"/>
      <c r="AE40" s="408"/>
      <c r="AF40" s="408"/>
      <c r="AG40" s="408"/>
      <c r="AH40" s="408"/>
      <c r="AI40" s="408">
        <v>3</v>
      </c>
      <c r="AJ40" s="415">
        <f>AD7</f>
        <v>2684162.7356477724</v>
      </c>
      <c r="AK40" s="415">
        <f>AD13</f>
        <v>2702879.7890351107</v>
      </c>
      <c r="AL40" s="415">
        <f>AD19</f>
        <v>2702010.6106962962</v>
      </c>
      <c r="AM40" s="415">
        <f>AD25</f>
        <v>2702050.7518073376</v>
      </c>
      <c r="AN40" s="415">
        <f>AD31</f>
        <v>2702048.8975048591</v>
      </c>
      <c r="AO40" s="415">
        <f>AD37</f>
        <v>2702049</v>
      </c>
      <c r="AP40" s="415">
        <f>AD43</f>
        <v>2702049</v>
      </c>
      <c r="AQ40" s="415">
        <f>AD49</f>
        <v>2702049</v>
      </c>
      <c r="AR40" s="415">
        <f>AD55</f>
        <v>2702049</v>
      </c>
      <c r="AS40" s="406"/>
      <c r="AT40" s="406"/>
      <c r="AU40" s="406"/>
      <c r="AV40" s="406"/>
      <c r="AW40" s="406"/>
      <c r="AX40" s="406"/>
      <c r="AY40" s="406"/>
      <c r="AZ40" s="406"/>
      <c r="BA40" s="406"/>
      <c r="BB40" s="406"/>
      <c r="BC40" s="406"/>
      <c r="BD40" s="406"/>
      <c r="BE40" s="406"/>
      <c r="BF40" s="406"/>
      <c r="BG40" s="406"/>
      <c r="BH40" s="406"/>
      <c r="BI40" s="406"/>
      <c r="BJ40" s="406"/>
      <c r="BK40" s="407"/>
      <c r="BL40" s="407"/>
      <c r="BM40" s="407"/>
      <c r="BN40" s="407"/>
      <c r="BO40" s="407"/>
      <c r="BP40" s="407"/>
      <c r="BQ40" s="407"/>
      <c r="BR40" s="407"/>
      <c r="BS40" s="407"/>
      <c r="BT40" s="407"/>
      <c r="BU40" s="407"/>
      <c r="BV40" s="407"/>
      <c r="BW40" s="407"/>
      <c r="BX40" s="407"/>
      <c r="BY40" s="407"/>
      <c r="BZ40" s="407"/>
      <c r="CA40" s="407"/>
      <c r="CB40" s="407"/>
      <c r="CC40" s="407"/>
      <c r="CD40" s="407"/>
      <c r="CE40" s="407"/>
      <c r="CF40" s="407"/>
    </row>
    <row r="41" spans="1:84">
      <c r="A41" s="406"/>
      <c r="B41" s="408"/>
      <c r="C41" s="408"/>
      <c r="D41" s="408"/>
      <c r="E41" s="412"/>
      <c r="F41" s="408"/>
      <c r="G41" s="408"/>
      <c r="H41" s="408"/>
      <c r="I41" s="408"/>
      <c r="J41" s="408"/>
      <c r="K41" s="408"/>
      <c r="L41" s="408"/>
      <c r="M41" s="408"/>
      <c r="N41" s="408"/>
      <c r="O41" s="408"/>
      <c r="P41" s="408"/>
      <c r="Q41" s="408"/>
      <c r="R41" s="408"/>
      <c r="S41" s="408"/>
      <c r="T41" s="408"/>
      <c r="U41" s="408"/>
      <c r="V41" s="416">
        <f>100*(+AD35/$E$9)</f>
        <v>295.27849572412464</v>
      </c>
      <c r="W41" s="426">
        <f>EXP(5.7226-(0.68367*LN(+V41)))</f>
        <v>6.2584993859687463</v>
      </c>
      <c r="X41" s="417">
        <f>(+W41*V41)/100</f>
        <v>18.480002841792089</v>
      </c>
      <c r="Y41" s="416">
        <f>100*((((X41/100)-((X41/100)-0.03574)*$E$21)-0.03574-0.00619)/0.344)</f>
        <v>26.799307777856917</v>
      </c>
      <c r="Z41" s="408">
        <f>$E$20</f>
        <v>0.25</v>
      </c>
      <c r="AA41" s="416">
        <f>Y41+Z41</f>
        <v>27.049307777856917</v>
      </c>
      <c r="AB41" s="416">
        <f>100*($E$17*$E$19+($E$18*(AA41/100))/(1-$E$21))</f>
        <v>21.263859895445194</v>
      </c>
      <c r="AC41" s="417">
        <f>AB41/V41</f>
        <v>7.2012896988312272E-2</v>
      </c>
      <c r="AD41" s="415">
        <f>ROUND($E$8/(1-AC41),0)</f>
        <v>2707848</v>
      </c>
      <c r="AE41" s="408" t="str">
        <f>IF(OR(OR(AD41=AD35,AD41=(AD35+1)),AD41=(AD27-1)),"yes","not yet")</f>
        <v>yes</v>
      </c>
      <c r="AF41" s="416">
        <f>100*(1-AC41)</f>
        <v>92.798710301168768</v>
      </c>
      <c r="AG41" s="408"/>
      <c r="AH41" s="408"/>
      <c r="AI41" s="408">
        <v>4</v>
      </c>
      <c r="AJ41" s="415">
        <f>AD8</f>
        <v>2682773.6971799019</v>
      </c>
      <c r="AK41" s="415">
        <f>AD14</f>
        <v>2701375.8868988617</v>
      </c>
      <c r="AL41" s="415">
        <f>AD20</f>
        <v>2700519.6592635303</v>
      </c>
      <c r="AM41" s="415">
        <f>AD26</f>
        <v>2700558.8549692254</v>
      </c>
      <c r="AN41" s="415">
        <f>AD32</f>
        <v>2700557.0602489528</v>
      </c>
      <c r="AO41" s="415">
        <f>AD38</f>
        <v>2700557</v>
      </c>
      <c r="AP41" s="415">
        <f>AD44</f>
        <v>2700557</v>
      </c>
      <c r="AQ41" s="415">
        <f>AD50</f>
        <v>2700557</v>
      </c>
      <c r="AR41" s="415">
        <f>AD56</f>
        <v>2700557</v>
      </c>
      <c r="AS41" s="406"/>
      <c r="AT41" s="406"/>
      <c r="AU41" s="406"/>
      <c r="AV41" s="406"/>
      <c r="AW41" s="406"/>
      <c r="AX41" s="406"/>
      <c r="AY41" s="406"/>
      <c r="AZ41" s="406"/>
      <c r="BA41" s="406"/>
      <c r="BB41" s="406"/>
      <c r="BC41" s="406"/>
      <c r="BD41" s="406"/>
      <c r="BE41" s="406"/>
      <c r="BF41" s="406"/>
      <c r="BG41" s="406"/>
      <c r="BH41" s="406"/>
      <c r="BI41" s="406"/>
      <c r="BJ41" s="406"/>
      <c r="BK41" s="407"/>
      <c r="BL41" s="407"/>
      <c r="BM41" s="407"/>
      <c r="BN41" s="407"/>
      <c r="BO41" s="407"/>
      <c r="BP41" s="407"/>
      <c r="BQ41" s="407"/>
      <c r="BR41" s="407"/>
      <c r="BS41" s="407"/>
      <c r="BT41" s="407"/>
      <c r="BU41" s="407"/>
      <c r="BV41" s="407"/>
      <c r="BW41" s="407"/>
      <c r="BX41" s="407"/>
      <c r="BY41" s="407"/>
      <c r="BZ41" s="407"/>
      <c r="CA41" s="407"/>
      <c r="CB41" s="407"/>
      <c r="CC41" s="407"/>
      <c r="CD41" s="407"/>
      <c r="CE41" s="407"/>
      <c r="CF41" s="407"/>
    </row>
    <row r="42" spans="1:84">
      <c r="A42" s="406"/>
      <c r="B42" s="408"/>
      <c r="C42" s="408"/>
      <c r="D42" s="408"/>
      <c r="E42" s="411"/>
      <c r="F42" s="408"/>
      <c r="G42" s="408"/>
      <c r="H42" s="408"/>
      <c r="I42" s="408"/>
      <c r="J42" s="408"/>
      <c r="K42" s="408"/>
      <c r="L42" s="408"/>
      <c r="M42" s="408"/>
      <c r="N42" s="408"/>
      <c r="O42" s="408"/>
      <c r="P42" s="408"/>
      <c r="Q42" s="408"/>
      <c r="R42" s="408"/>
      <c r="S42" s="408"/>
      <c r="T42" s="408"/>
      <c r="U42" s="408"/>
      <c r="V42" s="416">
        <f>100*(+AD36/$E$9)</f>
        <v>294.90054420462286</v>
      </c>
      <c r="W42" s="426">
        <f>EXP(5.70827-(0.68367*LN(+V42)))</f>
        <v>6.1748592475050073</v>
      </c>
      <c r="X42" s="417">
        <f>(+W42*V42)/100</f>
        <v>18.209693524761747</v>
      </c>
      <c r="Y42" s="416">
        <f>100*((((X42/100)-((X42/100)-0.03574)*$E$21)-0.03574-0.00619)/0.344)</f>
        <v>26.280691064949867</v>
      </c>
      <c r="Z42" s="408">
        <f>$E$20</f>
        <v>0.25</v>
      </c>
      <c r="AA42" s="416">
        <f>Y42+Z42</f>
        <v>26.530691064949867</v>
      </c>
      <c r="AB42" s="416">
        <f>100*($E$17*$E$19+($E$18*(AA42/100))/(1-$E$21))</f>
        <v>20.885908812491682</v>
      </c>
      <c r="AC42" s="417">
        <f>AB42/V42</f>
        <v>7.0823568226444367E-2</v>
      </c>
      <c r="AD42" s="415">
        <f>ROUND($E$8/(1-AC42),0)</f>
        <v>2704382</v>
      </c>
      <c r="AE42" s="408" t="str">
        <f>IF(OR(OR(AD42=AD36,AD42=(AD36+5)),AD42=(AD28-5)),"yes","not yet")</f>
        <v>yes</v>
      </c>
      <c r="AF42" s="416">
        <f>100*(1-AC42)</f>
        <v>92.917643177355558</v>
      </c>
      <c r="AG42" s="408"/>
      <c r="AH42" s="408"/>
      <c r="AI42" s="408"/>
      <c r="AJ42" s="408"/>
      <c r="AK42" s="408"/>
      <c r="AL42" s="408"/>
      <c r="AM42" s="408"/>
      <c r="AN42" s="408"/>
      <c r="AO42" s="408"/>
      <c r="AP42" s="408"/>
      <c r="AQ42" s="408"/>
      <c r="AR42" s="408"/>
      <c r="AS42" s="406"/>
      <c r="AT42" s="406"/>
      <c r="AU42" s="406"/>
      <c r="AV42" s="406"/>
      <c r="AW42" s="406"/>
      <c r="AX42" s="406"/>
      <c r="AY42" s="406"/>
      <c r="AZ42" s="406"/>
      <c r="BA42" s="406"/>
      <c r="BB42" s="406"/>
      <c r="BC42" s="406"/>
      <c r="BD42" s="406"/>
      <c r="BE42" s="406"/>
      <c r="BF42" s="406"/>
      <c r="BG42" s="406"/>
      <c r="BH42" s="406"/>
      <c r="BI42" s="406"/>
      <c r="BJ42" s="406"/>
      <c r="BK42" s="407"/>
      <c r="BL42" s="407"/>
      <c r="BM42" s="407"/>
      <c r="BN42" s="407"/>
      <c r="BO42" s="407"/>
      <c r="BP42" s="407"/>
      <c r="BQ42" s="407"/>
      <c r="BR42" s="407"/>
      <c r="BS42" s="407"/>
      <c r="BT42" s="407"/>
      <c r="BU42" s="407"/>
      <c r="BV42" s="407"/>
      <c r="BW42" s="407"/>
      <c r="BX42" s="407"/>
      <c r="BY42" s="407"/>
      <c r="BZ42" s="407"/>
      <c r="CA42" s="407"/>
      <c r="CB42" s="407"/>
      <c r="CC42" s="407"/>
      <c r="CD42" s="407"/>
      <c r="CE42" s="407"/>
      <c r="CF42" s="407"/>
    </row>
    <row r="43" spans="1:84">
      <c r="A43" s="406"/>
      <c r="B43" s="408"/>
      <c r="C43" s="408"/>
      <c r="D43" s="408"/>
      <c r="E43" s="412"/>
      <c r="F43" s="408"/>
      <c r="G43" s="408"/>
      <c r="H43" s="408"/>
      <c r="I43" s="408"/>
      <c r="J43" s="408"/>
      <c r="K43" s="408"/>
      <c r="L43" s="408"/>
      <c r="M43" s="408"/>
      <c r="N43" s="408"/>
      <c r="O43" s="408"/>
      <c r="P43" s="408"/>
      <c r="Q43" s="408"/>
      <c r="R43" s="408"/>
      <c r="S43" s="408"/>
      <c r="T43" s="408"/>
      <c r="U43" s="408"/>
      <c r="V43" s="416">
        <f>100*(+AD37/$E$9)</f>
        <v>294.6461411766374</v>
      </c>
      <c r="W43" s="426">
        <f>EXP(5.6985-(0.68367*LN(V43)))</f>
        <v>6.1184336681754878</v>
      </c>
      <c r="X43" s="417">
        <f>(+W43*V43)/100</f>
        <v>18.02772870373126</v>
      </c>
      <c r="Y43" s="416">
        <f>100*((((X43/100)-((X43/100)-0.03574)*$E$21)-0.03574-0.00619)/0.344)</f>
        <v>25.931572512972771</v>
      </c>
      <c r="Z43" s="408">
        <f>$E$20</f>
        <v>0.25</v>
      </c>
      <c r="AA43" s="416">
        <f>Y43+Z43</f>
        <v>26.181572512972771</v>
      </c>
      <c r="AB43" s="416">
        <f>100*($E$17*$E$19+($E$18*(AA43/100))/(1-$E$21))</f>
        <v>20.631482505905314</v>
      </c>
      <c r="AC43" s="417">
        <f>AB43/V43</f>
        <v>7.0021220788827332E-2</v>
      </c>
      <c r="AD43" s="415">
        <f>ROUND($E$8/(1-AC43),0)</f>
        <v>2702049</v>
      </c>
      <c r="AE43" s="408" t="str">
        <f>IF(OR(OR(AD43=AD37,AD43=(AD37+5)),AD43=(AD29-5)),"yes","not yet")</f>
        <v>yes</v>
      </c>
      <c r="AF43" s="416">
        <f>100*(1-AC43)</f>
        <v>92.997877921117265</v>
      </c>
      <c r="AG43" s="408"/>
      <c r="AH43" s="408"/>
      <c r="AI43" s="408"/>
      <c r="AJ43" s="408" t="s">
        <v>977</v>
      </c>
      <c r="AK43" s="408"/>
      <c r="AL43" s="408"/>
      <c r="AM43" s="408"/>
      <c r="AN43" s="408"/>
      <c r="AO43" s="408"/>
      <c r="AP43" s="408"/>
      <c r="AQ43" s="408"/>
      <c r="AR43" s="408"/>
      <c r="AS43" s="406"/>
      <c r="AT43" s="406"/>
      <c r="AU43" s="406"/>
      <c r="AV43" s="406"/>
      <c r="AW43" s="406"/>
      <c r="AX43" s="406"/>
      <c r="AY43" s="406"/>
      <c r="AZ43" s="406"/>
      <c r="BA43" s="406"/>
      <c r="BB43" s="406"/>
      <c r="BC43" s="406"/>
      <c r="BD43" s="406"/>
      <c r="BE43" s="406"/>
      <c r="BF43" s="406"/>
      <c r="BG43" s="406"/>
      <c r="BH43" s="406"/>
      <c r="BI43" s="406"/>
      <c r="BJ43" s="406"/>
      <c r="BK43" s="407"/>
      <c r="BL43" s="407"/>
      <c r="BM43" s="407"/>
      <c r="BN43" s="407"/>
      <c r="BO43" s="407"/>
      <c r="BP43" s="407"/>
      <c r="BQ43" s="407"/>
      <c r="BR43" s="407"/>
      <c r="BS43" s="407"/>
      <c r="BT43" s="407"/>
      <c r="BU43" s="407"/>
      <c r="BV43" s="407"/>
      <c r="BW43" s="407"/>
      <c r="BX43" s="407"/>
      <c r="BY43" s="407"/>
      <c r="BZ43" s="407"/>
      <c r="CA43" s="407"/>
      <c r="CB43" s="407"/>
      <c r="CC43" s="407"/>
      <c r="CD43" s="407"/>
      <c r="CE43" s="407"/>
      <c r="CF43" s="407"/>
    </row>
    <row r="44" spans="1:84">
      <c r="A44" s="406"/>
      <c r="B44" s="408"/>
      <c r="C44" s="408"/>
      <c r="D44" s="408"/>
      <c r="E44" s="452"/>
      <c r="F44" s="408"/>
      <c r="G44" s="408"/>
      <c r="H44" s="408"/>
      <c r="I44" s="408"/>
      <c r="J44" s="408"/>
      <c r="K44" s="408"/>
      <c r="L44" s="408"/>
      <c r="M44" s="408"/>
      <c r="N44" s="408"/>
      <c r="O44" s="408"/>
      <c r="P44" s="408"/>
      <c r="Q44" s="408"/>
      <c r="R44" s="408"/>
      <c r="S44" s="408"/>
      <c r="T44" s="408"/>
      <c r="U44" s="408"/>
      <c r="V44" s="416">
        <f>100*(+AD38/$E$9)</f>
        <v>294.48344536962742</v>
      </c>
      <c r="W44" s="426">
        <f>EXP(5.6922-(0.68367*LN(V44)))</f>
        <v>6.0823049998479242</v>
      </c>
      <c r="X44" s="417">
        <f>(+W44*V44)/100</f>
        <v>17.911381321441279</v>
      </c>
      <c r="Y44" s="416">
        <f>100*((((X44/100)-((X44/100)-0.03574)*$E$21)-0.03574-0.00619)/0.344)</f>
        <v>25.708347884160599</v>
      </c>
      <c r="Z44" s="408">
        <f>$E$20</f>
        <v>0.25</v>
      </c>
      <c r="AA44" s="416">
        <f>Y44+Z44</f>
        <v>25.958347884160599</v>
      </c>
      <c r="AB44" s="416">
        <f>100*($E$17*$E$19+($E$18*(AA44/100))/(1-$E$21))</f>
        <v>20.468803617813677</v>
      </c>
      <c r="AC44" s="417">
        <f>AB44/V44</f>
        <v>6.9507484850708012E-2</v>
      </c>
      <c r="AD44" s="415">
        <f>ROUND($E$8/(1-AC44),0)</f>
        <v>2700557</v>
      </c>
      <c r="AE44" s="408" t="str">
        <f>IF(OR(OR(AD44=AD38,AD44=(AD38+5)),AD44=(AD30-5)),"yes","not yet")</f>
        <v>yes</v>
      </c>
      <c r="AF44" s="416">
        <f>100*(1-AC44)</f>
        <v>93.049251514929196</v>
      </c>
      <c r="AG44" s="408"/>
      <c r="AH44" s="408"/>
      <c r="AI44" s="408"/>
      <c r="AJ44" s="415">
        <f>HLOOKUP($AJ$34,$AJ$37:$AR$41,($E$12)+1)</f>
        <v>2702049</v>
      </c>
      <c r="AK44" s="408"/>
      <c r="AL44" s="408"/>
      <c r="AM44" s="408"/>
      <c r="AN44" s="408"/>
      <c r="AO44" s="408"/>
      <c r="AP44" s="408"/>
      <c r="AQ44" s="408"/>
      <c r="AR44" s="408"/>
      <c r="AS44" s="406"/>
      <c r="AT44" s="406"/>
      <c r="AU44" s="406"/>
      <c r="AV44" s="406"/>
      <c r="AW44" s="406"/>
      <c r="AX44" s="406"/>
      <c r="AY44" s="406"/>
      <c r="AZ44" s="406"/>
      <c r="BA44" s="406"/>
      <c r="BB44" s="406"/>
      <c r="BC44" s="406"/>
      <c r="BD44" s="406"/>
      <c r="BE44" s="406"/>
      <c r="BF44" s="406"/>
      <c r="BG44" s="406"/>
      <c r="BH44" s="406"/>
      <c r="BI44" s="406"/>
      <c r="BJ44" s="406"/>
      <c r="BK44" s="407"/>
      <c r="BL44" s="407"/>
      <c r="BM44" s="407"/>
      <c r="BN44" s="407"/>
      <c r="BO44" s="407"/>
      <c r="BP44" s="407"/>
      <c r="BQ44" s="407"/>
      <c r="BR44" s="407"/>
      <c r="BS44" s="407"/>
      <c r="BT44" s="407"/>
      <c r="BU44" s="407"/>
      <c r="BV44" s="407"/>
      <c r="BW44" s="407"/>
      <c r="BX44" s="407"/>
      <c r="BY44" s="407"/>
      <c r="BZ44" s="407"/>
      <c r="CA44" s="407"/>
      <c r="CB44" s="407"/>
      <c r="CC44" s="407"/>
      <c r="CD44" s="407"/>
      <c r="CE44" s="407"/>
      <c r="CF44" s="407"/>
    </row>
    <row r="45" spans="1:84">
      <c r="A45" s="406"/>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16"/>
      <c r="AB45" s="408"/>
      <c r="AC45" s="408"/>
      <c r="AD45" s="408"/>
      <c r="AE45" s="408"/>
      <c r="AF45" s="408"/>
      <c r="AG45" s="408"/>
      <c r="AH45" s="408"/>
      <c r="AI45" s="408"/>
      <c r="AJ45" s="408"/>
      <c r="AK45" s="408"/>
      <c r="AL45" s="408"/>
      <c r="AM45" s="408"/>
      <c r="AN45" s="408"/>
      <c r="AO45" s="408"/>
      <c r="AP45" s="408"/>
      <c r="AQ45" s="408"/>
      <c r="AR45" s="408"/>
      <c r="AS45" s="406"/>
      <c r="AT45" s="406"/>
      <c r="AU45" s="406"/>
      <c r="AV45" s="406"/>
      <c r="AW45" s="406"/>
      <c r="AX45" s="406"/>
      <c r="AY45" s="406"/>
      <c r="AZ45" s="406"/>
      <c r="BA45" s="406"/>
      <c r="BB45" s="406"/>
      <c r="BC45" s="406"/>
      <c r="BD45" s="406"/>
      <c r="BE45" s="406"/>
      <c r="BF45" s="406"/>
      <c r="BG45" s="406"/>
      <c r="BH45" s="406"/>
      <c r="BI45" s="406"/>
      <c r="BJ45" s="406"/>
      <c r="BK45" s="407"/>
      <c r="BL45" s="407"/>
      <c r="BM45" s="407"/>
      <c r="BN45" s="407"/>
      <c r="BO45" s="407"/>
      <c r="BP45" s="407"/>
      <c r="BQ45" s="407"/>
      <c r="BR45" s="407"/>
      <c r="BS45" s="407"/>
      <c r="BT45" s="407"/>
      <c r="BU45" s="407"/>
      <c r="BV45" s="407"/>
      <c r="BW45" s="407"/>
      <c r="BX45" s="407"/>
      <c r="BY45" s="407"/>
      <c r="BZ45" s="407"/>
      <c r="CA45" s="407"/>
      <c r="CB45" s="407"/>
      <c r="CC45" s="407"/>
      <c r="CD45" s="407"/>
      <c r="CE45" s="407"/>
      <c r="CF45" s="407"/>
    </row>
    <row r="46" spans="1:84">
      <c r="A46" s="406"/>
      <c r="B46" s="408"/>
      <c r="C46" s="408"/>
      <c r="D46" s="415"/>
      <c r="E46" s="415"/>
      <c r="F46" s="415"/>
      <c r="G46" s="408"/>
      <c r="H46" s="408"/>
      <c r="I46" s="408"/>
      <c r="J46" s="408"/>
      <c r="K46" s="408"/>
      <c r="L46" s="408"/>
      <c r="M46" s="408"/>
      <c r="N46" s="408"/>
      <c r="O46" s="408"/>
      <c r="P46" s="408"/>
      <c r="Q46" s="408"/>
      <c r="R46" s="408"/>
      <c r="S46" s="408"/>
      <c r="T46" s="408"/>
      <c r="U46" s="408"/>
      <c r="V46" s="413" t="s">
        <v>984</v>
      </c>
      <c r="W46" s="425" t="s">
        <v>718</v>
      </c>
      <c r="X46" s="425" t="s">
        <v>930</v>
      </c>
      <c r="Y46" s="425" t="s">
        <v>931</v>
      </c>
      <c r="Z46" s="408"/>
      <c r="AA46" s="416"/>
      <c r="AB46" s="408"/>
      <c r="AC46" s="408"/>
      <c r="AD46" s="408"/>
      <c r="AE46" s="408"/>
      <c r="AF46" s="408"/>
      <c r="AG46" s="408"/>
      <c r="AH46" s="408"/>
      <c r="AI46" s="408"/>
      <c r="AJ46" s="408"/>
      <c r="AK46" s="408"/>
      <c r="AL46" s="408"/>
      <c r="AM46" s="408"/>
      <c r="AN46" s="408"/>
      <c r="AO46" s="408"/>
      <c r="AP46" s="408"/>
      <c r="AQ46" s="408"/>
      <c r="AR46" s="408"/>
      <c r="AS46" s="406"/>
      <c r="AT46" s="406"/>
      <c r="AU46" s="406"/>
      <c r="AV46" s="406"/>
      <c r="AW46" s="406"/>
      <c r="AX46" s="406"/>
      <c r="AY46" s="406"/>
      <c r="AZ46" s="406"/>
      <c r="BA46" s="406"/>
      <c r="BB46" s="406"/>
      <c r="BC46" s="406"/>
      <c r="BD46" s="406"/>
      <c r="BE46" s="406"/>
      <c r="BF46" s="406"/>
      <c r="BG46" s="406"/>
      <c r="BH46" s="406"/>
      <c r="BI46" s="406"/>
      <c r="BJ46" s="406"/>
      <c r="BK46" s="407"/>
      <c r="BL46" s="407"/>
      <c r="BM46" s="407"/>
      <c r="BN46" s="407"/>
      <c r="BO46" s="407"/>
      <c r="BP46" s="407"/>
      <c r="BQ46" s="407"/>
      <c r="BR46" s="407"/>
      <c r="BS46" s="407"/>
      <c r="BT46" s="407"/>
      <c r="BU46" s="407"/>
      <c r="BV46" s="407"/>
      <c r="BW46" s="407"/>
      <c r="BX46" s="407"/>
      <c r="BY46" s="407"/>
      <c r="BZ46" s="407"/>
      <c r="CA46" s="407"/>
      <c r="CB46" s="407"/>
      <c r="CC46" s="407"/>
      <c r="CD46" s="407"/>
      <c r="CE46" s="407"/>
      <c r="CF46" s="407"/>
    </row>
    <row r="47" spans="1:84">
      <c r="A47" s="406"/>
      <c r="B47" s="408"/>
      <c r="C47" s="408"/>
      <c r="D47" s="415"/>
      <c r="E47" s="415"/>
      <c r="F47" s="415"/>
      <c r="G47" s="408"/>
      <c r="H47" s="408"/>
      <c r="I47" s="408"/>
      <c r="J47" s="408"/>
      <c r="K47" s="408"/>
      <c r="L47" s="408"/>
      <c r="M47" s="408"/>
      <c r="N47" s="408"/>
      <c r="O47" s="408"/>
      <c r="P47" s="408"/>
      <c r="Q47" s="408"/>
      <c r="R47" s="408"/>
      <c r="S47" s="408"/>
      <c r="T47" s="408"/>
      <c r="U47" s="408"/>
      <c r="V47" s="416">
        <f>100*(+AD41/$E$9)</f>
        <v>295.27849572412464</v>
      </c>
      <c r="W47" s="426">
        <f>EXP(5.7226-(0.68367*LN(+V47)))</f>
        <v>6.2584993859687463</v>
      </c>
      <c r="X47" s="417">
        <f>(+W47*V47)/100</f>
        <v>18.480002841792089</v>
      </c>
      <c r="Y47" s="416">
        <f>100*((((X47/100)-((X47/100)-0.03574)*$E$21)-0.03574-0.00619)/0.344)</f>
        <v>26.799307777856917</v>
      </c>
      <c r="Z47" s="408">
        <f>$E$20</f>
        <v>0.25</v>
      </c>
      <c r="AA47" s="416">
        <f>Y47+Z47</f>
        <v>27.049307777856917</v>
      </c>
      <c r="AB47" s="416">
        <f>100*($E$17*$E$19+($E$18*(AA47/100))/(1-$E$21))</f>
        <v>21.263859895445194</v>
      </c>
      <c r="AC47" s="417">
        <f>AB47/V47</f>
        <v>7.2012896988312272E-2</v>
      </c>
      <c r="AD47" s="415">
        <f>ROUND($E$8/(1-AC47),0)</f>
        <v>2707848</v>
      </c>
      <c r="AE47" s="408" t="str">
        <f>IF(OR(OR(AD47=AD41,AD47=(AD41+1)),AD47=(AD33-1)),"yes","not yet")</f>
        <v>yes</v>
      </c>
      <c r="AF47" s="416">
        <f>100*(1-AC47)</f>
        <v>92.798710301168768</v>
      </c>
      <c r="AG47" s="408"/>
      <c r="AH47" s="408"/>
      <c r="AI47" s="408"/>
      <c r="AJ47" s="408"/>
      <c r="AK47" s="408"/>
      <c r="AL47" s="408"/>
      <c r="AM47" s="408"/>
      <c r="AN47" s="408"/>
      <c r="AO47" s="408"/>
      <c r="AP47" s="408"/>
      <c r="AQ47" s="408"/>
      <c r="AR47" s="408"/>
      <c r="AS47" s="406"/>
      <c r="AT47" s="406"/>
      <c r="AU47" s="406"/>
      <c r="AV47" s="406"/>
      <c r="AW47" s="406"/>
      <c r="AX47" s="406"/>
      <c r="AY47" s="406"/>
      <c r="AZ47" s="406"/>
      <c r="BA47" s="406"/>
      <c r="BB47" s="406"/>
      <c r="BC47" s="406"/>
      <c r="BD47" s="406"/>
      <c r="BE47" s="406"/>
      <c r="BF47" s="406"/>
      <c r="BG47" s="406"/>
      <c r="BH47" s="406"/>
      <c r="BI47" s="406"/>
      <c r="BJ47" s="406"/>
      <c r="BK47" s="407"/>
      <c r="BL47" s="407"/>
      <c r="BM47" s="407"/>
      <c r="BN47" s="407"/>
      <c r="BO47" s="407"/>
      <c r="BP47" s="407"/>
      <c r="BQ47" s="407"/>
      <c r="BR47" s="407"/>
      <c r="BS47" s="407"/>
      <c r="BT47" s="407"/>
      <c r="BU47" s="407"/>
      <c r="BV47" s="407"/>
      <c r="BW47" s="407"/>
      <c r="BX47" s="407"/>
      <c r="BY47" s="407"/>
      <c r="BZ47" s="407"/>
      <c r="CA47" s="407"/>
      <c r="CB47" s="407"/>
      <c r="CC47" s="407"/>
      <c r="CD47" s="407"/>
      <c r="CE47" s="407"/>
      <c r="CF47" s="407"/>
    </row>
    <row r="48" spans="1:84">
      <c r="A48" s="406"/>
      <c r="B48" s="408"/>
      <c r="C48" s="408"/>
      <c r="D48" s="408"/>
      <c r="E48" s="411"/>
      <c r="F48" s="408"/>
      <c r="G48" s="408"/>
      <c r="H48" s="408"/>
      <c r="I48" s="408"/>
      <c r="J48" s="408"/>
      <c r="K48" s="408"/>
      <c r="L48" s="408"/>
      <c r="M48" s="408"/>
      <c r="N48" s="408"/>
      <c r="O48" s="408"/>
      <c r="P48" s="408"/>
      <c r="Q48" s="408"/>
      <c r="R48" s="408"/>
      <c r="S48" s="408"/>
      <c r="T48" s="408"/>
      <c r="U48" s="408"/>
      <c r="V48" s="416">
        <f>100*(+AD42/$E$9)</f>
        <v>294.90054420462286</v>
      </c>
      <c r="W48" s="426">
        <f>EXP(5.70827-(0.68367*LN(+V48)))</f>
        <v>6.1748592475050073</v>
      </c>
      <c r="X48" s="417">
        <f>(+W48*V48)/100</f>
        <v>18.209693524761747</v>
      </c>
      <c r="Y48" s="416">
        <f>100*((((X48/100)-((X48/100)-0.03574)*$E$21)-0.03574-0.00619)/0.344)</f>
        <v>26.280691064949867</v>
      </c>
      <c r="Z48" s="408">
        <f>$E$20</f>
        <v>0.25</v>
      </c>
      <c r="AA48" s="416">
        <f>Y48+Z48</f>
        <v>26.530691064949867</v>
      </c>
      <c r="AB48" s="416">
        <f>100*($E$17*$E$19+($E$18*(AA48/100))/(1-$E$21))</f>
        <v>20.885908812491682</v>
      </c>
      <c r="AC48" s="417">
        <f>AB48/V48</f>
        <v>7.0823568226444367E-2</v>
      </c>
      <c r="AD48" s="415">
        <f>ROUND($E$8/(1-AC48),0)</f>
        <v>2704382</v>
      </c>
      <c r="AE48" s="408" t="str">
        <f>IF(OR(OR(AD48=AD42,AD48=(AD42+1)),AD48=(AD42-1)),"yes","not yet")</f>
        <v>yes</v>
      </c>
      <c r="AF48" s="416">
        <f>100*(1-AC48)</f>
        <v>92.917643177355558</v>
      </c>
      <c r="AG48" s="408"/>
      <c r="AH48" s="408"/>
      <c r="AI48" s="408"/>
      <c r="AJ48" s="408"/>
      <c r="AK48" s="408"/>
      <c r="AL48" s="408"/>
      <c r="AM48" s="408"/>
      <c r="AN48" s="408"/>
      <c r="AO48" s="408"/>
      <c r="AP48" s="408"/>
      <c r="AQ48" s="408"/>
      <c r="AR48" s="408"/>
      <c r="AS48" s="406"/>
      <c r="AT48" s="406"/>
      <c r="AU48" s="406"/>
      <c r="AV48" s="406"/>
      <c r="AW48" s="406"/>
      <c r="AX48" s="406"/>
      <c r="AY48" s="406"/>
      <c r="AZ48" s="406"/>
      <c r="BA48" s="406"/>
      <c r="BB48" s="406"/>
      <c r="BC48" s="406"/>
      <c r="BD48" s="406"/>
      <c r="BE48" s="406"/>
      <c r="BF48" s="406"/>
      <c r="BG48" s="406"/>
      <c r="BH48" s="406"/>
      <c r="BI48" s="406"/>
      <c r="BJ48" s="406"/>
      <c r="BK48" s="407"/>
      <c r="BL48" s="407"/>
      <c r="BM48" s="407"/>
      <c r="BN48" s="407"/>
      <c r="BO48" s="407"/>
      <c r="BP48" s="407"/>
      <c r="BQ48" s="407"/>
      <c r="BR48" s="407"/>
      <c r="BS48" s="407"/>
      <c r="BT48" s="407"/>
      <c r="BU48" s="407"/>
      <c r="BV48" s="407"/>
      <c r="BW48" s="407"/>
      <c r="BX48" s="407"/>
      <c r="BY48" s="407"/>
      <c r="BZ48" s="407"/>
      <c r="CA48" s="407"/>
      <c r="CB48" s="407"/>
      <c r="CC48" s="407"/>
      <c r="CD48" s="407"/>
      <c r="CE48" s="407"/>
      <c r="CF48" s="407"/>
    </row>
    <row r="49" spans="1:84">
      <c r="A49" s="406"/>
      <c r="B49" s="408"/>
      <c r="C49" s="408"/>
      <c r="D49" s="408"/>
      <c r="E49" s="411"/>
      <c r="F49" s="408"/>
      <c r="G49" s="408"/>
      <c r="H49" s="408"/>
      <c r="I49" s="408"/>
      <c r="J49" s="408"/>
      <c r="K49" s="408"/>
      <c r="L49" s="408"/>
      <c r="M49" s="408"/>
      <c r="N49" s="408"/>
      <c r="O49" s="408"/>
      <c r="P49" s="408"/>
      <c r="Q49" s="408"/>
      <c r="R49" s="408"/>
      <c r="S49" s="408"/>
      <c r="T49" s="408"/>
      <c r="U49" s="408"/>
      <c r="V49" s="416">
        <f>100*(+AD43/$E$9)</f>
        <v>294.6461411766374</v>
      </c>
      <c r="W49" s="426">
        <f>EXP(5.6985-(0.68367*LN(V49)))</f>
        <v>6.1184336681754878</v>
      </c>
      <c r="X49" s="417">
        <f>(+W49*V49)/100</f>
        <v>18.02772870373126</v>
      </c>
      <c r="Y49" s="416">
        <f>100*((((X49/100)-((X49/100)-0.03574)*$E$21)-0.03574-0.00619)/0.344)</f>
        <v>25.931572512972771</v>
      </c>
      <c r="Z49" s="408">
        <f>$E$20</f>
        <v>0.25</v>
      </c>
      <c r="AA49" s="416">
        <f>Y49+Z49</f>
        <v>26.181572512972771</v>
      </c>
      <c r="AB49" s="416">
        <f>100*($E$17*$E$19+($E$18*(AA49/100))/(1-$E$21))</f>
        <v>20.631482505905314</v>
      </c>
      <c r="AC49" s="417">
        <f>AB49/V49</f>
        <v>7.0021220788827332E-2</v>
      </c>
      <c r="AD49" s="415">
        <f>ROUND($E$8/(1-AC49),0)</f>
        <v>2702049</v>
      </c>
      <c r="AE49" s="408" t="str">
        <f>IF(OR(OR(AD49=AD43,AD49=(AD43+1)),AD49=(AD43-1)),"yes","not yet")</f>
        <v>yes</v>
      </c>
      <c r="AF49" s="416">
        <f>100*(1-AC49)</f>
        <v>92.997877921117265</v>
      </c>
      <c r="AG49" s="408"/>
      <c r="AH49" s="408"/>
      <c r="AI49" s="408"/>
      <c r="AJ49" s="408"/>
      <c r="AK49" s="408"/>
      <c r="AL49" s="408"/>
      <c r="AM49" s="408"/>
      <c r="AN49" s="408"/>
      <c r="AO49" s="408"/>
      <c r="AP49" s="408"/>
      <c r="AQ49" s="408"/>
      <c r="AR49" s="408"/>
      <c r="AS49" s="406"/>
      <c r="AT49" s="406"/>
      <c r="AU49" s="406"/>
      <c r="AV49" s="406"/>
      <c r="AW49" s="406"/>
      <c r="AX49" s="406"/>
      <c r="AY49" s="406"/>
      <c r="AZ49" s="406"/>
      <c r="BA49" s="406"/>
      <c r="BB49" s="406"/>
      <c r="BC49" s="406"/>
      <c r="BD49" s="406"/>
      <c r="BE49" s="406"/>
      <c r="BF49" s="406"/>
      <c r="BG49" s="406"/>
      <c r="BH49" s="406"/>
      <c r="BI49" s="406"/>
      <c r="BJ49" s="406"/>
      <c r="BK49" s="407"/>
      <c r="BL49" s="407"/>
      <c r="BM49" s="407"/>
      <c r="BN49" s="407"/>
      <c r="BO49" s="407"/>
      <c r="BP49" s="407"/>
      <c r="BQ49" s="407"/>
      <c r="BR49" s="407"/>
      <c r="BS49" s="407"/>
      <c r="BT49" s="407"/>
      <c r="BU49" s="407"/>
      <c r="BV49" s="407"/>
      <c r="BW49" s="407"/>
      <c r="BX49" s="407"/>
      <c r="BY49" s="407"/>
      <c r="BZ49" s="407"/>
      <c r="CA49" s="407"/>
      <c r="CB49" s="407"/>
      <c r="CC49" s="407"/>
      <c r="CD49" s="407"/>
      <c r="CE49" s="407"/>
      <c r="CF49" s="407"/>
    </row>
    <row r="50" spans="1:84">
      <c r="A50" s="406"/>
      <c r="B50" s="408"/>
      <c r="C50" s="408"/>
      <c r="D50" s="408"/>
      <c r="E50" s="411"/>
      <c r="F50" s="408"/>
      <c r="G50" s="408"/>
      <c r="H50" s="408"/>
      <c r="I50" s="408"/>
      <c r="J50" s="408"/>
      <c r="K50" s="408"/>
      <c r="L50" s="408"/>
      <c r="M50" s="408"/>
      <c r="N50" s="408"/>
      <c r="O50" s="408"/>
      <c r="P50" s="408"/>
      <c r="Q50" s="408"/>
      <c r="R50" s="408"/>
      <c r="S50" s="408"/>
      <c r="T50" s="408"/>
      <c r="U50" s="408"/>
      <c r="V50" s="416">
        <f>100*(+AD44/$E$9)</f>
        <v>294.48344536962742</v>
      </c>
      <c r="W50" s="426">
        <f>EXP(5.6922-(0.68367*LN(V50)))</f>
        <v>6.0823049998479242</v>
      </c>
      <c r="X50" s="417">
        <f>(+W50*V50)/100</f>
        <v>17.911381321441279</v>
      </c>
      <c r="Y50" s="416">
        <f>100*((((X50/100)-((X50/100)-0.03574)*$E$21)-0.03574-0.00619)/0.344)</f>
        <v>25.708347884160599</v>
      </c>
      <c r="Z50" s="408">
        <f>$E$20</f>
        <v>0.25</v>
      </c>
      <c r="AA50" s="416">
        <f>Y50+Z50</f>
        <v>25.958347884160599</v>
      </c>
      <c r="AB50" s="416">
        <f>100*($E$17*$E$19+($E$18*(AA50/100))/(1-$E$21))</f>
        <v>20.468803617813677</v>
      </c>
      <c r="AC50" s="417">
        <f>AB50/V50</f>
        <v>6.9507484850708012E-2</v>
      </c>
      <c r="AD50" s="415">
        <f>ROUND($E$8/(1-AC50),0)</f>
        <v>2700557</v>
      </c>
      <c r="AE50" s="408" t="str">
        <f>IF(OR(OR(AD50=AD44,AD50=(AD44+1)),AD50=(AD44-1)),"yes","not yet")</f>
        <v>yes</v>
      </c>
      <c r="AF50" s="416">
        <f>100*(1-AC50)</f>
        <v>93.049251514929196</v>
      </c>
      <c r="AG50" s="408"/>
      <c r="AH50" s="408"/>
      <c r="AI50" s="408"/>
      <c r="AJ50" s="408"/>
      <c r="AK50" s="408"/>
      <c r="AL50" s="408"/>
      <c r="AM50" s="408"/>
      <c r="AN50" s="408"/>
      <c r="AO50" s="408"/>
      <c r="AP50" s="408"/>
      <c r="AQ50" s="408"/>
      <c r="AR50" s="408"/>
      <c r="AS50" s="406"/>
      <c r="AT50" s="406"/>
      <c r="AU50" s="406"/>
      <c r="AV50" s="406"/>
      <c r="AW50" s="406"/>
      <c r="AX50" s="406"/>
      <c r="AY50" s="406"/>
      <c r="AZ50" s="406"/>
      <c r="BA50" s="406"/>
      <c r="BB50" s="406"/>
      <c r="BC50" s="406"/>
      <c r="BD50" s="406"/>
      <c r="BE50" s="406"/>
      <c r="BF50" s="406"/>
      <c r="BG50" s="406"/>
      <c r="BH50" s="406"/>
      <c r="BI50" s="406"/>
      <c r="BJ50" s="406"/>
      <c r="BK50" s="407"/>
      <c r="BL50" s="407"/>
      <c r="BM50" s="407"/>
      <c r="BN50" s="407"/>
      <c r="BO50" s="407"/>
      <c r="BP50" s="407"/>
      <c r="BQ50" s="407"/>
      <c r="BR50" s="407"/>
      <c r="BS50" s="407"/>
      <c r="BT50" s="407"/>
      <c r="BU50" s="407"/>
      <c r="BV50" s="407"/>
      <c r="BW50" s="407"/>
      <c r="BX50" s="407"/>
      <c r="BY50" s="407"/>
      <c r="BZ50" s="407"/>
      <c r="CA50" s="407"/>
      <c r="CB50" s="407"/>
      <c r="CC50" s="407"/>
      <c r="CD50" s="407"/>
      <c r="CE50" s="407"/>
      <c r="CF50" s="407"/>
    </row>
    <row r="51" spans="1:84">
      <c r="A51" s="406"/>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16"/>
      <c r="AB51" s="408"/>
      <c r="AC51" s="408"/>
      <c r="AD51" s="408"/>
      <c r="AE51" s="408"/>
      <c r="AF51" s="408"/>
      <c r="AG51" s="408"/>
      <c r="AH51" s="408"/>
      <c r="AI51" s="408"/>
      <c r="AJ51" s="408"/>
      <c r="AK51" s="408"/>
      <c r="AL51" s="408"/>
      <c r="AM51" s="408"/>
      <c r="AN51" s="408"/>
      <c r="AO51" s="408"/>
      <c r="AP51" s="408"/>
      <c r="AQ51" s="408"/>
      <c r="AR51" s="408"/>
      <c r="AS51" s="406"/>
      <c r="AT51" s="406"/>
      <c r="AU51" s="406"/>
      <c r="AV51" s="406"/>
      <c r="AW51" s="406"/>
      <c r="AX51" s="406"/>
      <c r="AY51" s="406"/>
      <c r="AZ51" s="406"/>
      <c r="BA51" s="406"/>
      <c r="BB51" s="406"/>
      <c r="BC51" s="406"/>
      <c r="BD51" s="406"/>
      <c r="BE51" s="406"/>
      <c r="BF51" s="406"/>
      <c r="BG51" s="406"/>
      <c r="BH51" s="406"/>
      <c r="BI51" s="406"/>
      <c r="BJ51" s="406"/>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row>
    <row r="52" spans="1:84">
      <c r="A52" s="406"/>
      <c r="B52" s="408"/>
      <c r="C52" s="408"/>
      <c r="D52" s="408"/>
      <c r="E52" s="408"/>
      <c r="F52" s="408"/>
      <c r="G52" s="408"/>
      <c r="H52" s="408"/>
      <c r="I52" s="408"/>
      <c r="J52" s="408"/>
      <c r="K52" s="408"/>
      <c r="L52" s="408"/>
      <c r="M52" s="408"/>
      <c r="N52" s="408"/>
      <c r="O52" s="408"/>
      <c r="P52" s="408"/>
      <c r="Q52" s="408"/>
      <c r="R52" s="408"/>
      <c r="S52" s="408"/>
      <c r="T52" s="408"/>
      <c r="U52" s="408"/>
      <c r="V52" s="413" t="s">
        <v>985</v>
      </c>
      <c r="W52" s="425" t="s">
        <v>718</v>
      </c>
      <c r="X52" s="425" t="s">
        <v>930</v>
      </c>
      <c r="Y52" s="425" t="s">
        <v>931</v>
      </c>
      <c r="Z52" s="408"/>
      <c r="AA52" s="416"/>
      <c r="AB52" s="408"/>
      <c r="AC52" s="408"/>
      <c r="AD52" s="408"/>
      <c r="AE52" s="408"/>
      <c r="AF52" s="408"/>
      <c r="AG52" s="408"/>
      <c r="AH52" s="408"/>
      <c r="AI52" s="408"/>
      <c r="AJ52" s="408"/>
      <c r="AK52" s="408"/>
      <c r="AL52" s="408"/>
      <c r="AM52" s="408"/>
      <c r="AN52" s="408"/>
      <c r="AO52" s="408"/>
      <c r="AP52" s="408"/>
      <c r="AQ52" s="408"/>
      <c r="AR52" s="408"/>
      <c r="AS52" s="406"/>
      <c r="AT52" s="406"/>
      <c r="AU52" s="406"/>
      <c r="AV52" s="406"/>
      <c r="AW52" s="406"/>
      <c r="AX52" s="406"/>
      <c r="AY52" s="406"/>
      <c r="AZ52" s="406"/>
      <c r="BA52" s="406"/>
      <c r="BB52" s="406"/>
      <c r="BC52" s="406"/>
      <c r="BD52" s="406"/>
      <c r="BE52" s="406"/>
      <c r="BF52" s="406"/>
      <c r="BG52" s="406"/>
      <c r="BH52" s="406"/>
      <c r="BI52" s="406"/>
      <c r="BJ52" s="406"/>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row>
    <row r="53" spans="1:84">
      <c r="A53" s="406"/>
      <c r="B53" s="408"/>
      <c r="C53" s="408"/>
      <c r="D53" s="408"/>
      <c r="E53" s="408"/>
      <c r="F53" s="408"/>
      <c r="G53" s="408"/>
      <c r="H53" s="408"/>
      <c r="I53" s="408"/>
      <c r="J53" s="408"/>
      <c r="K53" s="408"/>
      <c r="L53" s="408"/>
      <c r="M53" s="408"/>
      <c r="N53" s="408"/>
      <c r="O53" s="408"/>
      <c r="P53" s="408"/>
      <c r="Q53" s="408"/>
      <c r="R53" s="408"/>
      <c r="S53" s="408"/>
      <c r="T53" s="408"/>
      <c r="U53" s="408"/>
      <c r="V53" s="416">
        <f>100*(+AD47/$E$9)</f>
        <v>295.27849572412464</v>
      </c>
      <c r="W53" s="426">
        <f>EXP(5.7226-(0.68367*LN(+V53)))</f>
        <v>6.2584993859687463</v>
      </c>
      <c r="X53" s="417">
        <f>(+W53*V53)/100</f>
        <v>18.480002841792089</v>
      </c>
      <c r="Y53" s="416">
        <f>100*((((X53/100)-((X53/100)-0.03574)*$E$21)-0.03574-0.00619)/0.344)</f>
        <v>26.799307777856917</v>
      </c>
      <c r="Z53" s="408">
        <f>$E$20</f>
        <v>0.25</v>
      </c>
      <c r="AA53" s="416">
        <f>Y53+Z53</f>
        <v>27.049307777856917</v>
      </c>
      <c r="AB53" s="416">
        <f>100*($E$17*$E$19+($E$18*(AA53/100))/(1-$E$21))</f>
        <v>21.263859895445194</v>
      </c>
      <c r="AC53" s="417">
        <f>AB53/V53</f>
        <v>7.2012896988312272E-2</v>
      </c>
      <c r="AD53" s="415">
        <f>ROUND($E$8/(1-AC53),0)</f>
        <v>2707848</v>
      </c>
      <c r="AE53" s="408" t="str">
        <f>IF(OR(OR(AD53=AD47,AD53=(AD47+1)),AD53=(AD39-1)),"yes","not yet")</f>
        <v>yes</v>
      </c>
      <c r="AF53" s="416">
        <f>100*(1-AC53)</f>
        <v>92.798710301168768</v>
      </c>
      <c r="AG53" s="408"/>
      <c r="AH53" s="408"/>
      <c r="AI53" s="408"/>
      <c r="AJ53" s="408"/>
      <c r="AK53" s="408"/>
      <c r="AL53" s="408"/>
      <c r="AM53" s="408"/>
      <c r="AN53" s="408"/>
      <c r="AO53" s="408"/>
      <c r="AP53" s="408"/>
      <c r="AQ53" s="408"/>
      <c r="AR53" s="408"/>
      <c r="AS53" s="406"/>
      <c r="AT53" s="406"/>
      <c r="AU53" s="406"/>
      <c r="AV53" s="406"/>
      <c r="AW53" s="406"/>
      <c r="AX53" s="406"/>
      <c r="AY53" s="406"/>
      <c r="AZ53" s="406"/>
      <c r="BA53" s="406"/>
      <c r="BB53" s="406"/>
      <c r="BC53" s="406"/>
      <c r="BD53" s="406"/>
      <c r="BE53" s="406"/>
      <c r="BF53" s="406"/>
      <c r="BG53" s="406"/>
      <c r="BH53" s="406"/>
      <c r="BI53" s="406"/>
      <c r="BJ53" s="406"/>
      <c r="BK53" s="407"/>
      <c r="BL53" s="407"/>
      <c r="BM53" s="407"/>
      <c r="BN53" s="407"/>
      <c r="BO53" s="407"/>
      <c r="BP53" s="407"/>
      <c r="BQ53" s="407"/>
      <c r="BR53" s="407"/>
      <c r="BS53" s="407"/>
      <c r="BT53" s="407"/>
      <c r="BU53" s="407"/>
      <c r="BV53" s="407"/>
      <c r="BW53" s="407"/>
      <c r="BX53" s="407"/>
      <c r="BY53" s="407"/>
      <c r="BZ53" s="407"/>
      <c r="CA53" s="407"/>
      <c r="CB53" s="407"/>
      <c r="CC53" s="407"/>
      <c r="CD53" s="407"/>
      <c r="CE53" s="407"/>
      <c r="CF53" s="407"/>
    </row>
    <row r="54" spans="1:84">
      <c r="A54" s="406"/>
      <c r="B54" s="408"/>
      <c r="C54" s="408"/>
      <c r="D54" s="408"/>
      <c r="E54" s="408"/>
      <c r="F54" s="408"/>
      <c r="G54" s="408"/>
      <c r="H54" s="408"/>
      <c r="I54" s="408"/>
      <c r="J54" s="408"/>
      <c r="K54" s="408"/>
      <c r="L54" s="408"/>
      <c r="M54" s="408"/>
      <c r="N54" s="408"/>
      <c r="O54" s="408"/>
      <c r="P54" s="408"/>
      <c r="Q54" s="408"/>
      <c r="R54" s="408"/>
      <c r="S54" s="408"/>
      <c r="T54" s="408"/>
      <c r="U54" s="408"/>
      <c r="V54" s="416">
        <f>100*(+AD48/$E$9)</f>
        <v>294.90054420462286</v>
      </c>
      <c r="W54" s="426">
        <f>EXP(5.70827-(0.68367*LN(+V54)))</f>
        <v>6.1748592475050073</v>
      </c>
      <c r="X54" s="417">
        <f>(+W54*V54)/100</f>
        <v>18.209693524761747</v>
      </c>
      <c r="Y54" s="416">
        <f>100*((((X54/100)-((X54/100)-0.03574)*$E$21)-0.03574-0.00619)/0.344)</f>
        <v>26.280691064949867</v>
      </c>
      <c r="Z54" s="408">
        <f>$E$20</f>
        <v>0.25</v>
      </c>
      <c r="AA54" s="416">
        <f>Y54+Z54</f>
        <v>26.530691064949867</v>
      </c>
      <c r="AB54" s="416">
        <f>100*($E$17*$E$19+($E$18*(AA54/100))/(1-$E$21))</f>
        <v>20.885908812491682</v>
      </c>
      <c r="AC54" s="417">
        <f>AB54/V54</f>
        <v>7.0823568226444367E-2</v>
      </c>
      <c r="AD54" s="415">
        <f>ROUND($E$8/(1-AC54),0)</f>
        <v>2704382</v>
      </c>
      <c r="AE54" s="408" t="str">
        <f>IF(OR(OR(AD54=AD48,AD54=(AD48+1)),AD54=(AD48-1)),"yes","not yet")</f>
        <v>yes</v>
      </c>
      <c r="AF54" s="416">
        <f>100*(1-AC54)</f>
        <v>92.917643177355558</v>
      </c>
      <c r="AG54" s="408"/>
      <c r="AH54" s="408"/>
      <c r="AI54" s="408"/>
      <c r="AJ54" s="408"/>
      <c r="AK54" s="408"/>
      <c r="AL54" s="408"/>
      <c r="AM54" s="408"/>
      <c r="AN54" s="408"/>
      <c r="AO54" s="408"/>
      <c r="AP54" s="408"/>
      <c r="AQ54" s="408"/>
      <c r="AR54" s="408"/>
      <c r="AS54" s="406"/>
      <c r="AT54" s="406"/>
      <c r="AU54" s="406"/>
      <c r="AV54" s="406"/>
      <c r="AW54" s="406"/>
      <c r="AX54" s="406"/>
      <c r="AY54" s="406"/>
      <c r="AZ54" s="406"/>
      <c r="BA54" s="406"/>
      <c r="BB54" s="406"/>
      <c r="BC54" s="406"/>
      <c r="BD54" s="406"/>
      <c r="BE54" s="406"/>
      <c r="BF54" s="406"/>
      <c r="BG54" s="406"/>
      <c r="BH54" s="406"/>
      <c r="BI54" s="406"/>
      <c r="BJ54" s="406"/>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row>
    <row r="55" spans="1:84">
      <c r="A55" s="406"/>
      <c r="B55" s="408"/>
      <c r="C55" s="408"/>
      <c r="D55" s="408"/>
      <c r="E55" s="408"/>
      <c r="F55" s="408"/>
      <c r="G55" s="408"/>
      <c r="H55" s="408"/>
      <c r="I55" s="408"/>
      <c r="J55" s="408"/>
      <c r="K55" s="408"/>
      <c r="L55" s="408"/>
      <c r="M55" s="408"/>
      <c r="N55" s="408"/>
      <c r="O55" s="408"/>
      <c r="P55" s="408"/>
      <c r="Q55" s="408"/>
      <c r="R55" s="408"/>
      <c r="S55" s="408"/>
      <c r="T55" s="408"/>
      <c r="U55" s="408"/>
      <c r="V55" s="416">
        <f>100*(+AD49/$E$9)</f>
        <v>294.6461411766374</v>
      </c>
      <c r="W55" s="426">
        <f>EXP(5.6985-(0.68367*LN(V55)))</f>
        <v>6.1184336681754878</v>
      </c>
      <c r="X55" s="417">
        <f>(+W55*V55)/100</f>
        <v>18.02772870373126</v>
      </c>
      <c r="Y55" s="416">
        <f>100*((((X55/100)-((X55/100)-0.03574)*$E$21)-0.03574-0.00619)/0.344)</f>
        <v>25.931572512972771</v>
      </c>
      <c r="Z55" s="408">
        <f>$E$20</f>
        <v>0.25</v>
      </c>
      <c r="AA55" s="416">
        <f>Y55+Z55</f>
        <v>26.181572512972771</v>
      </c>
      <c r="AB55" s="416">
        <f>100*($E$17*$E$19+($E$18*(AA55/100))/(1-$E$21))</f>
        <v>20.631482505905314</v>
      </c>
      <c r="AC55" s="417">
        <f>AB55/V55</f>
        <v>7.0021220788827332E-2</v>
      </c>
      <c r="AD55" s="415">
        <f>ROUND($E$8/(1-AC55),0)</f>
        <v>2702049</v>
      </c>
      <c r="AE55" s="408" t="str">
        <f>IF(OR(OR(AD55=AD49,AD55=(AD49+1)),AD55=(AD49-1)),"yes","not yet")</f>
        <v>yes</v>
      </c>
      <c r="AF55" s="416">
        <f>100*(1-AC55)</f>
        <v>92.997877921117265</v>
      </c>
      <c r="AG55" s="408"/>
      <c r="AH55" s="408"/>
      <c r="AI55" s="408"/>
      <c r="AJ55" s="408"/>
      <c r="AK55" s="408"/>
      <c r="AL55" s="408"/>
      <c r="AM55" s="408"/>
      <c r="AN55" s="408"/>
      <c r="AO55" s="408"/>
      <c r="AP55" s="408"/>
      <c r="AQ55" s="408"/>
      <c r="AR55" s="408"/>
      <c r="AS55" s="406"/>
      <c r="AT55" s="406"/>
      <c r="AU55" s="406"/>
      <c r="AV55" s="406"/>
      <c r="AW55" s="406"/>
      <c r="AX55" s="406"/>
      <c r="AY55" s="406"/>
      <c r="AZ55" s="406"/>
      <c r="BA55" s="406"/>
      <c r="BB55" s="406"/>
      <c r="BC55" s="406"/>
      <c r="BD55" s="406"/>
      <c r="BE55" s="406"/>
      <c r="BF55" s="406"/>
      <c r="BG55" s="406"/>
      <c r="BH55" s="406"/>
      <c r="BI55" s="406"/>
      <c r="BJ55" s="406"/>
      <c r="BK55" s="407"/>
      <c r="BL55" s="407"/>
      <c r="BM55" s="407"/>
      <c r="BN55" s="407"/>
      <c r="BO55" s="407"/>
      <c r="BP55" s="407"/>
      <c r="BQ55" s="407"/>
      <c r="BR55" s="407"/>
      <c r="BS55" s="407"/>
      <c r="BT55" s="407"/>
      <c r="BU55" s="407"/>
      <c r="BV55" s="407"/>
      <c r="BW55" s="407"/>
      <c r="BX55" s="407"/>
      <c r="BY55" s="407"/>
      <c r="BZ55" s="407"/>
      <c r="CA55" s="407"/>
      <c r="CB55" s="407"/>
      <c r="CC55" s="407"/>
      <c r="CD55" s="407"/>
      <c r="CE55" s="407"/>
      <c r="CF55" s="407"/>
    </row>
    <row r="56" spans="1:84">
      <c r="A56" s="406"/>
      <c r="B56" s="408"/>
      <c r="C56" s="408"/>
      <c r="D56" s="408"/>
      <c r="E56" s="408"/>
      <c r="F56" s="408"/>
      <c r="G56" s="408"/>
      <c r="H56" s="408"/>
      <c r="I56" s="408"/>
      <c r="J56" s="408"/>
      <c r="K56" s="408"/>
      <c r="L56" s="408"/>
      <c r="M56" s="408"/>
      <c r="N56" s="408"/>
      <c r="O56" s="408"/>
      <c r="P56" s="408"/>
      <c r="Q56" s="408"/>
      <c r="R56" s="408"/>
      <c r="S56" s="408"/>
      <c r="T56" s="408"/>
      <c r="U56" s="408"/>
      <c r="V56" s="416">
        <f>100*(+AD50/$E$9)</f>
        <v>294.48344536962742</v>
      </c>
      <c r="W56" s="426">
        <f>EXP(5.6922-(0.68367*LN(V56)))</f>
        <v>6.0823049998479242</v>
      </c>
      <c r="X56" s="417">
        <f>(+W56*V56)/100</f>
        <v>17.911381321441279</v>
      </c>
      <c r="Y56" s="416">
        <f>100*((((X56/100)-((X56/100)-0.03574)*$E$21)-0.03574-0.00619)/0.344)</f>
        <v>25.708347884160599</v>
      </c>
      <c r="Z56" s="408">
        <f>$E$20</f>
        <v>0.25</v>
      </c>
      <c r="AA56" s="416">
        <f>Y56+Z56</f>
        <v>25.958347884160599</v>
      </c>
      <c r="AB56" s="416">
        <f>100*($E$17*$E$19+($E$18*(AA56/100))/(1-$E$21))</f>
        <v>20.468803617813677</v>
      </c>
      <c r="AC56" s="417">
        <f>AB56/V56</f>
        <v>6.9507484850708012E-2</v>
      </c>
      <c r="AD56" s="415">
        <f>ROUND($E$8/(1-AC56),0)</f>
        <v>2700557</v>
      </c>
      <c r="AE56" s="408" t="str">
        <f>IF(OR(OR(AD56=AD50,AD56=(AD50+1)),AD56=(AD50-1)),"yes","not yet")</f>
        <v>yes</v>
      </c>
      <c r="AF56" s="416">
        <f>100*(1-AC56)</f>
        <v>93.049251514929196</v>
      </c>
      <c r="AG56" s="408"/>
      <c r="AH56" s="408"/>
      <c r="AI56" s="408"/>
      <c r="AJ56" s="408"/>
      <c r="AK56" s="408"/>
      <c r="AL56" s="408"/>
      <c r="AM56" s="408"/>
      <c r="AN56" s="408"/>
      <c r="AO56" s="408"/>
      <c r="AP56" s="408"/>
      <c r="AQ56" s="408"/>
      <c r="AR56" s="408"/>
      <c r="AS56" s="406"/>
      <c r="AT56" s="406"/>
      <c r="AU56" s="406"/>
      <c r="AV56" s="406"/>
      <c r="AW56" s="406"/>
      <c r="AX56" s="406"/>
      <c r="AY56" s="406"/>
      <c r="AZ56" s="406"/>
      <c r="BA56" s="406"/>
      <c r="BB56" s="406"/>
      <c r="BC56" s="406"/>
      <c r="BD56" s="406"/>
      <c r="BE56" s="406"/>
      <c r="BF56" s="406"/>
      <c r="BG56" s="406"/>
      <c r="BH56" s="406"/>
      <c r="BI56" s="406"/>
      <c r="BJ56" s="406"/>
      <c r="BK56" s="407"/>
      <c r="BL56" s="407"/>
      <c r="BM56" s="407"/>
      <c r="BN56" s="407"/>
      <c r="BO56" s="407"/>
      <c r="BP56" s="407"/>
      <c r="BQ56" s="407"/>
      <c r="BR56" s="407"/>
      <c r="BS56" s="407"/>
      <c r="BT56" s="407"/>
      <c r="BU56" s="407"/>
      <c r="BV56" s="407"/>
      <c r="BW56" s="407"/>
      <c r="BX56" s="407"/>
      <c r="BY56" s="407"/>
      <c r="BZ56" s="407"/>
      <c r="CA56" s="407"/>
      <c r="CB56" s="407"/>
      <c r="CC56" s="407"/>
      <c r="CD56" s="407"/>
      <c r="CE56" s="407"/>
      <c r="CF56" s="407"/>
    </row>
    <row r="57" spans="1:84">
      <c r="A57" s="406"/>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16"/>
      <c r="AB57" s="408"/>
      <c r="AC57" s="408"/>
      <c r="AD57" s="408"/>
      <c r="AE57" s="408"/>
      <c r="AF57" s="408"/>
      <c r="AG57" s="408"/>
      <c r="AH57" s="408"/>
      <c r="AI57" s="408"/>
      <c r="AJ57" s="408"/>
      <c r="AK57" s="408"/>
      <c r="AL57" s="408"/>
      <c r="AM57" s="408"/>
      <c r="AN57" s="408"/>
      <c r="AO57" s="408"/>
      <c r="AP57" s="408"/>
      <c r="AQ57" s="408"/>
      <c r="AR57" s="408"/>
      <c r="AS57" s="406"/>
      <c r="AT57" s="406"/>
      <c r="AU57" s="406"/>
      <c r="AV57" s="406"/>
      <c r="AW57" s="406"/>
      <c r="AX57" s="406"/>
      <c r="AY57" s="406"/>
      <c r="AZ57" s="406"/>
      <c r="BA57" s="406"/>
      <c r="BB57" s="406"/>
      <c r="BC57" s="406"/>
      <c r="BD57" s="406"/>
      <c r="BE57" s="406"/>
      <c r="BF57" s="406"/>
      <c r="BG57" s="406"/>
      <c r="BH57" s="406"/>
      <c r="BI57" s="406"/>
      <c r="BJ57" s="406"/>
      <c r="BK57" s="407"/>
      <c r="BL57" s="407"/>
      <c r="BM57" s="407"/>
      <c r="BN57" s="407"/>
      <c r="BO57" s="407"/>
      <c r="BP57" s="407"/>
      <c r="BQ57" s="407"/>
      <c r="BR57" s="407"/>
      <c r="BS57" s="407"/>
      <c r="BT57" s="407"/>
      <c r="BU57" s="407"/>
      <c r="BV57" s="407"/>
      <c r="BW57" s="407"/>
      <c r="BX57" s="407"/>
      <c r="BY57" s="407"/>
      <c r="BZ57" s="407"/>
      <c r="CA57" s="407"/>
      <c r="CB57" s="407"/>
      <c r="CC57" s="407"/>
      <c r="CD57" s="407"/>
      <c r="CE57" s="407"/>
      <c r="CF57" s="407"/>
    </row>
    <row r="58" spans="1:84">
      <c r="A58" s="406"/>
      <c r="B58" s="406"/>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7"/>
      <c r="BL58" s="407"/>
      <c r="BM58" s="407"/>
      <c r="BN58" s="407"/>
      <c r="BO58" s="407"/>
      <c r="BP58" s="407"/>
      <c r="BQ58" s="407"/>
      <c r="BR58" s="407"/>
      <c r="BS58" s="407"/>
      <c r="BT58" s="407"/>
      <c r="BU58" s="407"/>
      <c r="BV58" s="407"/>
      <c r="BW58" s="407"/>
      <c r="BX58" s="407"/>
      <c r="BY58" s="407"/>
      <c r="BZ58" s="407"/>
      <c r="CA58" s="407"/>
      <c r="CB58" s="407"/>
      <c r="CC58" s="407"/>
      <c r="CD58" s="407"/>
      <c r="CE58" s="407"/>
      <c r="CF58" s="407"/>
    </row>
    <row r="59" spans="1:84">
      <c r="A59" s="406"/>
      <c r="B59" s="406"/>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7"/>
      <c r="BL59" s="407"/>
      <c r="BM59" s="407"/>
      <c r="BN59" s="407"/>
      <c r="BO59" s="407"/>
      <c r="BP59" s="407"/>
      <c r="BQ59" s="407"/>
      <c r="BR59" s="407"/>
      <c r="BS59" s="407"/>
      <c r="BT59" s="407"/>
      <c r="BU59" s="407"/>
      <c r="BV59" s="407"/>
      <c r="BW59" s="407"/>
      <c r="BX59" s="407"/>
      <c r="BY59" s="407"/>
      <c r="BZ59" s="407"/>
      <c r="CA59" s="407"/>
      <c r="CB59" s="407"/>
      <c r="CC59" s="407"/>
      <c r="CD59" s="407"/>
      <c r="CE59" s="407"/>
      <c r="CF59" s="407"/>
    </row>
    <row r="60" spans="1:84">
      <c r="A60" s="406"/>
      <c r="B60" s="406"/>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7"/>
      <c r="BL60" s="407"/>
      <c r="BM60" s="407"/>
      <c r="BN60" s="407"/>
      <c r="BO60" s="407"/>
      <c r="BP60" s="407"/>
      <c r="BQ60" s="407"/>
      <c r="BR60" s="407"/>
      <c r="BS60" s="407"/>
      <c r="BT60" s="407"/>
      <c r="BU60" s="407"/>
      <c r="BV60" s="407"/>
      <c r="BW60" s="407"/>
      <c r="BX60" s="407"/>
      <c r="BY60" s="407"/>
      <c r="BZ60" s="407"/>
      <c r="CA60" s="407"/>
      <c r="CB60" s="407"/>
      <c r="CC60" s="407"/>
      <c r="CD60" s="407"/>
      <c r="CE60" s="407"/>
      <c r="CF60" s="407"/>
    </row>
    <row r="61" spans="1:84">
      <c r="A61" s="406"/>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row>
    <row r="62" spans="1:84">
      <c r="A62" s="406"/>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7"/>
      <c r="BL62" s="407"/>
      <c r="BM62" s="407"/>
      <c r="BN62" s="407"/>
      <c r="BO62" s="407"/>
      <c r="BP62" s="407"/>
      <c r="BQ62" s="407"/>
      <c r="BR62" s="407"/>
      <c r="BS62" s="407"/>
      <c r="BT62" s="407"/>
      <c r="BU62" s="407"/>
      <c r="BV62" s="407"/>
      <c r="BW62" s="407"/>
      <c r="BX62" s="407"/>
      <c r="BY62" s="407"/>
      <c r="BZ62" s="407"/>
      <c r="CA62" s="407"/>
      <c r="CB62" s="407"/>
      <c r="CC62" s="407"/>
      <c r="CD62" s="407"/>
      <c r="CE62" s="407"/>
      <c r="CF62" s="407"/>
    </row>
    <row r="63" spans="1:84">
      <c r="A63" s="406"/>
      <c r="B63" s="406"/>
      <c r="C63" s="406"/>
      <c r="D63" s="406"/>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row>
    <row r="64" spans="1:84">
      <c r="A64" s="406"/>
      <c r="B64" s="406"/>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row>
    <row r="65" spans="1:84">
      <c r="A65" s="406"/>
      <c r="B65" s="406"/>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7"/>
      <c r="BL65" s="407"/>
      <c r="BM65" s="407"/>
      <c r="BN65" s="407"/>
      <c r="BO65" s="407"/>
      <c r="BP65" s="407"/>
      <c r="BQ65" s="407"/>
      <c r="BR65" s="407"/>
      <c r="BS65" s="407"/>
      <c r="BT65" s="407"/>
      <c r="BU65" s="407"/>
      <c r="BV65" s="407"/>
      <c r="BW65" s="407"/>
      <c r="BX65" s="407"/>
      <c r="BY65" s="407"/>
      <c r="BZ65" s="407"/>
      <c r="CA65" s="407"/>
      <c r="CB65" s="407"/>
      <c r="CC65" s="407"/>
      <c r="CD65" s="407"/>
      <c r="CE65" s="407"/>
      <c r="CF65" s="407"/>
    </row>
    <row r="66" spans="1:84">
      <c r="A66" s="406"/>
      <c r="B66" s="406"/>
      <c r="C66" s="406"/>
      <c r="D66" s="406"/>
      <c r="E66" s="406"/>
      <c r="F66" s="406"/>
      <c r="G66" s="406"/>
      <c r="H66" s="406"/>
      <c r="I66" s="406"/>
      <c r="J66" s="406"/>
      <c r="K66" s="406"/>
      <c r="L66" s="406"/>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7"/>
      <c r="BL66" s="407"/>
      <c r="BM66" s="407"/>
      <c r="BN66" s="407"/>
      <c r="BO66" s="407"/>
      <c r="BP66" s="407"/>
      <c r="BQ66" s="407"/>
      <c r="BR66" s="407"/>
      <c r="BS66" s="407"/>
      <c r="BT66" s="407"/>
      <c r="BU66" s="407"/>
      <c r="BV66" s="407"/>
      <c r="BW66" s="407"/>
      <c r="BX66" s="407"/>
      <c r="BY66" s="407"/>
      <c r="BZ66" s="407"/>
      <c r="CA66" s="407"/>
      <c r="CB66" s="407"/>
      <c r="CC66" s="407"/>
      <c r="CD66" s="407"/>
      <c r="CE66" s="407"/>
      <c r="CF66" s="407"/>
    </row>
    <row r="67" spans="1:84">
      <c r="A67" s="406"/>
      <c r="B67" s="406"/>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7"/>
      <c r="BL67" s="407"/>
      <c r="BM67" s="407"/>
      <c r="BN67" s="407"/>
      <c r="BO67" s="407"/>
      <c r="BP67" s="407"/>
      <c r="BQ67" s="407"/>
      <c r="BR67" s="407"/>
      <c r="BS67" s="407"/>
      <c r="BT67" s="407"/>
      <c r="BU67" s="407"/>
      <c r="BV67" s="407"/>
      <c r="BW67" s="407"/>
      <c r="BX67" s="407"/>
      <c r="BY67" s="407"/>
      <c r="BZ67" s="407"/>
      <c r="CA67" s="407"/>
      <c r="CB67" s="407"/>
      <c r="CC67" s="407"/>
      <c r="CD67" s="407"/>
      <c r="CE67" s="407"/>
      <c r="CF67" s="407"/>
    </row>
    <row r="68" spans="1:84">
      <c r="A68" s="406"/>
      <c r="B68" s="406"/>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7"/>
      <c r="BL68" s="407"/>
      <c r="BM68" s="407"/>
      <c r="BN68" s="407"/>
      <c r="BO68" s="407"/>
      <c r="BP68" s="407"/>
      <c r="BQ68" s="407"/>
      <c r="BR68" s="407"/>
      <c r="BS68" s="407"/>
      <c r="BT68" s="407"/>
      <c r="BU68" s="407"/>
      <c r="BV68" s="407"/>
      <c r="BW68" s="407"/>
      <c r="BX68" s="407"/>
      <c r="BY68" s="407"/>
      <c r="BZ68" s="407"/>
      <c r="CA68" s="407"/>
      <c r="CB68" s="407"/>
      <c r="CC68" s="407"/>
      <c r="CD68" s="407"/>
      <c r="CE68" s="407"/>
      <c r="CF68" s="407"/>
    </row>
    <row r="69" spans="1:84">
      <c r="A69" s="406"/>
      <c r="B69" s="406"/>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7"/>
      <c r="BL69" s="407"/>
      <c r="BM69" s="407"/>
      <c r="BN69" s="407"/>
      <c r="BO69" s="407"/>
      <c r="BP69" s="407"/>
      <c r="BQ69" s="407"/>
      <c r="BR69" s="407"/>
      <c r="BS69" s="407"/>
      <c r="BT69" s="407"/>
      <c r="BU69" s="407"/>
      <c r="BV69" s="407"/>
      <c r="BW69" s="407"/>
      <c r="BX69" s="407"/>
      <c r="BY69" s="407"/>
      <c r="BZ69" s="407"/>
      <c r="CA69" s="407"/>
      <c r="CB69" s="407"/>
      <c r="CC69" s="407"/>
      <c r="CD69" s="407"/>
      <c r="CE69" s="407"/>
      <c r="CF69" s="407"/>
    </row>
    <row r="70" spans="1:84">
      <c r="A70" s="406"/>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7"/>
      <c r="BL70" s="407"/>
      <c r="BM70" s="407"/>
      <c r="BN70" s="407"/>
      <c r="BO70" s="407"/>
      <c r="BP70" s="407"/>
      <c r="BQ70" s="407"/>
      <c r="BR70" s="407"/>
      <c r="BS70" s="407"/>
      <c r="BT70" s="407"/>
      <c r="BU70" s="407"/>
      <c r="BV70" s="407"/>
      <c r="BW70" s="407"/>
      <c r="BX70" s="407"/>
      <c r="BY70" s="407"/>
      <c r="BZ70" s="407"/>
      <c r="CA70" s="407"/>
      <c r="CB70" s="407"/>
      <c r="CC70" s="407"/>
      <c r="CD70" s="407"/>
      <c r="CE70" s="407"/>
      <c r="CF70" s="407"/>
    </row>
    <row r="71" spans="1:84">
      <c r="A71" s="406"/>
      <c r="B71" s="406"/>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7"/>
      <c r="BL71" s="407"/>
      <c r="BM71" s="407"/>
      <c r="BN71" s="407"/>
      <c r="BO71" s="407"/>
      <c r="BP71" s="407"/>
      <c r="BQ71" s="407"/>
      <c r="BR71" s="407"/>
      <c r="BS71" s="407"/>
      <c r="BT71" s="407"/>
      <c r="BU71" s="407"/>
      <c r="BV71" s="407"/>
      <c r="BW71" s="407"/>
      <c r="BX71" s="407"/>
      <c r="BY71" s="407"/>
      <c r="BZ71" s="407"/>
      <c r="CA71" s="407"/>
      <c r="CB71" s="407"/>
      <c r="CC71" s="407"/>
      <c r="CD71" s="407"/>
      <c r="CE71" s="407"/>
      <c r="CF71" s="407"/>
    </row>
    <row r="72" spans="1:84">
      <c r="A72" s="406"/>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7"/>
      <c r="BL72" s="407"/>
      <c r="BM72" s="407"/>
      <c r="BN72" s="407"/>
      <c r="BO72" s="407"/>
      <c r="BP72" s="407"/>
      <c r="BQ72" s="407"/>
      <c r="BR72" s="407"/>
      <c r="BS72" s="407"/>
      <c r="BT72" s="407"/>
      <c r="BU72" s="407"/>
      <c r="BV72" s="407"/>
      <c r="BW72" s="407"/>
      <c r="BX72" s="407"/>
      <c r="BY72" s="407"/>
      <c r="BZ72" s="407"/>
      <c r="CA72" s="407"/>
      <c r="CB72" s="407"/>
      <c r="CC72" s="407"/>
      <c r="CD72" s="407"/>
      <c r="CE72" s="407"/>
      <c r="CF72" s="407"/>
    </row>
    <row r="73" spans="1:84">
      <c r="A73" s="406"/>
      <c r="B73" s="406"/>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row>
    <row r="74" spans="1:84">
      <c r="A74" s="406"/>
      <c r="B74" s="406"/>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7"/>
      <c r="BL74" s="407"/>
      <c r="BM74" s="407"/>
      <c r="BN74" s="407"/>
      <c r="BO74" s="407"/>
      <c r="BP74" s="407"/>
      <c r="BQ74" s="407"/>
      <c r="BR74" s="407"/>
      <c r="BS74" s="407"/>
      <c r="BT74" s="407"/>
      <c r="BU74" s="407"/>
      <c r="BV74" s="407"/>
      <c r="BW74" s="407"/>
      <c r="BX74" s="407"/>
      <c r="BY74" s="407"/>
      <c r="BZ74" s="407"/>
      <c r="CA74" s="407"/>
      <c r="CB74" s="407"/>
      <c r="CC74" s="407"/>
      <c r="CD74" s="407"/>
      <c r="CE74" s="407"/>
      <c r="CF74" s="407"/>
    </row>
    <row r="75" spans="1:84">
      <c r="A75" s="406"/>
      <c r="B75" s="406"/>
      <c r="C75" s="406"/>
      <c r="D75" s="406"/>
      <c r="E75" s="406"/>
      <c r="F75" s="406"/>
      <c r="G75" s="406"/>
      <c r="H75" s="406"/>
      <c r="I75" s="406"/>
      <c r="J75" s="406"/>
      <c r="K75" s="406"/>
      <c r="L75" s="406"/>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7"/>
      <c r="BL75" s="407"/>
      <c r="BM75" s="407"/>
      <c r="BN75" s="407"/>
      <c r="BO75" s="407"/>
      <c r="BP75" s="407"/>
      <c r="BQ75" s="407"/>
      <c r="BR75" s="407"/>
      <c r="BS75" s="407"/>
      <c r="BT75" s="407"/>
      <c r="BU75" s="407"/>
      <c r="BV75" s="407"/>
      <c r="BW75" s="407"/>
      <c r="BX75" s="407"/>
      <c r="BY75" s="407"/>
      <c r="BZ75" s="407"/>
      <c r="CA75" s="407"/>
      <c r="CB75" s="407"/>
      <c r="CC75" s="407"/>
      <c r="CD75" s="407"/>
      <c r="CE75" s="407"/>
      <c r="CF75" s="407"/>
    </row>
    <row r="76" spans="1:84">
      <c r="A76" s="406"/>
      <c r="B76" s="406"/>
      <c r="C76" s="406"/>
      <c r="D76" s="406"/>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7"/>
      <c r="BL76" s="407"/>
      <c r="BM76" s="407"/>
      <c r="BN76" s="407"/>
      <c r="BO76" s="407"/>
      <c r="BP76" s="407"/>
      <c r="BQ76" s="407"/>
      <c r="BR76" s="407"/>
      <c r="BS76" s="407"/>
      <c r="BT76" s="407"/>
      <c r="BU76" s="407"/>
      <c r="BV76" s="407"/>
      <c r="BW76" s="407"/>
      <c r="BX76" s="407"/>
      <c r="BY76" s="407"/>
      <c r="BZ76" s="407"/>
      <c r="CA76" s="407"/>
      <c r="CB76" s="407"/>
      <c r="CC76" s="407"/>
      <c r="CD76" s="407"/>
      <c r="CE76" s="407"/>
      <c r="CF76" s="407"/>
    </row>
    <row r="77" spans="1:84">
      <c r="A77" s="406"/>
      <c r="B77" s="406"/>
      <c r="C77" s="406"/>
      <c r="D77" s="406"/>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7"/>
      <c r="BL77" s="407"/>
      <c r="BM77" s="407"/>
      <c r="BN77" s="407"/>
      <c r="BO77" s="407"/>
      <c r="BP77" s="407"/>
      <c r="BQ77" s="407"/>
      <c r="BR77" s="407"/>
      <c r="BS77" s="407"/>
      <c r="BT77" s="407"/>
      <c r="BU77" s="407"/>
      <c r="BV77" s="407"/>
      <c r="BW77" s="407"/>
      <c r="BX77" s="407"/>
      <c r="BY77" s="407"/>
      <c r="BZ77" s="407"/>
      <c r="CA77" s="407"/>
      <c r="CB77" s="407"/>
      <c r="CC77" s="407"/>
      <c r="CD77" s="407"/>
      <c r="CE77" s="407"/>
      <c r="CF77" s="407"/>
    </row>
    <row r="78" spans="1:84">
      <c r="A78" s="406"/>
      <c r="B78" s="406"/>
      <c r="C78" s="406"/>
      <c r="D78" s="406"/>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7"/>
      <c r="BL78" s="407"/>
      <c r="BM78" s="407"/>
      <c r="BN78" s="407"/>
      <c r="BO78" s="407"/>
      <c r="BP78" s="407"/>
      <c r="BQ78" s="407"/>
      <c r="BR78" s="407"/>
      <c r="BS78" s="407"/>
      <c r="BT78" s="407"/>
      <c r="BU78" s="407"/>
      <c r="BV78" s="407"/>
      <c r="BW78" s="407"/>
      <c r="BX78" s="407"/>
      <c r="BY78" s="407"/>
      <c r="BZ78" s="407"/>
      <c r="CA78" s="407"/>
      <c r="CB78" s="407"/>
      <c r="CC78" s="407"/>
      <c r="CD78" s="407"/>
      <c r="CE78" s="407"/>
      <c r="CF78" s="407"/>
    </row>
    <row r="79" spans="1:84">
      <c r="A79" s="406"/>
      <c r="B79" s="406"/>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7"/>
      <c r="BL79" s="407"/>
      <c r="BM79" s="407"/>
      <c r="BN79" s="407"/>
      <c r="BO79" s="407"/>
      <c r="BP79" s="407"/>
      <c r="BQ79" s="407"/>
      <c r="BR79" s="407"/>
      <c r="BS79" s="407"/>
      <c r="BT79" s="407"/>
      <c r="BU79" s="407"/>
      <c r="BV79" s="407"/>
      <c r="BW79" s="407"/>
      <c r="BX79" s="407"/>
      <c r="BY79" s="407"/>
      <c r="BZ79" s="407"/>
      <c r="CA79" s="407"/>
      <c r="CB79" s="407"/>
      <c r="CC79" s="407"/>
      <c r="CD79" s="407"/>
      <c r="CE79" s="407"/>
      <c r="CF79" s="407"/>
    </row>
    <row r="80" spans="1:84">
      <c r="A80" s="406"/>
      <c r="B80" s="406"/>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7"/>
      <c r="BL80" s="407"/>
      <c r="BM80" s="407"/>
      <c r="BN80" s="407"/>
      <c r="BO80" s="407"/>
      <c r="BP80" s="407"/>
      <c r="BQ80" s="407"/>
      <c r="BR80" s="407"/>
      <c r="BS80" s="407"/>
      <c r="BT80" s="407"/>
      <c r="BU80" s="407"/>
      <c r="BV80" s="407"/>
      <c r="BW80" s="407"/>
      <c r="BX80" s="407"/>
      <c r="BY80" s="407"/>
      <c r="BZ80" s="407"/>
      <c r="CA80" s="407"/>
      <c r="CB80" s="407"/>
      <c r="CC80" s="407"/>
      <c r="CD80" s="407"/>
      <c r="CE80" s="407"/>
      <c r="CF80" s="407"/>
    </row>
    <row r="81" spans="1:84">
      <c r="A81" s="406"/>
      <c r="B81" s="406"/>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7"/>
      <c r="BL81" s="407"/>
      <c r="BM81" s="407"/>
      <c r="BN81" s="407"/>
      <c r="BO81" s="407"/>
      <c r="BP81" s="407"/>
      <c r="BQ81" s="407"/>
      <c r="BR81" s="407"/>
      <c r="BS81" s="407"/>
      <c r="BT81" s="407"/>
      <c r="BU81" s="407"/>
      <c r="BV81" s="407"/>
      <c r="BW81" s="407"/>
      <c r="BX81" s="407"/>
      <c r="BY81" s="407"/>
      <c r="BZ81" s="407"/>
      <c r="CA81" s="407"/>
      <c r="CB81" s="407"/>
      <c r="CC81" s="407"/>
      <c r="CD81" s="407"/>
      <c r="CE81" s="407"/>
      <c r="CF81" s="407"/>
    </row>
    <row r="82" spans="1:84">
      <c r="A82" s="406"/>
      <c r="B82" s="406"/>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7"/>
      <c r="BL82" s="407"/>
      <c r="BM82" s="407"/>
      <c r="BN82" s="407"/>
      <c r="BO82" s="407"/>
      <c r="BP82" s="407"/>
      <c r="BQ82" s="407"/>
      <c r="BR82" s="407"/>
      <c r="BS82" s="407"/>
      <c r="BT82" s="407"/>
      <c r="BU82" s="407"/>
      <c r="BV82" s="407"/>
      <c r="BW82" s="407"/>
      <c r="BX82" s="407"/>
      <c r="BY82" s="407"/>
      <c r="BZ82" s="407"/>
      <c r="CA82" s="407"/>
      <c r="CB82" s="407"/>
      <c r="CC82" s="407"/>
      <c r="CD82" s="407"/>
      <c r="CE82" s="407"/>
      <c r="CF82" s="407"/>
    </row>
    <row r="83" spans="1:84">
      <c r="A83" s="406"/>
      <c r="B83" s="406"/>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7"/>
      <c r="BL83" s="407"/>
      <c r="BM83" s="407"/>
      <c r="BN83" s="407"/>
      <c r="BO83" s="407"/>
      <c r="BP83" s="407"/>
      <c r="BQ83" s="407"/>
      <c r="BR83" s="407"/>
      <c r="BS83" s="407"/>
      <c r="BT83" s="407"/>
      <c r="BU83" s="407"/>
      <c r="BV83" s="407"/>
      <c r="BW83" s="407"/>
      <c r="BX83" s="407"/>
      <c r="BY83" s="407"/>
      <c r="BZ83" s="407"/>
      <c r="CA83" s="407"/>
      <c r="CB83" s="407"/>
      <c r="CC83" s="407"/>
      <c r="CD83" s="407"/>
      <c r="CE83" s="407"/>
      <c r="CF83" s="407"/>
    </row>
    <row r="84" spans="1:84">
      <c r="A84" s="406"/>
      <c r="B84" s="406"/>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7"/>
      <c r="BL84" s="407"/>
      <c r="BM84" s="407"/>
      <c r="BN84" s="407"/>
      <c r="BO84" s="407"/>
      <c r="BP84" s="407"/>
      <c r="BQ84" s="407"/>
      <c r="BR84" s="407"/>
      <c r="BS84" s="407"/>
      <c r="BT84" s="407"/>
      <c r="BU84" s="407"/>
      <c r="BV84" s="407"/>
      <c r="BW84" s="407"/>
      <c r="BX84" s="407"/>
      <c r="BY84" s="407"/>
      <c r="BZ84" s="407"/>
      <c r="CA84" s="407"/>
      <c r="CB84" s="407"/>
      <c r="CC84" s="407"/>
      <c r="CD84" s="407"/>
      <c r="CE84" s="407"/>
      <c r="CF84" s="407"/>
    </row>
    <row r="85" spans="1:84">
      <c r="A85" s="406"/>
      <c r="B85" s="406"/>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7"/>
      <c r="BL85" s="407"/>
      <c r="BM85" s="407"/>
      <c r="BN85" s="407"/>
      <c r="BO85" s="407"/>
      <c r="BP85" s="407"/>
      <c r="BQ85" s="407"/>
      <c r="BR85" s="407"/>
      <c r="BS85" s="407"/>
      <c r="BT85" s="407"/>
      <c r="BU85" s="407"/>
      <c r="BV85" s="407"/>
      <c r="BW85" s="407"/>
      <c r="BX85" s="407"/>
      <c r="BY85" s="407"/>
      <c r="BZ85" s="407"/>
      <c r="CA85" s="407"/>
      <c r="CB85" s="407"/>
      <c r="CC85" s="407"/>
      <c r="CD85" s="407"/>
      <c r="CE85" s="407"/>
      <c r="CF85" s="407"/>
    </row>
    <row r="86" spans="1:84">
      <c r="A86" s="406"/>
      <c r="B86" s="406"/>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row>
    <row r="87" spans="1:84">
      <c r="A87" s="406"/>
      <c r="B87" s="406"/>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406"/>
      <c r="BG87" s="406"/>
      <c r="BH87" s="406"/>
      <c r="BI87" s="406"/>
      <c r="BJ87" s="406"/>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row>
    <row r="88" spans="1:84">
      <c r="A88" s="406"/>
      <c r="B88" s="406"/>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row>
    <row r="89" spans="1:84">
      <c r="A89" s="406"/>
      <c r="B89" s="406"/>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406"/>
      <c r="BG89" s="406"/>
      <c r="BH89" s="406"/>
      <c r="BI89" s="406"/>
      <c r="BJ89" s="406"/>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row>
    <row r="90" spans="1:84">
      <c r="A90" s="406"/>
      <c r="B90" s="406"/>
      <c r="C90" s="406"/>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c r="AN90" s="406"/>
      <c r="AO90" s="406"/>
      <c r="AP90" s="406"/>
      <c r="AQ90" s="406"/>
      <c r="AR90" s="406"/>
      <c r="AS90" s="406"/>
      <c r="AT90" s="406"/>
      <c r="AU90" s="406"/>
      <c r="AV90" s="406"/>
      <c r="AW90" s="406"/>
      <c r="AX90" s="406"/>
      <c r="AY90" s="406"/>
      <c r="AZ90" s="406"/>
      <c r="BA90" s="406"/>
      <c r="BB90" s="406"/>
      <c r="BC90" s="406"/>
      <c r="BD90" s="406"/>
      <c r="BE90" s="406"/>
      <c r="BF90" s="406"/>
      <c r="BG90" s="406"/>
      <c r="BH90" s="406"/>
      <c r="BI90" s="406"/>
      <c r="BJ90" s="406"/>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row>
    <row r="91" spans="1:84">
      <c r="A91" s="406"/>
      <c r="B91" s="406"/>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row>
    <row r="92" spans="1:84">
      <c r="A92" s="406"/>
      <c r="B92" s="406"/>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406"/>
      <c r="BG92" s="406"/>
      <c r="BH92" s="406"/>
      <c r="BI92" s="406"/>
      <c r="BJ92" s="406"/>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row>
    <row r="93" spans="1:84">
      <c r="A93" s="406"/>
      <c r="B93" s="406"/>
      <c r="C93" s="406"/>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row>
    <row r="94" spans="1:84">
      <c r="A94" s="406"/>
      <c r="B94" s="406"/>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406"/>
      <c r="BG94" s="406"/>
      <c r="BH94" s="406"/>
      <c r="BI94" s="406"/>
      <c r="BJ94" s="406"/>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row>
    <row r="95" spans="1:84">
      <c r="A95" s="406"/>
      <c r="B95" s="406"/>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row>
    <row r="96" spans="1:84">
      <c r="A96" s="406"/>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6"/>
      <c r="AN96" s="406"/>
      <c r="AO96" s="406"/>
      <c r="AP96" s="406"/>
      <c r="AQ96" s="406"/>
      <c r="AR96" s="406"/>
      <c r="AS96" s="406"/>
      <c r="AT96" s="406"/>
      <c r="AU96" s="406"/>
      <c r="AV96" s="406"/>
      <c r="AW96" s="406"/>
      <c r="AX96" s="406"/>
      <c r="AY96" s="406"/>
      <c r="AZ96" s="406"/>
      <c r="BA96" s="406"/>
      <c r="BB96" s="406"/>
      <c r="BC96" s="406"/>
      <c r="BD96" s="406"/>
      <c r="BE96" s="406"/>
      <c r="BF96" s="406"/>
      <c r="BG96" s="406"/>
      <c r="BH96" s="406"/>
      <c r="BI96" s="406"/>
      <c r="BJ96" s="406"/>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row>
    <row r="97" spans="1:84">
      <c r="A97" s="406"/>
      <c r="B97" s="406"/>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406"/>
      <c r="BG97" s="406"/>
      <c r="BH97" s="406"/>
      <c r="BI97" s="406"/>
      <c r="BJ97" s="406"/>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row>
    <row r="98" spans="1:84">
      <c r="A98" s="406"/>
      <c r="B98" s="406"/>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row>
    <row r="99" spans="1:84">
      <c r="A99" s="406"/>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row>
    <row r="100" spans="1:84">
      <c r="A100" s="406"/>
      <c r="B100" s="406"/>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406"/>
      <c r="BG100" s="406"/>
      <c r="BH100" s="406"/>
      <c r="BI100" s="406"/>
      <c r="BJ100" s="406"/>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row>
    <row r="101" spans="1:84">
      <c r="A101" s="406"/>
      <c r="B101" s="406"/>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c r="AN101" s="406"/>
      <c r="AO101" s="406"/>
      <c r="AP101" s="406"/>
      <c r="AQ101" s="406"/>
      <c r="AR101" s="406"/>
      <c r="AS101" s="406"/>
      <c r="AT101" s="406"/>
      <c r="AU101" s="406"/>
      <c r="AV101" s="406"/>
      <c r="AW101" s="406"/>
      <c r="AX101" s="406"/>
      <c r="AY101" s="406"/>
      <c r="AZ101" s="406"/>
      <c r="BA101" s="406"/>
      <c r="BB101" s="406"/>
      <c r="BC101" s="406"/>
      <c r="BD101" s="406"/>
      <c r="BE101" s="406"/>
      <c r="BF101" s="406"/>
      <c r="BG101" s="406"/>
      <c r="BH101" s="406"/>
      <c r="BI101" s="406"/>
      <c r="BJ101" s="406"/>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row>
    <row r="102" spans="1:84">
      <c r="A102" s="406"/>
      <c r="B102" s="406"/>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6"/>
      <c r="BB102" s="406"/>
      <c r="BC102" s="406"/>
      <c r="BD102" s="406"/>
      <c r="BE102" s="406"/>
      <c r="BF102" s="406"/>
      <c r="BG102" s="406"/>
      <c r="BH102" s="406"/>
      <c r="BI102" s="406"/>
      <c r="BJ102" s="406"/>
      <c r="BK102" s="407"/>
      <c r="BL102" s="407"/>
      <c r="BM102" s="407"/>
      <c r="BN102" s="407"/>
      <c r="BO102" s="407"/>
      <c r="BP102" s="407"/>
      <c r="BQ102" s="407"/>
      <c r="BR102" s="407"/>
      <c r="BS102" s="407"/>
      <c r="BT102" s="407"/>
      <c r="BU102" s="407"/>
      <c r="BV102" s="407"/>
      <c r="BW102" s="407"/>
      <c r="BX102" s="407"/>
      <c r="BY102" s="407"/>
      <c r="BZ102" s="407"/>
      <c r="CA102" s="407"/>
      <c r="CB102" s="407"/>
      <c r="CC102" s="407"/>
      <c r="CD102" s="407"/>
      <c r="CE102" s="407"/>
      <c r="CF102" s="407"/>
    </row>
    <row r="103" spans="1:84">
      <c r="A103" s="406"/>
      <c r="B103" s="40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406"/>
      <c r="BB103" s="406"/>
      <c r="BC103" s="406"/>
      <c r="BD103" s="406"/>
      <c r="BE103" s="406"/>
      <c r="BF103" s="406"/>
      <c r="BG103" s="406"/>
      <c r="BH103" s="406"/>
      <c r="BI103" s="406"/>
      <c r="BJ103" s="406"/>
      <c r="BK103" s="407"/>
      <c r="BL103" s="407"/>
      <c r="BM103" s="407"/>
      <c r="BN103" s="407"/>
      <c r="BO103" s="407"/>
      <c r="BP103" s="407"/>
      <c r="BQ103" s="407"/>
      <c r="BR103" s="407"/>
      <c r="BS103" s="407"/>
      <c r="BT103" s="407"/>
      <c r="BU103" s="407"/>
      <c r="BV103" s="407"/>
      <c r="BW103" s="407"/>
      <c r="BX103" s="407"/>
      <c r="BY103" s="407"/>
      <c r="BZ103" s="407"/>
      <c r="CA103" s="407"/>
      <c r="CB103" s="407"/>
      <c r="CC103" s="407"/>
      <c r="CD103" s="407"/>
      <c r="CE103" s="407"/>
      <c r="CF103" s="407"/>
    </row>
    <row r="104" spans="1:84">
      <c r="A104" s="406"/>
      <c r="B104" s="406"/>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7"/>
      <c r="BL104" s="407"/>
      <c r="BM104" s="407"/>
      <c r="BN104" s="407"/>
      <c r="BO104" s="407"/>
      <c r="BP104" s="407"/>
      <c r="BQ104" s="407"/>
      <c r="BR104" s="407"/>
      <c r="BS104" s="407"/>
      <c r="BT104" s="407"/>
      <c r="BU104" s="407"/>
      <c r="BV104" s="407"/>
      <c r="BW104" s="407"/>
      <c r="BX104" s="407"/>
      <c r="BY104" s="407"/>
      <c r="BZ104" s="407"/>
      <c r="CA104" s="407"/>
      <c r="CB104" s="407"/>
      <c r="CC104" s="407"/>
      <c r="CD104" s="407"/>
      <c r="CE104" s="407"/>
      <c r="CF104" s="407"/>
    </row>
    <row r="105" spans="1:84">
      <c r="A105" s="406"/>
      <c r="B105" s="406"/>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06"/>
      <c r="BK105" s="407"/>
      <c r="BL105" s="407"/>
      <c r="BM105" s="407"/>
      <c r="BN105" s="407"/>
      <c r="BO105" s="407"/>
      <c r="BP105" s="407"/>
      <c r="BQ105" s="407"/>
      <c r="BR105" s="407"/>
      <c r="BS105" s="407"/>
      <c r="BT105" s="407"/>
      <c r="BU105" s="407"/>
      <c r="BV105" s="407"/>
      <c r="BW105" s="407"/>
      <c r="BX105" s="407"/>
      <c r="BY105" s="407"/>
      <c r="BZ105" s="407"/>
      <c r="CA105" s="407"/>
      <c r="CB105" s="407"/>
      <c r="CC105" s="407"/>
      <c r="CD105" s="407"/>
      <c r="CE105" s="407"/>
      <c r="CF105" s="407"/>
    </row>
    <row r="106" spans="1:84">
      <c r="A106" s="406"/>
      <c r="B106" s="406"/>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06"/>
      <c r="BK106" s="407"/>
      <c r="BL106" s="407"/>
      <c r="BM106" s="407"/>
      <c r="BN106" s="407"/>
      <c r="BO106" s="407"/>
      <c r="BP106" s="407"/>
      <c r="BQ106" s="407"/>
      <c r="BR106" s="407"/>
      <c r="BS106" s="407"/>
      <c r="BT106" s="407"/>
      <c r="BU106" s="407"/>
      <c r="BV106" s="407"/>
      <c r="BW106" s="407"/>
      <c r="BX106" s="407"/>
      <c r="BY106" s="407"/>
      <c r="BZ106" s="407"/>
      <c r="CA106" s="407"/>
      <c r="CB106" s="407"/>
      <c r="CC106" s="407"/>
      <c r="CD106" s="407"/>
      <c r="CE106" s="407"/>
      <c r="CF106" s="407"/>
    </row>
    <row r="107" spans="1:84">
      <c r="A107" s="406"/>
      <c r="B107" s="406"/>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06"/>
      <c r="BK107" s="407"/>
      <c r="BL107" s="407"/>
      <c r="BM107" s="407"/>
      <c r="BN107" s="407"/>
      <c r="BO107" s="407"/>
      <c r="BP107" s="407"/>
      <c r="BQ107" s="407"/>
      <c r="BR107" s="407"/>
      <c r="BS107" s="407"/>
      <c r="BT107" s="407"/>
      <c r="BU107" s="407"/>
      <c r="BV107" s="407"/>
      <c r="BW107" s="407"/>
      <c r="BX107" s="407"/>
      <c r="BY107" s="407"/>
      <c r="BZ107" s="407"/>
      <c r="CA107" s="407"/>
      <c r="CB107" s="407"/>
      <c r="CC107" s="407"/>
      <c r="CD107" s="407"/>
      <c r="CE107" s="407"/>
      <c r="CF107" s="407"/>
    </row>
    <row r="108" spans="1:84">
      <c r="A108" s="406"/>
      <c r="B108" s="406"/>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406"/>
      <c r="BI108" s="406"/>
      <c r="BJ108" s="406"/>
      <c r="BK108" s="407"/>
      <c r="BL108" s="407"/>
      <c r="BM108" s="407"/>
      <c r="BN108" s="407"/>
      <c r="BO108" s="407"/>
      <c r="BP108" s="407"/>
      <c r="BQ108" s="407"/>
      <c r="BR108" s="407"/>
      <c r="BS108" s="407"/>
      <c r="BT108" s="407"/>
      <c r="BU108" s="407"/>
      <c r="BV108" s="407"/>
      <c r="BW108" s="407"/>
      <c r="BX108" s="407"/>
      <c r="BY108" s="407"/>
      <c r="BZ108" s="407"/>
      <c r="CA108" s="407"/>
      <c r="CB108" s="407"/>
      <c r="CC108" s="407"/>
      <c r="CD108" s="407"/>
      <c r="CE108" s="407"/>
      <c r="CF108" s="407"/>
    </row>
    <row r="109" spans="1:84">
      <c r="A109" s="406"/>
      <c r="B109" s="406"/>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7"/>
      <c r="BL109" s="407"/>
      <c r="BM109" s="407"/>
      <c r="BN109" s="407"/>
      <c r="BO109" s="407"/>
      <c r="BP109" s="407"/>
      <c r="BQ109" s="407"/>
      <c r="BR109" s="407"/>
      <c r="BS109" s="407"/>
      <c r="BT109" s="407"/>
      <c r="BU109" s="407"/>
      <c r="BV109" s="407"/>
      <c r="BW109" s="407"/>
      <c r="BX109" s="407"/>
      <c r="BY109" s="407"/>
      <c r="BZ109" s="407"/>
      <c r="CA109" s="407"/>
      <c r="CB109" s="407"/>
      <c r="CC109" s="407"/>
      <c r="CD109" s="407"/>
      <c r="CE109" s="407"/>
      <c r="CF109" s="407"/>
    </row>
    <row r="110" spans="1:84">
      <c r="A110" s="406"/>
      <c r="B110" s="406"/>
      <c r="C110" s="406"/>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c r="AO110" s="406"/>
      <c r="AP110" s="406"/>
      <c r="AQ110" s="406"/>
      <c r="AR110" s="406"/>
      <c r="AS110" s="406"/>
      <c r="AT110" s="406"/>
      <c r="AU110" s="406"/>
      <c r="AV110" s="406"/>
      <c r="AW110" s="406"/>
      <c r="AX110" s="406"/>
      <c r="AY110" s="406"/>
      <c r="AZ110" s="406"/>
      <c r="BA110" s="406"/>
      <c r="BB110" s="406"/>
      <c r="BC110" s="406"/>
      <c r="BD110" s="406"/>
      <c r="BE110" s="406"/>
      <c r="BF110" s="406"/>
      <c r="BG110" s="406"/>
      <c r="BH110" s="406"/>
      <c r="BI110" s="406"/>
      <c r="BJ110" s="406"/>
      <c r="BK110" s="407"/>
      <c r="BL110" s="407"/>
      <c r="BM110" s="407"/>
      <c r="BN110" s="407"/>
      <c r="BO110" s="407"/>
      <c r="BP110" s="407"/>
      <c r="BQ110" s="407"/>
      <c r="BR110" s="407"/>
      <c r="BS110" s="407"/>
      <c r="BT110" s="407"/>
      <c r="BU110" s="407"/>
      <c r="BV110" s="407"/>
      <c r="BW110" s="407"/>
      <c r="BX110" s="407"/>
      <c r="BY110" s="407"/>
      <c r="BZ110" s="407"/>
      <c r="CA110" s="407"/>
      <c r="CB110" s="407"/>
      <c r="CC110" s="407"/>
      <c r="CD110" s="407"/>
      <c r="CE110" s="407"/>
      <c r="CF110" s="407"/>
    </row>
    <row r="111" spans="1:84">
      <c r="A111" s="406"/>
      <c r="B111" s="406"/>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406"/>
      <c r="BI111" s="406"/>
      <c r="BJ111" s="406"/>
      <c r="BK111" s="407"/>
      <c r="BL111" s="407"/>
      <c r="BM111" s="407"/>
      <c r="BN111" s="407"/>
      <c r="BO111" s="407"/>
      <c r="BP111" s="407"/>
      <c r="BQ111" s="407"/>
      <c r="BR111" s="407"/>
      <c r="BS111" s="407"/>
      <c r="BT111" s="407"/>
      <c r="BU111" s="407"/>
      <c r="BV111" s="407"/>
      <c r="BW111" s="407"/>
      <c r="BX111" s="407"/>
      <c r="BY111" s="407"/>
      <c r="BZ111" s="407"/>
      <c r="CA111" s="407"/>
      <c r="CB111" s="407"/>
      <c r="CC111" s="407"/>
      <c r="CD111" s="407"/>
      <c r="CE111" s="407"/>
      <c r="CF111" s="407"/>
    </row>
    <row r="112" spans="1:84">
      <c r="A112" s="406"/>
      <c r="B112" s="406"/>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c r="AN112" s="406"/>
      <c r="AO112" s="406"/>
      <c r="AP112" s="406"/>
      <c r="AQ112" s="40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7"/>
      <c r="BL112" s="407"/>
      <c r="BM112" s="407"/>
      <c r="BN112" s="407"/>
      <c r="BO112" s="407"/>
      <c r="BP112" s="407"/>
      <c r="BQ112" s="407"/>
      <c r="BR112" s="407"/>
      <c r="BS112" s="407"/>
      <c r="BT112" s="407"/>
      <c r="BU112" s="407"/>
      <c r="BV112" s="407"/>
      <c r="BW112" s="407"/>
      <c r="BX112" s="407"/>
      <c r="BY112" s="407"/>
      <c r="BZ112" s="407"/>
      <c r="CA112" s="407"/>
      <c r="CB112" s="407"/>
      <c r="CC112" s="407"/>
      <c r="CD112" s="407"/>
      <c r="CE112" s="407"/>
      <c r="CF112" s="407"/>
    </row>
    <row r="113" spans="1:84">
      <c r="A113" s="406"/>
      <c r="B113" s="406"/>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06"/>
      <c r="AX113" s="406"/>
      <c r="AY113" s="406"/>
      <c r="AZ113" s="406"/>
      <c r="BA113" s="406"/>
      <c r="BB113" s="406"/>
      <c r="BC113" s="406"/>
      <c r="BD113" s="406"/>
      <c r="BE113" s="406"/>
      <c r="BF113" s="406"/>
      <c r="BG113" s="406"/>
      <c r="BH113" s="406"/>
      <c r="BI113" s="406"/>
      <c r="BJ113" s="406"/>
      <c r="BK113" s="407"/>
      <c r="BL113" s="407"/>
      <c r="BM113" s="407"/>
      <c r="BN113" s="407"/>
      <c r="BO113" s="407"/>
      <c r="BP113" s="407"/>
      <c r="BQ113" s="407"/>
      <c r="BR113" s="407"/>
      <c r="BS113" s="407"/>
      <c r="BT113" s="407"/>
      <c r="BU113" s="407"/>
      <c r="BV113" s="407"/>
      <c r="BW113" s="407"/>
      <c r="BX113" s="407"/>
      <c r="BY113" s="407"/>
      <c r="BZ113" s="407"/>
      <c r="CA113" s="407"/>
      <c r="CB113" s="407"/>
      <c r="CC113" s="407"/>
      <c r="CD113" s="407"/>
      <c r="CE113" s="407"/>
      <c r="CF113" s="407"/>
    </row>
    <row r="114" spans="1:84">
      <c r="A114" s="406"/>
      <c r="B114" s="406"/>
      <c r="C114" s="406"/>
      <c r="D114" s="406"/>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406"/>
      <c r="BI114" s="406"/>
      <c r="BJ114" s="406"/>
      <c r="BK114" s="407"/>
      <c r="BL114" s="407"/>
      <c r="BM114" s="407"/>
      <c r="BN114" s="407"/>
      <c r="BO114" s="407"/>
      <c r="BP114" s="407"/>
      <c r="BQ114" s="407"/>
      <c r="BR114" s="407"/>
      <c r="BS114" s="407"/>
      <c r="BT114" s="407"/>
      <c r="BU114" s="407"/>
      <c r="BV114" s="407"/>
      <c r="BW114" s="407"/>
      <c r="BX114" s="407"/>
      <c r="BY114" s="407"/>
      <c r="BZ114" s="407"/>
      <c r="CA114" s="407"/>
      <c r="CB114" s="407"/>
      <c r="CC114" s="407"/>
      <c r="CD114" s="407"/>
      <c r="CE114" s="407"/>
      <c r="CF114" s="407"/>
    </row>
    <row r="115" spans="1:84">
      <c r="A115" s="406"/>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7"/>
      <c r="BL115" s="407"/>
      <c r="BM115" s="407"/>
      <c r="BN115" s="407"/>
      <c r="BO115" s="407"/>
      <c r="BP115" s="407"/>
      <c r="BQ115" s="407"/>
      <c r="BR115" s="407"/>
      <c r="BS115" s="407"/>
      <c r="BT115" s="407"/>
      <c r="BU115" s="407"/>
      <c r="BV115" s="407"/>
      <c r="BW115" s="407"/>
      <c r="BX115" s="407"/>
      <c r="BY115" s="407"/>
      <c r="BZ115" s="407"/>
      <c r="CA115" s="407"/>
      <c r="CB115" s="407"/>
      <c r="CC115" s="407"/>
      <c r="CD115" s="407"/>
      <c r="CE115" s="407"/>
      <c r="CF115" s="407"/>
    </row>
    <row r="116" spans="1:84">
      <c r="A116" s="406"/>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7"/>
      <c r="BL116" s="407"/>
      <c r="BM116" s="407"/>
      <c r="BN116" s="407"/>
      <c r="BO116" s="407"/>
      <c r="BP116" s="407"/>
      <c r="BQ116" s="407"/>
      <c r="BR116" s="407"/>
      <c r="BS116" s="407"/>
      <c r="BT116" s="407"/>
      <c r="BU116" s="407"/>
      <c r="BV116" s="407"/>
      <c r="BW116" s="407"/>
      <c r="BX116" s="407"/>
      <c r="BY116" s="407"/>
      <c r="BZ116" s="407"/>
      <c r="CA116" s="407"/>
      <c r="CB116" s="407"/>
      <c r="CC116" s="407"/>
      <c r="CD116" s="407"/>
      <c r="CE116" s="407"/>
      <c r="CF116" s="407"/>
    </row>
    <row r="117" spans="1:84">
      <c r="A117" s="406"/>
      <c r="B117" s="406"/>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7"/>
      <c r="BL117" s="407"/>
      <c r="BM117" s="407"/>
      <c r="BN117" s="407"/>
      <c r="BO117" s="407"/>
      <c r="BP117" s="407"/>
      <c r="BQ117" s="407"/>
      <c r="BR117" s="407"/>
      <c r="BS117" s="407"/>
      <c r="BT117" s="407"/>
      <c r="BU117" s="407"/>
      <c r="BV117" s="407"/>
      <c r="BW117" s="407"/>
      <c r="BX117" s="407"/>
      <c r="BY117" s="407"/>
      <c r="BZ117" s="407"/>
      <c r="CA117" s="407"/>
      <c r="CB117" s="407"/>
      <c r="CC117" s="407"/>
      <c r="CD117" s="407"/>
      <c r="CE117" s="407"/>
      <c r="CF117" s="407"/>
    </row>
    <row r="118" spans="1:84">
      <c r="A118" s="406"/>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06"/>
      <c r="AU118" s="406"/>
      <c r="AV118" s="406"/>
      <c r="AW118" s="406"/>
      <c r="AX118" s="406"/>
      <c r="AY118" s="406"/>
      <c r="AZ118" s="406"/>
      <c r="BA118" s="406"/>
      <c r="BB118" s="406"/>
      <c r="BC118" s="406"/>
      <c r="BD118" s="406"/>
      <c r="BE118" s="406"/>
      <c r="BF118" s="406"/>
      <c r="BG118" s="406"/>
      <c r="BH118" s="406"/>
      <c r="BI118" s="406"/>
      <c r="BJ118" s="406"/>
      <c r="BK118" s="407"/>
      <c r="BL118" s="407"/>
      <c r="BM118" s="407"/>
      <c r="BN118" s="407"/>
      <c r="BO118" s="407"/>
      <c r="BP118" s="407"/>
      <c r="BQ118" s="407"/>
      <c r="BR118" s="407"/>
      <c r="BS118" s="407"/>
      <c r="BT118" s="407"/>
      <c r="BU118" s="407"/>
      <c r="BV118" s="407"/>
      <c r="BW118" s="407"/>
      <c r="BX118" s="407"/>
      <c r="BY118" s="407"/>
      <c r="BZ118" s="407"/>
      <c r="CA118" s="407"/>
      <c r="CB118" s="407"/>
      <c r="CC118" s="407"/>
      <c r="CD118" s="407"/>
      <c r="CE118" s="407"/>
      <c r="CF118" s="407"/>
    </row>
    <row r="119" spans="1:84">
      <c r="A119" s="406"/>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c r="AN119" s="406"/>
      <c r="AO119" s="406"/>
      <c r="AP119" s="406"/>
      <c r="AQ119" s="406"/>
      <c r="AR119" s="406"/>
      <c r="AS119" s="406"/>
      <c r="AT119" s="406"/>
      <c r="AU119" s="406"/>
      <c r="AV119" s="406"/>
      <c r="AW119" s="406"/>
      <c r="AX119" s="406"/>
      <c r="AY119" s="406"/>
      <c r="AZ119" s="406"/>
      <c r="BA119" s="406"/>
      <c r="BB119" s="406"/>
      <c r="BC119" s="406"/>
      <c r="BD119" s="406"/>
      <c r="BE119" s="406"/>
      <c r="BF119" s="406"/>
      <c r="BG119" s="406"/>
      <c r="BH119" s="406"/>
      <c r="BI119" s="406"/>
      <c r="BJ119" s="406"/>
      <c r="BK119" s="407"/>
      <c r="BL119" s="407"/>
      <c r="BM119" s="407"/>
      <c r="BN119" s="407"/>
      <c r="BO119" s="407"/>
      <c r="BP119" s="407"/>
      <c r="BQ119" s="407"/>
      <c r="BR119" s="407"/>
      <c r="BS119" s="407"/>
      <c r="BT119" s="407"/>
      <c r="BU119" s="407"/>
      <c r="BV119" s="407"/>
      <c r="BW119" s="407"/>
      <c r="BX119" s="407"/>
      <c r="BY119" s="407"/>
      <c r="BZ119" s="407"/>
      <c r="CA119" s="407"/>
      <c r="CB119" s="407"/>
      <c r="CC119" s="407"/>
      <c r="CD119" s="407"/>
      <c r="CE119" s="407"/>
      <c r="CF119" s="407"/>
    </row>
    <row r="120" spans="1:84">
      <c r="A120" s="406"/>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c r="AN120" s="406"/>
      <c r="AO120" s="406"/>
      <c r="AP120" s="406"/>
      <c r="AQ120" s="406"/>
      <c r="AR120" s="406"/>
      <c r="AS120" s="406"/>
      <c r="AT120" s="406"/>
      <c r="AU120" s="406"/>
      <c r="AV120" s="406"/>
      <c r="AW120" s="406"/>
      <c r="AX120" s="406"/>
      <c r="AY120" s="406"/>
      <c r="AZ120" s="406"/>
      <c r="BA120" s="406"/>
      <c r="BB120" s="406"/>
      <c r="BC120" s="406"/>
      <c r="BD120" s="406"/>
      <c r="BE120" s="406"/>
      <c r="BF120" s="406"/>
      <c r="BG120" s="406"/>
      <c r="BH120" s="406"/>
      <c r="BI120" s="406"/>
      <c r="BJ120" s="406"/>
      <c r="BK120" s="407"/>
      <c r="BL120" s="407"/>
      <c r="BM120" s="407"/>
      <c r="BN120" s="407"/>
      <c r="BO120" s="407"/>
      <c r="BP120" s="407"/>
      <c r="BQ120" s="407"/>
      <c r="BR120" s="407"/>
      <c r="BS120" s="407"/>
      <c r="BT120" s="407"/>
      <c r="BU120" s="407"/>
      <c r="BV120" s="407"/>
      <c r="BW120" s="407"/>
      <c r="BX120" s="407"/>
      <c r="BY120" s="407"/>
      <c r="BZ120" s="407"/>
      <c r="CA120" s="407"/>
      <c r="CB120" s="407"/>
      <c r="CC120" s="407"/>
      <c r="CD120" s="407"/>
      <c r="CE120" s="407"/>
      <c r="CF120" s="407"/>
    </row>
    <row r="121" spans="1:84">
      <c r="A121" s="406"/>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c r="AN121" s="406"/>
      <c r="AO121" s="406"/>
      <c r="AP121" s="406"/>
      <c r="AQ121" s="406"/>
      <c r="AR121" s="406"/>
      <c r="AS121" s="406"/>
      <c r="AT121" s="406"/>
      <c r="AU121" s="406"/>
      <c r="AV121" s="406"/>
      <c r="AW121" s="406"/>
      <c r="AX121" s="406"/>
      <c r="AY121" s="406"/>
      <c r="AZ121" s="406"/>
      <c r="BA121" s="406"/>
      <c r="BB121" s="406"/>
      <c r="BC121" s="406"/>
      <c r="BD121" s="406"/>
      <c r="BE121" s="406"/>
      <c r="BF121" s="406"/>
      <c r="BG121" s="406"/>
      <c r="BH121" s="406"/>
      <c r="BI121" s="406"/>
      <c r="BJ121" s="406"/>
      <c r="BK121" s="407"/>
      <c r="BL121" s="407"/>
      <c r="BM121" s="407"/>
      <c r="BN121" s="407"/>
      <c r="BO121" s="407"/>
      <c r="BP121" s="407"/>
      <c r="BQ121" s="407"/>
      <c r="BR121" s="407"/>
      <c r="BS121" s="407"/>
      <c r="BT121" s="407"/>
      <c r="BU121" s="407"/>
      <c r="BV121" s="407"/>
      <c r="BW121" s="407"/>
      <c r="BX121" s="407"/>
      <c r="BY121" s="407"/>
      <c r="BZ121" s="407"/>
      <c r="CA121" s="407"/>
      <c r="CB121" s="407"/>
      <c r="CC121" s="407"/>
      <c r="CD121" s="407"/>
      <c r="CE121" s="407"/>
      <c r="CF121" s="407"/>
    </row>
    <row r="122" spans="1:84">
      <c r="A122" s="406"/>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7"/>
      <c r="BL122" s="407"/>
      <c r="BM122" s="407"/>
      <c r="BN122" s="407"/>
      <c r="BO122" s="407"/>
      <c r="BP122" s="407"/>
      <c r="BQ122" s="407"/>
      <c r="BR122" s="407"/>
      <c r="BS122" s="407"/>
      <c r="BT122" s="407"/>
      <c r="BU122" s="407"/>
      <c r="BV122" s="407"/>
      <c r="BW122" s="407"/>
      <c r="BX122" s="407"/>
      <c r="BY122" s="407"/>
      <c r="BZ122" s="407"/>
      <c r="CA122" s="407"/>
      <c r="CB122" s="407"/>
      <c r="CC122" s="407"/>
      <c r="CD122" s="407"/>
      <c r="CE122" s="407"/>
      <c r="CF122" s="407"/>
    </row>
    <row r="123" spans="1:84">
      <c r="A123" s="406"/>
      <c r="B123" s="406"/>
      <c r="C123" s="406"/>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6"/>
      <c r="BB123" s="406"/>
      <c r="BC123" s="406"/>
      <c r="BD123" s="406"/>
      <c r="BE123" s="406"/>
      <c r="BF123" s="406"/>
      <c r="BG123" s="406"/>
      <c r="BH123" s="406"/>
      <c r="BI123" s="406"/>
      <c r="BJ123" s="406"/>
      <c r="BK123" s="407"/>
      <c r="BL123" s="407"/>
      <c r="BM123" s="407"/>
      <c r="BN123" s="407"/>
      <c r="BO123" s="407"/>
      <c r="BP123" s="407"/>
      <c r="BQ123" s="407"/>
      <c r="BR123" s="407"/>
      <c r="BS123" s="407"/>
      <c r="BT123" s="407"/>
      <c r="BU123" s="407"/>
      <c r="BV123" s="407"/>
      <c r="BW123" s="407"/>
      <c r="BX123" s="407"/>
      <c r="BY123" s="407"/>
      <c r="BZ123" s="407"/>
      <c r="CA123" s="407"/>
      <c r="CB123" s="407"/>
      <c r="CC123" s="407"/>
      <c r="CD123" s="407"/>
      <c r="CE123" s="407"/>
      <c r="CF123" s="407"/>
    </row>
    <row r="124" spans="1:84">
      <c r="A124" s="406"/>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row>
    <row r="125" spans="1:84">
      <c r="A125" s="406"/>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7"/>
      <c r="BL125" s="407"/>
      <c r="BM125" s="407"/>
      <c r="BN125" s="407"/>
      <c r="BO125" s="407"/>
      <c r="BP125" s="407"/>
      <c r="BQ125" s="407"/>
      <c r="BR125" s="407"/>
      <c r="BS125" s="407"/>
      <c r="BT125" s="407"/>
      <c r="BU125" s="407"/>
      <c r="BV125" s="407"/>
      <c r="BW125" s="407"/>
      <c r="BX125" s="407"/>
      <c r="BY125" s="407"/>
      <c r="BZ125" s="407"/>
      <c r="CA125" s="407"/>
      <c r="CB125" s="407"/>
      <c r="CC125" s="407"/>
      <c r="CD125" s="407"/>
      <c r="CE125" s="407"/>
      <c r="CF125" s="407"/>
    </row>
    <row r="126" spans="1:84">
      <c r="A126" s="406"/>
      <c r="B126" s="406"/>
      <c r="C126" s="406"/>
      <c r="D126" s="406"/>
      <c r="E126" s="406"/>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6"/>
      <c r="BB126" s="406"/>
      <c r="BC126" s="406"/>
      <c r="BD126" s="406"/>
      <c r="BE126" s="406"/>
      <c r="BF126" s="406"/>
      <c r="BG126" s="406"/>
      <c r="BH126" s="406"/>
      <c r="BI126" s="406"/>
      <c r="BJ126" s="406"/>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row>
    <row r="127" spans="1:84">
      <c r="A127" s="406"/>
      <c r="B127" s="406"/>
      <c r="C127" s="406"/>
      <c r="D127" s="406"/>
      <c r="E127" s="406"/>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c r="AN127" s="406"/>
      <c r="AO127" s="406"/>
      <c r="AP127" s="406"/>
      <c r="AQ127" s="406"/>
      <c r="AR127" s="406"/>
      <c r="AS127" s="406"/>
      <c r="AT127" s="406"/>
      <c r="AU127" s="406"/>
      <c r="AV127" s="406"/>
      <c r="AW127" s="406"/>
      <c r="AX127" s="406"/>
      <c r="AY127" s="406"/>
      <c r="AZ127" s="406"/>
      <c r="BA127" s="406"/>
      <c r="BB127" s="406"/>
      <c r="BC127" s="406"/>
      <c r="BD127" s="406"/>
      <c r="BE127" s="406"/>
      <c r="BF127" s="406"/>
      <c r="BG127" s="406"/>
      <c r="BH127" s="406"/>
      <c r="BI127" s="406"/>
      <c r="BJ127" s="406"/>
      <c r="BK127" s="407"/>
      <c r="BL127" s="407"/>
      <c r="BM127" s="407"/>
      <c r="BN127" s="407"/>
      <c r="BO127" s="407"/>
      <c r="BP127" s="407"/>
      <c r="BQ127" s="407"/>
      <c r="BR127" s="407"/>
      <c r="BS127" s="407"/>
      <c r="BT127" s="407"/>
      <c r="BU127" s="407"/>
      <c r="BV127" s="407"/>
      <c r="BW127" s="407"/>
      <c r="BX127" s="407"/>
      <c r="BY127" s="407"/>
      <c r="BZ127" s="407"/>
      <c r="CA127" s="407"/>
      <c r="CB127" s="407"/>
      <c r="CC127" s="407"/>
      <c r="CD127" s="407"/>
      <c r="CE127" s="407"/>
      <c r="CF127" s="407"/>
    </row>
    <row r="128" spans="1:84">
      <c r="A128" s="406"/>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c r="AN128" s="406"/>
      <c r="AO128" s="406"/>
      <c r="AP128" s="406"/>
      <c r="AQ128" s="40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7"/>
      <c r="BL128" s="407"/>
      <c r="BM128" s="407"/>
      <c r="BN128" s="407"/>
      <c r="BO128" s="407"/>
      <c r="BP128" s="407"/>
      <c r="BQ128" s="407"/>
      <c r="BR128" s="407"/>
      <c r="BS128" s="407"/>
      <c r="BT128" s="407"/>
      <c r="BU128" s="407"/>
      <c r="BV128" s="407"/>
      <c r="BW128" s="407"/>
      <c r="BX128" s="407"/>
      <c r="BY128" s="407"/>
      <c r="BZ128" s="407"/>
      <c r="CA128" s="407"/>
      <c r="CB128" s="407"/>
      <c r="CC128" s="407"/>
      <c r="CD128" s="407"/>
      <c r="CE128" s="407"/>
      <c r="CF128" s="407"/>
    </row>
    <row r="129" spans="1:84">
      <c r="A129" s="406"/>
      <c r="B129" s="406"/>
      <c r="C129" s="406"/>
      <c r="D129" s="406"/>
      <c r="E129" s="406"/>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406"/>
      <c r="BI129" s="406"/>
      <c r="BJ129" s="406"/>
      <c r="BK129" s="407"/>
      <c r="BL129" s="407"/>
      <c r="BM129" s="407"/>
      <c r="BN129" s="407"/>
      <c r="BO129" s="407"/>
      <c r="BP129" s="407"/>
      <c r="BQ129" s="407"/>
      <c r="BR129" s="407"/>
      <c r="BS129" s="407"/>
      <c r="BT129" s="407"/>
      <c r="BU129" s="407"/>
      <c r="BV129" s="407"/>
      <c r="BW129" s="407"/>
      <c r="BX129" s="407"/>
      <c r="BY129" s="407"/>
      <c r="BZ129" s="407"/>
      <c r="CA129" s="407"/>
      <c r="CB129" s="407"/>
      <c r="CC129" s="407"/>
      <c r="CD129" s="407"/>
      <c r="CE129" s="407"/>
      <c r="CF129" s="407"/>
    </row>
    <row r="130" spans="1:84">
      <c r="A130" s="406"/>
      <c r="B130" s="406"/>
      <c r="C130" s="406"/>
      <c r="D130" s="406"/>
      <c r="E130" s="406"/>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c r="AN130" s="406"/>
      <c r="AO130" s="406"/>
      <c r="AP130" s="406"/>
      <c r="AQ130" s="406"/>
      <c r="AR130" s="406"/>
      <c r="AS130" s="406"/>
      <c r="AT130" s="406"/>
      <c r="AU130" s="406"/>
      <c r="AV130" s="406"/>
      <c r="AW130" s="406"/>
      <c r="AX130" s="406"/>
      <c r="AY130" s="406"/>
      <c r="AZ130" s="406"/>
      <c r="BA130" s="406"/>
      <c r="BB130" s="406"/>
      <c r="BC130" s="406"/>
      <c r="BD130" s="406"/>
      <c r="BE130" s="406"/>
      <c r="BF130" s="406"/>
      <c r="BG130" s="406"/>
      <c r="BH130" s="406"/>
      <c r="BI130" s="406"/>
      <c r="BJ130" s="406"/>
      <c r="BK130" s="407"/>
      <c r="BL130" s="407"/>
      <c r="BM130" s="407"/>
      <c r="BN130" s="407"/>
      <c r="BO130" s="407"/>
      <c r="BP130" s="407"/>
      <c r="BQ130" s="407"/>
      <c r="BR130" s="407"/>
      <c r="BS130" s="407"/>
      <c r="BT130" s="407"/>
      <c r="BU130" s="407"/>
      <c r="BV130" s="407"/>
      <c r="BW130" s="407"/>
      <c r="BX130" s="407"/>
      <c r="BY130" s="407"/>
      <c r="BZ130" s="407"/>
      <c r="CA130" s="407"/>
      <c r="CB130" s="407"/>
      <c r="CC130" s="407"/>
      <c r="CD130" s="407"/>
      <c r="CE130" s="407"/>
      <c r="CF130" s="407"/>
    </row>
    <row r="131" spans="1:84">
      <c r="A131" s="406"/>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c r="AS131" s="406"/>
      <c r="AT131" s="406"/>
      <c r="AU131" s="406"/>
      <c r="AV131" s="406"/>
      <c r="AW131" s="406"/>
      <c r="AX131" s="406"/>
      <c r="AY131" s="406"/>
      <c r="AZ131" s="406"/>
      <c r="BA131" s="406"/>
      <c r="BB131" s="406"/>
      <c r="BC131" s="406"/>
      <c r="BD131" s="406"/>
      <c r="BE131" s="406"/>
      <c r="BF131" s="406"/>
      <c r="BG131" s="406"/>
      <c r="BH131" s="406"/>
      <c r="BI131" s="406"/>
      <c r="BJ131" s="406"/>
      <c r="BK131" s="407"/>
      <c r="BL131" s="407"/>
      <c r="BM131" s="407"/>
      <c r="BN131" s="407"/>
      <c r="BO131" s="407"/>
      <c r="BP131" s="407"/>
      <c r="BQ131" s="407"/>
      <c r="BR131" s="407"/>
      <c r="BS131" s="407"/>
      <c r="BT131" s="407"/>
      <c r="BU131" s="407"/>
      <c r="BV131" s="407"/>
      <c r="BW131" s="407"/>
      <c r="BX131" s="407"/>
      <c r="BY131" s="407"/>
      <c r="BZ131" s="407"/>
      <c r="CA131" s="407"/>
      <c r="CB131" s="407"/>
      <c r="CC131" s="407"/>
      <c r="CD131" s="407"/>
      <c r="CE131" s="407"/>
      <c r="CF131" s="407"/>
    </row>
    <row r="132" spans="1:84">
      <c r="A132" s="406"/>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c r="AN132" s="406"/>
      <c r="AO132" s="406"/>
      <c r="AP132" s="406"/>
      <c r="AQ132" s="40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7"/>
      <c r="BL132" s="407"/>
      <c r="BM132" s="407"/>
      <c r="BN132" s="407"/>
      <c r="BO132" s="407"/>
      <c r="BP132" s="407"/>
      <c r="BQ132" s="407"/>
      <c r="BR132" s="407"/>
      <c r="BS132" s="407"/>
      <c r="BT132" s="407"/>
      <c r="BU132" s="407"/>
      <c r="BV132" s="407"/>
      <c r="BW132" s="407"/>
      <c r="BX132" s="407"/>
      <c r="BY132" s="407"/>
      <c r="BZ132" s="407"/>
      <c r="CA132" s="407"/>
      <c r="CB132" s="407"/>
      <c r="CC132" s="407"/>
      <c r="CD132" s="407"/>
      <c r="CE132" s="407"/>
      <c r="CF132" s="407"/>
    </row>
    <row r="133" spans="1:84">
      <c r="A133" s="406"/>
      <c r="B133" s="406"/>
      <c r="C133" s="406"/>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c r="AN133" s="406"/>
      <c r="AO133" s="406"/>
      <c r="AP133" s="406"/>
      <c r="AQ133" s="406"/>
      <c r="AR133" s="406"/>
      <c r="AS133" s="406"/>
      <c r="AT133" s="406"/>
      <c r="AU133" s="406"/>
      <c r="AV133" s="406"/>
      <c r="AW133" s="406"/>
      <c r="AX133" s="406"/>
      <c r="AY133" s="406"/>
      <c r="AZ133" s="406"/>
      <c r="BA133" s="406"/>
      <c r="BB133" s="406"/>
      <c r="BC133" s="406"/>
      <c r="BD133" s="406"/>
      <c r="BE133" s="406"/>
      <c r="BF133" s="406"/>
      <c r="BG133" s="406"/>
      <c r="BH133" s="406"/>
      <c r="BI133" s="406"/>
      <c r="BJ133" s="406"/>
      <c r="BK133" s="407"/>
      <c r="BL133" s="407"/>
      <c r="BM133" s="407"/>
      <c r="BN133" s="407"/>
      <c r="BO133" s="407"/>
      <c r="BP133" s="407"/>
      <c r="BQ133" s="407"/>
      <c r="BR133" s="407"/>
      <c r="BS133" s="407"/>
      <c r="BT133" s="407"/>
      <c r="BU133" s="407"/>
      <c r="BV133" s="407"/>
      <c r="BW133" s="407"/>
      <c r="BX133" s="407"/>
      <c r="BY133" s="407"/>
      <c r="BZ133" s="407"/>
      <c r="CA133" s="407"/>
      <c r="CB133" s="407"/>
      <c r="CC133" s="407"/>
      <c r="CD133" s="407"/>
      <c r="CE133" s="407"/>
      <c r="CF133" s="407"/>
    </row>
    <row r="134" spans="1:84">
      <c r="A134" s="406"/>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6"/>
      <c r="AY134" s="406"/>
      <c r="AZ134" s="406"/>
      <c r="BA134" s="406"/>
      <c r="BB134" s="406"/>
      <c r="BC134" s="406"/>
      <c r="BD134" s="406"/>
      <c r="BE134" s="406"/>
      <c r="BF134" s="406"/>
      <c r="BG134" s="406"/>
      <c r="BH134" s="406"/>
      <c r="BI134" s="406"/>
      <c r="BJ134" s="406"/>
      <c r="BK134" s="407"/>
      <c r="BL134" s="407"/>
      <c r="BM134" s="407"/>
      <c r="BN134" s="407"/>
      <c r="BO134" s="407"/>
      <c r="BP134" s="407"/>
      <c r="BQ134" s="407"/>
      <c r="BR134" s="407"/>
      <c r="BS134" s="407"/>
      <c r="BT134" s="407"/>
      <c r="BU134" s="407"/>
      <c r="BV134" s="407"/>
      <c r="BW134" s="407"/>
      <c r="BX134" s="407"/>
      <c r="BY134" s="407"/>
      <c r="BZ134" s="407"/>
      <c r="CA134" s="407"/>
      <c r="CB134" s="407"/>
      <c r="CC134" s="407"/>
      <c r="CD134" s="407"/>
      <c r="CE134" s="407"/>
      <c r="CF134" s="407"/>
    </row>
    <row r="135" spans="1:84">
      <c r="A135" s="406"/>
      <c r="B135" s="406"/>
      <c r="C135" s="406"/>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7"/>
      <c r="BL135" s="407"/>
      <c r="BM135" s="407"/>
      <c r="BN135" s="407"/>
      <c r="BO135" s="407"/>
      <c r="BP135" s="407"/>
      <c r="BQ135" s="407"/>
      <c r="BR135" s="407"/>
      <c r="BS135" s="407"/>
      <c r="BT135" s="407"/>
      <c r="BU135" s="407"/>
      <c r="BV135" s="407"/>
      <c r="BW135" s="407"/>
      <c r="BX135" s="407"/>
      <c r="BY135" s="407"/>
      <c r="BZ135" s="407"/>
      <c r="CA135" s="407"/>
      <c r="CB135" s="407"/>
      <c r="CC135" s="407"/>
      <c r="CD135" s="407"/>
      <c r="CE135" s="407"/>
      <c r="CF135" s="407"/>
    </row>
    <row r="136" spans="1:84">
      <c r="A136" s="406"/>
      <c r="B136" s="406"/>
      <c r="C136" s="406"/>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7"/>
      <c r="BL136" s="407"/>
      <c r="BM136" s="407"/>
      <c r="BN136" s="407"/>
      <c r="BO136" s="407"/>
      <c r="BP136" s="407"/>
      <c r="BQ136" s="407"/>
      <c r="BR136" s="407"/>
      <c r="BS136" s="407"/>
      <c r="BT136" s="407"/>
      <c r="BU136" s="407"/>
      <c r="BV136" s="407"/>
      <c r="BW136" s="407"/>
      <c r="BX136" s="407"/>
      <c r="BY136" s="407"/>
      <c r="BZ136" s="407"/>
      <c r="CA136" s="407"/>
      <c r="CB136" s="407"/>
      <c r="CC136" s="407"/>
      <c r="CD136" s="407"/>
      <c r="CE136" s="407"/>
      <c r="CF136" s="407"/>
    </row>
    <row r="137" spans="1:84">
      <c r="A137" s="406"/>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c r="AO137" s="406"/>
      <c r="AP137" s="406"/>
      <c r="AQ137" s="406"/>
      <c r="AR137" s="406"/>
      <c r="AS137" s="406"/>
      <c r="AT137" s="406"/>
      <c r="AU137" s="406"/>
      <c r="AV137" s="406"/>
      <c r="AW137" s="406"/>
      <c r="AX137" s="406"/>
      <c r="AY137" s="406"/>
      <c r="AZ137" s="406"/>
      <c r="BA137" s="406"/>
      <c r="BB137" s="406"/>
      <c r="BC137" s="406"/>
      <c r="BD137" s="406"/>
      <c r="BE137" s="406"/>
      <c r="BF137" s="406"/>
      <c r="BG137" s="406"/>
      <c r="BH137" s="406"/>
      <c r="BI137" s="406"/>
      <c r="BJ137" s="406"/>
      <c r="BK137" s="407"/>
      <c r="BL137" s="407"/>
      <c r="BM137" s="407"/>
      <c r="BN137" s="407"/>
      <c r="BO137" s="407"/>
      <c r="BP137" s="407"/>
      <c r="BQ137" s="407"/>
      <c r="BR137" s="407"/>
      <c r="BS137" s="407"/>
      <c r="BT137" s="407"/>
      <c r="BU137" s="407"/>
      <c r="BV137" s="407"/>
      <c r="BW137" s="407"/>
      <c r="BX137" s="407"/>
      <c r="BY137" s="407"/>
      <c r="BZ137" s="407"/>
      <c r="CA137" s="407"/>
      <c r="CB137" s="407"/>
      <c r="CC137" s="407"/>
      <c r="CD137" s="407"/>
      <c r="CE137" s="407"/>
      <c r="CF137" s="407"/>
    </row>
    <row r="138" spans="1:84">
      <c r="A138" s="406"/>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c r="AN138" s="406"/>
      <c r="AO138" s="406"/>
      <c r="AP138" s="406"/>
      <c r="AQ138" s="406"/>
      <c r="AR138" s="406"/>
      <c r="AS138" s="406"/>
      <c r="AT138" s="406"/>
      <c r="AU138" s="406"/>
      <c r="AV138" s="406"/>
      <c r="AW138" s="406"/>
      <c r="AX138" s="406"/>
      <c r="AY138" s="406"/>
      <c r="AZ138" s="406"/>
      <c r="BA138" s="406"/>
      <c r="BB138" s="406"/>
      <c r="BC138" s="406"/>
      <c r="BD138" s="406"/>
      <c r="BE138" s="406"/>
      <c r="BF138" s="406"/>
      <c r="BG138" s="406"/>
      <c r="BH138" s="406"/>
      <c r="BI138" s="406"/>
      <c r="BJ138" s="406"/>
      <c r="BK138" s="407"/>
      <c r="BL138" s="407"/>
      <c r="BM138" s="407"/>
      <c r="BN138" s="407"/>
      <c r="BO138" s="407"/>
      <c r="BP138" s="407"/>
      <c r="BQ138" s="407"/>
      <c r="BR138" s="407"/>
      <c r="BS138" s="407"/>
      <c r="BT138" s="407"/>
      <c r="BU138" s="407"/>
      <c r="BV138" s="407"/>
      <c r="BW138" s="407"/>
      <c r="BX138" s="407"/>
      <c r="BY138" s="407"/>
      <c r="BZ138" s="407"/>
      <c r="CA138" s="407"/>
      <c r="CB138" s="407"/>
      <c r="CC138" s="407"/>
      <c r="CD138" s="407"/>
      <c r="CE138" s="407"/>
      <c r="CF138" s="407"/>
    </row>
    <row r="139" spans="1:84">
      <c r="A139" s="406"/>
      <c r="B139" s="406"/>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c r="AO139" s="406"/>
      <c r="AP139" s="406"/>
      <c r="AQ139" s="406"/>
      <c r="AR139" s="406"/>
      <c r="AS139" s="406"/>
      <c r="AT139" s="406"/>
      <c r="AU139" s="406"/>
      <c r="AV139" s="406"/>
      <c r="AW139" s="406"/>
      <c r="AX139" s="406"/>
      <c r="AY139" s="406"/>
      <c r="AZ139" s="406"/>
      <c r="BA139" s="406"/>
      <c r="BB139" s="406"/>
      <c r="BC139" s="406"/>
      <c r="BD139" s="406"/>
      <c r="BE139" s="406"/>
      <c r="BF139" s="406"/>
      <c r="BG139" s="406"/>
      <c r="BH139" s="406"/>
      <c r="BI139" s="406"/>
      <c r="BJ139" s="406"/>
      <c r="BK139" s="407"/>
      <c r="BL139" s="407"/>
      <c r="BM139" s="407"/>
      <c r="BN139" s="407"/>
      <c r="BO139" s="407"/>
      <c r="BP139" s="407"/>
      <c r="BQ139" s="407"/>
      <c r="BR139" s="407"/>
      <c r="BS139" s="407"/>
      <c r="BT139" s="407"/>
      <c r="BU139" s="407"/>
      <c r="BV139" s="407"/>
      <c r="BW139" s="407"/>
      <c r="BX139" s="407"/>
      <c r="BY139" s="407"/>
      <c r="BZ139" s="407"/>
      <c r="CA139" s="407"/>
      <c r="CB139" s="407"/>
      <c r="CC139" s="407"/>
      <c r="CD139" s="407"/>
      <c r="CE139" s="407"/>
      <c r="CF139" s="407"/>
    </row>
    <row r="140" spans="1:84">
      <c r="A140" s="406"/>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406"/>
      <c r="AO140" s="406"/>
      <c r="AP140" s="406"/>
      <c r="AQ140" s="406"/>
      <c r="AR140" s="406"/>
      <c r="AS140" s="406"/>
      <c r="AT140" s="406"/>
      <c r="AU140" s="406"/>
      <c r="AV140" s="406"/>
      <c r="AW140" s="406"/>
      <c r="AX140" s="406"/>
      <c r="AY140" s="406"/>
      <c r="AZ140" s="406"/>
      <c r="BA140" s="406"/>
      <c r="BB140" s="406"/>
      <c r="BC140" s="406"/>
      <c r="BD140" s="406"/>
      <c r="BE140" s="406"/>
      <c r="BF140" s="406"/>
      <c r="BG140" s="406"/>
      <c r="BH140" s="406"/>
      <c r="BI140" s="406"/>
      <c r="BJ140" s="406"/>
      <c r="BK140" s="407"/>
      <c r="BL140" s="407"/>
      <c r="BM140" s="407"/>
      <c r="BN140" s="407"/>
      <c r="BO140" s="407"/>
      <c r="BP140" s="407"/>
      <c r="BQ140" s="407"/>
      <c r="BR140" s="407"/>
      <c r="BS140" s="407"/>
      <c r="BT140" s="407"/>
      <c r="BU140" s="407"/>
      <c r="BV140" s="407"/>
      <c r="BW140" s="407"/>
      <c r="BX140" s="407"/>
      <c r="BY140" s="407"/>
      <c r="BZ140" s="407"/>
      <c r="CA140" s="407"/>
      <c r="CB140" s="407"/>
      <c r="CC140" s="407"/>
      <c r="CD140" s="407"/>
      <c r="CE140" s="407"/>
      <c r="CF140" s="407"/>
    </row>
    <row r="141" spans="1:84">
      <c r="A141" s="406"/>
      <c r="B141" s="406"/>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406"/>
      <c r="AO141" s="406"/>
      <c r="AP141" s="406"/>
      <c r="AQ141" s="406"/>
      <c r="AR141" s="406"/>
      <c r="AS141" s="406"/>
      <c r="AT141" s="406"/>
      <c r="AU141" s="406"/>
      <c r="AV141" s="406"/>
      <c r="AW141" s="406"/>
      <c r="AX141" s="406"/>
      <c r="AY141" s="406"/>
      <c r="AZ141" s="406"/>
      <c r="BA141" s="406"/>
      <c r="BB141" s="406"/>
      <c r="BC141" s="406"/>
      <c r="BD141" s="406"/>
      <c r="BE141" s="406"/>
      <c r="BF141" s="406"/>
      <c r="BG141" s="406"/>
      <c r="BH141" s="406"/>
      <c r="BI141" s="406"/>
      <c r="BJ141" s="406"/>
      <c r="BK141" s="407"/>
      <c r="BL141" s="407"/>
      <c r="BM141" s="407"/>
      <c r="BN141" s="407"/>
      <c r="BO141" s="407"/>
      <c r="BP141" s="407"/>
      <c r="BQ141" s="407"/>
      <c r="BR141" s="407"/>
      <c r="BS141" s="407"/>
      <c r="BT141" s="407"/>
      <c r="BU141" s="407"/>
      <c r="BV141" s="407"/>
      <c r="BW141" s="407"/>
      <c r="BX141" s="407"/>
      <c r="BY141" s="407"/>
      <c r="BZ141" s="407"/>
      <c r="CA141" s="407"/>
      <c r="CB141" s="407"/>
      <c r="CC141" s="407"/>
      <c r="CD141" s="407"/>
      <c r="CE141" s="407"/>
      <c r="CF141" s="407"/>
    </row>
    <row r="142" spans="1:84">
      <c r="A142" s="406"/>
      <c r="B142" s="406"/>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406"/>
      <c r="AO142" s="406"/>
      <c r="AP142" s="406"/>
      <c r="AQ142" s="406"/>
      <c r="AR142" s="406"/>
      <c r="AS142" s="406"/>
      <c r="AT142" s="406"/>
      <c r="AU142" s="406"/>
      <c r="AV142" s="406"/>
      <c r="AW142" s="406"/>
      <c r="AX142" s="406"/>
      <c r="AY142" s="406"/>
      <c r="AZ142" s="406"/>
      <c r="BA142" s="406"/>
      <c r="BB142" s="406"/>
      <c r="BC142" s="406"/>
      <c r="BD142" s="406"/>
      <c r="BE142" s="406"/>
      <c r="BF142" s="406"/>
      <c r="BG142" s="406"/>
      <c r="BH142" s="406"/>
      <c r="BI142" s="406"/>
      <c r="BJ142" s="406"/>
      <c r="BK142" s="407"/>
      <c r="BL142" s="407"/>
      <c r="BM142" s="407"/>
      <c r="BN142" s="407"/>
      <c r="BO142" s="407"/>
      <c r="BP142" s="407"/>
      <c r="BQ142" s="407"/>
      <c r="BR142" s="407"/>
      <c r="BS142" s="407"/>
      <c r="BT142" s="407"/>
      <c r="BU142" s="407"/>
      <c r="BV142" s="407"/>
      <c r="BW142" s="407"/>
      <c r="BX142" s="407"/>
      <c r="BY142" s="407"/>
      <c r="BZ142" s="407"/>
      <c r="CA142" s="407"/>
      <c r="CB142" s="407"/>
      <c r="CC142" s="407"/>
      <c r="CD142" s="407"/>
      <c r="CE142" s="407"/>
      <c r="CF142" s="407"/>
    </row>
    <row r="143" spans="1:84">
      <c r="A143" s="406"/>
      <c r="B143" s="406"/>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6"/>
      <c r="AR143" s="406"/>
      <c r="AS143" s="406"/>
      <c r="AT143" s="406"/>
      <c r="AU143" s="406"/>
      <c r="AV143" s="406"/>
      <c r="AW143" s="406"/>
      <c r="AX143" s="406"/>
      <c r="AY143" s="406"/>
      <c r="AZ143" s="406"/>
      <c r="BA143" s="406"/>
      <c r="BB143" s="406"/>
      <c r="BC143" s="406"/>
      <c r="BD143" s="406"/>
      <c r="BE143" s="406"/>
      <c r="BF143" s="406"/>
      <c r="BG143" s="406"/>
      <c r="BH143" s="406"/>
      <c r="BI143" s="406"/>
      <c r="BJ143" s="406"/>
      <c r="BK143" s="407"/>
      <c r="BL143" s="407"/>
      <c r="BM143" s="407"/>
      <c r="BN143" s="407"/>
      <c r="BO143" s="407"/>
      <c r="BP143" s="407"/>
      <c r="BQ143" s="407"/>
      <c r="BR143" s="407"/>
      <c r="BS143" s="407"/>
      <c r="BT143" s="407"/>
      <c r="BU143" s="407"/>
      <c r="BV143" s="407"/>
      <c r="BW143" s="407"/>
      <c r="BX143" s="407"/>
      <c r="BY143" s="407"/>
      <c r="BZ143" s="407"/>
      <c r="CA143" s="407"/>
      <c r="CB143" s="407"/>
      <c r="CC143" s="407"/>
      <c r="CD143" s="407"/>
      <c r="CE143" s="407"/>
      <c r="CF143" s="407"/>
    </row>
    <row r="144" spans="1:84">
      <c r="A144" s="406"/>
      <c r="B144" s="406"/>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7"/>
      <c r="BL144" s="407"/>
      <c r="BM144" s="407"/>
      <c r="BN144" s="407"/>
      <c r="BO144" s="407"/>
      <c r="BP144" s="407"/>
      <c r="BQ144" s="407"/>
      <c r="BR144" s="407"/>
      <c r="BS144" s="407"/>
      <c r="BT144" s="407"/>
      <c r="BU144" s="407"/>
      <c r="BV144" s="407"/>
      <c r="BW144" s="407"/>
      <c r="BX144" s="407"/>
      <c r="BY144" s="407"/>
      <c r="BZ144" s="407"/>
      <c r="CA144" s="407"/>
      <c r="CB144" s="407"/>
      <c r="CC144" s="407"/>
      <c r="CD144" s="407"/>
      <c r="CE144" s="407"/>
      <c r="CF144" s="407"/>
    </row>
    <row r="145" spans="1:84">
      <c r="A145" s="406"/>
      <c r="B145" s="406"/>
      <c r="C145" s="406"/>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c r="AN145" s="406"/>
      <c r="AO145" s="406"/>
      <c r="AP145" s="406"/>
      <c r="AQ145" s="406"/>
      <c r="AR145" s="406"/>
      <c r="AS145" s="406"/>
      <c r="AT145" s="406"/>
      <c r="AU145" s="406"/>
      <c r="AV145" s="406"/>
      <c r="AW145" s="406"/>
      <c r="AX145" s="406"/>
      <c r="AY145" s="406"/>
      <c r="AZ145" s="406"/>
      <c r="BA145" s="406"/>
      <c r="BB145" s="406"/>
      <c r="BC145" s="406"/>
      <c r="BD145" s="406"/>
      <c r="BE145" s="406"/>
      <c r="BF145" s="406"/>
      <c r="BG145" s="406"/>
      <c r="BH145" s="406"/>
      <c r="BI145" s="406"/>
      <c r="BJ145" s="406"/>
      <c r="BK145" s="407"/>
      <c r="BL145" s="407"/>
      <c r="BM145" s="407"/>
      <c r="BN145" s="407"/>
      <c r="BO145" s="407"/>
      <c r="BP145" s="407"/>
      <c r="BQ145" s="407"/>
      <c r="BR145" s="407"/>
      <c r="BS145" s="407"/>
      <c r="BT145" s="407"/>
      <c r="BU145" s="407"/>
      <c r="BV145" s="407"/>
      <c r="BW145" s="407"/>
      <c r="BX145" s="407"/>
      <c r="BY145" s="407"/>
      <c r="BZ145" s="407"/>
      <c r="CA145" s="407"/>
      <c r="CB145" s="407"/>
      <c r="CC145" s="407"/>
      <c r="CD145" s="407"/>
      <c r="CE145" s="407"/>
      <c r="CF145" s="407"/>
    </row>
    <row r="146" spans="1:84">
      <c r="A146" s="406"/>
      <c r="B146" s="406"/>
      <c r="C146" s="406"/>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406"/>
      <c r="AO146" s="406"/>
      <c r="AP146" s="406"/>
      <c r="AQ146" s="406"/>
      <c r="AR146" s="406"/>
      <c r="AS146" s="406"/>
      <c r="AT146" s="406"/>
      <c r="AU146" s="406"/>
      <c r="AV146" s="406"/>
      <c r="AW146" s="406"/>
      <c r="AX146" s="406"/>
      <c r="AY146" s="406"/>
      <c r="AZ146" s="406"/>
      <c r="BA146" s="406"/>
      <c r="BB146" s="406"/>
      <c r="BC146" s="406"/>
      <c r="BD146" s="406"/>
      <c r="BE146" s="406"/>
      <c r="BF146" s="406"/>
      <c r="BG146" s="406"/>
      <c r="BH146" s="406"/>
      <c r="BI146" s="406"/>
      <c r="BJ146" s="406"/>
      <c r="BK146" s="407"/>
      <c r="BL146" s="407"/>
      <c r="BM146" s="407"/>
      <c r="BN146" s="407"/>
      <c r="BO146" s="407"/>
      <c r="BP146" s="407"/>
      <c r="BQ146" s="407"/>
      <c r="BR146" s="407"/>
      <c r="BS146" s="407"/>
      <c r="BT146" s="407"/>
      <c r="BU146" s="407"/>
      <c r="BV146" s="407"/>
      <c r="BW146" s="407"/>
      <c r="BX146" s="407"/>
      <c r="BY146" s="407"/>
      <c r="BZ146" s="407"/>
      <c r="CA146" s="407"/>
      <c r="CB146" s="407"/>
      <c r="CC146" s="407"/>
      <c r="CD146" s="407"/>
      <c r="CE146" s="407"/>
      <c r="CF146" s="407"/>
    </row>
    <row r="147" spans="1:84">
      <c r="A147" s="406"/>
      <c r="B147" s="406"/>
      <c r="C147" s="406"/>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c r="AN147" s="406"/>
      <c r="AO147" s="406"/>
      <c r="AP147" s="406"/>
      <c r="AQ147" s="406"/>
      <c r="AR147" s="406"/>
      <c r="AS147" s="406"/>
      <c r="AT147" s="406"/>
      <c r="AU147" s="406"/>
      <c r="AV147" s="406"/>
      <c r="AW147" s="406"/>
      <c r="AX147" s="406"/>
      <c r="AY147" s="406"/>
      <c r="AZ147" s="406"/>
      <c r="BA147" s="406"/>
      <c r="BB147" s="406"/>
      <c r="BC147" s="406"/>
      <c r="BD147" s="406"/>
      <c r="BE147" s="406"/>
      <c r="BF147" s="406"/>
      <c r="BG147" s="406"/>
      <c r="BH147" s="406"/>
      <c r="BI147" s="406"/>
      <c r="BJ147" s="406"/>
      <c r="BK147" s="407"/>
      <c r="BL147" s="407"/>
      <c r="BM147" s="407"/>
      <c r="BN147" s="407"/>
      <c r="BO147" s="407"/>
      <c r="BP147" s="407"/>
      <c r="BQ147" s="407"/>
      <c r="BR147" s="407"/>
      <c r="BS147" s="407"/>
      <c r="BT147" s="407"/>
      <c r="BU147" s="407"/>
      <c r="BV147" s="407"/>
      <c r="BW147" s="407"/>
      <c r="BX147" s="407"/>
      <c r="BY147" s="407"/>
      <c r="BZ147" s="407"/>
      <c r="CA147" s="407"/>
      <c r="CB147" s="407"/>
      <c r="CC147" s="407"/>
      <c r="CD147" s="407"/>
      <c r="CE147" s="407"/>
      <c r="CF147" s="407"/>
    </row>
    <row r="148" spans="1:84">
      <c r="A148" s="406"/>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406"/>
      <c r="AO148" s="406"/>
      <c r="AP148" s="406"/>
      <c r="AQ148" s="406"/>
      <c r="AR148" s="406"/>
      <c r="AS148" s="406"/>
      <c r="AT148" s="406"/>
      <c r="AU148" s="406"/>
      <c r="AV148" s="406"/>
      <c r="AW148" s="406"/>
      <c r="AX148" s="406"/>
      <c r="AY148" s="406"/>
      <c r="AZ148" s="406"/>
      <c r="BA148" s="406"/>
      <c r="BB148" s="406"/>
      <c r="BC148" s="406"/>
      <c r="BD148" s="406"/>
      <c r="BE148" s="406"/>
      <c r="BF148" s="406"/>
      <c r="BG148" s="406"/>
      <c r="BH148" s="406"/>
      <c r="BI148" s="406"/>
      <c r="BJ148" s="406"/>
      <c r="BK148" s="407"/>
      <c r="BL148" s="407"/>
      <c r="BM148" s="407"/>
      <c r="BN148" s="407"/>
      <c r="BO148" s="407"/>
      <c r="BP148" s="407"/>
      <c r="BQ148" s="407"/>
      <c r="BR148" s="407"/>
      <c r="BS148" s="407"/>
      <c r="BT148" s="407"/>
      <c r="BU148" s="407"/>
      <c r="BV148" s="407"/>
      <c r="BW148" s="407"/>
      <c r="BX148" s="407"/>
      <c r="BY148" s="407"/>
      <c r="BZ148" s="407"/>
      <c r="CA148" s="407"/>
      <c r="CB148" s="407"/>
      <c r="CC148" s="407"/>
      <c r="CD148" s="407"/>
      <c r="CE148" s="407"/>
      <c r="CF148" s="407"/>
    </row>
    <row r="149" spans="1:84">
      <c r="A149" s="406"/>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406"/>
      <c r="AO149" s="406"/>
      <c r="AP149" s="406"/>
      <c r="AQ149" s="406"/>
      <c r="AR149" s="406"/>
      <c r="AS149" s="406"/>
      <c r="AT149" s="406"/>
      <c r="AU149" s="406"/>
      <c r="AV149" s="406"/>
      <c r="AW149" s="406"/>
      <c r="AX149" s="406"/>
      <c r="AY149" s="406"/>
      <c r="AZ149" s="406"/>
      <c r="BA149" s="406"/>
      <c r="BB149" s="406"/>
      <c r="BC149" s="406"/>
      <c r="BD149" s="406"/>
      <c r="BE149" s="406"/>
      <c r="BF149" s="406"/>
      <c r="BG149" s="406"/>
      <c r="BH149" s="406"/>
      <c r="BI149" s="406"/>
      <c r="BJ149" s="406"/>
      <c r="BK149" s="407"/>
      <c r="BL149" s="407"/>
      <c r="BM149" s="407"/>
      <c r="BN149" s="407"/>
      <c r="BO149" s="407"/>
      <c r="BP149" s="407"/>
      <c r="BQ149" s="407"/>
      <c r="BR149" s="407"/>
      <c r="BS149" s="407"/>
      <c r="BT149" s="407"/>
      <c r="BU149" s="407"/>
      <c r="BV149" s="407"/>
      <c r="BW149" s="407"/>
      <c r="BX149" s="407"/>
      <c r="BY149" s="407"/>
      <c r="BZ149" s="407"/>
      <c r="CA149" s="407"/>
      <c r="CB149" s="407"/>
      <c r="CC149" s="407"/>
      <c r="CD149" s="407"/>
      <c r="CE149" s="407"/>
      <c r="CF149" s="407"/>
    </row>
    <row r="150" spans="1:84">
      <c r="A150" s="406"/>
      <c r="B150" s="406"/>
      <c r="C150" s="406"/>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7"/>
      <c r="BL150" s="407"/>
      <c r="BM150" s="407"/>
      <c r="BN150" s="407"/>
      <c r="BO150" s="407"/>
      <c r="BP150" s="407"/>
      <c r="BQ150" s="407"/>
      <c r="BR150" s="407"/>
      <c r="BS150" s="407"/>
      <c r="BT150" s="407"/>
      <c r="BU150" s="407"/>
      <c r="BV150" s="407"/>
      <c r="BW150" s="407"/>
      <c r="BX150" s="407"/>
      <c r="BY150" s="407"/>
      <c r="BZ150" s="407"/>
      <c r="CA150" s="407"/>
      <c r="CB150" s="407"/>
      <c r="CC150" s="407"/>
      <c r="CD150" s="407"/>
      <c r="CE150" s="407"/>
      <c r="CF150" s="407"/>
    </row>
    <row r="151" spans="1:84">
      <c r="A151" s="406"/>
      <c r="B151" s="406"/>
      <c r="C151" s="406"/>
      <c r="D151" s="406"/>
      <c r="E151" s="406"/>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7"/>
      <c r="BL151" s="407"/>
      <c r="BM151" s="407"/>
      <c r="BN151" s="407"/>
      <c r="BO151" s="407"/>
      <c r="BP151" s="407"/>
      <c r="BQ151" s="407"/>
      <c r="BR151" s="407"/>
      <c r="BS151" s="407"/>
      <c r="BT151" s="407"/>
      <c r="BU151" s="407"/>
      <c r="BV151" s="407"/>
      <c r="BW151" s="407"/>
      <c r="BX151" s="407"/>
      <c r="BY151" s="407"/>
      <c r="BZ151" s="407"/>
      <c r="CA151" s="407"/>
      <c r="CB151" s="407"/>
      <c r="CC151" s="407"/>
      <c r="CD151" s="407"/>
      <c r="CE151" s="407"/>
      <c r="CF151" s="407"/>
    </row>
    <row r="152" spans="1:84">
      <c r="A152" s="406"/>
      <c r="B152" s="406"/>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7"/>
      <c r="BL152" s="407"/>
      <c r="BM152" s="407"/>
      <c r="BN152" s="407"/>
      <c r="BO152" s="407"/>
      <c r="BP152" s="407"/>
      <c r="BQ152" s="407"/>
      <c r="BR152" s="407"/>
      <c r="BS152" s="407"/>
      <c r="BT152" s="407"/>
      <c r="BU152" s="407"/>
      <c r="BV152" s="407"/>
      <c r="BW152" s="407"/>
      <c r="BX152" s="407"/>
      <c r="BY152" s="407"/>
      <c r="BZ152" s="407"/>
      <c r="CA152" s="407"/>
      <c r="CB152" s="407"/>
      <c r="CC152" s="407"/>
      <c r="CD152" s="407"/>
      <c r="CE152" s="407"/>
      <c r="CF152" s="407"/>
    </row>
    <row r="153" spans="1:84">
      <c r="A153" s="406"/>
      <c r="B153" s="406"/>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406"/>
      <c r="AO153" s="406"/>
      <c r="AP153" s="406"/>
      <c r="AQ153" s="406"/>
      <c r="AR153" s="406"/>
      <c r="AS153" s="406"/>
      <c r="AT153" s="406"/>
      <c r="AU153" s="406"/>
      <c r="AV153" s="406"/>
      <c r="AW153" s="406"/>
      <c r="AX153" s="406"/>
      <c r="AY153" s="406"/>
      <c r="AZ153" s="406"/>
      <c r="BA153" s="406"/>
      <c r="BB153" s="406"/>
      <c r="BC153" s="406"/>
      <c r="BD153" s="406"/>
      <c r="BE153" s="406"/>
      <c r="BF153" s="406"/>
      <c r="BG153" s="406"/>
      <c r="BH153" s="406"/>
      <c r="BI153" s="406"/>
      <c r="BJ153" s="406"/>
      <c r="BK153" s="407"/>
      <c r="BL153" s="407"/>
      <c r="BM153" s="407"/>
      <c r="BN153" s="407"/>
      <c r="BO153" s="407"/>
      <c r="BP153" s="407"/>
      <c r="BQ153" s="407"/>
      <c r="BR153" s="407"/>
      <c r="BS153" s="407"/>
      <c r="BT153" s="407"/>
      <c r="BU153" s="407"/>
      <c r="BV153" s="407"/>
      <c r="BW153" s="407"/>
      <c r="BX153" s="407"/>
      <c r="BY153" s="407"/>
      <c r="BZ153" s="407"/>
      <c r="CA153" s="407"/>
      <c r="CB153" s="407"/>
      <c r="CC153" s="407"/>
      <c r="CD153" s="407"/>
      <c r="CE153" s="407"/>
      <c r="CF153" s="407"/>
    </row>
    <row r="154" spans="1:84">
      <c r="A154" s="406"/>
      <c r="B154" s="406"/>
      <c r="C154" s="406"/>
      <c r="D154" s="406"/>
      <c r="E154" s="406"/>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7"/>
      <c r="BL154" s="407"/>
      <c r="BM154" s="407"/>
      <c r="BN154" s="407"/>
      <c r="BO154" s="407"/>
      <c r="BP154" s="407"/>
      <c r="BQ154" s="407"/>
      <c r="BR154" s="407"/>
      <c r="BS154" s="407"/>
      <c r="BT154" s="407"/>
      <c r="BU154" s="407"/>
      <c r="BV154" s="407"/>
      <c r="BW154" s="407"/>
      <c r="BX154" s="407"/>
      <c r="BY154" s="407"/>
      <c r="BZ154" s="407"/>
      <c r="CA154" s="407"/>
      <c r="CB154" s="407"/>
      <c r="CC154" s="407"/>
      <c r="CD154" s="407"/>
      <c r="CE154" s="407"/>
      <c r="CF154" s="407"/>
    </row>
    <row r="155" spans="1:84">
      <c r="A155" s="406"/>
      <c r="B155" s="406"/>
      <c r="C155" s="406"/>
      <c r="D155" s="406"/>
      <c r="E155" s="406"/>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c r="AS155" s="406"/>
      <c r="AT155" s="406"/>
      <c r="AU155" s="406"/>
      <c r="AV155" s="406"/>
      <c r="AW155" s="406"/>
      <c r="AX155" s="406"/>
      <c r="AY155" s="406"/>
      <c r="AZ155" s="406"/>
      <c r="BA155" s="406"/>
      <c r="BB155" s="406"/>
      <c r="BC155" s="406"/>
      <c r="BD155" s="406"/>
      <c r="BE155" s="406"/>
      <c r="BF155" s="406"/>
      <c r="BG155" s="406"/>
      <c r="BH155" s="406"/>
      <c r="BI155" s="406"/>
      <c r="BJ155" s="406"/>
      <c r="BK155" s="407"/>
      <c r="BL155" s="407"/>
      <c r="BM155" s="407"/>
      <c r="BN155" s="407"/>
      <c r="BO155" s="407"/>
      <c r="BP155" s="407"/>
      <c r="BQ155" s="407"/>
      <c r="BR155" s="407"/>
      <c r="BS155" s="407"/>
      <c r="BT155" s="407"/>
      <c r="BU155" s="407"/>
      <c r="BV155" s="407"/>
      <c r="BW155" s="407"/>
      <c r="BX155" s="407"/>
      <c r="BY155" s="407"/>
      <c r="BZ155" s="407"/>
      <c r="CA155" s="407"/>
      <c r="CB155" s="407"/>
      <c r="CC155" s="407"/>
      <c r="CD155" s="407"/>
      <c r="CE155" s="407"/>
      <c r="CF155" s="407"/>
    </row>
    <row r="156" spans="1:84">
      <c r="A156" s="406"/>
      <c r="B156" s="406"/>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7"/>
      <c r="BL156" s="407"/>
      <c r="BM156" s="407"/>
      <c r="BN156" s="407"/>
      <c r="BO156" s="407"/>
      <c r="BP156" s="407"/>
      <c r="BQ156" s="407"/>
      <c r="BR156" s="407"/>
      <c r="BS156" s="407"/>
      <c r="BT156" s="407"/>
      <c r="BU156" s="407"/>
      <c r="BV156" s="407"/>
      <c r="BW156" s="407"/>
      <c r="BX156" s="407"/>
      <c r="BY156" s="407"/>
      <c r="BZ156" s="407"/>
      <c r="CA156" s="407"/>
      <c r="CB156" s="407"/>
      <c r="CC156" s="407"/>
      <c r="CD156" s="407"/>
      <c r="CE156" s="407"/>
      <c r="CF156" s="407"/>
    </row>
    <row r="157" spans="1:84">
      <c r="A157" s="406"/>
      <c r="B157" s="406"/>
      <c r="C157" s="406"/>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7"/>
      <c r="BL157" s="407"/>
      <c r="BM157" s="407"/>
      <c r="BN157" s="407"/>
      <c r="BO157" s="407"/>
      <c r="BP157" s="407"/>
      <c r="BQ157" s="407"/>
      <c r="BR157" s="407"/>
      <c r="BS157" s="407"/>
      <c r="BT157" s="407"/>
      <c r="BU157" s="407"/>
      <c r="BV157" s="407"/>
      <c r="BW157" s="407"/>
      <c r="BX157" s="407"/>
      <c r="BY157" s="407"/>
      <c r="BZ157" s="407"/>
      <c r="CA157" s="407"/>
      <c r="CB157" s="407"/>
      <c r="CC157" s="407"/>
      <c r="CD157" s="407"/>
      <c r="CE157" s="407"/>
      <c r="CF157" s="407"/>
    </row>
    <row r="158" spans="1:84">
      <c r="A158" s="406"/>
      <c r="B158" s="406"/>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7"/>
      <c r="BL158" s="407"/>
      <c r="BM158" s="407"/>
      <c r="BN158" s="407"/>
      <c r="BO158" s="407"/>
      <c r="BP158" s="407"/>
      <c r="BQ158" s="407"/>
      <c r="BR158" s="407"/>
      <c r="BS158" s="407"/>
      <c r="BT158" s="407"/>
      <c r="BU158" s="407"/>
      <c r="BV158" s="407"/>
      <c r="BW158" s="407"/>
      <c r="BX158" s="407"/>
      <c r="BY158" s="407"/>
      <c r="BZ158" s="407"/>
      <c r="CA158" s="407"/>
      <c r="CB158" s="407"/>
      <c r="CC158" s="407"/>
      <c r="CD158" s="407"/>
      <c r="CE158" s="407"/>
      <c r="CF158" s="407"/>
    </row>
    <row r="159" spans="1:84">
      <c r="A159" s="406"/>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6"/>
      <c r="BB159" s="406"/>
      <c r="BC159" s="406"/>
      <c r="BD159" s="406"/>
      <c r="BE159" s="406"/>
      <c r="BF159" s="406"/>
      <c r="BG159" s="406"/>
      <c r="BH159" s="406"/>
      <c r="BI159" s="406"/>
      <c r="BJ159" s="406"/>
      <c r="BK159" s="407"/>
      <c r="BL159" s="407"/>
      <c r="BM159" s="407"/>
      <c r="BN159" s="407"/>
      <c r="BO159" s="407"/>
      <c r="BP159" s="407"/>
      <c r="BQ159" s="407"/>
      <c r="BR159" s="407"/>
      <c r="BS159" s="407"/>
      <c r="BT159" s="407"/>
      <c r="BU159" s="407"/>
      <c r="BV159" s="407"/>
      <c r="BW159" s="407"/>
      <c r="BX159" s="407"/>
      <c r="BY159" s="407"/>
      <c r="BZ159" s="407"/>
      <c r="CA159" s="407"/>
      <c r="CB159" s="407"/>
      <c r="CC159" s="407"/>
      <c r="CD159" s="407"/>
      <c r="CE159" s="407"/>
      <c r="CF159" s="407"/>
    </row>
    <row r="160" spans="1:84">
      <c r="A160" s="406"/>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6"/>
      <c r="AR160" s="406"/>
      <c r="AS160" s="406"/>
      <c r="AT160" s="406"/>
      <c r="AU160" s="406"/>
      <c r="AV160" s="406"/>
      <c r="AW160" s="406"/>
      <c r="AX160" s="406"/>
      <c r="AY160" s="406"/>
      <c r="AZ160" s="406"/>
      <c r="BA160" s="406"/>
      <c r="BB160" s="406"/>
      <c r="BC160" s="406"/>
      <c r="BD160" s="406"/>
      <c r="BE160" s="406"/>
      <c r="BF160" s="406"/>
      <c r="BG160" s="406"/>
      <c r="BH160" s="406"/>
      <c r="BI160" s="406"/>
      <c r="BJ160" s="406"/>
      <c r="BK160" s="407"/>
      <c r="BL160" s="407"/>
      <c r="BM160" s="407"/>
      <c r="BN160" s="407"/>
      <c r="BO160" s="407"/>
      <c r="BP160" s="407"/>
      <c r="BQ160" s="407"/>
      <c r="BR160" s="407"/>
      <c r="BS160" s="407"/>
      <c r="BT160" s="407"/>
      <c r="BU160" s="407"/>
      <c r="BV160" s="407"/>
      <c r="BW160" s="407"/>
      <c r="BX160" s="407"/>
      <c r="BY160" s="407"/>
      <c r="BZ160" s="407"/>
      <c r="CA160" s="407"/>
      <c r="CB160" s="407"/>
      <c r="CC160" s="407"/>
      <c r="CD160" s="407"/>
      <c r="CE160" s="407"/>
      <c r="CF160" s="407"/>
    </row>
    <row r="161" spans="1:84">
      <c r="A161" s="406"/>
      <c r="B161" s="406"/>
      <c r="C161" s="406"/>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7"/>
      <c r="BL161" s="407"/>
      <c r="BM161" s="407"/>
      <c r="BN161" s="407"/>
      <c r="BO161" s="407"/>
      <c r="BP161" s="407"/>
      <c r="BQ161" s="407"/>
      <c r="BR161" s="407"/>
      <c r="BS161" s="407"/>
      <c r="BT161" s="407"/>
      <c r="BU161" s="407"/>
      <c r="BV161" s="407"/>
      <c r="BW161" s="407"/>
      <c r="BX161" s="407"/>
      <c r="BY161" s="407"/>
      <c r="BZ161" s="407"/>
      <c r="CA161" s="407"/>
      <c r="CB161" s="407"/>
      <c r="CC161" s="407"/>
      <c r="CD161" s="407"/>
      <c r="CE161" s="407"/>
      <c r="CF161" s="407"/>
    </row>
    <row r="162" spans="1:84">
      <c r="A162" s="406"/>
      <c r="B162" s="406"/>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406"/>
      <c r="AO162" s="406"/>
      <c r="AP162" s="406"/>
      <c r="AQ162" s="406"/>
      <c r="AR162" s="406"/>
      <c r="AS162" s="406"/>
      <c r="AT162" s="406"/>
      <c r="AU162" s="406"/>
      <c r="AV162" s="406"/>
      <c r="AW162" s="406"/>
      <c r="AX162" s="406"/>
      <c r="AY162" s="406"/>
      <c r="AZ162" s="406"/>
      <c r="BA162" s="406"/>
      <c r="BB162" s="406"/>
      <c r="BC162" s="406"/>
      <c r="BD162" s="406"/>
      <c r="BE162" s="406"/>
      <c r="BF162" s="406"/>
      <c r="BG162" s="406"/>
      <c r="BH162" s="406"/>
      <c r="BI162" s="406"/>
      <c r="BJ162" s="406"/>
      <c r="BK162" s="407"/>
      <c r="BL162" s="407"/>
      <c r="BM162" s="407"/>
      <c r="BN162" s="407"/>
      <c r="BO162" s="407"/>
      <c r="BP162" s="407"/>
      <c r="BQ162" s="407"/>
      <c r="BR162" s="407"/>
      <c r="BS162" s="407"/>
      <c r="BT162" s="407"/>
      <c r="BU162" s="407"/>
      <c r="BV162" s="407"/>
      <c r="BW162" s="407"/>
      <c r="BX162" s="407"/>
      <c r="BY162" s="407"/>
      <c r="BZ162" s="407"/>
      <c r="CA162" s="407"/>
      <c r="CB162" s="407"/>
      <c r="CC162" s="407"/>
      <c r="CD162" s="407"/>
      <c r="CE162" s="407"/>
      <c r="CF162" s="407"/>
    </row>
    <row r="163" spans="1:84">
      <c r="A163" s="406"/>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406"/>
      <c r="BI163" s="406"/>
      <c r="BJ163" s="406"/>
      <c r="BK163" s="407"/>
      <c r="BL163" s="407"/>
      <c r="BM163" s="407"/>
      <c r="BN163" s="407"/>
      <c r="BO163" s="407"/>
      <c r="BP163" s="407"/>
      <c r="BQ163" s="407"/>
      <c r="BR163" s="407"/>
      <c r="BS163" s="407"/>
      <c r="BT163" s="407"/>
      <c r="BU163" s="407"/>
      <c r="BV163" s="407"/>
      <c r="BW163" s="407"/>
      <c r="BX163" s="407"/>
      <c r="BY163" s="407"/>
      <c r="BZ163" s="407"/>
      <c r="CA163" s="407"/>
      <c r="CB163" s="407"/>
      <c r="CC163" s="407"/>
      <c r="CD163" s="407"/>
      <c r="CE163" s="407"/>
      <c r="CF163" s="407"/>
    </row>
    <row r="164" spans="1:84">
      <c r="A164" s="406"/>
      <c r="B164" s="406"/>
      <c r="C164" s="406"/>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7"/>
      <c r="BL164" s="407"/>
      <c r="BM164" s="407"/>
      <c r="BN164" s="407"/>
      <c r="BO164" s="407"/>
      <c r="BP164" s="407"/>
      <c r="BQ164" s="407"/>
      <c r="BR164" s="407"/>
      <c r="BS164" s="407"/>
      <c r="BT164" s="407"/>
      <c r="BU164" s="407"/>
      <c r="BV164" s="407"/>
      <c r="BW164" s="407"/>
      <c r="BX164" s="407"/>
      <c r="BY164" s="407"/>
      <c r="BZ164" s="407"/>
      <c r="CA164" s="407"/>
      <c r="CB164" s="407"/>
      <c r="CC164" s="407"/>
      <c r="CD164" s="407"/>
      <c r="CE164" s="407"/>
      <c r="CF164" s="407"/>
    </row>
    <row r="165" spans="1:84">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406"/>
      <c r="AO165" s="406"/>
      <c r="AP165" s="406"/>
      <c r="AQ165" s="406"/>
      <c r="AR165" s="406"/>
      <c r="AS165" s="406"/>
      <c r="AT165" s="406"/>
      <c r="AU165" s="406"/>
      <c r="AV165" s="406"/>
      <c r="AW165" s="406"/>
      <c r="AX165" s="406"/>
      <c r="AY165" s="406"/>
      <c r="AZ165" s="406"/>
      <c r="BA165" s="406"/>
      <c r="BB165" s="406"/>
      <c r="BC165" s="406"/>
      <c r="BD165" s="406"/>
      <c r="BE165" s="406"/>
      <c r="BF165" s="406"/>
      <c r="BG165" s="406"/>
      <c r="BH165" s="406"/>
      <c r="BI165" s="406"/>
      <c r="BJ165" s="406"/>
      <c r="BK165" s="407"/>
      <c r="BL165" s="407"/>
      <c r="BM165" s="407"/>
      <c r="BN165" s="407"/>
      <c r="BO165" s="407"/>
      <c r="BP165" s="407"/>
      <c r="BQ165" s="407"/>
      <c r="BR165" s="407"/>
      <c r="BS165" s="407"/>
      <c r="BT165" s="407"/>
      <c r="BU165" s="407"/>
      <c r="BV165" s="407"/>
      <c r="BW165" s="407"/>
      <c r="BX165" s="407"/>
      <c r="BY165" s="407"/>
      <c r="BZ165" s="407"/>
      <c r="CA165" s="407"/>
      <c r="CB165" s="407"/>
      <c r="CC165" s="407"/>
      <c r="CD165" s="407"/>
      <c r="CE165" s="407"/>
      <c r="CF165" s="407"/>
    </row>
    <row r="166" spans="1:84">
      <c r="A166" s="406"/>
      <c r="B166" s="406"/>
      <c r="C166" s="406"/>
      <c r="D166" s="406"/>
      <c r="E166" s="406"/>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406"/>
      <c r="AO166" s="406"/>
      <c r="AP166" s="406"/>
      <c r="AQ166" s="406"/>
      <c r="AR166" s="406"/>
      <c r="AS166" s="406"/>
      <c r="AT166" s="406"/>
      <c r="AU166" s="406"/>
      <c r="AV166" s="406"/>
      <c r="AW166" s="406"/>
      <c r="AX166" s="406"/>
      <c r="AY166" s="406"/>
      <c r="AZ166" s="406"/>
      <c r="BA166" s="406"/>
      <c r="BB166" s="406"/>
      <c r="BC166" s="406"/>
      <c r="BD166" s="406"/>
      <c r="BE166" s="406"/>
      <c r="BF166" s="406"/>
      <c r="BG166" s="406"/>
      <c r="BH166" s="406"/>
      <c r="BI166" s="406"/>
      <c r="BJ166" s="406"/>
      <c r="BK166" s="407"/>
      <c r="BL166" s="407"/>
      <c r="BM166" s="407"/>
      <c r="BN166" s="407"/>
      <c r="BO166" s="407"/>
      <c r="BP166" s="407"/>
      <c r="BQ166" s="407"/>
      <c r="BR166" s="407"/>
      <c r="BS166" s="407"/>
      <c r="BT166" s="407"/>
      <c r="BU166" s="407"/>
      <c r="BV166" s="407"/>
      <c r="BW166" s="407"/>
      <c r="BX166" s="407"/>
      <c r="BY166" s="407"/>
      <c r="BZ166" s="407"/>
      <c r="CA166" s="407"/>
      <c r="CB166" s="407"/>
      <c r="CC166" s="407"/>
      <c r="CD166" s="407"/>
      <c r="CE166" s="407"/>
      <c r="CF166" s="407"/>
    </row>
    <row r="167" spans="1:84">
      <c r="A167" s="406"/>
      <c r="B167" s="406"/>
      <c r="C167" s="406"/>
      <c r="D167" s="406"/>
      <c r="E167" s="406"/>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406"/>
      <c r="AO167" s="406"/>
      <c r="AP167" s="406"/>
      <c r="AQ167" s="406"/>
      <c r="AR167" s="406"/>
      <c r="AS167" s="406"/>
      <c r="AT167" s="406"/>
      <c r="AU167" s="406"/>
      <c r="AV167" s="406"/>
      <c r="AW167" s="406"/>
      <c r="AX167" s="406"/>
      <c r="AY167" s="406"/>
      <c r="AZ167" s="406"/>
      <c r="BA167" s="406"/>
      <c r="BB167" s="406"/>
      <c r="BC167" s="406"/>
      <c r="BD167" s="406"/>
      <c r="BE167" s="406"/>
      <c r="BF167" s="406"/>
      <c r="BG167" s="406"/>
      <c r="BH167" s="406"/>
      <c r="BI167" s="406"/>
      <c r="BJ167" s="406"/>
      <c r="BK167" s="407"/>
      <c r="BL167" s="407"/>
      <c r="BM167" s="407"/>
      <c r="BN167" s="407"/>
      <c r="BO167" s="407"/>
      <c r="BP167" s="407"/>
      <c r="BQ167" s="407"/>
      <c r="BR167" s="407"/>
      <c r="BS167" s="407"/>
      <c r="BT167" s="407"/>
      <c r="BU167" s="407"/>
      <c r="BV167" s="407"/>
      <c r="BW167" s="407"/>
      <c r="BX167" s="407"/>
      <c r="BY167" s="407"/>
      <c r="BZ167" s="407"/>
      <c r="CA167" s="407"/>
      <c r="CB167" s="407"/>
      <c r="CC167" s="407"/>
      <c r="CD167" s="407"/>
      <c r="CE167" s="407"/>
      <c r="CF167" s="407"/>
    </row>
    <row r="168" spans="1:84">
      <c r="A168" s="406"/>
      <c r="B168" s="406"/>
      <c r="C168" s="406"/>
      <c r="D168" s="406"/>
      <c r="E168" s="406"/>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c r="AN168" s="406"/>
      <c r="AO168" s="406"/>
      <c r="AP168" s="406"/>
      <c r="AQ168" s="406"/>
      <c r="AR168" s="406"/>
      <c r="AS168" s="406"/>
      <c r="AT168" s="406"/>
      <c r="AU168" s="406"/>
      <c r="AV168" s="406"/>
      <c r="AW168" s="406"/>
      <c r="AX168" s="406"/>
      <c r="AY168" s="406"/>
      <c r="AZ168" s="406"/>
      <c r="BA168" s="406"/>
      <c r="BB168" s="406"/>
      <c r="BC168" s="406"/>
      <c r="BD168" s="406"/>
      <c r="BE168" s="406"/>
      <c r="BF168" s="406"/>
      <c r="BG168" s="406"/>
      <c r="BH168" s="406"/>
      <c r="BI168" s="406"/>
      <c r="BJ168" s="406"/>
      <c r="BK168" s="407"/>
      <c r="BL168" s="407"/>
      <c r="BM168" s="407"/>
      <c r="BN168" s="407"/>
      <c r="BO168" s="407"/>
      <c r="BP168" s="407"/>
      <c r="BQ168" s="407"/>
      <c r="BR168" s="407"/>
      <c r="BS168" s="407"/>
      <c r="BT168" s="407"/>
      <c r="BU168" s="407"/>
      <c r="BV168" s="407"/>
      <c r="BW168" s="407"/>
      <c r="BX168" s="407"/>
      <c r="BY168" s="407"/>
      <c r="BZ168" s="407"/>
      <c r="CA168" s="407"/>
      <c r="CB168" s="407"/>
      <c r="CC168" s="407"/>
      <c r="CD168" s="407"/>
      <c r="CE168" s="407"/>
      <c r="CF168" s="407"/>
    </row>
    <row r="169" spans="1:84">
      <c r="A169" s="406"/>
      <c r="B169" s="406"/>
      <c r="C169" s="406"/>
      <c r="D169" s="406"/>
      <c r="E169" s="406"/>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c r="AN169" s="406"/>
      <c r="AO169" s="406"/>
      <c r="AP169" s="406"/>
      <c r="AQ169" s="406"/>
      <c r="AR169" s="406"/>
      <c r="AS169" s="406"/>
      <c r="AT169" s="406"/>
      <c r="AU169" s="406"/>
      <c r="AV169" s="406"/>
      <c r="AW169" s="406"/>
      <c r="AX169" s="406"/>
      <c r="AY169" s="406"/>
      <c r="AZ169" s="406"/>
      <c r="BA169" s="406"/>
      <c r="BB169" s="406"/>
      <c r="BC169" s="406"/>
      <c r="BD169" s="406"/>
      <c r="BE169" s="406"/>
      <c r="BF169" s="406"/>
      <c r="BG169" s="406"/>
      <c r="BH169" s="406"/>
      <c r="BI169" s="406"/>
      <c r="BJ169" s="406"/>
      <c r="BK169" s="407"/>
      <c r="BL169" s="407"/>
      <c r="BM169" s="407"/>
      <c r="BN169" s="407"/>
      <c r="BO169" s="407"/>
      <c r="BP169" s="407"/>
      <c r="BQ169" s="407"/>
      <c r="BR169" s="407"/>
      <c r="BS169" s="407"/>
      <c r="BT169" s="407"/>
      <c r="BU169" s="407"/>
      <c r="BV169" s="407"/>
      <c r="BW169" s="407"/>
      <c r="BX169" s="407"/>
      <c r="BY169" s="407"/>
      <c r="BZ169" s="407"/>
      <c r="CA169" s="407"/>
      <c r="CB169" s="407"/>
      <c r="CC169" s="407"/>
      <c r="CD169" s="407"/>
      <c r="CE169" s="407"/>
      <c r="CF169" s="407"/>
    </row>
    <row r="170" spans="1:84">
      <c r="A170" s="406"/>
      <c r="B170" s="406"/>
      <c r="C170" s="406"/>
      <c r="D170" s="406"/>
      <c r="E170" s="406"/>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c r="AN170" s="406"/>
      <c r="AO170" s="406"/>
      <c r="AP170" s="406"/>
      <c r="AQ170" s="406"/>
      <c r="AR170" s="406"/>
      <c r="AS170" s="406"/>
      <c r="AT170" s="406"/>
      <c r="AU170" s="406"/>
      <c r="AV170" s="406"/>
      <c r="AW170" s="406"/>
      <c r="AX170" s="406"/>
      <c r="AY170" s="406"/>
      <c r="AZ170" s="406"/>
      <c r="BA170" s="406"/>
      <c r="BB170" s="406"/>
      <c r="BC170" s="406"/>
      <c r="BD170" s="406"/>
      <c r="BE170" s="406"/>
      <c r="BF170" s="406"/>
      <c r="BG170" s="406"/>
      <c r="BH170" s="406"/>
      <c r="BI170" s="406"/>
      <c r="BJ170" s="406"/>
      <c r="BK170" s="407"/>
      <c r="BL170" s="407"/>
      <c r="BM170" s="407"/>
      <c r="BN170" s="407"/>
      <c r="BO170" s="407"/>
      <c r="BP170" s="407"/>
      <c r="BQ170" s="407"/>
      <c r="BR170" s="407"/>
      <c r="BS170" s="407"/>
      <c r="BT170" s="407"/>
      <c r="BU170" s="407"/>
      <c r="BV170" s="407"/>
      <c r="BW170" s="407"/>
      <c r="BX170" s="407"/>
      <c r="BY170" s="407"/>
      <c r="BZ170" s="407"/>
      <c r="CA170" s="407"/>
      <c r="CB170" s="407"/>
      <c r="CC170" s="407"/>
      <c r="CD170" s="407"/>
      <c r="CE170" s="407"/>
      <c r="CF170" s="407"/>
    </row>
    <row r="171" spans="1:84">
      <c r="A171" s="406"/>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406"/>
      <c r="AO171" s="406"/>
      <c r="AP171" s="406"/>
      <c r="AQ171" s="406"/>
      <c r="AR171" s="406"/>
      <c r="AS171" s="406"/>
      <c r="AT171" s="406"/>
      <c r="AU171" s="406"/>
      <c r="AV171" s="406"/>
      <c r="AW171" s="406"/>
      <c r="AX171" s="406"/>
      <c r="AY171" s="406"/>
      <c r="AZ171" s="406"/>
      <c r="BA171" s="406"/>
      <c r="BB171" s="406"/>
      <c r="BC171" s="406"/>
      <c r="BD171" s="406"/>
      <c r="BE171" s="406"/>
      <c r="BF171" s="406"/>
      <c r="BG171" s="406"/>
      <c r="BH171" s="406"/>
      <c r="BI171" s="406"/>
      <c r="BJ171" s="406"/>
      <c r="BK171" s="407"/>
      <c r="BL171" s="407"/>
      <c r="BM171" s="407"/>
      <c r="BN171" s="407"/>
      <c r="BO171" s="407"/>
      <c r="BP171" s="407"/>
      <c r="BQ171" s="407"/>
      <c r="BR171" s="407"/>
      <c r="BS171" s="407"/>
      <c r="BT171" s="407"/>
      <c r="BU171" s="407"/>
      <c r="BV171" s="407"/>
      <c r="BW171" s="407"/>
      <c r="BX171" s="407"/>
      <c r="BY171" s="407"/>
      <c r="BZ171" s="407"/>
      <c r="CA171" s="407"/>
      <c r="CB171" s="407"/>
      <c r="CC171" s="407"/>
      <c r="CD171" s="407"/>
      <c r="CE171" s="407"/>
      <c r="CF171" s="407"/>
    </row>
    <row r="172" spans="1:84">
      <c r="A172" s="406"/>
      <c r="B172" s="406"/>
      <c r="C172" s="406"/>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7"/>
      <c r="BL172" s="407"/>
      <c r="BM172" s="407"/>
      <c r="BN172" s="407"/>
      <c r="BO172" s="407"/>
      <c r="BP172" s="407"/>
      <c r="BQ172" s="407"/>
      <c r="BR172" s="407"/>
      <c r="BS172" s="407"/>
      <c r="BT172" s="407"/>
      <c r="BU172" s="407"/>
      <c r="BV172" s="407"/>
      <c r="BW172" s="407"/>
      <c r="BX172" s="407"/>
      <c r="BY172" s="407"/>
      <c r="BZ172" s="407"/>
      <c r="CA172" s="407"/>
      <c r="CB172" s="407"/>
      <c r="CC172" s="407"/>
      <c r="CD172" s="407"/>
      <c r="CE172" s="407"/>
      <c r="CF172" s="407"/>
    </row>
    <row r="173" spans="1:84">
      <c r="A173" s="406"/>
      <c r="B173" s="406"/>
      <c r="C173" s="406"/>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7"/>
      <c r="BL173" s="407"/>
      <c r="BM173" s="407"/>
      <c r="BN173" s="407"/>
      <c r="BO173" s="407"/>
      <c r="BP173" s="407"/>
      <c r="BQ173" s="407"/>
      <c r="BR173" s="407"/>
      <c r="BS173" s="407"/>
      <c r="BT173" s="407"/>
      <c r="BU173" s="407"/>
      <c r="BV173" s="407"/>
      <c r="BW173" s="407"/>
      <c r="BX173" s="407"/>
      <c r="BY173" s="407"/>
      <c r="BZ173" s="407"/>
      <c r="CA173" s="407"/>
      <c r="CB173" s="407"/>
      <c r="CC173" s="407"/>
      <c r="CD173" s="407"/>
      <c r="CE173" s="407"/>
      <c r="CF173" s="407"/>
    </row>
    <row r="174" spans="1:84">
      <c r="A174" s="406"/>
      <c r="B174" s="406"/>
      <c r="C174" s="406"/>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7"/>
      <c r="BL174" s="407"/>
      <c r="BM174" s="407"/>
      <c r="BN174" s="407"/>
      <c r="BO174" s="407"/>
      <c r="BP174" s="407"/>
      <c r="BQ174" s="407"/>
      <c r="BR174" s="407"/>
      <c r="BS174" s="407"/>
      <c r="BT174" s="407"/>
      <c r="BU174" s="407"/>
      <c r="BV174" s="407"/>
      <c r="BW174" s="407"/>
      <c r="BX174" s="407"/>
      <c r="BY174" s="407"/>
      <c r="BZ174" s="407"/>
      <c r="CA174" s="407"/>
      <c r="CB174" s="407"/>
      <c r="CC174" s="407"/>
      <c r="CD174" s="407"/>
      <c r="CE174" s="407"/>
      <c r="CF174" s="407"/>
    </row>
    <row r="175" spans="1:84">
      <c r="A175" s="406"/>
      <c r="B175" s="406"/>
      <c r="C175" s="406"/>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7"/>
      <c r="BL175" s="407"/>
      <c r="BM175" s="407"/>
      <c r="BN175" s="407"/>
      <c r="BO175" s="407"/>
      <c r="BP175" s="407"/>
      <c r="BQ175" s="407"/>
      <c r="BR175" s="407"/>
      <c r="BS175" s="407"/>
      <c r="BT175" s="407"/>
      <c r="BU175" s="407"/>
      <c r="BV175" s="407"/>
      <c r="BW175" s="407"/>
      <c r="BX175" s="407"/>
      <c r="BY175" s="407"/>
      <c r="BZ175" s="407"/>
      <c r="CA175" s="407"/>
      <c r="CB175" s="407"/>
      <c r="CC175" s="407"/>
      <c r="CD175" s="407"/>
      <c r="CE175" s="407"/>
      <c r="CF175" s="407"/>
    </row>
    <row r="176" spans="1:84">
      <c r="A176" s="406"/>
      <c r="B176" s="406"/>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7"/>
      <c r="BL176" s="407"/>
      <c r="BM176" s="407"/>
      <c r="BN176" s="407"/>
      <c r="BO176" s="407"/>
      <c r="BP176" s="407"/>
      <c r="BQ176" s="407"/>
      <c r="BR176" s="407"/>
      <c r="BS176" s="407"/>
      <c r="BT176" s="407"/>
      <c r="BU176" s="407"/>
      <c r="BV176" s="407"/>
      <c r="BW176" s="407"/>
      <c r="BX176" s="407"/>
      <c r="BY176" s="407"/>
      <c r="BZ176" s="407"/>
      <c r="CA176" s="407"/>
      <c r="CB176" s="407"/>
      <c r="CC176" s="407"/>
      <c r="CD176" s="407"/>
      <c r="CE176" s="407"/>
      <c r="CF176" s="407"/>
    </row>
    <row r="177" spans="1:84">
      <c r="A177" s="406"/>
      <c r="B177" s="406"/>
      <c r="C177" s="406"/>
      <c r="D177" s="406"/>
      <c r="E177" s="406"/>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c r="AN177" s="406"/>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7"/>
      <c r="BL177" s="407"/>
      <c r="BM177" s="407"/>
      <c r="BN177" s="407"/>
      <c r="BO177" s="407"/>
      <c r="BP177" s="407"/>
      <c r="BQ177" s="407"/>
      <c r="BR177" s="407"/>
      <c r="BS177" s="407"/>
      <c r="BT177" s="407"/>
      <c r="BU177" s="407"/>
      <c r="BV177" s="407"/>
      <c r="BW177" s="407"/>
      <c r="BX177" s="407"/>
      <c r="BY177" s="407"/>
      <c r="BZ177" s="407"/>
      <c r="CA177" s="407"/>
      <c r="CB177" s="407"/>
      <c r="CC177" s="407"/>
      <c r="CD177" s="407"/>
      <c r="CE177" s="407"/>
      <c r="CF177" s="407"/>
    </row>
    <row r="178" spans="1:84">
      <c r="A178" s="406"/>
      <c r="B178" s="406"/>
      <c r="C178" s="406"/>
      <c r="D178" s="406"/>
      <c r="E178" s="406"/>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7"/>
      <c r="BL178" s="407"/>
      <c r="BM178" s="407"/>
      <c r="BN178" s="407"/>
      <c r="BO178" s="407"/>
      <c r="BP178" s="407"/>
      <c r="BQ178" s="407"/>
      <c r="BR178" s="407"/>
      <c r="BS178" s="407"/>
      <c r="BT178" s="407"/>
      <c r="BU178" s="407"/>
      <c r="BV178" s="407"/>
      <c r="BW178" s="407"/>
      <c r="BX178" s="407"/>
      <c r="BY178" s="407"/>
      <c r="BZ178" s="407"/>
      <c r="CA178" s="407"/>
      <c r="CB178" s="407"/>
      <c r="CC178" s="407"/>
      <c r="CD178" s="407"/>
      <c r="CE178" s="407"/>
      <c r="CF178" s="407"/>
    </row>
    <row r="179" spans="1:84">
      <c r="A179" s="406"/>
      <c r="B179" s="406"/>
      <c r="C179" s="406"/>
      <c r="D179" s="406"/>
      <c r="E179" s="406"/>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406"/>
      <c r="BI179" s="406"/>
      <c r="BJ179" s="406"/>
      <c r="BK179" s="407"/>
      <c r="BL179" s="407"/>
      <c r="BM179" s="407"/>
      <c r="BN179" s="407"/>
      <c r="BO179" s="407"/>
      <c r="BP179" s="407"/>
      <c r="BQ179" s="407"/>
      <c r="BR179" s="407"/>
      <c r="BS179" s="407"/>
      <c r="BT179" s="407"/>
      <c r="BU179" s="407"/>
      <c r="BV179" s="407"/>
      <c r="BW179" s="407"/>
      <c r="BX179" s="407"/>
      <c r="BY179" s="407"/>
      <c r="BZ179" s="407"/>
      <c r="CA179" s="407"/>
      <c r="CB179" s="407"/>
      <c r="CC179" s="407"/>
      <c r="CD179" s="407"/>
      <c r="CE179" s="407"/>
      <c r="CF179" s="407"/>
    </row>
    <row r="180" spans="1:84">
      <c r="A180" s="406"/>
      <c r="B180" s="406"/>
      <c r="C180" s="406"/>
      <c r="D180" s="406"/>
      <c r="E180" s="406"/>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c r="AN180" s="406"/>
      <c r="AO180" s="406"/>
      <c r="AP180" s="406"/>
      <c r="AQ180" s="406"/>
      <c r="AR180" s="406"/>
      <c r="AS180" s="406"/>
      <c r="AT180" s="406"/>
      <c r="AU180" s="406"/>
      <c r="AV180" s="406"/>
      <c r="AW180" s="406"/>
      <c r="AX180" s="406"/>
      <c r="AY180" s="406"/>
      <c r="AZ180" s="406"/>
      <c r="BA180" s="406"/>
      <c r="BB180" s="406"/>
      <c r="BC180" s="406"/>
      <c r="BD180" s="406"/>
      <c r="BE180" s="406"/>
      <c r="BF180" s="406"/>
      <c r="BG180" s="406"/>
      <c r="BH180" s="406"/>
      <c r="BI180" s="406"/>
      <c r="BJ180" s="406"/>
      <c r="BK180" s="407"/>
      <c r="BL180" s="407"/>
      <c r="BM180" s="407"/>
      <c r="BN180" s="407"/>
      <c r="BO180" s="407"/>
      <c r="BP180" s="407"/>
      <c r="BQ180" s="407"/>
      <c r="BR180" s="407"/>
      <c r="BS180" s="407"/>
      <c r="BT180" s="407"/>
      <c r="BU180" s="407"/>
      <c r="BV180" s="407"/>
      <c r="BW180" s="407"/>
      <c r="BX180" s="407"/>
      <c r="BY180" s="407"/>
      <c r="BZ180" s="407"/>
      <c r="CA180" s="407"/>
      <c r="CB180" s="407"/>
      <c r="CC180" s="407"/>
      <c r="CD180" s="407"/>
      <c r="CE180" s="407"/>
      <c r="CF180" s="407"/>
    </row>
    <row r="181" spans="1:84">
      <c r="A181" s="406"/>
      <c r="B181" s="406"/>
      <c r="C181" s="406"/>
      <c r="D181" s="406"/>
      <c r="E181" s="406"/>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c r="AN181" s="406"/>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7"/>
      <c r="BL181" s="407"/>
      <c r="BM181" s="407"/>
      <c r="BN181" s="407"/>
      <c r="BO181" s="407"/>
      <c r="BP181" s="407"/>
      <c r="BQ181" s="407"/>
      <c r="BR181" s="407"/>
      <c r="BS181" s="407"/>
      <c r="BT181" s="407"/>
      <c r="BU181" s="407"/>
      <c r="BV181" s="407"/>
      <c r="BW181" s="407"/>
      <c r="BX181" s="407"/>
      <c r="BY181" s="407"/>
      <c r="BZ181" s="407"/>
      <c r="CA181" s="407"/>
      <c r="CB181" s="407"/>
      <c r="CC181" s="407"/>
      <c r="CD181" s="407"/>
      <c r="CE181" s="407"/>
      <c r="CF181" s="407"/>
    </row>
    <row r="182" spans="1:84">
      <c r="A182" s="406"/>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406"/>
      <c r="AO182" s="406"/>
      <c r="AP182" s="406"/>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7"/>
      <c r="BL182" s="407"/>
      <c r="BM182" s="407"/>
      <c r="BN182" s="407"/>
      <c r="BO182" s="407"/>
      <c r="BP182" s="407"/>
      <c r="BQ182" s="407"/>
      <c r="BR182" s="407"/>
      <c r="BS182" s="407"/>
      <c r="BT182" s="407"/>
      <c r="BU182" s="407"/>
      <c r="BV182" s="407"/>
      <c r="BW182" s="407"/>
      <c r="BX182" s="407"/>
      <c r="BY182" s="407"/>
      <c r="BZ182" s="407"/>
      <c r="CA182" s="407"/>
      <c r="CB182" s="407"/>
      <c r="CC182" s="407"/>
      <c r="CD182" s="407"/>
      <c r="CE182" s="407"/>
      <c r="CF182" s="407"/>
    </row>
    <row r="183" spans="1:84">
      <c r="A183" s="406"/>
      <c r="B183" s="406"/>
      <c r="C183" s="406"/>
      <c r="D183" s="406"/>
      <c r="E183" s="406"/>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7"/>
      <c r="BL183" s="407"/>
      <c r="BM183" s="407"/>
      <c r="BN183" s="407"/>
      <c r="BO183" s="407"/>
      <c r="BP183" s="407"/>
      <c r="BQ183" s="407"/>
      <c r="BR183" s="407"/>
      <c r="BS183" s="407"/>
      <c r="BT183" s="407"/>
      <c r="BU183" s="407"/>
      <c r="BV183" s="407"/>
      <c r="BW183" s="407"/>
      <c r="BX183" s="407"/>
      <c r="BY183" s="407"/>
      <c r="BZ183" s="407"/>
      <c r="CA183" s="407"/>
      <c r="CB183" s="407"/>
      <c r="CC183" s="407"/>
      <c r="CD183" s="407"/>
      <c r="CE183" s="407"/>
      <c r="CF183" s="407"/>
    </row>
    <row r="184" spans="1:84">
      <c r="A184" s="406"/>
      <c r="B184" s="406"/>
      <c r="C184" s="406"/>
      <c r="D184" s="406"/>
      <c r="E184" s="406"/>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406"/>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7"/>
      <c r="BL184" s="407"/>
      <c r="BM184" s="407"/>
      <c r="BN184" s="407"/>
      <c r="BO184" s="407"/>
      <c r="BP184" s="407"/>
      <c r="BQ184" s="407"/>
      <c r="BR184" s="407"/>
      <c r="BS184" s="407"/>
      <c r="BT184" s="407"/>
      <c r="BU184" s="407"/>
      <c r="BV184" s="407"/>
      <c r="BW184" s="407"/>
      <c r="BX184" s="407"/>
      <c r="BY184" s="407"/>
      <c r="BZ184" s="407"/>
      <c r="CA184" s="407"/>
      <c r="CB184" s="407"/>
      <c r="CC184" s="407"/>
      <c r="CD184" s="407"/>
      <c r="CE184" s="407"/>
      <c r="CF184" s="407"/>
    </row>
    <row r="185" spans="1:84">
      <c r="A185" s="406"/>
      <c r="B185" s="406"/>
      <c r="C185" s="406"/>
      <c r="D185" s="406"/>
      <c r="E185" s="406"/>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7"/>
      <c r="BL185" s="407"/>
      <c r="BM185" s="407"/>
      <c r="BN185" s="407"/>
      <c r="BO185" s="407"/>
      <c r="BP185" s="407"/>
      <c r="BQ185" s="407"/>
      <c r="BR185" s="407"/>
      <c r="BS185" s="407"/>
      <c r="BT185" s="407"/>
      <c r="BU185" s="407"/>
      <c r="BV185" s="407"/>
      <c r="BW185" s="407"/>
      <c r="BX185" s="407"/>
      <c r="BY185" s="407"/>
      <c r="BZ185" s="407"/>
      <c r="CA185" s="407"/>
      <c r="CB185" s="407"/>
      <c r="CC185" s="407"/>
      <c r="CD185" s="407"/>
      <c r="CE185" s="407"/>
      <c r="CF185" s="407"/>
    </row>
    <row r="186" spans="1:84">
      <c r="A186" s="406"/>
      <c r="B186" s="406"/>
      <c r="C186" s="406"/>
      <c r="D186" s="406"/>
      <c r="E186" s="406"/>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40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7"/>
      <c r="BL186" s="407"/>
      <c r="BM186" s="407"/>
      <c r="BN186" s="407"/>
      <c r="BO186" s="407"/>
      <c r="BP186" s="407"/>
      <c r="BQ186" s="407"/>
      <c r="BR186" s="407"/>
      <c r="BS186" s="407"/>
      <c r="BT186" s="407"/>
      <c r="BU186" s="407"/>
      <c r="BV186" s="407"/>
      <c r="BW186" s="407"/>
      <c r="BX186" s="407"/>
      <c r="BY186" s="407"/>
      <c r="BZ186" s="407"/>
      <c r="CA186" s="407"/>
      <c r="CB186" s="407"/>
      <c r="CC186" s="407"/>
      <c r="CD186" s="407"/>
      <c r="CE186" s="407"/>
      <c r="CF186" s="407"/>
    </row>
    <row r="187" spans="1:84">
      <c r="A187" s="406"/>
      <c r="B187" s="406"/>
      <c r="C187" s="406"/>
      <c r="D187" s="406"/>
      <c r="E187" s="406"/>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7"/>
      <c r="BL187" s="407"/>
      <c r="BM187" s="407"/>
      <c r="BN187" s="407"/>
      <c r="BO187" s="407"/>
      <c r="BP187" s="407"/>
      <c r="BQ187" s="407"/>
      <c r="BR187" s="407"/>
      <c r="BS187" s="407"/>
      <c r="BT187" s="407"/>
      <c r="BU187" s="407"/>
      <c r="BV187" s="407"/>
      <c r="BW187" s="407"/>
      <c r="BX187" s="407"/>
      <c r="BY187" s="407"/>
      <c r="BZ187" s="407"/>
      <c r="CA187" s="407"/>
      <c r="CB187" s="407"/>
      <c r="CC187" s="407"/>
      <c r="CD187" s="407"/>
      <c r="CE187" s="407"/>
      <c r="CF187" s="407"/>
    </row>
    <row r="188" spans="1:84">
      <c r="A188" s="406"/>
      <c r="B188" s="406"/>
      <c r="C188" s="406"/>
      <c r="D188" s="406"/>
      <c r="E188" s="406"/>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7"/>
      <c r="BL188" s="407"/>
      <c r="BM188" s="407"/>
      <c r="BN188" s="407"/>
      <c r="BO188" s="407"/>
      <c r="BP188" s="407"/>
      <c r="BQ188" s="407"/>
      <c r="BR188" s="407"/>
      <c r="BS188" s="407"/>
      <c r="BT188" s="407"/>
      <c r="BU188" s="407"/>
      <c r="BV188" s="407"/>
      <c r="BW188" s="407"/>
      <c r="BX188" s="407"/>
      <c r="BY188" s="407"/>
      <c r="BZ188" s="407"/>
      <c r="CA188" s="407"/>
      <c r="CB188" s="407"/>
      <c r="CC188" s="407"/>
      <c r="CD188" s="407"/>
      <c r="CE188" s="407"/>
      <c r="CF188" s="407"/>
    </row>
    <row r="189" spans="1:84">
      <c r="A189" s="406"/>
      <c r="B189" s="406"/>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7"/>
      <c r="BL189" s="407"/>
      <c r="BM189" s="407"/>
      <c r="BN189" s="407"/>
      <c r="BO189" s="407"/>
      <c r="BP189" s="407"/>
      <c r="BQ189" s="407"/>
      <c r="BR189" s="407"/>
      <c r="BS189" s="407"/>
      <c r="BT189" s="407"/>
      <c r="BU189" s="407"/>
      <c r="BV189" s="407"/>
      <c r="BW189" s="407"/>
      <c r="BX189" s="407"/>
      <c r="BY189" s="407"/>
      <c r="BZ189" s="407"/>
      <c r="CA189" s="407"/>
      <c r="CB189" s="407"/>
      <c r="CC189" s="407"/>
      <c r="CD189" s="407"/>
      <c r="CE189" s="407"/>
      <c r="CF189" s="407"/>
    </row>
    <row r="190" spans="1:84">
      <c r="A190" s="406"/>
      <c r="B190" s="406"/>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7"/>
      <c r="BL190" s="407"/>
      <c r="BM190" s="407"/>
      <c r="BN190" s="407"/>
      <c r="BO190" s="407"/>
      <c r="BP190" s="407"/>
      <c r="BQ190" s="407"/>
      <c r="BR190" s="407"/>
      <c r="BS190" s="407"/>
      <c r="BT190" s="407"/>
      <c r="BU190" s="407"/>
      <c r="BV190" s="407"/>
      <c r="BW190" s="407"/>
      <c r="BX190" s="407"/>
      <c r="BY190" s="407"/>
      <c r="BZ190" s="407"/>
      <c r="CA190" s="407"/>
      <c r="CB190" s="407"/>
      <c r="CC190" s="407"/>
      <c r="CD190" s="407"/>
      <c r="CE190" s="407"/>
      <c r="CF190" s="407"/>
    </row>
    <row r="191" spans="1:84">
      <c r="A191" s="406"/>
      <c r="B191" s="406"/>
      <c r="C191" s="406"/>
      <c r="D191" s="406"/>
      <c r="E191" s="406"/>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7"/>
      <c r="BL191" s="407"/>
      <c r="BM191" s="407"/>
      <c r="BN191" s="407"/>
      <c r="BO191" s="407"/>
      <c r="BP191" s="407"/>
      <c r="BQ191" s="407"/>
      <c r="BR191" s="407"/>
      <c r="BS191" s="407"/>
      <c r="BT191" s="407"/>
      <c r="BU191" s="407"/>
      <c r="BV191" s="407"/>
      <c r="BW191" s="407"/>
      <c r="BX191" s="407"/>
      <c r="BY191" s="407"/>
      <c r="BZ191" s="407"/>
      <c r="CA191" s="407"/>
      <c r="CB191" s="407"/>
      <c r="CC191" s="407"/>
      <c r="CD191" s="407"/>
      <c r="CE191" s="407"/>
      <c r="CF191" s="407"/>
    </row>
    <row r="192" spans="1:84">
      <c r="A192" s="406"/>
      <c r="B192" s="406"/>
      <c r="C192" s="406"/>
      <c r="D192" s="406"/>
      <c r="E192" s="406"/>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7"/>
      <c r="BL192" s="407"/>
      <c r="BM192" s="407"/>
      <c r="BN192" s="407"/>
      <c r="BO192" s="407"/>
      <c r="BP192" s="407"/>
      <c r="BQ192" s="407"/>
      <c r="BR192" s="407"/>
      <c r="BS192" s="407"/>
      <c r="BT192" s="407"/>
      <c r="BU192" s="407"/>
      <c r="BV192" s="407"/>
      <c r="BW192" s="407"/>
      <c r="BX192" s="407"/>
      <c r="BY192" s="407"/>
      <c r="BZ192" s="407"/>
      <c r="CA192" s="407"/>
      <c r="CB192" s="407"/>
      <c r="CC192" s="407"/>
      <c r="CD192" s="407"/>
      <c r="CE192" s="407"/>
      <c r="CF192" s="407"/>
    </row>
    <row r="193" spans="1:84">
      <c r="A193" s="406"/>
      <c r="B193" s="406"/>
      <c r="C193" s="406"/>
      <c r="D193" s="406"/>
      <c r="E193" s="406"/>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c r="AN193" s="406"/>
      <c r="AO193" s="406"/>
      <c r="AP193" s="406"/>
      <c r="AQ193" s="406"/>
      <c r="AR193" s="406"/>
      <c r="AS193" s="406"/>
      <c r="AT193" s="406"/>
      <c r="AU193" s="406"/>
      <c r="AV193" s="406"/>
      <c r="AW193" s="406"/>
      <c r="AX193" s="406"/>
      <c r="AY193" s="406"/>
      <c r="AZ193" s="406"/>
      <c r="BA193" s="406"/>
      <c r="BB193" s="406"/>
      <c r="BC193" s="406"/>
      <c r="BD193" s="406"/>
      <c r="BE193" s="406"/>
      <c r="BF193" s="406"/>
      <c r="BG193" s="406"/>
      <c r="BH193" s="406"/>
      <c r="BI193" s="406"/>
      <c r="BJ193" s="406"/>
      <c r="BK193" s="407"/>
      <c r="BL193" s="407"/>
      <c r="BM193" s="407"/>
      <c r="BN193" s="407"/>
      <c r="BO193" s="407"/>
      <c r="BP193" s="407"/>
      <c r="BQ193" s="407"/>
      <c r="BR193" s="407"/>
      <c r="BS193" s="407"/>
      <c r="BT193" s="407"/>
      <c r="BU193" s="407"/>
      <c r="BV193" s="407"/>
      <c r="BW193" s="407"/>
      <c r="BX193" s="407"/>
      <c r="BY193" s="407"/>
      <c r="BZ193" s="407"/>
      <c r="CA193" s="407"/>
      <c r="CB193" s="407"/>
      <c r="CC193" s="407"/>
      <c r="CD193" s="407"/>
      <c r="CE193" s="407"/>
      <c r="CF193" s="407"/>
    </row>
    <row r="194" spans="1:84">
      <c r="A194" s="406"/>
      <c r="B194" s="406"/>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7"/>
      <c r="BL194" s="407"/>
      <c r="BM194" s="407"/>
      <c r="BN194" s="407"/>
      <c r="BO194" s="407"/>
      <c r="BP194" s="407"/>
      <c r="BQ194" s="407"/>
      <c r="BR194" s="407"/>
      <c r="BS194" s="407"/>
      <c r="BT194" s="407"/>
      <c r="BU194" s="407"/>
      <c r="BV194" s="407"/>
      <c r="BW194" s="407"/>
      <c r="BX194" s="407"/>
      <c r="BY194" s="407"/>
      <c r="BZ194" s="407"/>
      <c r="CA194" s="407"/>
      <c r="CB194" s="407"/>
      <c r="CC194" s="407"/>
      <c r="CD194" s="407"/>
      <c r="CE194" s="407"/>
      <c r="CF194" s="407"/>
    </row>
    <row r="195" spans="1:84">
      <c r="A195" s="406"/>
      <c r="B195" s="406"/>
      <c r="C195" s="406"/>
      <c r="D195" s="406"/>
      <c r="E195" s="406"/>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c r="AN195" s="406"/>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7"/>
      <c r="BL195" s="407"/>
      <c r="BM195" s="407"/>
      <c r="BN195" s="407"/>
      <c r="BO195" s="407"/>
      <c r="BP195" s="407"/>
      <c r="BQ195" s="407"/>
      <c r="BR195" s="407"/>
      <c r="BS195" s="407"/>
      <c r="BT195" s="407"/>
      <c r="BU195" s="407"/>
      <c r="BV195" s="407"/>
      <c r="BW195" s="407"/>
      <c r="BX195" s="407"/>
      <c r="BY195" s="407"/>
      <c r="BZ195" s="407"/>
      <c r="CA195" s="407"/>
      <c r="CB195" s="407"/>
      <c r="CC195" s="407"/>
      <c r="CD195" s="407"/>
      <c r="CE195" s="407"/>
      <c r="CF195" s="407"/>
    </row>
    <row r="196" spans="1:84">
      <c r="A196" s="406"/>
      <c r="B196" s="406"/>
      <c r="C196" s="406"/>
      <c r="D196" s="406"/>
      <c r="E196" s="406"/>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c r="AN196" s="40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7"/>
      <c r="BL196" s="407"/>
      <c r="BM196" s="407"/>
      <c r="BN196" s="407"/>
      <c r="BO196" s="407"/>
      <c r="BP196" s="407"/>
      <c r="BQ196" s="407"/>
      <c r="BR196" s="407"/>
      <c r="BS196" s="407"/>
      <c r="BT196" s="407"/>
      <c r="BU196" s="407"/>
      <c r="BV196" s="407"/>
      <c r="BW196" s="407"/>
      <c r="BX196" s="407"/>
      <c r="BY196" s="407"/>
      <c r="BZ196" s="407"/>
      <c r="CA196" s="407"/>
      <c r="CB196" s="407"/>
      <c r="CC196" s="407"/>
      <c r="CD196" s="407"/>
      <c r="CE196" s="407"/>
      <c r="CF196" s="407"/>
    </row>
    <row r="197" spans="1:84">
      <c r="A197" s="406"/>
      <c r="B197" s="406"/>
      <c r="C197" s="406"/>
      <c r="D197" s="406"/>
      <c r="E197" s="406"/>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406"/>
      <c r="AO197" s="406"/>
      <c r="AP197" s="406"/>
      <c r="AQ197" s="406"/>
      <c r="AR197" s="406"/>
      <c r="AS197" s="406"/>
      <c r="AT197" s="406"/>
      <c r="AU197" s="406"/>
      <c r="AV197" s="406"/>
      <c r="AW197" s="406"/>
      <c r="AX197" s="406"/>
      <c r="AY197" s="406"/>
      <c r="AZ197" s="406"/>
      <c r="BA197" s="406"/>
      <c r="BB197" s="406"/>
      <c r="BC197" s="406"/>
      <c r="BD197" s="406"/>
      <c r="BE197" s="406"/>
      <c r="BF197" s="406"/>
      <c r="BG197" s="406"/>
      <c r="BH197" s="406"/>
      <c r="BI197" s="406"/>
      <c r="BJ197" s="406"/>
      <c r="BK197" s="407"/>
      <c r="BL197" s="407"/>
      <c r="BM197" s="407"/>
      <c r="BN197" s="407"/>
      <c r="BO197" s="407"/>
      <c r="BP197" s="407"/>
      <c r="BQ197" s="407"/>
      <c r="BR197" s="407"/>
      <c r="BS197" s="407"/>
      <c r="BT197" s="407"/>
      <c r="BU197" s="407"/>
      <c r="BV197" s="407"/>
      <c r="BW197" s="407"/>
      <c r="BX197" s="407"/>
      <c r="BY197" s="407"/>
      <c r="BZ197" s="407"/>
      <c r="CA197" s="407"/>
      <c r="CB197" s="407"/>
      <c r="CC197" s="407"/>
      <c r="CD197" s="407"/>
      <c r="CE197" s="407"/>
      <c r="CF197" s="407"/>
    </row>
    <row r="198" spans="1:84">
      <c r="A198" s="406"/>
      <c r="B198" s="406"/>
      <c r="C198" s="406"/>
      <c r="D198" s="406"/>
      <c r="E198" s="406"/>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406"/>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7"/>
      <c r="BL198" s="407"/>
      <c r="BM198" s="407"/>
      <c r="BN198" s="407"/>
      <c r="BO198" s="407"/>
      <c r="BP198" s="407"/>
      <c r="BQ198" s="407"/>
      <c r="BR198" s="407"/>
      <c r="BS198" s="407"/>
      <c r="BT198" s="407"/>
      <c r="BU198" s="407"/>
      <c r="BV198" s="407"/>
      <c r="BW198" s="407"/>
      <c r="BX198" s="407"/>
      <c r="BY198" s="407"/>
      <c r="BZ198" s="407"/>
      <c r="CA198" s="407"/>
      <c r="CB198" s="407"/>
      <c r="CC198" s="407"/>
      <c r="CD198" s="407"/>
      <c r="CE198" s="407"/>
      <c r="CF198" s="407"/>
    </row>
    <row r="199" spans="1:84">
      <c r="A199" s="406"/>
      <c r="B199" s="406"/>
      <c r="C199" s="406"/>
      <c r="D199" s="406"/>
      <c r="E199" s="406"/>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7"/>
      <c r="BL199" s="407"/>
      <c r="BM199" s="407"/>
      <c r="BN199" s="407"/>
      <c r="BO199" s="407"/>
      <c r="BP199" s="407"/>
      <c r="BQ199" s="407"/>
      <c r="BR199" s="407"/>
      <c r="BS199" s="407"/>
      <c r="BT199" s="407"/>
      <c r="BU199" s="407"/>
      <c r="BV199" s="407"/>
      <c r="BW199" s="407"/>
      <c r="BX199" s="407"/>
      <c r="BY199" s="407"/>
      <c r="BZ199" s="407"/>
      <c r="CA199" s="407"/>
      <c r="CB199" s="407"/>
      <c r="CC199" s="407"/>
      <c r="CD199" s="407"/>
      <c r="CE199" s="407"/>
      <c r="CF199" s="407"/>
    </row>
    <row r="200" spans="1:84">
      <c r="A200" s="406"/>
      <c r="B200" s="406"/>
      <c r="C200" s="406"/>
      <c r="D200" s="406"/>
      <c r="E200" s="406"/>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7"/>
      <c r="BL200" s="407"/>
      <c r="BM200" s="407"/>
      <c r="BN200" s="407"/>
      <c r="BO200" s="407"/>
      <c r="BP200" s="407"/>
      <c r="BQ200" s="407"/>
      <c r="BR200" s="407"/>
      <c r="BS200" s="407"/>
      <c r="BT200" s="407"/>
      <c r="BU200" s="407"/>
      <c r="BV200" s="407"/>
      <c r="BW200" s="407"/>
      <c r="BX200" s="407"/>
      <c r="BY200" s="407"/>
      <c r="BZ200" s="407"/>
      <c r="CA200" s="407"/>
      <c r="CB200" s="407"/>
      <c r="CC200" s="407"/>
      <c r="CD200" s="407"/>
      <c r="CE200" s="407"/>
      <c r="CF200" s="407"/>
    </row>
    <row r="201" spans="1:84">
      <c r="A201" s="406"/>
      <c r="B201" s="406"/>
      <c r="C201" s="406"/>
      <c r="D201" s="406"/>
      <c r="E201" s="406"/>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7"/>
      <c r="BL201" s="407"/>
      <c r="BM201" s="407"/>
      <c r="BN201" s="407"/>
      <c r="BO201" s="407"/>
      <c r="BP201" s="407"/>
      <c r="BQ201" s="407"/>
      <c r="BR201" s="407"/>
      <c r="BS201" s="407"/>
      <c r="BT201" s="407"/>
      <c r="BU201" s="407"/>
      <c r="BV201" s="407"/>
      <c r="BW201" s="407"/>
      <c r="BX201" s="407"/>
      <c r="BY201" s="407"/>
      <c r="BZ201" s="407"/>
      <c r="CA201" s="407"/>
      <c r="CB201" s="407"/>
      <c r="CC201" s="407"/>
      <c r="CD201" s="407"/>
      <c r="CE201" s="407"/>
      <c r="CF201" s="407"/>
    </row>
    <row r="202" spans="1:84">
      <c r="A202" s="406"/>
      <c r="B202" s="406"/>
      <c r="C202" s="406"/>
      <c r="D202" s="406"/>
      <c r="E202" s="406"/>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7"/>
      <c r="BL202" s="407"/>
      <c r="BM202" s="407"/>
      <c r="BN202" s="407"/>
      <c r="BO202" s="407"/>
      <c r="BP202" s="407"/>
      <c r="BQ202" s="407"/>
      <c r="BR202" s="407"/>
      <c r="BS202" s="407"/>
      <c r="BT202" s="407"/>
      <c r="BU202" s="407"/>
      <c r="BV202" s="407"/>
      <c r="BW202" s="407"/>
      <c r="BX202" s="407"/>
      <c r="BY202" s="407"/>
      <c r="BZ202" s="407"/>
      <c r="CA202" s="407"/>
      <c r="CB202" s="407"/>
      <c r="CC202" s="407"/>
      <c r="CD202" s="407"/>
      <c r="CE202" s="407"/>
      <c r="CF202" s="407"/>
    </row>
    <row r="203" spans="1:84">
      <c r="A203" s="406"/>
      <c r="B203" s="406"/>
      <c r="C203" s="406"/>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7"/>
      <c r="BL203" s="407"/>
      <c r="BM203" s="407"/>
      <c r="BN203" s="407"/>
      <c r="BO203" s="407"/>
      <c r="BP203" s="407"/>
      <c r="BQ203" s="407"/>
      <c r="BR203" s="407"/>
      <c r="BS203" s="407"/>
      <c r="BT203" s="407"/>
      <c r="BU203" s="407"/>
      <c r="BV203" s="407"/>
      <c r="BW203" s="407"/>
      <c r="BX203" s="407"/>
      <c r="BY203" s="407"/>
      <c r="BZ203" s="407"/>
      <c r="CA203" s="407"/>
      <c r="CB203" s="407"/>
      <c r="CC203" s="407"/>
      <c r="CD203" s="407"/>
      <c r="CE203" s="407"/>
      <c r="CF203" s="407"/>
    </row>
    <row r="204" spans="1:84">
      <c r="A204" s="406"/>
      <c r="B204" s="406"/>
      <c r="C204" s="406"/>
      <c r="D204" s="406"/>
      <c r="E204" s="406"/>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7"/>
      <c r="BL204" s="407"/>
      <c r="BM204" s="407"/>
      <c r="BN204" s="407"/>
      <c r="BO204" s="407"/>
      <c r="BP204" s="407"/>
      <c r="BQ204" s="407"/>
      <c r="BR204" s="407"/>
      <c r="BS204" s="407"/>
      <c r="BT204" s="407"/>
      <c r="BU204" s="407"/>
      <c r="BV204" s="407"/>
      <c r="BW204" s="407"/>
      <c r="BX204" s="407"/>
      <c r="BY204" s="407"/>
      <c r="BZ204" s="407"/>
      <c r="CA204" s="407"/>
      <c r="CB204" s="407"/>
      <c r="CC204" s="407"/>
      <c r="CD204" s="407"/>
      <c r="CE204" s="407"/>
      <c r="CF204" s="407"/>
    </row>
    <row r="205" spans="1:84">
      <c r="A205" s="406"/>
      <c r="B205" s="406"/>
      <c r="C205" s="406"/>
      <c r="D205" s="406"/>
      <c r="E205" s="406"/>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7"/>
      <c r="BL205" s="407"/>
      <c r="BM205" s="407"/>
      <c r="BN205" s="407"/>
      <c r="BO205" s="407"/>
      <c r="BP205" s="407"/>
      <c r="BQ205" s="407"/>
      <c r="BR205" s="407"/>
      <c r="BS205" s="407"/>
      <c r="BT205" s="407"/>
      <c r="BU205" s="407"/>
      <c r="BV205" s="407"/>
      <c r="BW205" s="407"/>
      <c r="BX205" s="407"/>
      <c r="BY205" s="407"/>
      <c r="BZ205" s="407"/>
      <c r="CA205" s="407"/>
      <c r="CB205" s="407"/>
      <c r="CC205" s="407"/>
      <c r="CD205" s="407"/>
      <c r="CE205" s="407"/>
      <c r="CF205" s="407"/>
    </row>
    <row r="206" spans="1:84">
      <c r="A206" s="406"/>
      <c r="B206" s="406"/>
      <c r="C206" s="406"/>
      <c r="D206" s="406"/>
      <c r="E206" s="406"/>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7"/>
      <c r="BL206" s="407"/>
      <c r="BM206" s="407"/>
      <c r="BN206" s="407"/>
      <c r="BO206" s="407"/>
      <c r="BP206" s="407"/>
      <c r="BQ206" s="407"/>
      <c r="BR206" s="407"/>
      <c r="BS206" s="407"/>
      <c r="BT206" s="407"/>
      <c r="BU206" s="407"/>
      <c r="BV206" s="407"/>
      <c r="BW206" s="407"/>
      <c r="BX206" s="407"/>
      <c r="BY206" s="407"/>
      <c r="BZ206" s="407"/>
      <c r="CA206" s="407"/>
      <c r="CB206" s="407"/>
      <c r="CC206" s="407"/>
      <c r="CD206" s="407"/>
      <c r="CE206" s="407"/>
      <c r="CF206" s="407"/>
    </row>
    <row r="207" spans="1:84">
      <c r="A207" s="406"/>
      <c r="B207" s="406"/>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7"/>
      <c r="BL207" s="407"/>
      <c r="BM207" s="407"/>
      <c r="BN207" s="407"/>
      <c r="BO207" s="407"/>
      <c r="BP207" s="407"/>
      <c r="BQ207" s="407"/>
      <c r="BR207" s="407"/>
      <c r="BS207" s="407"/>
      <c r="BT207" s="407"/>
      <c r="BU207" s="407"/>
      <c r="BV207" s="407"/>
      <c r="BW207" s="407"/>
      <c r="BX207" s="407"/>
      <c r="BY207" s="407"/>
      <c r="BZ207" s="407"/>
      <c r="CA207" s="407"/>
      <c r="CB207" s="407"/>
      <c r="CC207" s="407"/>
      <c r="CD207" s="407"/>
      <c r="CE207" s="407"/>
      <c r="CF207" s="407"/>
    </row>
    <row r="208" spans="1:84">
      <c r="A208" s="406"/>
      <c r="B208" s="406"/>
      <c r="C208" s="406"/>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7"/>
      <c r="BL208" s="407"/>
      <c r="BM208" s="407"/>
      <c r="BN208" s="407"/>
      <c r="BO208" s="407"/>
      <c r="BP208" s="407"/>
      <c r="BQ208" s="407"/>
      <c r="BR208" s="407"/>
      <c r="BS208" s="407"/>
      <c r="BT208" s="407"/>
      <c r="BU208" s="407"/>
      <c r="BV208" s="407"/>
      <c r="BW208" s="407"/>
      <c r="BX208" s="407"/>
      <c r="BY208" s="407"/>
      <c r="BZ208" s="407"/>
      <c r="CA208" s="407"/>
      <c r="CB208" s="407"/>
      <c r="CC208" s="407"/>
      <c r="CD208" s="407"/>
      <c r="CE208" s="407"/>
      <c r="CF208" s="407"/>
    </row>
    <row r="209" spans="1:84">
      <c r="A209" s="406"/>
      <c r="B209" s="406"/>
      <c r="C209" s="406"/>
      <c r="D209" s="406"/>
      <c r="E209" s="406"/>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406"/>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7"/>
      <c r="BL209" s="407"/>
      <c r="BM209" s="407"/>
      <c r="BN209" s="407"/>
      <c r="BO209" s="407"/>
      <c r="BP209" s="407"/>
      <c r="BQ209" s="407"/>
      <c r="BR209" s="407"/>
      <c r="BS209" s="407"/>
      <c r="BT209" s="407"/>
      <c r="BU209" s="407"/>
      <c r="BV209" s="407"/>
      <c r="BW209" s="407"/>
      <c r="BX209" s="407"/>
      <c r="BY209" s="407"/>
      <c r="BZ209" s="407"/>
      <c r="CA209" s="407"/>
      <c r="CB209" s="407"/>
      <c r="CC209" s="407"/>
      <c r="CD209" s="407"/>
      <c r="CE209" s="407"/>
      <c r="CF209" s="407"/>
    </row>
    <row r="210" spans="1:84">
      <c r="A210" s="406"/>
      <c r="B210" s="406"/>
      <c r="C210" s="406"/>
      <c r="D210" s="406"/>
      <c r="E210" s="406"/>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c r="AN210" s="406"/>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7"/>
      <c r="BL210" s="407"/>
      <c r="BM210" s="407"/>
      <c r="BN210" s="407"/>
      <c r="BO210" s="407"/>
      <c r="BP210" s="407"/>
      <c r="BQ210" s="407"/>
      <c r="BR210" s="407"/>
      <c r="BS210" s="407"/>
      <c r="BT210" s="407"/>
      <c r="BU210" s="407"/>
      <c r="BV210" s="407"/>
      <c r="BW210" s="407"/>
      <c r="BX210" s="407"/>
      <c r="BY210" s="407"/>
      <c r="BZ210" s="407"/>
      <c r="CA210" s="407"/>
      <c r="CB210" s="407"/>
      <c r="CC210" s="407"/>
      <c r="CD210" s="407"/>
      <c r="CE210" s="407"/>
      <c r="CF210" s="407"/>
    </row>
    <row r="211" spans="1:84">
      <c r="A211" s="406"/>
      <c r="B211" s="406"/>
      <c r="C211" s="406"/>
      <c r="D211" s="406"/>
      <c r="E211" s="406"/>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7"/>
      <c r="BL211" s="407"/>
      <c r="BM211" s="407"/>
      <c r="BN211" s="407"/>
      <c r="BO211" s="407"/>
      <c r="BP211" s="407"/>
      <c r="BQ211" s="407"/>
      <c r="BR211" s="407"/>
      <c r="BS211" s="407"/>
      <c r="BT211" s="407"/>
      <c r="BU211" s="407"/>
      <c r="BV211" s="407"/>
      <c r="BW211" s="407"/>
      <c r="BX211" s="407"/>
      <c r="BY211" s="407"/>
      <c r="BZ211" s="407"/>
      <c r="CA211" s="407"/>
      <c r="CB211" s="407"/>
      <c r="CC211" s="407"/>
      <c r="CD211" s="407"/>
      <c r="CE211" s="407"/>
      <c r="CF211" s="407"/>
    </row>
    <row r="212" spans="1:84">
      <c r="A212" s="406"/>
      <c r="B212" s="406"/>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7"/>
      <c r="BL212" s="407"/>
      <c r="BM212" s="407"/>
      <c r="BN212" s="407"/>
      <c r="BO212" s="407"/>
      <c r="BP212" s="407"/>
      <c r="BQ212" s="407"/>
      <c r="BR212" s="407"/>
      <c r="BS212" s="407"/>
      <c r="BT212" s="407"/>
      <c r="BU212" s="407"/>
      <c r="BV212" s="407"/>
      <c r="BW212" s="407"/>
      <c r="BX212" s="407"/>
      <c r="BY212" s="407"/>
      <c r="BZ212" s="407"/>
      <c r="CA212" s="407"/>
      <c r="CB212" s="407"/>
      <c r="CC212" s="407"/>
      <c r="CD212" s="407"/>
      <c r="CE212" s="407"/>
      <c r="CF212" s="407"/>
    </row>
    <row r="213" spans="1:84">
      <c r="A213" s="406"/>
      <c r="B213" s="406"/>
      <c r="C213" s="406"/>
      <c r="D213" s="406"/>
      <c r="E213" s="406"/>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406"/>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7"/>
      <c r="BL213" s="407"/>
      <c r="BM213" s="407"/>
      <c r="BN213" s="407"/>
      <c r="BO213" s="407"/>
      <c r="BP213" s="407"/>
      <c r="BQ213" s="407"/>
      <c r="BR213" s="407"/>
      <c r="BS213" s="407"/>
      <c r="BT213" s="407"/>
      <c r="BU213" s="407"/>
      <c r="BV213" s="407"/>
      <c r="BW213" s="407"/>
      <c r="BX213" s="407"/>
      <c r="BY213" s="407"/>
      <c r="BZ213" s="407"/>
      <c r="CA213" s="407"/>
      <c r="CB213" s="407"/>
      <c r="CC213" s="407"/>
      <c r="CD213" s="407"/>
      <c r="CE213" s="407"/>
      <c r="CF213" s="407"/>
    </row>
    <row r="214" spans="1:84">
      <c r="A214" s="406"/>
      <c r="B214" s="406"/>
      <c r="C214" s="406"/>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7"/>
      <c r="BL214" s="407"/>
      <c r="BM214" s="407"/>
      <c r="BN214" s="407"/>
      <c r="BO214" s="407"/>
      <c r="BP214" s="407"/>
      <c r="BQ214" s="407"/>
      <c r="BR214" s="407"/>
      <c r="BS214" s="407"/>
      <c r="BT214" s="407"/>
      <c r="BU214" s="407"/>
      <c r="BV214" s="407"/>
      <c r="BW214" s="407"/>
      <c r="BX214" s="407"/>
      <c r="BY214" s="407"/>
      <c r="BZ214" s="407"/>
      <c r="CA214" s="407"/>
      <c r="CB214" s="407"/>
      <c r="CC214" s="407"/>
      <c r="CD214" s="407"/>
      <c r="CE214" s="407"/>
      <c r="CF214" s="407"/>
    </row>
    <row r="215" spans="1:84">
      <c r="A215" s="406"/>
      <c r="B215" s="406"/>
      <c r="C215" s="406"/>
      <c r="D215" s="406"/>
      <c r="E215" s="406"/>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406"/>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7"/>
      <c r="BL215" s="407"/>
      <c r="BM215" s="407"/>
      <c r="BN215" s="407"/>
      <c r="BO215" s="407"/>
      <c r="BP215" s="407"/>
      <c r="BQ215" s="407"/>
      <c r="BR215" s="407"/>
      <c r="BS215" s="407"/>
      <c r="BT215" s="407"/>
      <c r="BU215" s="407"/>
      <c r="BV215" s="407"/>
      <c r="BW215" s="407"/>
      <c r="BX215" s="407"/>
      <c r="BY215" s="407"/>
      <c r="BZ215" s="407"/>
      <c r="CA215" s="407"/>
      <c r="CB215" s="407"/>
      <c r="CC215" s="407"/>
      <c r="CD215" s="407"/>
      <c r="CE215" s="407"/>
      <c r="CF215" s="407"/>
    </row>
    <row r="216" spans="1:84">
      <c r="A216" s="406"/>
      <c r="B216" s="406"/>
      <c r="C216" s="406"/>
      <c r="D216" s="406"/>
      <c r="E216" s="406"/>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c r="AN216" s="406"/>
      <c r="AO216" s="406"/>
      <c r="AP216" s="406"/>
      <c r="AQ216" s="406"/>
      <c r="AR216" s="406"/>
      <c r="AS216" s="406"/>
      <c r="AT216" s="406"/>
      <c r="AU216" s="406"/>
      <c r="AV216" s="406"/>
      <c r="AW216" s="406"/>
      <c r="AX216" s="406"/>
      <c r="AY216" s="406"/>
      <c r="AZ216" s="406"/>
      <c r="BA216" s="406"/>
      <c r="BB216" s="406"/>
      <c r="BC216" s="406"/>
      <c r="BD216" s="406"/>
      <c r="BE216" s="406"/>
      <c r="BF216" s="406"/>
      <c r="BG216" s="406"/>
      <c r="BH216" s="406"/>
      <c r="BI216" s="406"/>
      <c r="BJ216" s="406"/>
      <c r="BK216" s="407"/>
      <c r="BL216" s="407"/>
      <c r="BM216" s="407"/>
      <c r="BN216" s="407"/>
      <c r="BO216" s="407"/>
      <c r="BP216" s="407"/>
      <c r="BQ216" s="407"/>
      <c r="BR216" s="407"/>
      <c r="BS216" s="407"/>
      <c r="BT216" s="407"/>
      <c r="BU216" s="407"/>
      <c r="BV216" s="407"/>
      <c r="BW216" s="407"/>
      <c r="BX216" s="407"/>
      <c r="BY216" s="407"/>
      <c r="BZ216" s="407"/>
      <c r="CA216" s="407"/>
      <c r="CB216" s="407"/>
      <c r="CC216" s="407"/>
      <c r="CD216" s="407"/>
      <c r="CE216" s="407"/>
      <c r="CF216" s="407"/>
    </row>
    <row r="217" spans="1:84">
      <c r="A217" s="406"/>
      <c r="B217" s="406"/>
      <c r="C217" s="406"/>
      <c r="D217" s="406"/>
      <c r="E217" s="406"/>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c r="AN217" s="406"/>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7"/>
      <c r="BL217" s="407"/>
      <c r="BM217" s="407"/>
      <c r="BN217" s="407"/>
      <c r="BO217" s="407"/>
      <c r="BP217" s="407"/>
      <c r="BQ217" s="407"/>
      <c r="BR217" s="407"/>
      <c r="BS217" s="407"/>
      <c r="BT217" s="407"/>
      <c r="BU217" s="407"/>
      <c r="BV217" s="407"/>
      <c r="BW217" s="407"/>
      <c r="BX217" s="407"/>
      <c r="BY217" s="407"/>
      <c r="BZ217" s="407"/>
      <c r="CA217" s="407"/>
      <c r="CB217" s="407"/>
      <c r="CC217" s="407"/>
      <c r="CD217" s="407"/>
      <c r="CE217" s="407"/>
      <c r="CF217" s="407"/>
    </row>
    <row r="218" spans="1:84">
      <c r="A218" s="406"/>
      <c r="B218" s="406"/>
      <c r="C218" s="406"/>
      <c r="D218" s="406"/>
      <c r="E218" s="406"/>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7"/>
      <c r="BL218" s="407"/>
      <c r="BM218" s="407"/>
      <c r="BN218" s="407"/>
      <c r="BO218" s="407"/>
      <c r="BP218" s="407"/>
      <c r="BQ218" s="407"/>
      <c r="BR218" s="407"/>
      <c r="BS218" s="407"/>
      <c r="BT218" s="407"/>
      <c r="BU218" s="407"/>
      <c r="BV218" s="407"/>
      <c r="BW218" s="407"/>
      <c r="BX218" s="407"/>
      <c r="BY218" s="407"/>
      <c r="BZ218" s="407"/>
      <c r="CA218" s="407"/>
      <c r="CB218" s="407"/>
      <c r="CC218" s="407"/>
      <c r="CD218" s="407"/>
      <c r="CE218" s="407"/>
      <c r="CF218" s="407"/>
    </row>
    <row r="219" spans="1:84">
      <c r="A219" s="406"/>
      <c r="B219" s="406"/>
      <c r="C219" s="406"/>
      <c r="D219" s="406"/>
      <c r="E219" s="406"/>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7"/>
      <c r="BL219" s="407"/>
      <c r="BM219" s="407"/>
      <c r="BN219" s="407"/>
      <c r="BO219" s="407"/>
      <c r="BP219" s="407"/>
      <c r="BQ219" s="407"/>
      <c r="BR219" s="407"/>
      <c r="BS219" s="407"/>
      <c r="BT219" s="407"/>
      <c r="BU219" s="407"/>
      <c r="BV219" s="407"/>
      <c r="BW219" s="407"/>
      <c r="BX219" s="407"/>
      <c r="BY219" s="407"/>
      <c r="BZ219" s="407"/>
      <c r="CA219" s="407"/>
      <c r="CB219" s="407"/>
      <c r="CC219" s="407"/>
      <c r="CD219" s="407"/>
      <c r="CE219" s="407"/>
      <c r="CF219" s="407"/>
    </row>
    <row r="220" spans="1:84">
      <c r="A220" s="406"/>
      <c r="B220" s="406"/>
      <c r="C220" s="406"/>
      <c r="D220" s="406"/>
      <c r="E220" s="406"/>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c r="AN220" s="406"/>
      <c r="AO220" s="406"/>
      <c r="AP220" s="406"/>
      <c r="AQ220" s="406"/>
      <c r="AR220" s="406"/>
      <c r="AS220" s="406"/>
      <c r="AT220" s="406"/>
      <c r="AU220" s="406"/>
      <c r="AV220" s="406"/>
      <c r="AW220" s="406"/>
      <c r="AX220" s="406"/>
      <c r="AY220" s="406"/>
      <c r="AZ220" s="406"/>
      <c r="BA220" s="406"/>
      <c r="BB220" s="406"/>
      <c r="BC220" s="406"/>
      <c r="BD220" s="406"/>
      <c r="BE220" s="406"/>
      <c r="BF220" s="406"/>
      <c r="BG220" s="406"/>
      <c r="BH220" s="406"/>
      <c r="BI220" s="406"/>
      <c r="BJ220" s="406"/>
      <c r="BK220" s="407"/>
      <c r="BL220" s="407"/>
      <c r="BM220" s="407"/>
      <c r="BN220" s="407"/>
      <c r="BO220" s="407"/>
      <c r="BP220" s="407"/>
      <c r="BQ220" s="407"/>
      <c r="BR220" s="407"/>
      <c r="BS220" s="407"/>
      <c r="BT220" s="407"/>
      <c r="BU220" s="407"/>
      <c r="BV220" s="407"/>
      <c r="BW220" s="407"/>
      <c r="BX220" s="407"/>
      <c r="BY220" s="407"/>
      <c r="BZ220" s="407"/>
      <c r="CA220" s="407"/>
      <c r="CB220" s="407"/>
      <c r="CC220" s="407"/>
      <c r="CD220" s="407"/>
      <c r="CE220" s="407"/>
      <c r="CF220" s="407"/>
    </row>
    <row r="221" spans="1:84">
      <c r="A221" s="406"/>
      <c r="B221" s="406"/>
      <c r="C221" s="406"/>
      <c r="D221" s="406"/>
      <c r="E221" s="406"/>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7"/>
      <c r="BL221" s="407"/>
      <c r="BM221" s="407"/>
      <c r="BN221" s="407"/>
      <c r="BO221" s="407"/>
      <c r="BP221" s="407"/>
      <c r="BQ221" s="407"/>
      <c r="BR221" s="407"/>
      <c r="BS221" s="407"/>
      <c r="BT221" s="407"/>
      <c r="BU221" s="407"/>
      <c r="BV221" s="407"/>
      <c r="BW221" s="407"/>
      <c r="BX221" s="407"/>
      <c r="BY221" s="407"/>
      <c r="BZ221" s="407"/>
      <c r="CA221" s="407"/>
      <c r="CB221" s="407"/>
      <c r="CC221" s="407"/>
      <c r="CD221" s="407"/>
      <c r="CE221" s="407"/>
      <c r="CF221" s="407"/>
    </row>
    <row r="222" spans="1:84">
      <c r="A222" s="406"/>
      <c r="B222" s="406"/>
      <c r="C222" s="406"/>
      <c r="D222" s="406"/>
      <c r="E222" s="406"/>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c r="AN222" s="406"/>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7"/>
      <c r="BL222" s="407"/>
      <c r="BM222" s="407"/>
      <c r="BN222" s="407"/>
      <c r="BO222" s="407"/>
      <c r="BP222" s="407"/>
      <c r="BQ222" s="407"/>
      <c r="BR222" s="407"/>
      <c r="BS222" s="407"/>
      <c r="BT222" s="407"/>
      <c r="BU222" s="407"/>
      <c r="BV222" s="407"/>
      <c r="BW222" s="407"/>
      <c r="BX222" s="407"/>
      <c r="BY222" s="407"/>
      <c r="BZ222" s="407"/>
      <c r="CA222" s="407"/>
      <c r="CB222" s="407"/>
      <c r="CC222" s="407"/>
      <c r="CD222" s="407"/>
      <c r="CE222" s="407"/>
      <c r="CF222" s="407"/>
    </row>
    <row r="223" spans="1:84">
      <c r="A223" s="406"/>
      <c r="B223" s="406"/>
      <c r="C223" s="406"/>
      <c r="D223" s="406"/>
      <c r="E223" s="406"/>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406"/>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7"/>
      <c r="BL223" s="407"/>
      <c r="BM223" s="407"/>
      <c r="BN223" s="407"/>
      <c r="BO223" s="407"/>
      <c r="BP223" s="407"/>
      <c r="BQ223" s="407"/>
      <c r="BR223" s="407"/>
      <c r="BS223" s="407"/>
      <c r="BT223" s="407"/>
      <c r="BU223" s="407"/>
      <c r="BV223" s="407"/>
      <c r="BW223" s="407"/>
      <c r="BX223" s="407"/>
      <c r="BY223" s="407"/>
      <c r="BZ223" s="407"/>
      <c r="CA223" s="407"/>
      <c r="CB223" s="407"/>
      <c r="CC223" s="407"/>
      <c r="CD223" s="407"/>
      <c r="CE223" s="407"/>
      <c r="CF223" s="407"/>
    </row>
    <row r="224" spans="1:84">
      <c r="A224" s="406"/>
      <c r="B224" s="406"/>
      <c r="C224" s="406"/>
      <c r="D224" s="406"/>
      <c r="E224" s="406"/>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c r="AN224" s="406"/>
      <c r="AO224" s="406"/>
      <c r="AP224" s="406"/>
      <c r="AQ224" s="406"/>
      <c r="AR224" s="406"/>
      <c r="AS224" s="406"/>
      <c r="AT224" s="406"/>
      <c r="AU224" s="406"/>
      <c r="AV224" s="406"/>
      <c r="AW224" s="406"/>
      <c r="AX224" s="406"/>
      <c r="AY224" s="406"/>
      <c r="AZ224" s="406"/>
      <c r="BA224" s="406"/>
      <c r="BB224" s="406"/>
      <c r="BC224" s="406"/>
      <c r="BD224" s="406"/>
      <c r="BE224" s="406"/>
      <c r="BF224" s="406"/>
      <c r="BG224" s="406"/>
      <c r="BH224" s="406"/>
      <c r="BI224" s="406"/>
      <c r="BJ224" s="406"/>
      <c r="BK224" s="407"/>
      <c r="BL224" s="407"/>
      <c r="BM224" s="407"/>
      <c r="BN224" s="407"/>
      <c r="BO224" s="407"/>
      <c r="BP224" s="407"/>
      <c r="BQ224" s="407"/>
      <c r="BR224" s="407"/>
      <c r="BS224" s="407"/>
      <c r="BT224" s="407"/>
      <c r="BU224" s="407"/>
      <c r="BV224" s="407"/>
      <c r="BW224" s="407"/>
      <c r="BX224" s="407"/>
      <c r="BY224" s="407"/>
      <c r="BZ224" s="407"/>
      <c r="CA224" s="407"/>
      <c r="CB224" s="407"/>
      <c r="CC224" s="407"/>
      <c r="CD224" s="407"/>
      <c r="CE224" s="407"/>
      <c r="CF224" s="407"/>
    </row>
    <row r="225" spans="1:84">
      <c r="A225" s="406"/>
      <c r="B225" s="406"/>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7"/>
      <c r="BL225" s="407"/>
      <c r="BM225" s="407"/>
      <c r="BN225" s="407"/>
      <c r="BO225" s="407"/>
      <c r="BP225" s="407"/>
      <c r="BQ225" s="407"/>
      <c r="BR225" s="407"/>
      <c r="BS225" s="407"/>
      <c r="BT225" s="407"/>
      <c r="BU225" s="407"/>
      <c r="BV225" s="407"/>
      <c r="BW225" s="407"/>
      <c r="BX225" s="407"/>
      <c r="BY225" s="407"/>
      <c r="BZ225" s="407"/>
      <c r="CA225" s="407"/>
      <c r="CB225" s="407"/>
      <c r="CC225" s="407"/>
      <c r="CD225" s="407"/>
      <c r="CE225" s="407"/>
      <c r="CF225" s="407"/>
    </row>
    <row r="226" spans="1:84">
      <c r="A226" s="406"/>
      <c r="B226" s="406"/>
      <c r="C226" s="406"/>
      <c r="D226" s="406"/>
      <c r="E226" s="406"/>
      <c r="F226" s="406"/>
      <c r="G226" s="406"/>
      <c r="H226" s="406"/>
      <c r="I226" s="406"/>
      <c r="J226" s="406"/>
      <c r="K226" s="406"/>
      <c r="L226" s="406"/>
      <c r="M226" s="406"/>
      <c r="N226" s="406"/>
      <c r="O226" s="406"/>
      <c r="P226" s="406"/>
      <c r="Q226" s="406"/>
      <c r="R226" s="406"/>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c r="AN226" s="406"/>
      <c r="AO226" s="406"/>
      <c r="AP226" s="406"/>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7"/>
      <c r="BL226" s="407"/>
      <c r="BM226" s="407"/>
      <c r="BN226" s="407"/>
      <c r="BO226" s="407"/>
      <c r="BP226" s="407"/>
      <c r="BQ226" s="407"/>
      <c r="BR226" s="407"/>
      <c r="BS226" s="407"/>
      <c r="BT226" s="407"/>
      <c r="BU226" s="407"/>
      <c r="BV226" s="407"/>
      <c r="BW226" s="407"/>
      <c r="BX226" s="407"/>
      <c r="BY226" s="407"/>
      <c r="BZ226" s="407"/>
      <c r="CA226" s="407"/>
      <c r="CB226" s="407"/>
      <c r="CC226" s="407"/>
      <c r="CD226" s="407"/>
      <c r="CE226" s="407"/>
      <c r="CF226" s="407"/>
    </row>
    <row r="227" spans="1:84">
      <c r="A227" s="406"/>
      <c r="B227" s="406"/>
      <c r="C227" s="406"/>
      <c r="D227" s="406"/>
      <c r="E227" s="406"/>
      <c r="F227" s="406"/>
      <c r="G227" s="406"/>
      <c r="H227" s="406"/>
      <c r="I227" s="406"/>
      <c r="J227" s="406"/>
      <c r="K227" s="406"/>
      <c r="L227" s="406"/>
      <c r="M227" s="406"/>
      <c r="N227" s="406"/>
      <c r="O227" s="406"/>
      <c r="P227" s="406"/>
      <c r="Q227" s="406"/>
      <c r="R227" s="406"/>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c r="AN227" s="406"/>
      <c r="AO227" s="406"/>
      <c r="AP227" s="406"/>
      <c r="AQ227" s="406"/>
      <c r="AR227" s="406"/>
      <c r="AS227" s="406"/>
      <c r="AT227" s="406"/>
      <c r="AU227" s="406"/>
      <c r="AV227" s="406"/>
      <c r="AW227" s="406"/>
      <c r="AX227" s="406"/>
      <c r="AY227" s="406"/>
      <c r="AZ227" s="406"/>
      <c r="BA227" s="406"/>
      <c r="BB227" s="406"/>
      <c r="BC227" s="406"/>
      <c r="BD227" s="406"/>
      <c r="BE227" s="406"/>
      <c r="BF227" s="406"/>
      <c r="BG227" s="406"/>
      <c r="BH227" s="406"/>
      <c r="BI227" s="406"/>
      <c r="BJ227" s="406"/>
      <c r="BK227" s="407"/>
      <c r="BL227" s="407"/>
      <c r="BM227" s="407"/>
      <c r="BN227" s="407"/>
      <c r="BO227" s="407"/>
      <c r="BP227" s="407"/>
      <c r="BQ227" s="407"/>
      <c r="BR227" s="407"/>
      <c r="BS227" s="407"/>
      <c r="BT227" s="407"/>
      <c r="BU227" s="407"/>
      <c r="BV227" s="407"/>
      <c r="BW227" s="407"/>
      <c r="BX227" s="407"/>
      <c r="BY227" s="407"/>
      <c r="BZ227" s="407"/>
      <c r="CA227" s="407"/>
      <c r="CB227" s="407"/>
      <c r="CC227" s="407"/>
      <c r="CD227" s="407"/>
      <c r="CE227" s="407"/>
      <c r="CF227" s="407"/>
    </row>
    <row r="228" spans="1:84">
      <c r="A228" s="406"/>
      <c r="B228" s="406"/>
      <c r="C228" s="406"/>
      <c r="D228" s="406"/>
      <c r="E228" s="406"/>
      <c r="F228" s="406"/>
      <c r="G228" s="406"/>
      <c r="H228" s="406"/>
      <c r="I228" s="406"/>
      <c r="J228" s="406"/>
      <c r="K228" s="406"/>
      <c r="L228" s="406"/>
      <c r="M228" s="406"/>
      <c r="N228" s="406"/>
      <c r="O228" s="406"/>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7"/>
      <c r="BL228" s="407"/>
      <c r="BM228" s="407"/>
      <c r="BN228" s="407"/>
      <c r="BO228" s="407"/>
      <c r="BP228" s="407"/>
      <c r="BQ228" s="407"/>
      <c r="BR228" s="407"/>
      <c r="BS228" s="407"/>
      <c r="BT228" s="407"/>
      <c r="BU228" s="407"/>
      <c r="BV228" s="407"/>
      <c r="BW228" s="407"/>
      <c r="BX228" s="407"/>
      <c r="BY228" s="407"/>
      <c r="BZ228" s="407"/>
      <c r="CA228" s="407"/>
      <c r="CB228" s="407"/>
      <c r="CC228" s="407"/>
      <c r="CD228" s="407"/>
      <c r="CE228" s="407"/>
      <c r="CF228" s="407"/>
    </row>
    <row r="229" spans="1:84">
      <c r="A229" s="406"/>
      <c r="B229" s="406"/>
      <c r="C229" s="406"/>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c r="AN229" s="406"/>
      <c r="AO229" s="406"/>
      <c r="AP229" s="406"/>
      <c r="AQ229" s="40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7"/>
      <c r="BL229" s="407"/>
      <c r="BM229" s="407"/>
      <c r="BN229" s="407"/>
      <c r="BO229" s="407"/>
      <c r="BP229" s="407"/>
      <c r="BQ229" s="407"/>
      <c r="BR229" s="407"/>
      <c r="BS229" s="407"/>
      <c r="BT229" s="407"/>
      <c r="BU229" s="407"/>
      <c r="BV229" s="407"/>
      <c r="BW229" s="407"/>
      <c r="BX229" s="407"/>
      <c r="BY229" s="407"/>
      <c r="BZ229" s="407"/>
      <c r="CA229" s="407"/>
      <c r="CB229" s="407"/>
      <c r="CC229" s="407"/>
      <c r="CD229" s="407"/>
      <c r="CE229" s="407"/>
      <c r="CF229" s="407"/>
    </row>
    <row r="230" spans="1:84">
      <c r="A230" s="406"/>
      <c r="B230" s="406"/>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7"/>
      <c r="BL230" s="407"/>
      <c r="BM230" s="407"/>
      <c r="BN230" s="407"/>
      <c r="BO230" s="407"/>
      <c r="BP230" s="407"/>
      <c r="BQ230" s="407"/>
      <c r="BR230" s="407"/>
      <c r="BS230" s="407"/>
      <c r="BT230" s="407"/>
      <c r="BU230" s="407"/>
      <c r="BV230" s="407"/>
      <c r="BW230" s="407"/>
      <c r="BX230" s="407"/>
      <c r="BY230" s="407"/>
      <c r="BZ230" s="407"/>
      <c r="CA230" s="407"/>
      <c r="CB230" s="407"/>
      <c r="CC230" s="407"/>
      <c r="CD230" s="407"/>
      <c r="CE230" s="407"/>
      <c r="CF230" s="407"/>
    </row>
    <row r="231" spans="1:84">
      <c r="A231" s="406"/>
      <c r="B231" s="406"/>
      <c r="C231" s="406"/>
      <c r="D231" s="406"/>
      <c r="E231" s="406"/>
      <c r="F231" s="406"/>
      <c r="G231" s="406"/>
      <c r="H231" s="406"/>
      <c r="I231" s="406"/>
      <c r="J231" s="406"/>
      <c r="K231" s="406"/>
      <c r="L231" s="406"/>
      <c r="M231" s="406"/>
      <c r="N231" s="406"/>
      <c r="O231" s="406"/>
      <c r="P231" s="406"/>
      <c r="Q231" s="406"/>
      <c r="R231" s="406"/>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c r="AN231" s="406"/>
      <c r="AO231" s="406"/>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7"/>
      <c r="BL231" s="407"/>
      <c r="BM231" s="407"/>
      <c r="BN231" s="407"/>
      <c r="BO231" s="407"/>
      <c r="BP231" s="407"/>
      <c r="BQ231" s="407"/>
      <c r="BR231" s="407"/>
      <c r="BS231" s="407"/>
      <c r="BT231" s="407"/>
      <c r="BU231" s="407"/>
      <c r="BV231" s="407"/>
      <c r="BW231" s="407"/>
      <c r="BX231" s="407"/>
      <c r="BY231" s="407"/>
      <c r="BZ231" s="407"/>
      <c r="CA231" s="407"/>
      <c r="CB231" s="407"/>
      <c r="CC231" s="407"/>
      <c r="CD231" s="407"/>
      <c r="CE231" s="407"/>
      <c r="CF231" s="407"/>
    </row>
    <row r="232" spans="1:84">
      <c r="A232" s="406"/>
      <c r="B232" s="406"/>
      <c r="C232" s="406"/>
      <c r="D232" s="406"/>
      <c r="E232" s="406"/>
      <c r="F232" s="406"/>
      <c r="G232" s="406"/>
      <c r="H232" s="406"/>
      <c r="I232" s="406"/>
      <c r="J232" s="406"/>
      <c r="K232" s="406"/>
      <c r="L232" s="406"/>
      <c r="M232" s="406"/>
      <c r="N232" s="406"/>
      <c r="O232" s="406"/>
      <c r="P232" s="406"/>
      <c r="Q232" s="406"/>
      <c r="R232" s="406"/>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7"/>
      <c r="BL232" s="407"/>
      <c r="BM232" s="407"/>
      <c r="BN232" s="407"/>
      <c r="BO232" s="407"/>
      <c r="BP232" s="407"/>
      <c r="BQ232" s="407"/>
      <c r="BR232" s="407"/>
      <c r="BS232" s="407"/>
      <c r="BT232" s="407"/>
      <c r="BU232" s="407"/>
      <c r="BV232" s="407"/>
      <c r="BW232" s="407"/>
      <c r="BX232" s="407"/>
      <c r="BY232" s="407"/>
      <c r="BZ232" s="407"/>
      <c r="CA232" s="407"/>
      <c r="CB232" s="407"/>
      <c r="CC232" s="407"/>
      <c r="CD232" s="407"/>
      <c r="CE232" s="407"/>
      <c r="CF232" s="407"/>
    </row>
    <row r="233" spans="1:84">
      <c r="A233" s="406"/>
      <c r="B233" s="406"/>
      <c r="C233" s="406"/>
      <c r="D233" s="406"/>
      <c r="E233" s="406"/>
      <c r="F233" s="406"/>
      <c r="G233" s="406"/>
      <c r="H233" s="406"/>
      <c r="I233" s="406"/>
      <c r="J233" s="406"/>
      <c r="K233" s="406"/>
      <c r="L233" s="406"/>
      <c r="M233" s="406"/>
      <c r="N233" s="406"/>
      <c r="O233" s="406"/>
      <c r="P233" s="406"/>
      <c r="Q233" s="406"/>
      <c r="R233" s="406"/>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7"/>
      <c r="BL233" s="407"/>
      <c r="BM233" s="407"/>
      <c r="BN233" s="407"/>
      <c r="BO233" s="407"/>
      <c r="BP233" s="407"/>
      <c r="BQ233" s="407"/>
      <c r="BR233" s="407"/>
      <c r="BS233" s="407"/>
      <c r="BT233" s="407"/>
      <c r="BU233" s="407"/>
      <c r="BV233" s="407"/>
      <c r="BW233" s="407"/>
      <c r="BX233" s="407"/>
      <c r="BY233" s="407"/>
      <c r="BZ233" s="407"/>
      <c r="CA233" s="407"/>
      <c r="CB233" s="407"/>
      <c r="CC233" s="407"/>
      <c r="CD233" s="407"/>
      <c r="CE233" s="407"/>
      <c r="CF233" s="407"/>
    </row>
    <row r="234" spans="1:84">
      <c r="A234" s="406"/>
      <c r="B234" s="406"/>
      <c r="C234" s="406"/>
      <c r="D234" s="406"/>
      <c r="E234" s="406"/>
      <c r="F234" s="406"/>
      <c r="G234" s="406"/>
      <c r="H234" s="406"/>
      <c r="I234" s="406"/>
      <c r="J234" s="406"/>
      <c r="K234" s="406"/>
      <c r="L234" s="406"/>
      <c r="M234" s="406"/>
      <c r="N234" s="406"/>
      <c r="O234" s="406"/>
      <c r="P234" s="406"/>
      <c r="Q234" s="406"/>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7"/>
      <c r="BL234" s="407"/>
      <c r="BM234" s="407"/>
      <c r="BN234" s="407"/>
      <c r="BO234" s="407"/>
      <c r="BP234" s="407"/>
      <c r="BQ234" s="407"/>
      <c r="BR234" s="407"/>
      <c r="BS234" s="407"/>
      <c r="BT234" s="407"/>
      <c r="BU234" s="407"/>
      <c r="BV234" s="407"/>
      <c r="BW234" s="407"/>
      <c r="BX234" s="407"/>
      <c r="BY234" s="407"/>
      <c r="BZ234" s="407"/>
      <c r="CA234" s="407"/>
      <c r="CB234" s="407"/>
      <c r="CC234" s="407"/>
      <c r="CD234" s="407"/>
      <c r="CE234" s="407"/>
      <c r="CF234" s="407"/>
    </row>
    <row r="235" spans="1:84">
      <c r="A235" s="406"/>
      <c r="B235" s="406"/>
      <c r="C235" s="406"/>
      <c r="D235" s="406"/>
      <c r="E235" s="406"/>
      <c r="F235" s="406"/>
      <c r="G235" s="406"/>
      <c r="H235" s="406"/>
      <c r="I235" s="406"/>
      <c r="J235" s="406"/>
      <c r="K235" s="406"/>
      <c r="L235" s="406"/>
      <c r="M235" s="406"/>
      <c r="N235" s="406"/>
      <c r="O235" s="406"/>
      <c r="P235" s="406"/>
      <c r="Q235" s="406"/>
      <c r="R235" s="406"/>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7"/>
      <c r="BL235" s="407"/>
      <c r="BM235" s="407"/>
      <c r="BN235" s="407"/>
      <c r="BO235" s="407"/>
      <c r="BP235" s="407"/>
      <c r="BQ235" s="407"/>
      <c r="BR235" s="407"/>
      <c r="BS235" s="407"/>
      <c r="BT235" s="407"/>
      <c r="BU235" s="407"/>
      <c r="BV235" s="407"/>
      <c r="BW235" s="407"/>
      <c r="BX235" s="407"/>
      <c r="BY235" s="407"/>
      <c r="BZ235" s="407"/>
      <c r="CA235" s="407"/>
      <c r="CB235" s="407"/>
      <c r="CC235" s="407"/>
      <c r="CD235" s="407"/>
      <c r="CE235" s="407"/>
      <c r="CF235" s="407"/>
    </row>
    <row r="236" spans="1:84">
      <c r="A236" s="406"/>
      <c r="B236" s="406"/>
      <c r="C236" s="406"/>
      <c r="D236" s="406"/>
      <c r="E236" s="406"/>
      <c r="F236" s="406"/>
      <c r="G236" s="406"/>
      <c r="H236" s="406"/>
      <c r="I236" s="406"/>
      <c r="J236" s="406"/>
      <c r="K236" s="406"/>
      <c r="L236" s="406"/>
      <c r="M236" s="406"/>
      <c r="N236" s="406"/>
      <c r="O236" s="406"/>
      <c r="P236" s="406"/>
      <c r="Q236" s="406"/>
      <c r="R236" s="406"/>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c r="AN236" s="406"/>
      <c r="AO236" s="406"/>
      <c r="AP236" s="406"/>
      <c r="AQ236" s="406"/>
      <c r="AR236" s="406"/>
      <c r="AS236" s="406"/>
      <c r="AT236" s="406"/>
      <c r="AU236" s="406"/>
      <c r="AV236" s="406"/>
      <c r="AW236" s="406"/>
      <c r="AX236" s="406"/>
      <c r="AY236" s="406"/>
      <c r="AZ236" s="406"/>
      <c r="BA236" s="406"/>
      <c r="BB236" s="406"/>
      <c r="BC236" s="406"/>
      <c r="BD236" s="406"/>
      <c r="BE236" s="406"/>
      <c r="BF236" s="406"/>
      <c r="BG236" s="406"/>
      <c r="BH236" s="406"/>
      <c r="BI236" s="406"/>
      <c r="BJ236" s="406"/>
      <c r="BK236" s="407"/>
      <c r="BL236" s="407"/>
      <c r="BM236" s="407"/>
      <c r="BN236" s="407"/>
      <c r="BO236" s="407"/>
      <c r="BP236" s="407"/>
      <c r="BQ236" s="407"/>
      <c r="BR236" s="407"/>
      <c r="BS236" s="407"/>
      <c r="BT236" s="407"/>
      <c r="BU236" s="407"/>
      <c r="BV236" s="407"/>
      <c r="BW236" s="407"/>
      <c r="BX236" s="407"/>
      <c r="BY236" s="407"/>
      <c r="BZ236" s="407"/>
      <c r="CA236" s="407"/>
      <c r="CB236" s="407"/>
      <c r="CC236" s="407"/>
      <c r="CD236" s="407"/>
      <c r="CE236" s="407"/>
      <c r="CF236" s="407"/>
    </row>
    <row r="237" spans="1:84">
      <c r="A237" s="406"/>
      <c r="B237" s="406"/>
      <c r="C237" s="406"/>
      <c r="D237" s="406"/>
      <c r="E237" s="406"/>
      <c r="F237" s="406"/>
      <c r="G237" s="406"/>
      <c r="H237" s="406"/>
      <c r="I237" s="406"/>
      <c r="J237" s="406"/>
      <c r="K237" s="406"/>
      <c r="L237" s="406"/>
      <c r="M237" s="406"/>
      <c r="N237" s="406"/>
      <c r="O237" s="406"/>
      <c r="P237" s="406"/>
      <c r="Q237" s="406"/>
      <c r="R237" s="406"/>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7"/>
      <c r="BL237" s="407"/>
      <c r="BM237" s="407"/>
      <c r="BN237" s="407"/>
      <c r="BO237" s="407"/>
      <c r="BP237" s="407"/>
      <c r="BQ237" s="407"/>
      <c r="BR237" s="407"/>
      <c r="BS237" s="407"/>
      <c r="BT237" s="407"/>
      <c r="BU237" s="407"/>
      <c r="BV237" s="407"/>
      <c r="BW237" s="407"/>
      <c r="BX237" s="407"/>
      <c r="BY237" s="407"/>
      <c r="BZ237" s="407"/>
      <c r="CA237" s="407"/>
      <c r="CB237" s="407"/>
      <c r="CC237" s="407"/>
      <c r="CD237" s="407"/>
      <c r="CE237" s="407"/>
      <c r="CF237" s="407"/>
    </row>
    <row r="238" spans="1:84">
      <c r="A238" s="406"/>
      <c r="B238" s="406"/>
      <c r="C238" s="406"/>
      <c r="D238" s="406"/>
      <c r="E238" s="406"/>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7"/>
      <c r="BL238" s="407"/>
      <c r="BM238" s="407"/>
      <c r="BN238" s="407"/>
      <c r="BO238" s="407"/>
      <c r="BP238" s="407"/>
      <c r="BQ238" s="407"/>
      <c r="BR238" s="407"/>
      <c r="BS238" s="407"/>
      <c r="BT238" s="407"/>
      <c r="BU238" s="407"/>
      <c r="BV238" s="407"/>
      <c r="BW238" s="407"/>
      <c r="BX238" s="407"/>
      <c r="BY238" s="407"/>
      <c r="BZ238" s="407"/>
      <c r="CA238" s="407"/>
      <c r="CB238" s="407"/>
      <c r="CC238" s="407"/>
      <c r="CD238" s="407"/>
      <c r="CE238" s="407"/>
      <c r="CF238" s="407"/>
    </row>
    <row r="239" spans="1:84">
      <c r="A239" s="406"/>
      <c r="B239" s="406"/>
      <c r="C239" s="406"/>
      <c r="D239" s="406"/>
      <c r="E239" s="406"/>
      <c r="F239" s="406"/>
      <c r="G239" s="406"/>
      <c r="H239" s="406"/>
      <c r="I239" s="406"/>
      <c r="J239" s="406"/>
      <c r="K239" s="406"/>
      <c r="L239" s="406"/>
      <c r="M239" s="406"/>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7"/>
      <c r="BL239" s="407"/>
      <c r="BM239" s="407"/>
      <c r="BN239" s="407"/>
      <c r="BO239" s="407"/>
      <c r="BP239" s="407"/>
      <c r="BQ239" s="407"/>
      <c r="BR239" s="407"/>
      <c r="BS239" s="407"/>
      <c r="BT239" s="407"/>
      <c r="BU239" s="407"/>
      <c r="BV239" s="407"/>
      <c r="BW239" s="407"/>
      <c r="BX239" s="407"/>
      <c r="BY239" s="407"/>
      <c r="BZ239" s="407"/>
      <c r="CA239" s="407"/>
      <c r="CB239" s="407"/>
      <c r="CC239" s="407"/>
      <c r="CD239" s="407"/>
      <c r="CE239" s="407"/>
      <c r="CF239" s="407"/>
    </row>
    <row r="240" spans="1:84">
      <c r="A240" s="406"/>
      <c r="B240" s="406"/>
      <c r="C240" s="406"/>
      <c r="D240" s="406"/>
      <c r="E240" s="406"/>
      <c r="F240" s="406"/>
      <c r="G240" s="406"/>
      <c r="H240" s="406"/>
      <c r="I240" s="406"/>
      <c r="J240" s="406"/>
      <c r="K240" s="406"/>
      <c r="L240" s="406"/>
      <c r="M240" s="406"/>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7"/>
      <c r="BL240" s="407"/>
      <c r="BM240" s="407"/>
      <c r="BN240" s="407"/>
      <c r="BO240" s="407"/>
      <c r="BP240" s="407"/>
      <c r="BQ240" s="407"/>
      <c r="BR240" s="407"/>
      <c r="BS240" s="407"/>
      <c r="BT240" s="407"/>
      <c r="BU240" s="407"/>
      <c r="BV240" s="407"/>
      <c r="BW240" s="407"/>
      <c r="BX240" s="407"/>
      <c r="BY240" s="407"/>
      <c r="BZ240" s="407"/>
      <c r="CA240" s="407"/>
      <c r="CB240" s="407"/>
      <c r="CC240" s="407"/>
      <c r="CD240" s="407"/>
      <c r="CE240" s="407"/>
      <c r="CF240" s="407"/>
    </row>
    <row r="241" spans="1:84">
      <c r="A241" s="406"/>
      <c r="B241" s="406"/>
      <c r="C241" s="406"/>
      <c r="D241" s="406"/>
      <c r="E241" s="406"/>
      <c r="F241" s="406"/>
      <c r="G241" s="406"/>
      <c r="H241" s="406"/>
      <c r="I241" s="406"/>
      <c r="J241" s="406"/>
      <c r="K241" s="406"/>
      <c r="L241" s="406"/>
      <c r="M241" s="406"/>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7"/>
      <c r="BL241" s="407"/>
      <c r="BM241" s="407"/>
      <c r="BN241" s="407"/>
      <c r="BO241" s="407"/>
      <c r="BP241" s="407"/>
      <c r="BQ241" s="407"/>
      <c r="BR241" s="407"/>
      <c r="BS241" s="407"/>
      <c r="BT241" s="407"/>
      <c r="BU241" s="407"/>
      <c r="BV241" s="407"/>
      <c r="BW241" s="407"/>
      <c r="BX241" s="407"/>
      <c r="BY241" s="407"/>
      <c r="BZ241" s="407"/>
      <c r="CA241" s="407"/>
      <c r="CB241" s="407"/>
      <c r="CC241" s="407"/>
      <c r="CD241" s="407"/>
      <c r="CE241" s="407"/>
      <c r="CF241" s="407"/>
    </row>
    <row r="242" spans="1:84">
      <c r="A242" s="406"/>
      <c r="B242" s="406"/>
      <c r="C242" s="406"/>
      <c r="D242" s="406"/>
      <c r="E242" s="406"/>
      <c r="F242" s="406"/>
      <c r="G242" s="406"/>
      <c r="H242" s="406"/>
      <c r="I242" s="406"/>
      <c r="J242" s="406"/>
      <c r="K242" s="406"/>
      <c r="L242" s="406"/>
      <c r="M242" s="406"/>
      <c r="N242" s="406"/>
      <c r="O242" s="406"/>
      <c r="P242" s="406"/>
      <c r="Q242" s="406"/>
      <c r="R242" s="406"/>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c r="AN242" s="406"/>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7"/>
      <c r="BL242" s="407"/>
      <c r="BM242" s="407"/>
      <c r="BN242" s="407"/>
      <c r="BO242" s="407"/>
      <c r="BP242" s="407"/>
      <c r="BQ242" s="407"/>
      <c r="BR242" s="407"/>
      <c r="BS242" s="407"/>
      <c r="BT242" s="407"/>
      <c r="BU242" s="407"/>
      <c r="BV242" s="407"/>
      <c r="BW242" s="407"/>
      <c r="BX242" s="407"/>
      <c r="BY242" s="407"/>
      <c r="BZ242" s="407"/>
      <c r="CA242" s="407"/>
      <c r="CB242" s="407"/>
      <c r="CC242" s="407"/>
      <c r="CD242" s="407"/>
      <c r="CE242" s="407"/>
      <c r="CF242" s="407"/>
    </row>
    <row r="243" spans="1:84">
      <c r="A243" s="406"/>
      <c r="B243" s="406"/>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7"/>
      <c r="BL243" s="407"/>
      <c r="BM243" s="407"/>
      <c r="BN243" s="407"/>
      <c r="BO243" s="407"/>
      <c r="BP243" s="407"/>
      <c r="BQ243" s="407"/>
      <c r="BR243" s="407"/>
      <c r="BS243" s="407"/>
      <c r="BT243" s="407"/>
      <c r="BU243" s="407"/>
      <c r="BV243" s="407"/>
      <c r="BW243" s="407"/>
      <c r="BX243" s="407"/>
      <c r="BY243" s="407"/>
      <c r="BZ243" s="407"/>
      <c r="CA243" s="407"/>
      <c r="CB243" s="407"/>
      <c r="CC243" s="407"/>
      <c r="CD243" s="407"/>
      <c r="CE243" s="407"/>
      <c r="CF243" s="407"/>
    </row>
    <row r="244" spans="1:84">
      <c r="A244" s="406"/>
      <c r="B244" s="406"/>
      <c r="C244" s="406"/>
      <c r="D244" s="406"/>
      <c r="E244" s="406"/>
      <c r="F244" s="406"/>
      <c r="G244" s="406"/>
      <c r="H244" s="406"/>
      <c r="I244" s="406"/>
      <c r="J244" s="406"/>
      <c r="K244" s="406"/>
      <c r="L244" s="406"/>
      <c r="M244" s="406"/>
      <c r="N244" s="406"/>
      <c r="O244" s="406"/>
      <c r="P244" s="406"/>
      <c r="Q244" s="406"/>
      <c r="R244" s="406"/>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7"/>
      <c r="BL244" s="407"/>
      <c r="BM244" s="407"/>
      <c r="BN244" s="407"/>
      <c r="BO244" s="407"/>
      <c r="BP244" s="407"/>
      <c r="BQ244" s="407"/>
      <c r="BR244" s="407"/>
      <c r="BS244" s="407"/>
      <c r="BT244" s="407"/>
      <c r="BU244" s="407"/>
      <c r="BV244" s="407"/>
      <c r="BW244" s="407"/>
      <c r="BX244" s="407"/>
      <c r="BY244" s="407"/>
      <c r="BZ244" s="407"/>
      <c r="CA244" s="407"/>
      <c r="CB244" s="407"/>
      <c r="CC244" s="407"/>
      <c r="CD244" s="407"/>
      <c r="CE244" s="407"/>
      <c r="CF244" s="407"/>
    </row>
    <row r="245" spans="1:84">
      <c r="A245" s="406"/>
      <c r="B245" s="406"/>
      <c r="C245" s="406"/>
      <c r="D245" s="406"/>
      <c r="E245" s="406"/>
      <c r="F245" s="406"/>
      <c r="G245" s="406"/>
      <c r="H245" s="406"/>
      <c r="I245" s="406"/>
      <c r="J245" s="406"/>
      <c r="K245" s="406"/>
      <c r="L245" s="406"/>
      <c r="M245" s="406"/>
      <c r="N245" s="406"/>
      <c r="O245" s="406"/>
      <c r="P245" s="406"/>
      <c r="Q245" s="406"/>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7"/>
      <c r="BL245" s="407"/>
      <c r="BM245" s="407"/>
      <c r="BN245" s="407"/>
      <c r="BO245" s="407"/>
      <c r="BP245" s="407"/>
      <c r="BQ245" s="407"/>
      <c r="BR245" s="407"/>
      <c r="BS245" s="407"/>
      <c r="BT245" s="407"/>
      <c r="BU245" s="407"/>
      <c r="BV245" s="407"/>
      <c r="BW245" s="407"/>
      <c r="BX245" s="407"/>
      <c r="BY245" s="407"/>
      <c r="BZ245" s="407"/>
      <c r="CA245" s="407"/>
      <c r="CB245" s="407"/>
      <c r="CC245" s="407"/>
      <c r="CD245" s="407"/>
      <c r="CE245" s="407"/>
      <c r="CF245" s="407"/>
    </row>
    <row r="246" spans="1:84">
      <c r="A246" s="406"/>
      <c r="B246" s="406"/>
      <c r="C246" s="406"/>
      <c r="D246" s="406"/>
      <c r="E246" s="406"/>
      <c r="F246" s="406"/>
      <c r="G246" s="406"/>
      <c r="H246" s="406"/>
      <c r="I246" s="406"/>
      <c r="J246" s="406"/>
      <c r="K246" s="406"/>
      <c r="L246" s="406"/>
      <c r="M246" s="406"/>
      <c r="N246" s="406"/>
      <c r="O246" s="406"/>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7"/>
      <c r="BL246" s="407"/>
      <c r="BM246" s="407"/>
      <c r="BN246" s="407"/>
      <c r="BO246" s="407"/>
      <c r="BP246" s="407"/>
      <c r="BQ246" s="407"/>
      <c r="BR246" s="407"/>
      <c r="BS246" s="407"/>
      <c r="BT246" s="407"/>
      <c r="BU246" s="407"/>
      <c r="BV246" s="407"/>
      <c r="BW246" s="407"/>
      <c r="BX246" s="407"/>
      <c r="BY246" s="407"/>
      <c r="BZ246" s="407"/>
      <c r="CA246" s="407"/>
      <c r="CB246" s="407"/>
      <c r="CC246" s="407"/>
      <c r="CD246" s="407"/>
      <c r="CE246" s="407"/>
      <c r="CF246" s="407"/>
    </row>
    <row r="247" spans="1:84">
      <c r="A247" s="406"/>
      <c r="B247" s="406"/>
      <c r="C247" s="406"/>
      <c r="D247" s="406"/>
      <c r="E247" s="406"/>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7"/>
      <c r="BL247" s="407"/>
      <c r="BM247" s="407"/>
      <c r="BN247" s="407"/>
      <c r="BO247" s="407"/>
      <c r="BP247" s="407"/>
      <c r="BQ247" s="407"/>
      <c r="BR247" s="407"/>
      <c r="BS247" s="407"/>
      <c r="BT247" s="407"/>
      <c r="BU247" s="407"/>
      <c r="BV247" s="407"/>
      <c r="BW247" s="407"/>
      <c r="BX247" s="407"/>
      <c r="BY247" s="407"/>
      <c r="BZ247" s="407"/>
      <c r="CA247" s="407"/>
      <c r="CB247" s="407"/>
      <c r="CC247" s="407"/>
      <c r="CD247" s="407"/>
      <c r="CE247" s="407"/>
      <c r="CF247" s="407"/>
    </row>
    <row r="248" spans="1:84">
      <c r="A248" s="406"/>
      <c r="B248" s="406"/>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7"/>
      <c r="BL248" s="407"/>
      <c r="BM248" s="407"/>
      <c r="BN248" s="407"/>
      <c r="BO248" s="407"/>
      <c r="BP248" s="407"/>
      <c r="BQ248" s="407"/>
      <c r="BR248" s="407"/>
      <c r="BS248" s="407"/>
      <c r="BT248" s="407"/>
      <c r="BU248" s="407"/>
      <c r="BV248" s="407"/>
      <c r="BW248" s="407"/>
      <c r="BX248" s="407"/>
      <c r="BY248" s="407"/>
      <c r="BZ248" s="407"/>
      <c r="CA248" s="407"/>
      <c r="CB248" s="407"/>
      <c r="CC248" s="407"/>
      <c r="CD248" s="407"/>
      <c r="CE248" s="407"/>
      <c r="CF248" s="407"/>
    </row>
    <row r="249" spans="1:84">
      <c r="A249" s="406"/>
      <c r="B249" s="406"/>
      <c r="C249" s="406"/>
      <c r="D249" s="406"/>
      <c r="E249" s="406"/>
      <c r="F249" s="406"/>
      <c r="G249" s="406"/>
      <c r="H249" s="406"/>
      <c r="I249" s="406"/>
      <c r="J249" s="406"/>
      <c r="K249" s="406"/>
      <c r="L249" s="406"/>
      <c r="M249" s="406"/>
      <c r="N249" s="406"/>
      <c r="O249" s="406"/>
      <c r="P249" s="406"/>
      <c r="Q249" s="406"/>
      <c r="R249" s="406"/>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7"/>
      <c r="BL249" s="407"/>
      <c r="BM249" s="407"/>
      <c r="BN249" s="407"/>
      <c r="BO249" s="407"/>
      <c r="BP249" s="407"/>
      <c r="BQ249" s="407"/>
      <c r="BR249" s="407"/>
      <c r="BS249" s="407"/>
      <c r="BT249" s="407"/>
      <c r="BU249" s="407"/>
      <c r="BV249" s="407"/>
      <c r="BW249" s="407"/>
      <c r="BX249" s="407"/>
      <c r="BY249" s="407"/>
      <c r="BZ249" s="407"/>
      <c r="CA249" s="407"/>
      <c r="CB249" s="407"/>
      <c r="CC249" s="407"/>
      <c r="CD249" s="407"/>
      <c r="CE249" s="407"/>
      <c r="CF249" s="407"/>
    </row>
    <row r="250" spans="1:84">
      <c r="A250" s="406"/>
      <c r="B250" s="406"/>
      <c r="C250" s="406"/>
      <c r="D250" s="406"/>
      <c r="E250" s="406"/>
      <c r="F250" s="406"/>
      <c r="G250" s="406"/>
      <c r="H250" s="406"/>
      <c r="I250" s="406"/>
      <c r="J250" s="406"/>
      <c r="K250" s="406"/>
      <c r="L250" s="406"/>
      <c r="M250" s="406"/>
      <c r="N250" s="406"/>
      <c r="O250" s="406"/>
      <c r="P250" s="406"/>
      <c r="Q250" s="406"/>
      <c r="R250" s="406"/>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7"/>
      <c r="BL250" s="407"/>
      <c r="BM250" s="407"/>
      <c r="BN250" s="407"/>
      <c r="BO250" s="407"/>
      <c r="BP250" s="407"/>
      <c r="BQ250" s="407"/>
      <c r="BR250" s="407"/>
      <c r="BS250" s="407"/>
      <c r="BT250" s="407"/>
      <c r="BU250" s="407"/>
      <c r="BV250" s="407"/>
      <c r="BW250" s="407"/>
      <c r="BX250" s="407"/>
      <c r="BY250" s="407"/>
      <c r="BZ250" s="407"/>
      <c r="CA250" s="407"/>
      <c r="CB250" s="407"/>
      <c r="CC250" s="407"/>
      <c r="CD250" s="407"/>
      <c r="CE250" s="407"/>
      <c r="CF250" s="407"/>
    </row>
    <row r="251" spans="1:84">
      <c r="A251" s="406"/>
      <c r="B251" s="406"/>
      <c r="C251" s="406"/>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7"/>
      <c r="BL251" s="407"/>
      <c r="BM251" s="407"/>
      <c r="BN251" s="407"/>
      <c r="BO251" s="407"/>
      <c r="BP251" s="407"/>
      <c r="BQ251" s="407"/>
      <c r="BR251" s="407"/>
      <c r="BS251" s="407"/>
      <c r="BT251" s="407"/>
      <c r="BU251" s="407"/>
      <c r="BV251" s="407"/>
      <c r="BW251" s="407"/>
      <c r="BX251" s="407"/>
      <c r="BY251" s="407"/>
      <c r="BZ251" s="407"/>
      <c r="CA251" s="407"/>
      <c r="CB251" s="407"/>
      <c r="CC251" s="407"/>
      <c r="CD251" s="407"/>
      <c r="CE251" s="407"/>
      <c r="CF251" s="407"/>
    </row>
    <row r="252" spans="1:84">
      <c r="A252" s="406"/>
      <c r="B252" s="406"/>
      <c r="C252" s="406"/>
      <c r="D252" s="406"/>
      <c r="E252" s="406"/>
      <c r="F252" s="406"/>
      <c r="G252" s="406"/>
      <c r="H252" s="406"/>
      <c r="I252" s="406"/>
      <c r="J252" s="406"/>
      <c r="K252" s="406"/>
      <c r="L252" s="406"/>
      <c r="M252" s="406"/>
      <c r="N252" s="406"/>
      <c r="O252" s="406"/>
      <c r="P252" s="406"/>
      <c r="Q252" s="406"/>
      <c r="R252" s="406"/>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7"/>
      <c r="BL252" s="407"/>
      <c r="BM252" s="407"/>
      <c r="BN252" s="407"/>
      <c r="BO252" s="407"/>
      <c r="BP252" s="407"/>
      <c r="BQ252" s="407"/>
      <c r="BR252" s="407"/>
      <c r="BS252" s="407"/>
      <c r="BT252" s="407"/>
      <c r="BU252" s="407"/>
      <c r="BV252" s="407"/>
      <c r="BW252" s="407"/>
      <c r="BX252" s="407"/>
      <c r="BY252" s="407"/>
      <c r="BZ252" s="407"/>
      <c r="CA252" s="407"/>
      <c r="CB252" s="407"/>
      <c r="CC252" s="407"/>
      <c r="CD252" s="407"/>
      <c r="CE252" s="407"/>
      <c r="CF252" s="407"/>
    </row>
    <row r="253" spans="1:84">
      <c r="A253" s="406"/>
      <c r="B253" s="406"/>
      <c r="C253" s="406"/>
      <c r="D253" s="406"/>
      <c r="E253" s="406"/>
      <c r="F253" s="406"/>
      <c r="G253" s="406"/>
      <c r="H253" s="406"/>
      <c r="I253" s="406"/>
      <c r="J253" s="406"/>
      <c r="K253" s="406"/>
      <c r="L253" s="406"/>
      <c r="M253" s="406"/>
      <c r="N253" s="406"/>
      <c r="O253" s="406"/>
      <c r="P253" s="406"/>
      <c r="Q253" s="406"/>
      <c r="R253" s="406"/>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7"/>
      <c r="BL253" s="407"/>
      <c r="BM253" s="407"/>
      <c r="BN253" s="407"/>
      <c r="BO253" s="407"/>
      <c r="BP253" s="407"/>
      <c r="BQ253" s="407"/>
      <c r="BR253" s="407"/>
      <c r="BS253" s="407"/>
      <c r="BT253" s="407"/>
      <c r="BU253" s="407"/>
      <c r="BV253" s="407"/>
      <c r="BW253" s="407"/>
      <c r="BX253" s="407"/>
      <c r="BY253" s="407"/>
      <c r="BZ253" s="407"/>
      <c r="CA253" s="407"/>
      <c r="CB253" s="407"/>
      <c r="CC253" s="407"/>
      <c r="CD253" s="407"/>
      <c r="CE253" s="407"/>
      <c r="CF253" s="407"/>
    </row>
    <row r="254" spans="1:84">
      <c r="A254" s="406"/>
      <c r="B254" s="406"/>
      <c r="C254" s="406"/>
      <c r="D254" s="406"/>
      <c r="E254" s="406"/>
      <c r="F254" s="406"/>
      <c r="G254" s="406"/>
      <c r="H254" s="406"/>
      <c r="I254" s="406"/>
      <c r="J254" s="406"/>
      <c r="K254" s="406"/>
      <c r="L254" s="406"/>
      <c r="M254" s="406"/>
      <c r="N254" s="406"/>
      <c r="O254" s="406"/>
      <c r="P254" s="406"/>
      <c r="Q254" s="406"/>
      <c r="R254" s="406"/>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7"/>
      <c r="BL254" s="407"/>
      <c r="BM254" s="407"/>
      <c r="BN254" s="407"/>
      <c r="BO254" s="407"/>
      <c r="BP254" s="407"/>
      <c r="BQ254" s="407"/>
      <c r="BR254" s="407"/>
      <c r="BS254" s="407"/>
      <c r="BT254" s="407"/>
      <c r="BU254" s="407"/>
      <c r="BV254" s="407"/>
      <c r="BW254" s="407"/>
      <c r="BX254" s="407"/>
      <c r="BY254" s="407"/>
      <c r="BZ254" s="407"/>
      <c r="CA254" s="407"/>
      <c r="CB254" s="407"/>
      <c r="CC254" s="407"/>
      <c r="CD254" s="407"/>
      <c r="CE254" s="407"/>
      <c r="CF254" s="407"/>
    </row>
    <row r="255" spans="1:84">
      <c r="A255" s="406"/>
      <c r="B255" s="406"/>
      <c r="C255" s="406"/>
      <c r="D255" s="406"/>
      <c r="E255" s="406"/>
      <c r="F255" s="406"/>
      <c r="G255" s="406"/>
      <c r="H255" s="406"/>
      <c r="I255" s="406"/>
      <c r="J255" s="406"/>
      <c r="K255" s="406"/>
      <c r="L255" s="406"/>
      <c r="M255" s="406"/>
      <c r="N255" s="406"/>
      <c r="O255" s="406"/>
      <c r="P255" s="406"/>
      <c r="Q255" s="406"/>
      <c r="R255" s="406"/>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c r="AN255" s="406"/>
      <c r="AO255" s="406"/>
      <c r="AP255" s="406"/>
      <c r="AQ255" s="406"/>
      <c r="AR255" s="406"/>
      <c r="AS255" s="406"/>
      <c r="AT255" s="406"/>
      <c r="AU255" s="406"/>
      <c r="AV255" s="406"/>
      <c r="AW255" s="406"/>
      <c r="AX255" s="406"/>
      <c r="AY255" s="406"/>
      <c r="AZ255" s="406"/>
      <c r="BA255" s="406"/>
      <c r="BB255" s="406"/>
      <c r="BC255" s="406"/>
      <c r="BD255" s="406"/>
      <c r="BE255" s="406"/>
      <c r="BF255" s="406"/>
      <c r="BG255" s="406"/>
      <c r="BH255" s="406"/>
      <c r="BI255" s="406"/>
      <c r="BJ255" s="406"/>
      <c r="BK255" s="407"/>
      <c r="BL255" s="407"/>
      <c r="BM255" s="407"/>
      <c r="BN255" s="407"/>
      <c r="BO255" s="407"/>
      <c r="BP255" s="407"/>
      <c r="BQ255" s="407"/>
      <c r="BR255" s="407"/>
      <c r="BS255" s="407"/>
      <c r="BT255" s="407"/>
      <c r="BU255" s="407"/>
      <c r="BV255" s="407"/>
      <c r="BW255" s="407"/>
      <c r="BX255" s="407"/>
      <c r="BY255" s="407"/>
      <c r="BZ255" s="407"/>
      <c r="CA255" s="407"/>
      <c r="CB255" s="407"/>
      <c r="CC255" s="407"/>
      <c r="CD255" s="407"/>
      <c r="CE255" s="407"/>
      <c r="CF255" s="407"/>
    </row>
    <row r="256" spans="1:84">
      <c r="A256" s="406"/>
      <c r="B256" s="406"/>
      <c r="C256" s="406"/>
      <c r="D256" s="406"/>
      <c r="E256" s="406"/>
      <c r="F256" s="406"/>
      <c r="G256" s="406"/>
      <c r="H256" s="406"/>
      <c r="I256" s="406"/>
      <c r="J256" s="406"/>
      <c r="K256" s="406"/>
      <c r="L256" s="406"/>
      <c r="M256" s="406"/>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c r="AN256" s="406"/>
      <c r="AO256" s="406"/>
      <c r="AP256" s="406"/>
      <c r="AQ256" s="406"/>
      <c r="AR256" s="406"/>
      <c r="AS256" s="406"/>
      <c r="AT256" s="406"/>
      <c r="AU256" s="406"/>
      <c r="AV256" s="406"/>
      <c r="AW256" s="406"/>
      <c r="AX256" s="406"/>
      <c r="AY256" s="406"/>
      <c r="AZ256" s="406"/>
      <c r="BA256" s="406"/>
      <c r="BB256" s="406"/>
      <c r="BC256" s="406"/>
      <c r="BD256" s="406"/>
      <c r="BE256" s="406"/>
      <c r="BF256" s="406"/>
      <c r="BG256" s="406"/>
      <c r="BH256" s="406"/>
      <c r="BI256" s="406"/>
      <c r="BJ256" s="406"/>
      <c r="BK256" s="407"/>
      <c r="BL256" s="407"/>
      <c r="BM256" s="407"/>
      <c r="BN256" s="407"/>
      <c r="BO256" s="407"/>
      <c r="BP256" s="407"/>
      <c r="BQ256" s="407"/>
      <c r="BR256" s="407"/>
      <c r="BS256" s="407"/>
      <c r="BT256" s="407"/>
      <c r="BU256" s="407"/>
      <c r="BV256" s="407"/>
      <c r="BW256" s="407"/>
      <c r="BX256" s="407"/>
      <c r="BY256" s="407"/>
      <c r="BZ256" s="407"/>
      <c r="CA256" s="407"/>
      <c r="CB256" s="407"/>
      <c r="CC256" s="407"/>
      <c r="CD256" s="407"/>
      <c r="CE256" s="407"/>
      <c r="CF256" s="407"/>
    </row>
    <row r="257" spans="1:84">
      <c r="A257" s="406"/>
      <c r="B257" s="406"/>
      <c r="C257" s="406"/>
      <c r="D257" s="406"/>
      <c r="E257" s="406"/>
      <c r="F257" s="406"/>
      <c r="G257" s="406"/>
      <c r="H257" s="406"/>
      <c r="I257" s="406"/>
      <c r="J257" s="406"/>
      <c r="K257" s="406"/>
      <c r="L257" s="406"/>
      <c r="M257" s="406"/>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7"/>
      <c r="BL257" s="407"/>
      <c r="BM257" s="407"/>
      <c r="BN257" s="407"/>
      <c r="BO257" s="407"/>
      <c r="BP257" s="407"/>
      <c r="BQ257" s="407"/>
      <c r="BR257" s="407"/>
      <c r="BS257" s="407"/>
      <c r="BT257" s="407"/>
      <c r="BU257" s="407"/>
      <c r="BV257" s="407"/>
      <c r="BW257" s="407"/>
      <c r="BX257" s="407"/>
      <c r="BY257" s="407"/>
      <c r="BZ257" s="407"/>
      <c r="CA257" s="407"/>
      <c r="CB257" s="407"/>
      <c r="CC257" s="407"/>
      <c r="CD257" s="407"/>
      <c r="CE257" s="407"/>
      <c r="CF257" s="407"/>
    </row>
    <row r="258" spans="1:84">
      <c r="A258" s="406"/>
      <c r="B258" s="406"/>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7"/>
      <c r="BL258" s="407"/>
      <c r="BM258" s="407"/>
      <c r="BN258" s="407"/>
      <c r="BO258" s="407"/>
      <c r="BP258" s="407"/>
      <c r="BQ258" s="407"/>
      <c r="BR258" s="407"/>
      <c r="BS258" s="407"/>
      <c r="BT258" s="407"/>
      <c r="BU258" s="407"/>
      <c r="BV258" s="407"/>
      <c r="BW258" s="407"/>
      <c r="BX258" s="407"/>
      <c r="BY258" s="407"/>
      <c r="BZ258" s="407"/>
      <c r="CA258" s="407"/>
      <c r="CB258" s="407"/>
      <c r="CC258" s="407"/>
      <c r="CD258" s="407"/>
      <c r="CE258" s="407"/>
      <c r="CF258" s="407"/>
    </row>
    <row r="259" spans="1:84">
      <c r="A259" s="406"/>
      <c r="B259" s="406"/>
      <c r="C259" s="406"/>
      <c r="D259" s="406"/>
      <c r="E259" s="406"/>
      <c r="F259" s="406"/>
      <c r="G259" s="406"/>
      <c r="H259" s="406"/>
      <c r="I259" s="406"/>
      <c r="J259" s="406"/>
      <c r="K259" s="406"/>
      <c r="L259" s="406"/>
      <c r="M259" s="406"/>
      <c r="N259" s="406"/>
      <c r="O259" s="406"/>
      <c r="P259" s="406"/>
      <c r="Q259" s="406"/>
      <c r="R259" s="406"/>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c r="AN259" s="406"/>
      <c r="AO259" s="406"/>
      <c r="AP259" s="406"/>
      <c r="AQ259" s="406"/>
      <c r="AR259" s="406"/>
      <c r="AS259" s="406"/>
      <c r="AT259" s="406"/>
      <c r="AU259" s="406"/>
      <c r="AV259" s="406"/>
      <c r="AW259" s="406"/>
      <c r="AX259" s="406"/>
      <c r="AY259" s="406"/>
      <c r="AZ259" s="406"/>
      <c r="BA259" s="406"/>
      <c r="BB259" s="406"/>
      <c r="BC259" s="406"/>
      <c r="BD259" s="406"/>
      <c r="BE259" s="406"/>
      <c r="BF259" s="406"/>
      <c r="BG259" s="406"/>
      <c r="BH259" s="406"/>
      <c r="BI259" s="406"/>
      <c r="BJ259" s="406"/>
      <c r="BK259" s="407"/>
      <c r="BL259" s="407"/>
      <c r="BM259" s="407"/>
      <c r="BN259" s="407"/>
      <c r="BO259" s="407"/>
      <c r="BP259" s="407"/>
      <c r="BQ259" s="407"/>
      <c r="BR259" s="407"/>
      <c r="BS259" s="407"/>
      <c r="BT259" s="407"/>
      <c r="BU259" s="407"/>
      <c r="BV259" s="407"/>
      <c r="BW259" s="407"/>
      <c r="BX259" s="407"/>
      <c r="BY259" s="407"/>
      <c r="BZ259" s="407"/>
      <c r="CA259" s="407"/>
      <c r="CB259" s="407"/>
      <c r="CC259" s="407"/>
      <c r="CD259" s="407"/>
      <c r="CE259" s="407"/>
      <c r="CF259" s="407"/>
    </row>
    <row r="260" spans="1:84">
      <c r="A260" s="407"/>
      <c r="B260" s="407"/>
      <c r="C260" s="407"/>
      <c r="D260" s="407"/>
      <c r="E260" s="407"/>
      <c r="F260" s="407"/>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407"/>
      <c r="AE260" s="407"/>
      <c r="AF260" s="407"/>
      <c r="AG260" s="407"/>
      <c r="AH260" s="407"/>
      <c r="AI260" s="407"/>
      <c r="AJ260" s="407"/>
      <c r="AK260" s="407"/>
      <c r="AL260" s="407"/>
      <c r="AM260" s="407"/>
      <c r="AN260" s="407"/>
      <c r="AO260" s="407"/>
      <c r="AP260" s="407"/>
      <c r="AQ260" s="407"/>
      <c r="AR260" s="407"/>
      <c r="AS260" s="407"/>
      <c r="AT260" s="407"/>
      <c r="AU260" s="407"/>
      <c r="AV260" s="407"/>
      <c r="AW260" s="407"/>
      <c r="AX260" s="407"/>
      <c r="AY260" s="407"/>
      <c r="AZ260" s="407"/>
      <c r="BA260" s="407"/>
      <c r="BB260" s="407"/>
      <c r="BC260" s="407"/>
      <c r="BD260" s="407"/>
      <c r="BE260" s="407"/>
      <c r="BF260" s="407"/>
      <c r="BG260" s="407"/>
      <c r="BH260" s="407"/>
      <c r="BI260" s="407"/>
      <c r="BJ260" s="407"/>
      <c r="BK260" s="407"/>
      <c r="BL260" s="407"/>
      <c r="BM260" s="407"/>
      <c r="BN260" s="407"/>
      <c r="BO260" s="407"/>
      <c r="BP260" s="407"/>
      <c r="BQ260" s="407"/>
      <c r="BR260" s="407"/>
      <c r="BS260" s="407"/>
      <c r="BT260" s="407"/>
      <c r="BU260" s="407"/>
      <c r="BV260" s="407"/>
      <c r="BW260" s="407"/>
      <c r="BX260" s="407"/>
      <c r="BY260" s="407"/>
      <c r="BZ260" s="407"/>
      <c r="CA260" s="407"/>
      <c r="CB260" s="407"/>
      <c r="CC260" s="407"/>
      <c r="CD260" s="407"/>
      <c r="CE260" s="407"/>
      <c r="CF260" s="407"/>
    </row>
    <row r="261" spans="1:84">
      <c r="A261" s="407"/>
      <c r="B261" s="407"/>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407"/>
      <c r="AC261" s="407"/>
      <c r="AD261" s="407"/>
      <c r="AE261" s="407"/>
      <c r="AF261" s="407"/>
      <c r="AG261" s="407"/>
      <c r="AH261" s="407"/>
      <c r="AI261" s="407"/>
      <c r="AJ261" s="407"/>
      <c r="AK261" s="407"/>
      <c r="AL261" s="407"/>
      <c r="AM261" s="407"/>
      <c r="AN261" s="407"/>
      <c r="AO261" s="407"/>
      <c r="AP261" s="407"/>
      <c r="AQ261" s="407"/>
      <c r="AR261" s="407"/>
      <c r="AS261" s="407"/>
      <c r="AT261" s="407"/>
      <c r="AU261" s="407"/>
      <c r="AV261" s="407"/>
      <c r="AW261" s="407"/>
      <c r="AX261" s="407"/>
      <c r="AY261" s="407"/>
      <c r="AZ261" s="407"/>
      <c r="BA261" s="407"/>
      <c r="BB261" s="407"/>
      <c r="BC261" s="407"/>
      <c r="BD261" s="407"/>
      <c r="BE261" s="407"/>
      <c r="BF261" s="407"/>
      <c r="BG261" s="407"/>
      <c r="BH261" s="407"/>
      <c r="BI261" s="407"/>
      <c r="BJ261" s="407"/>
      <c r="BK261" s="407"/>
      <c r="BL261" s="407"/>
      <c r="BM261" s="407"/>
      <c r="BN261" s="407"/>
      <c r="BO261" s="407"/>
      <c r="BP261" s="407"/>
      <c r="BQ261" s="407"/>
      <c r="BR261" s="407"/>
      <c r="BS261" s="407"/>
      <c r="BT261" s="407"/>
      <c r="BU261" s="407"/>
      <c r="BV261" s="407"/>
      <c r="BW261" s="407"/>
      <c r="BX261" s="407"/>
      <c r="BY261" s="407"/>
      <c r="BZ261" s="407"/>
      <c r="CA261" s="407"/>
      <c r="CB261" s="407"/>
      <c r="CC261" s="407"/>
      <c r="CD261" s="407"/>
      <c r="CE261" s="407"/>
      <c r="CF261" s="407"/>
    </row>
    <row r="262" spans="1:84">
      <c r="A262" s="407"/>
      <c r="B262" s="407"/>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K262" s="407"/>
      <c r="AL262" s="407"/>
      <c r="AM262" s="407"/>
      <c r="AN262" s="407"/>
      <c r="AO262" s="407"/>
      <c r="AP262" s="407"/>
      <c r="AQ262" s="407"/>
      <c r="AR262" s="407"/>
      <c r="AS262" s="407"/>
      <c r="AT262" s="407"/>
      <c r="AU262" s="407"/>
      <c r="AV262" s="407"/>
      <c r="AW262" s="407"/>
      <c r="AX262" s="407"/>
      <c r="AY262" s="407"/>
      <c r="AZ262" s="407"/>
      <c r="BA262" s="407"/>
      <c r="BB262" s="407"/>
      <c r="BC262" s="407"/>
      <c r="BD262" s="407"/>
      <c r="BE262" s="407"/>
      <c r="BF262" s="407"/>
      <c r="BG262" s="407"/>
      <c r="BH262" s="407"/>
      <c r="BI262" s="407"/>
      <c r="BJ262" s="407"/>
      <c r="BK262" s="407"/>
      <c r="BL262" s="407"/>
      <c r="BM262" s="407"/>
      <c r="BN262" s="407"/>
      <c r="BO262" s="407"/>
      <c r="BP262" s="407"/>
      <c r="BQ262" s="407"/>
      <c r="BR262" s="407"/>
      <c r="BS262" s="407"/>
      <c r="BT262" s="407"/>
      <c r="BU262" s="407"/>
      <c r="BV262" s="407"/>
      <c r="BW262" s="407"/>
      <c r="BX262" s="407"/>
      <c r="BY262" s="407"/>
      <c r="BZ262" s="407"/>
      <c r="CA262" s="407"/>
      <c r="CB262" s="407"/>
      <c r="CC262" s="407"/>
      <c r="CD262" s="407"/>
      <c r="CE262" s="407"/>
      <c r="CF262" s="407"/>
    </row>
    <row r="263" spans="1:84">
      <c r="A263" s="407"/>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407"/>
      <c r="AO263" s="407"/>
      <c r="AP263" s="407"/>
      <c r="AQ263" s="407"/>
      <c r="AR263" s="407"/>
      <c r="AS263" s="407"/>
      <c r="AT263" s="407"/>
      <c r="AU263" s="407"/>
      <c r="AV263" s="407"/>
      <c r="AW263" s="407"/>
      <c r="AX263" s="407"/>
      <c r="AY263" s="407"/>
      <c r="AZ263" s="407"/>
      <c r="BA263" s="407"/>
      <c r="BB263" s="407"/>
      <c r="BC263" s="407"/>
      <c r="BD263" s="407"/>
      <c r="BE263" s="407"/>
      <c r="BF263" s="407"/>
      <c r="BG263" s="407"/>
      <c r="BH263" s="407"/>
      <c r="BI263" s="407"/>
      <c r="BJ263" s="407"/>
      <c r="BK263" s="407"/>
      <c r="BL263" s="407"/>
      <c r="BM263" s="407"/>
      <c r="BN263" s="407"/>
      <c r="BO263" s="407"/>
      <c r="BP263" s="407"/>
      <c r="BQ263" s="407"/>
      <c r="BR263" s="407"/>
      <c r="BS263" s="407"/>
      <c r="BT263" s="407"/>
      <c r="BU263" s="407"/>
      <c r="BV263" s="407"/>
      <c r="BW263" s="407"/>
      <c r="BX263" s="407"/>
      <c r="BY263" s="407"/>
      <c r="BZ263" s="407"/>
      <c r="CA263" s="407"/>
      <c r="CB263" s="407"/>
      <c r="CC263" s="407"/>
      <c r="CD263" s="407"/>
      <c r="CE263" s="407"/>
      <c r="CF263" s="407"/>
    </row>
    <row r="264" spans="1:84">
      <c r="A264" s="407"/>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407"/>
      <c r="AE264" s="407"/>
      <c r="AF264" s="407"/>
      <c r="AG264" s="407"/>
      <c r="AH264" s="407"/>
      <c r="AI264" s="407"/>
      <c r="AJ264" s="407"/>
      <c r="AK264" s="407"/>
      <c r="AL264" s="407"/>
      <c r="AM264" s="407"/>
      <c r="AN264" s="407"/>
      <c r="AO264" s="407"/>
      <c r="AP264" s="407"/>
      <c r="AQ264" s="407"/>
      <c r="AR264" s="407"/>
      <c r="AS264" s="407"/>
      <c r="AT264" s="407"/>
      <c r="AU264" s="407"/>
      <c r="AV264" s="407"/>
      <c r="AW264" s="407"/>
      <c r="AX264" s="407"/>
      <c r="AY264" s="407"/>
      <c r="AZ264" s="407"/>
      <c r="BA264" s="407"/>
      <c r="BB264" s="407"/>
      <c r="BC264" s="407"/>
      <c r="BD264" s="407"/>
      <c r="BE264" s="407"/>
      <c r="BF264" s="407"/>
      <c r="BG264" s="407"/>
      <c r="BH264" s="407"/>
      <c r="BI264" s="407"/>
      <c r="BJ264" s="407"/>
      <c r="BK264" s="407"/>
      <c r="BL264" s="407"/>
      <c r="BM264" s="407"/>
      <c r="BN264" s="407"/>
      <c r="BO264" s="407"/>
      <c r="BP264" s="407"/>
      <c r="BQ264" s="407"/>
      <c r="BR264" s="407"/>
      <c r="BS264" s="407"/>
      <c r="BT264" s="407"/>
      <c r="BU264" s="407"/>
      <c r="BV264" s="407"/>
      <c r="BW264" s="407"/>
      <c r="BX264" s="407"/>
      <c r="BY264" s="407"/>
      <c r="BZ264" s="407"/>
      <c r="CA264" s="407"/>
      <c r="CB264" s="407"/>
      <c r="CC264" s="407"/>
      <c r="CD264" s="407"/>
      <c r="CE264" s="407"/>
      <c r="CF264" s="407"/>
    </row>
    <row r="265" spans="1:84">
      <c r="A265" s="407"/>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407"/>
      <c r="AR265" s="407"/>
      <c r="AS265" s="407"/>
      <c r="AT265" s="407"/>
      <c r="AU265" s="407"/>
      <c r="AV265" s="407"/>
      <c r="AW265" s="407"/>
      <c r="AX265" s="407"/>
      <c r="AY265" s="407"/>
      <c r="AZ265" s="407"/>
      <c r="BA265" s="407"/>
      <c r="BB265" s="407"/>
      <c r="BC265" s="407"/>
      <c r="BD265" s="407"/>
      <c r="BE265" s="407"/>
      <c r="BF265" s="407"/>
      <c r="BG265" s="407"/>
      <c r="BH265" s="407"/>
      <c r="BI265" s="407"/>
      <c r="BJ265" s="407"/>
      <c r="BK265" s="407"/>
      <c r="BL265" s="407"/>
      <c r="BM265" s="407"/>
      <c r="BN265" s="407"/>
      <c r="BO265" s="407"/>
      <c r="BP265" s="407"/>
      <c r="BQ265" s="407"/>
      <c r="BR265" s="407"/>
      <c r="BS265" s="407"/>
      <c r="BT265" s="407"/>
      <c r="BU265" s="407"/>
      <c r="BV265" s="407"/>
      <c r="BW265" s="407"/>
      <c r="BX265" s="407"/>
      <c r="BY265" s="407"/>
      <c r="BZ265" s="407"/>
      <c r="CA265" s="407"/>
      <c r="CB265" s="407"/>
      <c r="CC265" s="407"/>
      <c r="CD265" s="407"/>
      <c r="CE265" s="407"/>
      <c r="CF265" s="407"/>
    </row>
    <row r="266" spans="1:84">
      <c r="A266" s="407"/>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407"/>
      <c r="AE266" s="407"/>
      <c r="AF266" s="407"/>
      <c r="AG266" s="407"/>
      <c r="AH266" s="407"/>
      <c r="AI266" s="407"/>
      <c r="AJ266" s="407"/>
      <c r="AK266" s="407"/>
      <c r="AL266" s="407"/>
      <c r="AM266" s="407"/>
      <c r="AN266" s="407"/>
      <c r="AO266" s="407"/>
      <c r="AP266" s="407"/>
      <c r="AQ266" s="407"/>
      <c r="AR266" s="407"/>
      <c r="AS266" s="407"/>
      <c r="AT266" s="407"/>
      <c r="AU266" s="407"/>
      <c r="AV266" s="407"/>
      <c r="AW266" s="407"/>
      <c r="AX266" s="407"/>
      <c r="AY266" s="407"/>
      <c r="AZ266" s="407"/>
      <c r="BA266" s="407"/>
      <c r="BB266" s="407"/>
      <c r="BC266" s="407"/>
      <c r="BD266" s="407"/>
      <c r="BE266" s="407"/>
      <c r="BF266" s="407"/>
      <c r="BG266" s="407"/>
      <c r="BH266" s="407"/>
      <c r="BI266" s="407"/>
      <c r="BJ266" s="407"/>
      <c r="BK266" s="407"/>
      <c r="BL266" s="407"/>
      <c r="BM266" s="407"/>
      <c r="BN266" s="407"/>
      <c r="BO266" s="407"/>
      <c r="BP266" s="407"/>
      <c r="BQ266" s="407"/>
      <c r="BR266" s="407"/>
      <c r="BS266" s="407"/>
      <c r="BT266" s="407"/>
      <c r="BU266" s="407"/>
      <c r="BV266" s="407"/>
      <c r="BW266" s="407"/>
      <c r="BX266" s="407"/>
      <c r="BY266" s="407"/>
      <c r="BZ266" s="407"/>
      <c r="CA266" s="407"/>
      <c r="CB266" s="407"/>
      <c r="CC266" s="407"/>
      <c r="CD266" s="407"/>
      <c r="CE266" s="407"/>
      <c r="CF266" s="407"/>
    </row>
    <row r="267" spans="1:84">
      <c r="A267" s="407"/>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407"/>
      <c r="AE267" s="407"/>
      <c r="AF267" s="407"/>
      <c r="AG267" s="407"/>
      <c r="AH267" s="407"/>
      <c r="AI267" s="407"/>
      <c r="AJ267" s="407"/>
      <c r="AK267" s="407"/>
      <c r="AL267" s="407"/>
      <c r="AM267" s="407"/>
      <c r="AN267" s="407"/>
      <c r="AO267" s="407"/>
      <c r="AP267" s="407"/>
      <c r="AQ267" s="407"/>
      <c r="AR267" s="407"/>
      <c r="AS267" s="407"/>
      <c r="AT267" s="407"/>
      <c r="AU267" s="407"/>
      <c r="AV267" s="407"/>
      <c r="AW267" s="407"/>
      <c r="AX267" s="407"/>
      <c r="AY267" s="407"/>
      <c r="AZ267" s="407"/>
      <c r="BA267" s="407"/>
      <c r="BB267" s="407"/>
      <c r="BC267" s="407"/>
      <c r="BD267" s="407"/>
      <c r="BE267" s="407"/>
      <c r="BF267" s="407"/>
      <c r="BG267" s="407"/>
      <c r="BH267" s="407"/>
      <c r="BI267" s="407"/>
      <c r="BJ267" s="407"/>
      <c r="BK267" s="407"/>
      <c r="BL267" s="407"/>
      <c r="BM267" s="407"/>
      <c r="BN267" s="407"/>
      <c r="BO267" s="407"/>
      <c r="BP267" s="407"/>
      <c r="BQ267" s="407"/>
      <c r="BR267" s="407"/>
      <c r="BS267" s="407"/>
      <c r="BT267" s="407"/>
      <c r="BU267" s="407"/>
      <c r="BV267" s="407"/>
      <c r="BW267" s="407"/>
      <c r="BX267" s="407"/>
      <c r="BY267" s="407"/>
      <c r="BZ267" s="407"/>
      <c r="CA267" s="407"/>
      <c r="CB267" s="407"/>
      <c r="CC267" s="407"/>
      <c r="CD267" s="407"/>
      <c r="CE267" s="407"/>
      <c r="CF267" s="407"/>
    </row>
    <row r="268" spans="1:84">
      <c r="A268" s="407"/>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407"/>
      <c r="AE268" s="407"/>
      <c r="AF268" s="407"/>
      <c r="AG268" s="407"/>
      <c r="AH268" s="407"/>
      <c r="AI268" s="407"/>
      <c r="AJ268" s="407"/>
      <c r="AK268" s="407"/>
      <c r="AL268" s="407"/>
      <c r="AM268" s="407"/>
      <c r="AN268" s="407"/>
      <c r="AO268" s="407"/>
      <c r="AP268" s="407"/>
      <c r="AQ268" s="407"/>
      <c r="AR268" s="407"/>
      <c r="AS268" s="407"/>
      <c r="AT268" s="407"/>
      <c r="AU268" s="407"/>
      <c r="AV268" s="407"/>
      <c r="AW268" s="407"/>
      <c r="AX268" s="407"/>
      <c r="AY268" s="407"/>
      <c r="AZ268" s="407"/>
      <c r="BA268" s="407"/>
      <c r="BB268" s="407"/>
      <c r="BC268" s="407"/>
      <c r="BD268" s="407"/>
      <c r="BE268" s="407"/>
      <c r="BF268" s="407"/>
      <c r="BG268" s="407"/>
      <c r="BH268" s="407"/>
      <c r="BI268" s="407"/>
      <c r="BJ268" s="407"/>
      <c r="BK268" s="407"/>
      <c r="BL268" s="407"/>
      <c r="BM268" s="407"/>
      <c r="BN268" s="407"/>
      <c r="BO268" s="407"/>
      <c r="BP268" s="407"/>
      <c r="BQ268" s="407"/>
      <c r="BR268" s="407"/>
      <c r="BS268" s="407"/>
      <c r="BT268" s="407"/>
      <c r="BU268" s="407"/>
      <c r="BV268" s="407"/>
      <c r="BW268" s="407"/>
      <c r="BX268" s="407"/>
      <c r="BY268" s="407"/>
      <c r="BZ268" s="407"/>
      <c r="CA268" s="407"/>
      <c r="CB268" s="407"/>
      <c r="CC268" s="407"/>
      <c r="CD268" s="407"/>
      <c r="CE268" s="407"/>
      <c r="CF268" s="407"/>
    </row>
    <row r="269" spans="1:84">
      <c r="A269" s="407"/>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407"/>
      <c r="AC269" s="407"/>
      <c r="AD269" s="407"/>
      <c r="AE269" s="407"/>
      <c r="AF269" s="407"/>
      <c r="AG269" s="407"/>
      <c r="AH269" s="407"/>
      <c r="AI269" s="407"/>
      <c r="AJ269" s="407"/>
      <c r="AK269" s="407"/>
      <c r="AL269" s="407"/>
      <c r="AM269" s="407"/>
      <c r="AN269" s="407"/>
      <c r="AO269" s="407"/>
      <c r="AP269" s="407"/>
      <c r="AQ269" s="407"/>
      <c r="AR269" s="407"/>
      <c r="AS269" s="407"/>
      <c r="AT269" s="407"/>
      <c r="AU269" s="407"/>
      <c r="AV269" s="407"/>
      <c r="AW269" s="407"/>
      <c r="AX269" s="407"/>
      <c r="AY269" s="407"/>
      <c r="AZ269" s="407"/>
      <c r="BA269" s="407"/>
      <c r="BB269" s="407"/>
      <c r="BC269" s="407"/>
      <c r="BD269" s="407"/>
      <c r="BE269" s="407"/>
      <c r="BF269" s="407"/>
      <c r="BG269" s="407"/>
      <c r="BH269" s="407"/>
      <c r="BI269" s="407"/>
      <c r="BJ269" s="407"/>
      <c r="BK269" s="407"/>
      <c r="BL269" s="407"/>
      <c r="BM269" s="407"/>
      <c r="BN269" s="407"/>
      <c r="BO269" s="407"/>
      <c r="BP269" s="407"/>
      <c r="BQ269" s="407"/>
      <c r="BR269" s="407"/>
      <c r="BS269" s="407"/>
      <c r="BT269" s="407"/>
      <c r="BU269" s="407"/>
      <c r="BV269" s="407"/>
      <c r="BW269" s="407"/>
      <c r="BX269" s="407"/>
      <c r="BY269" s="407"/>
      <c r="BZ269" s="407"/>
      <c r="CA269" s="407"/>
      <c r="CB269" s="407"/>
      <c r="CC269" s="407"/>
      <c r="CD269" s="407"/>
      <c r="CE269" s="407"/>
      <c r="CF269" s="407"/>
    </row>
    <row r="270" spans="1:84">
      <c r="A270" s="407"/>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407"/>
      <c r="AE270" s="407"/>
      <c r="AF270" s="407"/>
      <c r="AG270" s="407"/>
      <c r="AH270" s="407"/>
      <c r="AI270" s="407"/>
      <c r="AJ270" s="407"/>
      <c r="AK270" s="407"/>
      <c r="AL270" s="407"/>
      <c r="AM270" s="407"/>
      <c r="AN270" s="407"/>
      <c r="AO270" s="407"/>
      <c r="AP270" s="407"/>
      <c r="AQ270" s="407"/>
      <c r="AR270" s="407"/>
      <c r="AS270" s="407"/>
      <c r="AT270" s="407"/>
      <c r="AU270" s="407"/>
      <c r="AV270" s="407"/>
      <c r="AW270" s="407"/>
      <c r="AX270" s="407"/>
      <c r="AY270" s="407"/>
      <c r="AZ270" s="407"/>
      <c r="BA270" s="407"/>
      <c r="BB270" s="407"/>
      <c r="BC270" s="407"/>
      <c r="BD270" s="407"/>
      <c r="BE270" s="407"/>
      <c r="BF270" s="407"/>
      <c r="BG270" s="407"/>
      <c r="BH270" s="407"/>
      <c r="BI270" s="407"/>
      <c r="BJ270" s="407"/>
      <c r="BK270" s="407"/>
      <c r="BL270" s="407"/>
      <c r="BM270" s="407"/>
      <c r="BN270" s="407"/>
      <c r="BO270" s="407"/>
      <c r="BP270" s="407"/>
      <c r="BQ270" s="407"/>
      <c r="BR270" s="407"/>
      <c r="BS270" s="407"/>
      <c r="BT270" s="407"/>
      <c r="BU270" s="407"/>
      <c r="BV270" s="407"/>
      <c r="BW270" s="407"/>
      <c r="BX270" s="407"/>
      <c r="BY270" s="407"/>
      <c r="BZ270" s="407"/>
      <c r="CA270" s="407"/>
      <c r="CB270" s="407"/>
      <c r="CC270" s="407"/>
      <c r="CD270" s="407"/>
      <c r="CE270" s="407"/>
      <c r="CF270" s="407"/>
    </row>
    <row r="271" spans="1:84">
      <c r="A271" s="407"/>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407"/>
      <c r="AE271" s="407"/>
      <c r="AF271" s="407"/>
      <c r="AG271" s="407"/>
      <c r="AH271" s="407"/>
      <c r="AI271" s="407"/>
      <c r="AJ271" s="407"/>
      <c r="AK271" s="407"/>
      <c r="AL271" s="407"/>
      <c r="AM271" s="407"/>
      <c r="AN271" s="407"/>
      <c r="AO271" s="407"/>
      <c r="AP271" s="407"/>
      <c r="AQ271" s="407"/>
      <c r="AR271" s="407"/>
      <c r="AS271" s="407"/>
      <c r="AT271" s="407"/>
      <c r="AU271" s="407"/>
      <c r="AV271" s="407"/>
      <c r="AW271" s="407"/>
      <c r="AX271" s="407"/>
      <c r="AY271" s="407"/>
      <c r="AZ271" s="407"/>
      <c r="BA271" s="407"/>
      <c r="BB271" s="407"/>
      <c r="BC271" s="407"/>
      <c r="BD271" s="407"/>
      <c r="BE271" s="407"/>
      <c r="BF271" s="407"/>
      <c r="BG271" s="407"/>
      <c r="BH271" s="407"/>
      <c r="BI271" s="407"/>
      <c r="BJ271" s="407"/>
      <c r="BK271" s="407"/>
      <c r="BL271" s="407"/>
      <c r="BM271" s="407"/>
      <c r="BN271" s="407"/>
      <c r="BO271" s="407"/>
      <c r="BP271" s="407"/>
      <c r="BQ271" s="407"/>
      <c r="BR271" s="407"/>
      <c r="BS271" s="407"/>
      <c r="BT271" s="407"/>
      <c r="BU271" s="407"/>
      <c r="BV271" s="407"/>
      <c r="BW271" s="407"/>
      <c r="BX271" s="407"/>
      <c r="BY271" s="407"/>
      <c r="BZ271" s="407"/>
      <c r="CA271" s="407"/>
      <c r="CB271" s="407"/>
      <c r="CC271" s="407"/>
      <c r="CD271" s="407"/>
      <c r="CE271" s="407"/>
      <c r="CF271" s="407"/>
    </row>
    <row r="272" spans="1:84">
      <c r="A272" s="407"/>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c r="AA272" s="407"/>
      <c r="AB272" s="407"/>
      <c r="AC272" s="407"/>
      <c r="AD272" s="407"/>
      <c r="AE272" s="407"/>
      <c r="AF272" s="407"/>
      <c r="AG272" s="407"/>
      <c r="AH272" s="407"/>
      <c r="AI272" s="407"/>
      <c r="AJ272" s="407"/>
      <c r="AK272" s="407"/>
      <c r="AL272" s="407"/>
      <c r="AM272" s="407"/>
      <c r="AN272" s="407"/>
      <c r="AO272" s="407"/>
      <c r="AP272" s="407"/>
      <c r="AQ272" s="407"/>
      <c r="AR272" s="407"/>
      <c r="AS272" s="407"/>
      <c r="AT272" s="407"/>
      <c r="AU272" s="407"/>
      <c r="AV272" s="407"/>
      <c r="AW272" s="407"/>
      <c r="AX272" s="407"/>
      <c r="AY272" s="407"/>
      <c r="AZ272" s="407"/>
      <c r="BA272" s="407"/>
      <c r="BB272" s="407"/>
      <c r="BC272" s="407"/>
      <c r="BD272" s="407"/>
      <c r="BE272" s="407"/>
      <c r="BF272" s="407"/>
      <c r="BG272" s="407"/>
      <c r="BH272" s="407"/>
      <c r="BI272" s="407"/>
      <c r="BJ272" s="407"/>
      <c r="BK272" s="407"/>
      <c r="BL272" s="407"/>
      <c r="BM272" s="407"/>
      <c r="BN272" s="407"/>
      <c r="BO272" s="407"/>
      <c r="BP272" s="407"/>
      <c r="BQ272" s="407"/>
      <c r="BR272" s="407"/>
      <c r="BS272" s="407"/>
      <c r="BT272" s="407"/>
      <c r="BU272" s="407"/>
      <c r="BV272" s="407"/>
      <c r="BW272" s="407"/>
      <c r="BX272" s="407"/>
      <c r="BY272" s="407"/>
      <c r="BZ272" s="407"/>
      <c r="CA272" s="407"/>
      <c r="CB272" s="407"/>
      <c r="CC272" s="407"/>
      <c r="CD272" s="407"/>
      <c r="CE272" s="407"/>
      <c r="CF272" s="407"/>
    </row>
    <row r="273" spans="1:84">
      <c r="A273" s="407"/>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407"/>
      <c r="AE273" s="407"/>
      <c r="AF273" s="407"/>
      <c r="AG273" s="407"/>
      <c r="AH273" s="407"/>
      <c r="AI273" s="407"/>
      <c r="AJ273" s="407"/>
      <c r="AK273" s="407"/>
      <c r="AL273" s="407"/>
      <c r="AM273" s="407"/>
      <c r="AN273" s="407"/>
      <c r="AO273" s="407"/>
      <c r="AP273" s="407"/>
      <c r="AQ273" s="407"/>
      <c r="AR273" s="407"/>
      <c r="AS273" s="407"/>
      <c r="AT273" s="407"/>
      <c r="AU273" s="407"/>
      <c r="AV273" s="407"/>
      <c r="AW273" s="407"/>
      <c r="AX273" s="407"/>
      <c r="AY273" s="407"/>
      <c r="AZ273" s="407"/>
      <c r="BA273" s="407"/>
      <c r="BB273" s="407"/>
      <c r="BC273" s="407"/>
      <c r="BD273" s="407"/>
      <c r="BE273" s="407"/>
      <c r="BF273" s="407"/>
      <c r="BG273" s="407"/>
      <c r="BH273" s="407"/>
      <c r="BI273" s="407"/>
      <c r="BJ273" s="407"/>
      <c r="BK273" s="407"/>
      <c r="BL273" s="407"/>
      <c r="BM273" s="407"/>
      <c r="BN273" s="407"/>
      <c r="BO273" s="407"/>
      <c r="BP273" s="407"/>
      <c r="BQ273" s="407"/>
      <c r="BR273" s="407"/>
      <c r="BS273" s="407"/>
      <c r="BT273" s="407"/>
      <c r="BU273" s="407"/>
      <c r="BV273" s="407"/>
      <c r="BW273" s="407"/>
      <c r="BX273" s="407"/>
      <c r="BY273" s="407"/>
      <c r="BZ273" s="407"/>
      <c r="CA273" s="407"/>
      <c r="CB273" s="407"/>
      <c r="CC273" s="407"/>
      <c r="CD273" s="407"/>
      <c r="CE273" s="407"/>
      <c r="CF273" s="407"/>
    </row>
    <row r="274" spans="1:84">
      <c r="A274" s="407"/>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c r="AA274" s="407"/>
      <c r="AB274" s="407"/>
      <c r="AC274" s="407"/>
      <c r="AD274" s="407"/>
      <c r="AE274" s="407"/>
      <c r="AF274" s="407"/>
      <c r="AG274" s="407"/>
      <c r="AH274" s="407"/>
      <c r="AI274" s="407"/>
      <c r="AJ274" s="407"/>
      <c r="AK274" s="407"/>
      <c r="AL274" s="407"/>
      <c r="AM274" s="407"/>
      <c r="AN274" s="407"/>
      <c r="AO274" s="407"/>
      <c r="AP274" s="407"/>
      <c r="AQ274" s="407"/>
      <c r="AR274" s="407"/>
      <c r="AS274" s="407"/>
      <c r="AT274" s="407"/>
      <c r="AU274" s="407"/>
      <c r="AV274" s="407"/>
      <c r="AW274" s="407"/>
      <c r="AX274" s="407"/>
      <c r="AY274" s="407"/>
      <c r="AZ274" s="407"/>
      <c r="BA274" s="407"/>
      <c r="BB274" s="407"/>
      <c r="BC274" s="407"/>
      <c r="BD274" s="407"/>
      <c r="BE274" s="407"/>
      <c r="BF274" s="407"/>
      <c r="BG274" s="407"/>
      <c r="BH274" s="407"/>
      <c r="BI274" s="407"/>
      <c r="BJ274" s="407"/>
      <c r="BK274" s="407"/>
      <c r="BL274" s="407"/>
      <c r="BM274" s="407"/>
      <c r="BN274" s="407"/>
      <c r="BO274" s="407"/>
      <c r="BP274" s="407"/>
      <c r="BQ274" s="407"/>
      <c r="BR274" s="407"/>
      <c r="BS274" s="407"/>
      <c r="BT274" s="407"/>
      <c r="BU274" s="407"/>
      <c r="BV274" s="407"/>
      <c r="BW274" s="407"/>
      <c r="BX274" s="407"/>
      <c r="BY274" s="407"/>
      <c r="BZ274" s="407"/>
      <c r="CA274" s="407"/>
      <c r="CB274" s="407"/>
      <c r="CC274" s="407"/>
      <c r="CD274" s="407"/>
      <c r="CE274" s="407"/>
      <c r="CF274" s="407"/>
    </row>
    <row r="275" spans="1:84">
      <c r="A275" s="407"/>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c r="AA275" s="407"/>
      <c r="AB275" s="407"/>
      <c r="AC275" s="407"/>
      <c r="AD275" s="407"/>
      <c r="AE275" s="407"/>
      <c r="AF275" s="407"/>
      <c r="AG275" s="407"/>
      <c r="AH275" s="407"/>
      <c r="AI275" s="407"/>
      <c r="AJ275" s="407"/>
      <c r="AK275" s="407"/>
      <c r="AL275" s="407"/>
      <c r="AM275" s="407"/>
      <c r="AN275" s="407"/>
      <c r="AO275" s="407"/>
      <c r="AP275" s="407"/>
      <c r="AQ275" s="407"/>
      <c r="AR275" s="407"/>
      <c r="AS275" s="407"/>
      <c r="AT275" s="407"/>
      <c r="AU275" s="407"/>
      <c r="AV275" s="407"/>
      <c r="AW275" s="407"/>
      <c r="AX275" s="407"/>
      <c r="AY275" s="407"/>
      <c r="AZ275" s="407"/>
      <c r="BA275" s="407"/>
      <c r="BB275" s="407"/>
      <c r="BC275" s="407"/>
      <c r="BD275" s="407"/>
      <c r="BE275" s="407"/>
      <c r="BF275" s="407"/>
      <c r="BG275" s="407"/>
      <c r="BH275" s="407"/>
      <c r="BI275" s="407"/>
      <c r="BJ275" s="407"/>
      <c r="BK275" s="407"/>
      <c r="BL275" s="407"/>
      <c r="BM275" s="407"/>
      <c r="BN275" s="407"/>
      <c r="BO275" s="407"/>
      <c r="BP275" s="407"/>
      <c r="BQ275" s="407"/>
      <c r="BR275" s="407"/>
      <c r="BS275" s="407"/>
      <c r="BT275" s="407"/>
      <c r="BU275" s="407"/>
      <c r="BV275" s="407"/>
      <c r="BW275" s="407"/>
      <c r="BX275" s="407"/>
      <c r="BY275" s="407"/>
      <c r="BZ275" s="407"/>
      <c r="CA275" s="407"/>
      <c r="CB275" s="407"/>
      <c r="CC275" s="407"/>
      <c r="CD275" s="407"/>
      <c r="CE275" s="407"/>
      <c r="CF275" s="407"/>
    </row>
    <row r="276" spans="1:84">
      <c r="A276" s="407"/>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407"/>
      <c r="AB276" s="407"/>
      <c r="AC276" s="407"/>
      <c r="AD276" s="407"/>
      <c r="AE276" s="407"/>
      <c r="AF276" s="407"/>
      <c r="AG276" s="407"/>
      <c r="AH276" s="407"/>
      <c r="AI276" s="407"/>
      <c r="AJ276" s="407"/>
      <c r="AK276" s="407"/>
      <c r="AL276" s="407"/>
      <c r="AM276" s="407"/>
      <c r="AN276" s="407"/>
      <c r="AO276" s="407"/>
      <c r="AP276" s="407"/>
      <c r="AQ276" s="407"/>
      <c r="AR276" s="407"/>
      <c r="AS276" s="407"/>
      <c r="AT276" s="407"/>
      <c r="AU276" s="407"/>
      <c r="AV276" s="407"/>
      <c r="AW276" s="407"/>
      <c r="AX276" s="407"/>
      <c r="AY276" s="407"/>
      <c r="AZ276" s="407"/>
      <c r="BA276" s="407"/>
      <c r="BB276" s="407"/>
      <c r="BC276" s="407"/>
      <c r="BD276" s="407"/>
      <c r="BE276" s="407"/>
      <c r="BF276" s="407"/>
      <c r="BG276" s="407"/>
      <c r="BH276" s="407"/>
      <c r="BI276" s="407"/>
      <c r="BJ276" s="407"/>
      <c r="BK276" s="407"/>
      <c r="BL276" s="407"/>
      <c r="BM276" s="407"/>
      <c r="BN276" s="407"/>
      <c r="BO276" s="407"/>
      <c r="BP276" s="407"/>
      <c r="BQ276" s="407"/>
      <c r="BR276" s="407"/>
      <c r="BS276" s="407"/>
      <c r="BT276" s="407"/>
      <c r="BU276" s="407"/>
      <c r="BV276" s="407"/>
      <c r="BW276" s="407"/>
      <c r="BX276" s="407"/>
      <c r="BY276" s="407"/>
      <c r="BZ276" s="407"/>
      <c r="CA276" s="407"/>
      <c r="CB276" s="407"/>
      <c r="CC276" s="407"/>
      <c r="CD276" s="407"/>
      <c r="CE276" s="407"/>
      <c r="CF276" s="407"/>
    </row>
    <row r="277" spans="1:84">
      <c r="A277" s="407"/>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c r="AA277" s="407"/>
      <c r="AB277" s="407"/>
      <c r="AC277" s="407"/>
      <c r="AD277" s="407"/>
      <c r="AE277" s="407"/>
      <c r="AF277" s="407"/>
      <c r="AG277" s="407"/>
      <c r="AH277" s="407"/>
      <c r="AI277" s="407"/>
      <c r="AJ277" s="407"/>
      <c r="AK277" s="407"/>
      <c r="AL277" s="407"/>
      <c r="AM277" s="407"/>
      <c r="AN277" s="407"/>
      <c r="AO277" s="407"/>
      <c r="AP277" s="407"/>
      <c r="AQ277" s="407"/>
      <c r="AR277" s="407"/>
      <c r="AS277" s="407"/>
      <c r="AT277" s="407"/>
      <c r="AU277" s="407"/>
      <c r="AV277" s="407"/>
      <c r="AW277" s="407"/>
      <c r="AX277" s="407"/>
      <c r="AY277" s="407"/>
      <c r="AZ277" s="407"/>
      <c r="BA277" s="407"/>
      <c r="BB277" s="407"/>
      <c r="BC277" s="407"/>
      <c r="BD277" s="407"/>
      <c r="BE277" s="407"/>
      <c r="BF277" s="407"/>
      <c r="BG277" s="407"/>
      <c r="BH277" s="407"/>
      <c r="BI277" s="407"/>
      <c r="BJ277" s="407"/>
      <c r="BK277" s="407"/>
      <c r="BL277" s="407"/>
      <c r="BM277" s="407"/>
      <c r="BN277" s="407"/>
      <c r="BO277" s="407"/>
      <c r="BP277" s="407"/>
      <c r="BQ277" s="407"/>
      <c r="BR277" s="407"/>
      <c r="BS277" s="407"/>
      <c r="BT277" s="407"/>
      <c r="BU277" s="407"/>
      <c r="BV277" s="407"/>
      <c r="BW277" s="407"/>
      <c r="BX277" s="407"/>
      <c r="BY277" s="407"/>
      <c r="BZ277" s="407"/>
      <c r="CA277" s="407"/>
      <c r="CB277" s="407"/>
      <c r="CC277" s="407"/>
      <c r="CD277" s="407"/>
      <c r="CE277" s="407"/>
      <c r="CF277" s="407"/>
    </row>
    <row r="278" spans="1:84">
      <c r="A278" s="407"/>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407"/>
      <c r="AE278" s="407"/>
      <c r="AF278" s="407"/>
      <c r="AG278" s="407"/>
      <c r="AH278" s="407"/>
      <c r="AI278" s="407"/>
      <c r="AJ278" s="407"/>
      <c r="AK278" s="407"/>
      <c r="AL278" s="407"/>
      <c r="AM278" s="407"/>
      <c r="AN278" s="407"/>
      <c r="AO278" s="407"/>
      <c r="AP278" s="407"/>
      <c r="AQ278" s="407"/>
      <c r="AR278" s="407"/>
      <c r="AS278" s="407"/>
      <c r="AT278" s="407"/>
      <c r="AU278" s="407"/>
      <c r="AV278" s="407"/>
      <c r="AW278" s="407"/>
      <c r="AX278" s="407"/>
      <c r="AY278" s="407"/>
      <c r="AZ278" s="407"/>
      <c r="BA278" s="407"/>
      <c r="BB278" s="407"/>
      <c r="BC278" s="407"/>
      <c r="BD278" s="407"/>
      <c r="BE278" s="407"/>
      <c r="BF278" s="407"/>
      <c r="BG278" s="407"/>
      <c r="BH278" s="407"/>
      <c r="BI278" s="407"/>
      <c r="BJ278" s="407"/>
      <c r="BK278" s="407"/>
      <c r="BL278" s="407"/>
      <c r="BM278" s="407"/>
      <c r="BN278" s="407"/>
      <c r="BO278" s="407"/>
      <c r="BP278" s="407"/>
      <c r="BQ278" s="407"/>
      <c r="BR278" s="407"/>
      <c r="BS278" s="407"/>
      <c r="BT278" s="407"/>
      <c r="BU278" s="407"/>
      <c r="BV278" s="407"/>
      <c r="BW278" s="407"/>
      <c r="BX278" s="407"/>
      <c r="BY278" s="407"/>
      <c r="BZ278" s="407"/>
      <c r="CA278" s="407"/>
      <c r="CB278" s="407"/>
      <c r="CC278" s="407"/>
      <c r="CD278" s="407"/>
      <c r="CE278" s="407"/>
      <c r="CF278" s="407"/>
    </row>
    <row r="279" spans="1:84">
      <c r="A279" s="407"/>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407"/>
      <c r="AB279" s="407"/>
      <c r="AC279" s="407"/>
      <c r="AD279" s="407"/>
      <c r="AE279" s="407"/>
      <c r="AF279" s="407"/>
      <c r="AG279" s="407"/>
      <c r="AH279" s="407"/>
      <c r="AI279" s="407"/>
      <c r="AJ279" s="407"/>
      <c r="AK279" s="407"/>
      <c r="AL279" s="407"/>
      <c r="AM279" s="407"/>
      <c r="AN279" s="407"/>
      <c r="AO279" s="407"/>
      <c r="AP279" s="407"/>
      <c r="AQ279" s="407"/>
      <c r="AR279" s="407"/>
      <c r="AS279" s="407"/>
      <c r="AT279" s="407"/>
      <c r="AU279" s="407"/>
      <c r="AV279" s="407"/>
      <c r="AW279" s="407"/>
      <c r="AX279" s="407"/>
      <c r="AY279" s="407"/>
      <c r="AZ279" s="407"/>
      <c r="BA279" s="407"/>
      <c r="BB279" s="407"/>
      <c r="BC279" s="407"/>
      <c r="BD279" s="407"/>
      <c r="BE279" s="407"/>
      <c r="BF279" s="407"/>
      <c r="BG279" s="407"/>
      <c r="BH279" s="407"/>
      <c r="BI279" s="407"/>
      <c r="BJ279" s="407"/>
      <c r="BK279" s="407"/>
      <c r="BL279" s="407"/>
      <c r="BM279" s="407"/>
      <c r="BN279" s="407"/>
      <c r="BO279" s="407"/>
      <c r="BP279" s="407"/>
      <c r="BQ279" s="407"/>
      <c r="BR279" s="407"/>
      <c r="BS279" s="407"/>
      <c r="BT279" s="407"/>
      <c r="BU279" s="407"/>
      <c r="BV279" s="407"/>
      <c r="BW279" s="407"/>
      <c r="BX279" s="407"/>
      <c r="BY279" s="407"/>
      <c r="BZ279" s="407"/>
      <c r="CA279" s="407"/>
      <c r="CB279" s="407"/>
      <c r="CC279" s="407"/>
      <c r="CD279" s="407"/>
      <c r="CE279" s="407"/>
      <c r="CF279" s="407"/>
    </row>
    <row r="280" spans="1:84">
      <c r="A280" s="407"/>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c r="AA280" s="407"/>
      <c r="AB280" s="407"/>
      <c r="AC280" s="407"/>
      <c r="AD280" s="407"/>
      <c r="AE280" s="407"/>
      <c r="AF280" s="407"/>
      <c r="AG280" s="407"/>
      <c r="AH280" s="407"/>
      <c r="AI280" s="407"/>
      <c r="AJ280" s="407"/>
      <c r="AK280" s="407"/>
      <c r="AL280" s="407"/>
      <c r="AM280" s="407"/>
      <c r="AN280" s="407"/>
      <c r="AO280" s="407"/>
      <c r="AP280" s="407"/>
      <c r="AQ280" s="407"/>
      <c r="AR280" s="407"/>
      <c r="AS280" s="407"/>
      <c r="AT280" s="407"/>
      <c r="AU280" s="407"/>
      <c r="AV280" s="407"/>
      <c r="AW280" s="407"/>
      <c r="AX280" s="407"/>
      <c r="AY280" s="407"/>
      <c r="AZ280" s="407"/>
      <c r="BA280" s="407"/>
      <c r="BB280" s="407"/>
      <c r="BC280" s="407"/>
      <c r="BD280" s="407"/>
      <c r="BE280" s="407"/>
      <c r="BF280" s="407"/>
      <c r="BG280" s="407"/>
      <c r="BH280" s="407"/>
      <c r="BI280" s="407"/>
      <c r="BJ280" s="407"/>
      <c r="BK280" s="407"/>
      <c r="BL280" s="407"/>
      <c r="BM280" s="407"/>
      <c r="BN280" s="407"/>
      <c r="BO280" s="407"/>
      <c r="BP280" s="407"/>
      <c r="BQ280" s="407"/>
      <c r="BR280" s="407"/>
      <c r="BS280" s="407"/>
      <c r="BT280" s="407"/>
      <c r="BU280" s="407"/>
      <c r="BV280" s="407"/>
      <c r="BW280" s="407"/>
      <c r="BX280" s="407"/>
      <c r="BY280" s="407"/>
      <c r="BZ280" s="407"/>
      <c r="CA280" s="407"/>
      <c r="CB280" s="407"/>
      <c r="CC280" s="407"/>
      <c r="CD280" s="407"/>
      <c r="CE280" s="407"/>
      <c r="CF280" s="407"/>
    </row>
    <row r="281" spans="1:84">
      <c r="A281" s="407"/>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c r="AA281" s="407"/>
      <c r="AB281" s="407"/>
      <c r="AC281" s="407"/>
      <c r="AD281" s="407"/>
      <c r="AE281" s="407"/>
      <c r="AF281" s="407"/>
      <c r="AG281" s="407"/>
      <c r="AH281" s="407"/>
      <c r="AI281" s="407"/>
      <c r="AJ281" s="407"/>
      <c r="AK281" s="407"/>
      <c r="AL281" s="407"/>
      <c r="AM281" s="407"/>
      <c r="AN281" s="407"/>
      <c r="AO281" s="407"/>
      <c r="AP281" s="407"/>
      <c r="AQ281" s="407"/>
      <c r="AR281" s="407"/>
      <c r="AS281" s="407"/>
      <c r="AT281" s="407"/>
      <c r="AU281" s="407"/>
      <c r="AV281" s="407"/>
      <c r="AW281" s="407"/>
      <c r="AX281" s="407"/>
      <c r="AY281" s="407"/>
      <c r="AZ281" s="407"/>
      <c r="BA281" s="407"/>
      <c r="BB281" s="407"/>
      <c r="BC281" s="407"/>
      <c r="BD281" s="407"/>
      <c r="BE281" s="407"/>
      <c r="BF281" s="407"/>
      <c r="BG281" s="407"/>
      <c r="BH281" s="407"/>
      <c r="BI281" s="407"/>
      <c r="BJ281" s="407"/>
      <c r="BK281" s="407"/>
      <c r="BL281" s="407"/>
      <c r="BM281" s="407"/>
      <c r="BN281" s="407"/>
      <c r="BO281" s="407"/>
      <c r="BP281" s="407"/>
      <c r="BQ281" s="407"/>
      <c r="BR281" s="407"/>
      <c r="BS281" s="407"/>
      <c r="BT281" s="407"/>
      <c r="BU281" s="407"/>
      <c r="BV281" s="407"/>
      <c r="BW281" s="407"/>
      <c r="BX281" s="407"/>
      <c r="BY281" s="407"/>
      <c r="BZ281" s="407"/>
      <c r="CA281" s="407"/>
      <c r="CB281" s="407"/>
      <c r="CC281" s="407"/>
      <c r="CD281" s="407"/>
      <c r="CE281" s="407"/>
      <c r="CF281" s="407"/>
    </row>
    <row r="282" spans="1:84">
      <c r="A282" s="407"/>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c r="AA282" s="407"/>
      <c r="AB282" s="407"/>
      <c r="AC282" s="407"/>
      <c r="AD282" s="407"/>
      <c r="AE282" s="407"/>
      <c r="AF282" s="407"/>
      <c r="AG282" s="407"/>
      <c r="AH282" s="407"/>
      <c r="AI282" s="407"/>
      <c r="AJ282" s="407"/>
      <c r="AK282" s="407"/>
      <c r="AL282" s="407"/>
      <c r="AM282" s="407"/>
      <c r="AN282" s="407"/>
      <c r="AO282" s="407"/>
      <c r="AP282" s="407"/>
      <c r="AQ282" s="407"/>
      <c r="AR282" s="407"/>
      <c r="AS282" s="407"/>
      <c r="AT282" s="407"/>
      <c r="AU282" s="407"/>
      <c r="AV282" s="407"/>
      <c r="AW282" s="407"/>
      <c r="AX282" s="407"/>
      <c r="AY282" s="407"/>
      <c r="AZ282" s="407"/>
      <c r="BA282" s="407"/>
      <c r="BB282" s="407"/>
      <c r="BC282" s="407"/>
      <c r="BD282" s="407"/>
      <c r="BE282" s="407"/>
      <c r="BF282" s="407"/>
      <c r="BG282" s="407"/>
      <c r="BH282" s="407"/>
      <c r="BI282" s="407"/>
      <c r="BJ282" s="407"/>
      <c r="BK282" s="407"/>
      <c r="BL282" s="407"/>
      <c r="BM282" s="407"/>
      <c r="BN282" s="407"/>
      <c r="BO282" s="407"/>
      <c r="BP282" s="407"/>
      <c r="BQ282" s="407"/>
      <c r="BR282" s="407"/>
      <c r="BS282" s="407"/>
      <c r="BT282" s="407"/>
      <c r="BU282" s="407"/>
      <c r="BV282" s="407"/>
      <c r="BW282" s="407"/>
      <c r="BX282" s="407"/>
      <c r="BY282" s="407"/>
      <c r="BZ282" s="407"/>
      <c r="CA282" s="407"/>
      <c r="CB282" s="407"/>
      <c r="CC282" s="407"/>
      <c r="CD282" s="407"/>
      <c r="CE282" s="407"/>
      <c r="CF282" s="407"/>
    </row>
    <row r="283" spans="1:84">
      <c r="A283" s="407"/>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c r="AA283" s="407"/>
      <c r="AB283" s="407"/>
      <c r="AC283" s="407"/>
      <c r="AD283" s="407"/>
      <c r="AE283" s="407"/>
      <c r="AF283" s="407"/>
      <c r="AG283" s="407"/>
      <c r="AH283" s="407"/>
      <c r="AI283" s="407"/>
      <c r="AJ283" s="407"/>
      <c r="AK283" s="407"/>
      <c r="AL283" s="407"/>
      <c r="AM283" s="407"/>
      <c r="AN283" s="407"/>
      <c r="AO283" s="407"/>
      <c r="AP283" s="407"/>
      <c r="AQ283" s="407"/>
      <c r="AR283" s="407"/>
      <c r="AS283" s="407"/>
      <c r="AT283" s="407"/>
      <c r="AU283" s="407"/>
      <c r="AV283" s="407"/>
      <c r="AW283" s="407"/>
      <c r="AX283" s="407"/>
      <c r="AY283" s="407"/>
      <c r="AZ283" s="407"/>
      <c r="BA283" s="407"/>
      <c r="BB283" s="407"/>
      <c r="BC283" s="407"/>
      <c r="BD283" s="407"/>
      <c r="BE283" s="407"/>
      <c r="BF283" s="407"/>
      <c r="BG283" s="407"/>
      <c r="BH283" s="407"/>
      <c r="BI283" s="407"/>
      <c r="BJ283" s="407"/>
      <c r="BK283" s="407"/>
      <c r="BL283" s="407"/>
      <c r="BM283" s="407"/>
      <c r="BN283" s="407"/>
      <c r="BO283" s="407"/>
      <c r="BP283" s="407"/>
      <c r="BQ283" s="407"/>
      <c r="BR283" s="407"/>
      <c r="BS283" s="407"/>
      <c r="BT283" s="407"/>
      <c r="BU283" s="407"/>
      <c r="BV283" s="407"/>
      <c r="BW283" s="407"/>
      <c r="BX283" s="407"/>
      <c r="BY283" s="407"/>
      <c r="BZ283" s="407"/>
      <c r="CA283" s="407"/>
      <c r="CB283" s="407"/>
      <c r="CC283" s="407"/>
      <c r="CD283" s="407"/>
      <c r="CE283" s="407"/>
      <c r="CF283" s="407"/>
    </row>
    <row r="284" spans="1:84">
      <c r="A284" s="407"/>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c r="AA284" s="407"/>
      <c r="AB284" s="407"/>
      <c r="AC284" s="407"/>
      <c r="AD284" s="407"/>
      <c r="AE284" s="407"/>
      <c r="AF284" s="407"/>
      <c r="AG284" s="407"/>
      <c r="AH284" s="407"/>
      <c r="AI284" s="407"/>
      <c r="AJ284" s="407"/>
      <c r="AK284" s="407"/>
      <c r="AL284" s="407"/>
      <c r="AM284" s="407"/>
      <c r="AN284" s="407"/>
      <c r="AO284" s="407"/>
      <c r="AP284" s="407"/>
      <c r="AQ284" s="407"/>
      <c r="AR284" s="407"/>
      <c r="AS284" s="407"/>
      <c r="AT284" s="407"/>
      <c r="AU284" s="407"/>
      <c r="AV284" s="407"/>
      <c r="AW284" s="407"/>
      <c r="AX284" s="407"/>
      <c r="AY284" s="407"/>
      <c r="AZ284" s="407"/>
      <c r="BA284" s="407"/>
      <c r="BB284" s="407"/>
      <c r="BC284" s="407"/>
      <c r="BD284" s="407"/>
      <c r="BE284" s="407"/>
      <c r="BF284" s="407"/>
      <c r="BG284" s="407"/>
      <c r="BH284" s="407"/>
      <c r="BI284" s="407"/>
      <c r="BJ284" s="407"/>
      <c r="BK284" s="407"/>
      <c r="BL284" s="407"/>
      <c r="BM284" s="407"/>
      <c r="BN284" s="407"/>
      <c r="BO284" s="407"/>
      <c r="BP284" s="407"/>
      <c r="BQ284" s="407"/>
      <c r="BR284" s="407"/>
      <c r="BS284" s="407"/>
      <c r="BT284" s="407"/>
      <c r="BU284" s="407"/>
      <c r="BV284" s="407"/>
      <c r="BW284" s="407"/>
      <c r="BX284" s="407"/>
      <c r="BY284" s="407"/>
      <c r="BZ284" s="407"/>
      <c r="CA284" s="407"/>
      <c r="CB284" s="407"/>
      <c r="CC284" s="407"/>
      <c r="CD284" s="407"/>
      <c r="CE284" s="407"/>
      <c r="CF284" s="407"/>
    </row>
    <row r="285" spans="1:84">
      <c r="A285" s="407"/>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c r="AA285" s="407"/>
      <c r="AB285" s="407"/>
      <c r="AC285" s="407"/>
      <c r="AD285" s="407"/>
      <c r="AE285" s="407"/>
      <c r="AF285" s="407"/>
      <c r="AG285" s="407"/>
      <c r="AH285" s="407"/>
      <c r="AI285" s="407"/>
      <c r="AJ285" s="407"/>
      <c r="AK285" s="407"/>
      <c r="AL285" s="407"/>
      <c r="AM285" s="407"/>
      <c r="AN285" s="407"/>
      <c r="AO285" s="407"/>
      <c r="AP285" s="407"/>
      <c r="AQ285" s="407"/>
      <c r="AR285" s="407"/>
      <c r="AS285" s="407"/>
      <c r="AT285" s="407"/>
      <c r="AU285" s="407"/>
      <c r="AV285" s="407"/>
      <c r="AW285" s="407"/>
      <c r="AX285" s="407"/>
      <c r="AY285" s="407"/>
      <c r="AZ285" s="407"/>
      <c r="BA285" s="407"/>
      <c r="BB285" s="407"/>
      <c r="BC285" s="407"/>
      <c r="BD285" s="407"/>
      <c r="BE285" s="407"/>
      <c r="BF285" s="407"/>
      <c r="BG285" s="407"/>
      <c r="BH285" s="407"/>
      <c r="BI285" s="407"/>
      <c r="BJ285" s="407"/>
      <c r="BK285" s="407"/>
      <c r="BL285" s="407"/>
      <c r="BM285" s="407"/>
      <c r="BN285" s="407"/>
      <c r="BO285" s="407"/>
      <c r="BP285" s="407"/>
      <c r="BQ285" s="407"/>
      <c r="BR285" s="407"/>
      <c r="BS285" s="407"/>
      <c r="BT285" s="407"/>
      <c r="BU285" s="407"/>
      <c r="BV285" s="407"/>
      <c r="BW285" s="407"/>
      <c r="BX285" s="407"/>
      <c r="BY285" s="407"/>
      <c r="BZ285" s="407"/>
      <c r="CA285" s="407"/>
      <c r="CB285" s="407"/>
      <c r="CC285" s="407"/>
      <c r="CD285" s="407"/>
      <c r="CE285" s="407"/>
      <c r="CF285" s="407"/>
    </row>
    <row r="286" spans="1:84">
      <c r="A286" s="407"/>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407"/>
      <c r="AE286" s="407"/>
      <c r="AF286" s="407"/>
      <c r="AG286" s="407"/>
      <c r="AH286" s="407"/>
      <c r="AI286" s="407"/>
      <c r="AJ286" s="407"/>
      <c r="AK286" s="407"/>
      <c r="AL286" s="407"/>
      <c r="AM286" s="407"/>
      <c r="AN286" s="407"/>
      <c r="AO286" s="407"/>
      <c r="AP286" s="407"/>
      <c r="AQ286" s="407"/>
      <c r="AR286" s="407"/>
      <c r="AS286" s="407"/>
      <c r="AT286" s="407"/>
      <c r="AU286" s="407"/>
      <c r="AV286" s="407"/>
      <c r="AW286" s="407"/>
      <c r="AX286" s="407"/>
      <c r="AY286" s="407"/>
      <c r="AZ286" s="407"/>
      <c r="BA286" s="407"/>
      <c r="BB286" s="407"/>
      <c r="BC286" s="407"/>
      <c r="BD286" s="407"/>
      <c r="BE286" s="407"/>
      <c r="BF286" s="407"/>
      <c r="BG286" s="407"/>
      <c r="BH286" s="407"/>
      <c r="BI286" s="407"/>
      <c r="BJ286" s="407"/>
      <c r="BK286" s="407"/>
      <c r="BL286" s="407"/>
      <c r="BM286" s="407"/>
      <c r="BN286" s="407"/>
      <c r="BO286" s="407"/>
      <c r="BP286" s="407"/>
      <c r="BQ286" s="407"/>
      <c r="BR286" s="407"/>
      <c r="BS286" s="407"/>
      <c r="BT286" s="407"/>
      <c r="BU286" s="407"/>
      <c r="BV286" s="407"/>
      <c r="BW286" s="407"/>
      <c r="BX286" s="407"/>
      <c r="BY286" s="407"/>
      <c r="BZ286" s="407"/>
      <c r="CA286" s="407"/>
      <c r="CB286" s="407"/>
      <c r="CC286" s="407"/>
      <c r="CD286" s="407"/>
      <c r="CE286" s="407"/>
      <c r="CF286" s="407"/>
    </row>
    <row r="287" spans="1:84">
      <c r="A287" s="407"/>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c r="AA287" s="407"/>
      <c r="AB287" s="407"/>
      <c r="AC287" s="407"/>
      <c r="AD287" s="407"/>
      <c r="AE287" s="407"/>
      <c r="AF287" s="407"/>
      <c r="AG287" s="407"/>
      <c r="AH287" s="407"/>
      <c r="AI287" s="407"/>
      <c r="AJ287" s="407"/>
      <c r="AK287" s="407"/>
      <c r="AL287" s="407"/>
      <c r="AM287" s="407"/>
      <c r="AN287" s="407"/>
      <c r="AO287" s="407"/>
      <c r="AP287" s="407"/>
      <c r="AQ287" s="407"/>
      <c r="AR287" s="407"/>
      <c r="AS287" s="407"/>
      <c r="AT287" s="407"/>
      <c r="AU287" s="407"/>
      <c r="AV287" s="407"/>
      <c r="AW287" s="407"/>
      <c r="AX287" s="407"/>
      <c r="AY287" s="407"/>
      <c r="AZ287" s="407"/>
      <c r="BA287" s="407"/>
      <c r="BB287" s="407"/>
      <c r="BC287" s="407"/>
      <c r="BD287" s="407"/>
      <c r="BE287" s="407"/>
      <c r="BF287" s="407"/>
      <c r="BG287" s="407"/>
      <c r="BH287" s="407"/>
      <c r="BI287" s="407"/>
      <c r="BJ287" s="407"/>
      <c r="BK287" s="407"/>
      <c r="BL287" s="407"/>
      <c r="BM287" s="407"/>
      <c r="BN287" s="407"/>
      <c r="BO287" s="407"/>
      <c r="BP287" s="407"/>
      <c r="BQ287" s="407"/>
      <c r="BR287" s="407"/>
      <c r="BS287" s="407"/>
      <c r="BT287" s="407"/>
      <c r="BU287" s="407"/>
      <c r="BV287" s="407"/>
      <c r="BW287" s="407"/>
      <c r="BX287" s="407"/>
      <c r="BY287" s="407"/>
      <c r="BZ287" s="407"/>
      <c r="CA287" s="407"/>
      <c r="CB287" s="407"/>
      <c r="CC287" s="407"/>
      <c r="CD287" s="407"/>
      <c r="CE287" s="407"/>
      <c r="CF287" s="407"/>
    </row>
    <row r="288" spans="1:84">
      <c r="A288" s="407"/>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c r="AA288" s="407"/>
      <c r="AB288" s="407"/>
      <c r="AC288" s="407"/>
      <c r="AD288" s="407"/>
      <c r="AE288" s="407"/>
      <c r="AF288" s="407"/>
      <c r="AG288" s="407"/>
      <c r="AH288" s="407"/>
      <c r="AI288" s="407"/>
      <c r="AJ288" s="407"/>
      <c r="AK288" s="407"/>
      <c r="AL288" s="407"/>
      <c r="AM288" s="407"/>
      <c r="AN288" s="407"/>
      <c r="AO288" s="407"/>
      <c r="AP288" s="407"/>
      <c r="AQ288" s="407"/>
      <c r="AR288" s="407"/>
      <c r="AS288" s="407"/>
      <c r="AT288" s="407"/>
      <c r="AU288" s="407"/>
      <c r="AV288" s="407"/>
      <c r="AW288" s="407"/>
      <c r="AX288" s="407"/>
      <c r="AY288" s="407"/>
      <c r="AZ288" s="407"/>
      <c r="BA288" s="407"/>
      <c r="BB288" s="407"/>
      <c r="BC288" s="407"/>
      <c r="BD288" s="407"/>
      <c r="BE288" s="407"/>
      <c r="BF288" s="407"/>
      <c r="BG288" s="407"/>
      <c r="BH288" s="407"/>
      <c r="BI288" s="407"/>
      <c r="BJ288" s="407"/>
      <c r="BK288" s="407"/>
      <c r="BL288" s="407"/>
      <c r="BM288" s="407"/>
      <c r="BN288" s="407"/>
      <c r="BO288" s="407"/>
      <c r="BP288" s="407"/>
      <c r="BQ288" s="407"/>
      <c r="BR288" s="407"/>
      <c r="BS288" s="407"/>
      <c r="BT288" s="407"/>
      <c r="BU288" s="407"/>
      <c r="BV288" s="407"/>
      <c r="BW288" s="407"/>
      <c r="BX288" s="407"/>
      <c r="BY288" s="407"/>
      <c r="BZ288" s="407"/>
      <c r="CA288" s="407"/>
      <c r="CB288" s="407"/>
      <c r="CC288" s="407"/>
      <c r="CD288" s="407"/>
      <c r="CE288" s="407"/>
      <c r="CF288" s="407"/>
    </row>
    <row r="289" spans="1:84">
      <c r="A289" s="407"/>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c r="AA289" s="407"/>
      <c r="AB289" s="407"/>
      <c r="AC289" s="407"/>
      <c r="AD289" s="407"/>
      <c r="AE289" s="407"/>
      <c r="AF289" s="407"/>
      <c r="AG289" s="407"/>
      <c r="AH289" s="407"/>
      <c r="AI289" s="407"/>
      <c r="AJ289" s="407"/>
      <c r="AK289" s="407"/>
      <c r="AL289" s="407"/>
      <c r="AM289" s="407"/>
      <c r="AN289" s="407"/>
      <c r="AO289" s="407"/>
      <c r="AP289" s="407"/>
      <c r="AQ289" s="407"/>
      <c r="AR289" s="407"/>
      <c r="AS289" s="407"/>
      <c r="AT289" s="407"/>
      <c r="AU289" s="407"/>
      <c r="AV289" s="407"/>
      <c r="AW289" s="407"/>
      <c r="AX289" s="407"/>
      <c r="AY289" s="407"/>
      <c r="AZ289" s="407"/>
      <c r="BA289" s="407"/>
      <c r="BB289" s="407"/>
      <c r="BC289" s="407"/>
      <c r="BD289" s="407"/>
      <c r="BE289" s="407"/>
      <c r="BF289" s="407"/>
      <c r="BG289" s="407"/>
      <c r="BH289" s="407"/>
      <c r="BI289" s="407"/>
      <c r="BJ289" s="407"/>
      <c r="BK289" s="407"/>
      <c r="BL289" s="407"/>
      <c r="BM289" s="407"/>
      <c r="BN289" s="407"/>
      <c r="BO289" s="407"/>
      <c r="BP289" s="407"/>
      <c r="BQ289" s="407"/>
      <c r="BR289" s="407"/>
      <c r="BS289" s="407"/>
      <c r="BT289" s="407"/>
      <c r="BU289" s="407"/>
      <c r="BV289" s="407"/>
      <c r="BW289" s="407"/>
      <c r="BX289" s="407"/>
      <c r="BY289" s="407"/>
      <c r="BZ289" s="407"/>
      <c r="CA289" s="407"/>
      <c r="CB289" s="407"/>
      <c r="CC289" s="407"/>
      <c r="CD289" s="407"/>
      <c r="CE289" s="407"/>
      <c r="CF289" s="407"/>
    </row>
    <row r="290" spans="1:84">
      <c r="A290" s="407"/>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c r="AA290" s="407"/>
      <c r="AB290" s="407"/>
      <c r="AC290" s="407"/>
      <c r="AD290" s="407"/>
      <c r="AE290" s="407"/>
      <c r="AF290" s="407"/>
      <c r="AG290" s="407"/>
      <c r="AH290" s="407"/>
      <c r="AI290" s="407"/>
      <c r="AJ290" s="407"/>
      <c r="AK290" s="407"/>
      <c r="AL290" s="407"/>
      <c r="AM290" s="407"/>
      <c r="AN290" s="407"/>
      <c r="AO290" s="407"/>
      <c r="AP290" s="407"/>
      <c r="AQ290" s="407"/>
      <c r="AR290" s="407"/>
      <c r="AS290" s="407"/>
      <c r="AT290" s="407"/>
      <c r="AU290" s="407"/>
      <c r="AV290" s="407"/>
      <c r="AW290" s="407"/>
      <c r="AX290" s="407"/>
      <c r="AY290" s="407"/>
      <c r="AZ290" s="407"/>
      <c r="BA290" s="407"/>
      <c r="BB290" s="407"/>
      <c r="BC290" s="407"/>
      <c r="BD290" s="407"/>
      <c r="BE290" s="407"/>
      <c r="BF290" s="407"/>
      <c r="BG290" s="407"/>
      <c r="BH290" s="407"/>
      <c r="BI290" s="407"/>
      <c r="BJ290" s="407"/>
      <c r="BK290" s="407"/>
      <c r="BL290" s="407"/>
      <c r="BM290" s="407"/>
      <c r="BN290" s="407"/>
      <c r="BO290" s="407"/>
      <c r="BP290" s="407"/>
      <c r="BQ290" s="407"/>
      <c r="BR290" s="407"/>
      <c r="BS290" s="407"/>
      <c r="BT290" s="407"/>
      <c r="BU290" s="407"/>
      <c r="BV290" s="407"/>
      <c r="BW290" s="407"/>
      <c r="BX290" s="407"/>
      <c r="BY290" s="407"/>
      <c r="BZ290" s="407"/>
      <c r="CA290" s="407"/>
      <c r="CB290" s="407"/>
      <c r="CC290" s="407"/>
      <c r="CD290" s="407"/>
      <c r="CE290" s="407"/>
      <c r="CF290" s="407"/>
    </row>
    <row r="291" spans="1:84">
      <c r="A291" s="407"/>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c r="AA291" s="407"/>
      <c r="AB291" s="407"/>
      <c r="AC291" s="407"/>
      <c r="AD291" s="407"/>
      <c r="AE291" s="407"/>
      <c r="AF291" s="407"/>
      <c r="AG291" s="407"/>
      <c r="AH291" s="407"/>
      <c r="AI291" s="407"/>
      <c r="AJ291" s="407"/>
      <c r="AK291" s="407"/>
      <c r="AL291" s="407"/>
      <c r="AM291" s="407"/>
      <c r="AN291" s="407"/>
      <c r="AO291" s="407"/>
      <c r="AP291" s="407"/>
      <c r="AQ291" s="407"/>
      <c r="AR291" s="407"/>
      <c r="AS291" s="407"/>
      <c r="AT291" s="407"/>
      <c r="AU291" s="407"/>
      <c r="AV291" s="407"/>
      <c r="AW291" s="407"/>
      <c r="AX291" s="407"/>
      <c r="AY291" s="407"/>
      <c r="AZ291" s="407"/>
      <c r="BA291" s="407"/>
      <c r="BB291" s="407"/>
      <c r="BC291" s="407"/>
      <c r="BD291" s="407"/>
      <c r="BE291" s="407"/>
      <c r="BF291" s="407"/>
      <c r="BG291" s="407"/>
      <c r="BH291" s="407"/>
      <c r="BI291" s="407"/>
      <c r="BJ291" s="407"/>
      <c r="BK291" s="407"/>
      <c r="BL291" s="407"/>
      <c r="BM291" s="407"/>
      <c r="BN291" s="407"/>
      <c r="BO291" s="407"/>
      <c r="BP291" s="407"/>
      <c r="BQ291" s="407"/>
      <c r="BR291" s="407"/>
      <c r="BS291" s="407"/>
      <c r="BT291" s="407"/>
      <c r="BU291" s="407"/>
      <c r="BV291" s="407"/>
      <c r="BW291" s="407"/>
      <c r="BX291" s="407"/>
      <c r="BY291" s="407"/>
      <c r="BZ291" s="407"/>
      <c r="CA291" s="407"/>
      <c r="CB291" s="407"/>
      <c r="CC291" s="407"/>
      <c r="CD291" s="407"/>
      <c r="CE291" s="407"/>
      <c r="CF291" s="407"/>
    </row>
    <row r="292" spans="1:84">
      <c r="A292" s="407"/>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c r="AA292" s="407"/>
      <c r="AB292" s="407"/>
      <c r="AC292" s="407"/>
      <c r="AD292" s="407"/>
      <c r="AE292" s="407"/>
      <c r="AF292" s="407"/>
      <c r="AG292" s="407"/>
      <c r="AH292" s="407"/>
      <c r="AI292" s="407"/>
      <c r="AJ292" s="407"/>
      <c r="AK292" s="407"/>
      <c r="AL292" s="407"/>
      <c r="AM292" s="407"/>
      <c r="AN292" s="407"/>
      <c r="AO292" s="407"/>
      <c r="AP292" s="407"/>
      <c r="AQ292" s="407"/>
      <c r="AR292" s="407"/>
      <c r="AS292" s="407"/>
      <c r="AT292" s="407"/>
      <c r="AU292" s="407"/>
      <c r="AV292" s="407"/>
      <c r="AW292" s="407"/>
      <c r="AX292" s="407"/>
      <c r="AY292" s="407"/>
      <c r="AZ292" s="407"/>
      <c r="BA292" s="407"/>
      <c r="BB292" s="407"/>
      <c r="BC292" s="407"/>
      <c r="BD292" s="407"/>
      <c r="BE292" s="407"/>
      <c r="BF292" s="407"/>
      <c r="BG292" s="407"/>
      <c r="BH292" s="407"/>
      <c r="BI292" s="407"/>
      <c r="BJ292" s="407"/>
      <c r="BK292" s="407"/>
      <c r="BL292" s="407"/>
      <c r="BM292" s="407"/>
      <c r="BN292" s="407"/>
      <c r="BO292" s="407"/>
      <c r="BP292" s="407"/>
      <c r="BQ292" s="407"/>
      <c r="BR292" s="407"/>
      <c r="BS292" s="407"/>
      <c r="BT292" s="407"/>
      <c r="BU292" s="407"/>
      <c r="BV292" s="407"/>
      <c r="BW292" s="407"/>
      <c r="BX292" s="407"/>
      <c r="BY292" s="407"/>
      <c r="BZ292" s="407"/>
      <c r="CA292" s="407"/>
      <c r="CB292" s="407"/>
      <c r="CC292" s="407"/>
      <c r="CD292" s="407"/>
      <c r="CE292" s="407"/>
      <c r="CF292" s="407"/>
    </row>
    <row r="293" spans="1:84">
      <c r="A293" s="407"/>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c r="AA293" s="407"/>
      <c r="AB293" s="407"/>
      <c r="AC293" s="407"/>
      <c r="AD293" s="407"/>
      <c r="AE293" s="407"/>
      <c r="AF293" s="407"/>
      <c r="AG293" s="407"/>
      <c r="AH293" s="407"/>
      <c r="AI293" s="407"/>
      <c r="AJ293" s="407"/>
      <c r="AK293" s="407"/>
      <c r="AL293" s="407"/>
      <c r="AM293" s="407"/>
      <c r="AN293" s="407"/>
      <c r="AO293" s="407"/>
      <c r="AP293" s="407"/>
      <c r="AQ293" s="407"/>
      <c r="AR293" s="407"/>
      <c r="AS293" s="407"/>
      <c r="AT293" s="407"/>
      <c r="AU293" s="407"/>
      <c r="AV293" s="407"/>
      <c r="AW293" s="407"/>
      <c r="AX293" s="407"/>
      <c r="AY293" s="407"/>
      <c r="AZ293" s="407"/>
      <c r="BA293" s="407"/>
      <c r="BB293" s="407"/>
      <c r="BC293" s="407"/>
      <c r="BD293" s="407"/>
      <c r="BE293" s="407"/>
      <c r="BF293" s="407"/>
      <c r="BG293" s="407"/>
      <c r="BH293" s="407"/>
      <c r="BI293" s="407"/>
      <c r="BJ293" s="407"/>
      <c r="BK293" s="407"/>
      <c r="BL293" s="407"/>
      <c r="BM293" s="407"/>
      <c r="BN293" s="407"/>
      <c r="BO293" s="407"/>
      <c r="BP293" s="407"/>
      <c r="BQ293" s="407"/>
      <c r="BR293" s="407"/>
      <c r="BS293" s="407"/>
      <c r="BT293" s="407"/>
      <c r="BU293" s="407"/>
      <c r="BV293" s="407"/>
      <c r="BW293" s="407"/>
      <c r="BX293" s="407"/>
      <c r="BY293" s="407"/>
      <c r="BZ293" s="407"/>
      <c r="CA293" s="407"/>
      <c r="CB293" s="407"/>
      <c r="CC293" s="407"/>
      <c r="CD293" s="407"/>
      <c r="CE293" s="407"/>
      <c r="CF293" s="407"/>
    </row>
    <row r="294" spans="1:84">
      <c r="A294" s="407"/>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407"/>
      <c r="AE294" s="407"/>
      <c r="AF294" s="407"/>
      <c r="AG294" s="407"/>
      <c r="AH294" s="407"/>
      <c r="AI294" s="407"/>
      <c r="AJ294" s="407"/>
      <c r="AK294" s="407"/>
      <c r="AL294" s="407"/>
      <c r="AM294" s="407"/>
      <c r="AN294" s="407"/>
      <c r="AO294" s="407"/>
      <c r="AP294" s="407"/>
      <c r="AQ294" s="407"/>
      <c r="AR294" s="407"/>
      <c r="AS294" s="407"/>
      <c r="AT294" s="407"/>
      <c r="AU294" s="407"/>
      <c r="AV294" s="407"/>
      <c r="AW294" s="407"/>
      <c r="AX294" s="407"/>
      <c r="AY294" s="407"/>
      <c r="AZ294" s="407"/>
      <c r="BA294" s="407"/>
      <c r="BB294" s="407"/>
      <c r="BC294" s="407"/>
      <c r="BD294" s="407"/>
      <c r="BE294" s="407"/>
      <c r="BF294" s="407"/>
      <c r="BG294" s="407"/>
      <c r="BH294" s="407"/>
      <c r="BI294" s="407"/>
      <c r="BJ294" s="407"/>
      <c r="BK294" s="407"/>
      <c r="BL294" s="407"/>
      <c r="BM294" s="407"/>
      <c r="BN294" s="407"/>
      <c r="BO294" s="407"/>
      <c r="BP294" s="407"/>
      <c r="BQ294" s="407"/>
      <c r="BR294" s="407"/>
      <c r="BS294" s="407"/>
      <c r="BT294" s="407"/>
      <c r="BU294" s="407"/>
      <c r="BV294" s="407"/>
      <c r="BW294" s="407"/>
      <c r="BX294" s="407"/>
      <c r="BY294" s="407"/>
      <c r="BZ294" s="407"/>
      <c r="CA294" s="407"/>
      <c r="CB294" s="407"/>
      <c r="CC294" s="407"/>
      <c r="CD294" s="407"/>
      <c r="CE294" s="407"/>
      <c r="CF294" s="407"/>
    </row>
    <row r="295" spans="1:84">
      <c r="A295" s="407"/>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407"/>
      <c r="AE295" s="407"/>
      <c r="AF295" s="407"/>
      <c r="AG295" s="407"/>
      <c r="AH295" s="407"/>
      <c r="AI295" s="407"/>
      <c r="AJ295" s="407"/>
      <c r="AK295" s="407"/>
      <c r="AL295" s="407"/>
      <c r="AM295" s="407"/>
      <c r="AN295" s="407"/>
      <c r="AO295" s="407"/>
      <c r="AP295" s="407"/>
      <c r="AQ295" s="407"/>
      <c r="AR295" s="407"/>
      <c r="AS295" s="407"/>
      <c r="AT295" s="407"/>
      <c r="AU295" s="407"/>
      <c r="AV295" s="407"/>
      <c r="AW295" s="407"/>
      <c r="AX295" s="407"/>
      <c r="AY295" s="407"/>
      <c r="AZ295" s="407"/>
      <c r="BA295" s="407"/>
      <c r="BB295" s="407"/>
      <c r="BC295" s="407"/>
      <c r="BD295" s="407"/>
      <c r="BE295" s="407"/>
      <c r="BF295" s="407"/>
      <c r="BG295" s="407"/>
      <c r="BH295" s="407"/>
      <c r="BI295" s="407"/>
      <c r="BJ295" s="407"/>
      <c r="BK295" s="407"/>
      <c r="BL295" s="407"/>
      <c r="BM295" s="407"/>
      <c r="BN295" s="407"/>
      <c r="BO295" s="407"/>
      <c r="BP295" s="407"/>
      <c r="BQ295" s="407"/>
      <c r="BR295" s="407"/>
      <c r="BS295" s="407"/>
      <c r="BT295" s="407"/>
      <c r="BU295" s="407"/>
      <c r="BV295" s="407"/>
      <c r="BW295" s="407"/>
      <c r="BX295" s="407"/>
      <c r="BY295" s="407"/>
      <c r="BZ295" s="407"/>
      <c r="CA295" s="407"/>
      <c r="CB295" s="407"/>
      <c r="CC295" s="407"/>
      <c r="CD295" s="407"/>
      <c r="CE295" s="407"/>
      <c r="CF295" s="407"/>
    </row>
    <row r="296" spans="1:84">
      <c r="A296" s="407"/>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c r="AA296" s="407"/>
      <c r="AB296" s="407"/>
      <c r="AC296" s="407"/>
      <c r="AD296" s="407"/>
      <c r="AE296" s="407"/>
      <c r="AF296" s="407"/>
      <c r="AG296" s="407"/>
      <c r="AH296" s="407"/>
      <c r="AI296" s="407"/>
      <c r="AJ296" s="407"/>
      <c r="AK296" s="407"/>
      <c r="AL296" s="407"/>
      <c r="AM296" s="407"/>
      <c r="AN296" s="407"/>
      <c r="AO296" s="407"/>
      <c r="AP296" s="407"/>
      <c r="AQ296" s="407"/>
      <c r="AR296" s="407"/>
      <c r="AS296" s="407"/>
      <c r="AT296" s="407"/>
      <c r="AU296" s="407"/>
      <c r="AV296" s="407"/>
      <c r="AW296" s="407"/>
      <c r="AX296" s="407"/>
      <c r="AY296" s="407"/>
      <c r="AZ296" s="407"/>
      <c r="BA296" s="407"/>
      <c r="BB296" s="407"/>
      <c r="BC296" s="407"/>
      <c r="BD296" s="407"/>
      <c r="BE296" s="407"/>
      <c r="BF296" s="407"/>
      <c r="BG296" s="407"/>
      <c r="BH296" s="407"/>
      <c r="BI296" s="407"/>
      <c r="BJ296" s="407"/>
      <c r="BK296" s="407"/>
      <c r="BL296" s="407"/>
      <c r="BM296" s="407"/>
      <c r="BN296" s="407"/>
      <c r="BO296" s="407"/>
      <c r="BP296" s="407"/>
      <c r="BQ296" s="407"/>
      <c r="BR296" s="407"/>
      <c r="BS296" s="407"/>
      <c r="BT296" s="407"/>
      <c r="BU296" s="407"/>
      <c r="BV296" s="407"/>
      <c r="BW296" s="407"/>
      <c r="BX296" s="407"/>
      <c r="BY296" s="407"/>
      <c r="BZ296" s="407"/>
      <c r="CA296" s="407"/>
      <c r="CB296" s="407"/>
      <c r="CC296" s="407"/>
      <c r="CD296" s="407"/>
      <c r="CE296" s="407"/>
      <c r="CF296" s="407"/>
    </row>
    <row r="297" spans="1:84">
      <c r="A297" s="407"/>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c r="AA297" s="407"/>
      <c r="AB297" s="407"/>
      <c r="AC297" s="407"/>
      <c r="AD297" s="407"/>
      <c r="AE297" s="407"/>
      <c r="AF297" s="407"/>
      <c r="AG297" s="407"/>
      <c r="AH297" s="407"/>
      <c r="AI297" s="407"/>
      <c r="AJ297" s="407"/>
      <c r="AK297" s="407"/>
      <c r="AL297" s="407"/>
      <c r="AM297" s="407"/>
      <c r="AN297" s="407"/>
      <c r="AO297" s="407"/>
      <c r="AP297" s="407"/>
      <c r="AQ297" s="407"/>
      <c r="AR297" s="407"/>
      <c r="AS297" s="407"/>
      <c r="AT297" s="407"/>
      <c r="AU297" s="407"/>
      <c r="AV297" s="407"/>
      <c r="AW297" s="407"/>
      <c r="AX297" s="407"/>
      <c r="AY297" s="407"/>
      <c r="AZ297" s="407"/>
      <c r="BA297" s="407"/>
      <c r="BB297" s="407"/>
      <c r="BC297" s="407"/>
      <c r="BD297" s="407"/>
      <c r="BE297" s="407"/>
      <c r="BF297" s="407"/>
      <c r="BG297" s="407"/>
      <c r="BH297" s="407"/>
      <c r="BI297" s="407"/>
      <c r="BJ297" s="407"/>
      <c r="BK297" s="407"/>
      <c r="BL297" s="407"/>
      <c r="BM297" s="407"/>
      <c r="BN297" s="407"/>
      <c r="BO297" s="407"/>
      <c r="BP297" s="407"/>
      <c r="BQ297" s="407"/>
      <c r="BR297" s="407"/>
      <c r="BS297" s="407"/>
      <c r="BT297" s="407"/>
      <c r="BU297" s="407"/>
      <c r="BV297" s="407"/>
      <c r="BW297" s="407"/>
      <c r="BX297" s="407"/>
      <c r="BY297" s="407"/>
      <c r="BZ297" s="407"/>
      <c r="CA297" s="407"/>
      <c r="CB297" s="407"/>
      <c r="CC297" s="407"/>
      <c r="CD297" s="407"/>
      <c r="CE297" s="407"/>
      <c r="CF297" s="407"/>
    </row>
    <row r="298" spans="1:84">
      <c r="A298" s="407"/>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407"/>
      <c r="AE298" s="407"/>
      <c r="AF298" s="407"/>
      <c r="AG298" s="407"/>
      <c r="AH298" s="407"/>
      <c r="AI298" s="407"/>
      <c r="AJ298" s="407"/>
      <c r="AK298" s="407"/>
      <c r="AL298" s="407"/>
      <c r="AM298" s="407"/>
      <c r="AN298" s="407"/>
      <c r="AO298" s="407"/>
      <c r="AP298" s="407"/>
      <c r="AQ298" s="407"/>
      <c r="AR298" s="407"/>
      <c r="AS298" s="407"/>
      <c r="AT298" s="407"/>
      <c r="AU298" s="407"/>
      <c r="AV298" s="407"/>
      <c r="AW298" s="407"/>
      <c r="AX298" s="407"/>
      <c r="AY298" s="407"/>
      <c r="AZ298" s="407"/>
      <c r="BA298" s="407"/>
      <c r="BB298" s="407"/>
      <c r="BC298" s="407"/>
      <c r="BD298" s="407"/>
      <c r="BE298" s="407"/>
      <c r="BF298" s="407"/>
      <c r="BG298" s="407"/>
      <c r="BH298" s="407"/>
      <c r="BI298" s="407"/>
      <c r="BJ298" s="407"/>
      <c r="BK298" s="407"/>
      <c r="BL298" s="407"/>
      <c r="BM298" s="407"/>
      <c r="BN298" s="407"/>
      <c r="BO298" s="407"/>
      <c r="BP298" s="407"/>
      <c r="BQ298" s="407"/>
      <c r="BR298" s="407"/>
      <c r="BS298" s="407"/>
      <c r="BT298" s="407"/>
      <c r="BU298" s="407"/>
      <c r="BV298" s="407"/>
      <c r="BW298" s="407"/>
      <c r="BX298" s="407"/>
      <c r="BY298" s="407"/>
      <c r="BZ298" s="407"/>
      <c r="CA298" s="407"/>
      <c r="CB298" s="407"/>
      <c r="CC298" s="407"/>
      <c r="CD298" s="407"/>
      <c r="CE298" s="407"/>
      <c r="CF298" s="407"/>
    </row>
    <row r="299" spans="1:84">
      <c r="A299" s="407"/>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407"/>
      <c r="AE299" s="407"/>
      <c r="AF299" s="407"/>
      <c r="AG299" s="407"/>
      <c r="AH299" s="407"/>
      <c r="AI299" s="407"/>
      <c r="AJ299" s="407"/>
      <c r="AK299" s="407"/>
      <c r="AL299" s="407"/>
      <c r="AM299" s="407"/>
      <c r="AN299" s="407"/>
      <c r="AO299" s="407"/>
      <c r="AP299" s="407"/>
      <c r="AQ299" s="407"/>
      <c r="AR299" s="407"/>
      <c r="AS299" s="407"/>
      <c r="AT299" s="407"/>
      <c r="AU299" s="407"/>
      <c r="AV299" s="407"/>
      <c r="AW299" s="407"/>
      <c r="AX299" s="407"/>
      <c r="AY299" s="407"/>
      <c r="AZ299" s="407"/>
      <c r="BA299" s="407"/>
      <c r="BB299" s="407"/>
      <c r="BC299" s="407"/>
      <c r="BD299" s="407"/>
      <c r="BE299" s="407"/>
      <c r="BF299" s="407"/>
      <c r="BG299" s="407"/>
      <c r="BH299" s="407"/>
      <c r="BI299" s="407"/>
      <c r="BJ299" s="407"/>
      <c r="BK299" s="407"/>
      <c r="BL299" s="407"/>
      <c r="BM299" s="407"/>
      <c r="BN299" s="407"/>
      <c r="BO299" s="407"/>
      <c r="BP299" s="407"/>
      <c r="BQ299" s="407"/>
      <c r="BR299" s="407"/>
      <c r="BS299" s="407"/>
      <c r="BT299" s="407"/>
      <c r="BU299" s="407"/>
      <c r="BV299" s="407"/>
      <c r="BW299" s="407"/>
      <c r="BX299" s="407"/>
      <c r="BY299" s="407"/>
      <c r="BZ299" s="407"/>
      <c r="CA299" s="407"/>
      <c r="CB299" s="407"/>
      <c r="CC299" s="407"/>
      <c r="CD299" s="407"/>
      <c r="CE299" s="407"/>
      <c r="CF299" s="407"/>
    </row>
    <row r="300" spans="1:84">
      <c r="A300" s="407"/>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c r="AA300" s="407"/>
      <c r="AB300" s="407"/>
      <c r="AC300" s="407"/>
      <c r="AD300" s="407"/>
      <c r="AE300" s="407"/>
      <c r="AF300" s="407"/>
      <c r="AG300" s="407"/>
      <c r="AH300" s="407"/>
      <c r="AI300" s="407"/>
      <c r="AJ300" s="407"/>
      <c r="AK300" s="407"/>
      <c r="AL300" s="407"/>
      <c r="AM300" s="407"/>
      <c r="AN300" s="407"/>
      <c r="AO300" s="407"/>
      <c r="AP300" s="407"/>
      <c r="AQ300" s="407"/>
      <c r="AR300" s="407"/>
      <c r="AS300" s="407"/>
      <c r="AT300" s="407"/>
      <c r="AU300" s="407"/>
      <c r="AV300" s="407"/>
      <c r="AW300" s="407"/>
      <c r="AX300" s="407"/>
      <c r="AY300" s="407"/>
      <c r="AZ300" s="407"/>
      <c r="BA300" s="407"/>
      <c r="BB300" s="407"/>
      <c r="BC300" s="407"/>
      <c r="BD300" s="407"/>
      <c r="BE300" s="407"/>
      <c r="BF300" s="407"/>
      <c r="BG300" s="407"/>
      <c r="BH300" s="407"/>
      <c r="BI300" s="407"/>
      <c r="BJ300" s="407"/>
      <c r="BK300" s="407"/>
      <c r="BL300" s="407"/>
      <c r="BM300" s="407"/>
      <c r="BN300" s="407"/>
      <c r="BO300" s="407"/>
      <c r="BP300" s="407"/>
      <c r="BQ300" s="407"/>
      <c r="BR300" s="407"/>
      <c r="BS300" s="407"/>
      <c r="BT300" s="407"/>
      <c r="BU300" s="407"/>
      <c r="BV300" s="407"/>
      <c r="BW300" s="407"/>
      <c r="BX300" s="407"/>
      <c r="BY300" s="407"/>
      <c r="BZ300" s="407"/>
      <c r="CA300" s="407"/>
      <c r="CB300" s="407"/>
      <c r="CC300" s="407"/>
      <c r="CD300" s="407"/>
      <c r="CE300" s="407"/>
      <c r="CF300" s="407"/>
    </row>
    <row r="301" spans="1:84">
      <c r="A301" s="407"/>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c r="AA301" s="407"/>
      <c r="AB301" s="407"/>
      <c r="AC301" s="407"/>
      <c r="AD301" s="407"/>
      <c r="AE301" s="407"/>
      <c r="AF301" s="407"/>
      <c r="AG301" s="407"/>
      <c r="AH301" s="407"/>
      <c r="AI301" s="407"/>
      <c r="AJ301" s="407"/>
      <c r="AK301" s="407"/>
      <c r="AL301" s="407"/>
      <c r="AM301" s="407"/>
      <c r="AN301" s="407"/>
      <c r="AO301" s="407"/>
      <c r="AP301" s="407"/>
      <c r="AQ301" s="407"/>
      <c r="AR301" s="407"/>
      <c r="AS301" s="407"/>
      <c r="AT301" s="407"/>
      <c r="AU301" s="407"/>
      <c r="AV301" s="407"/>
      <c r="AW301" s="407"/>
      <c r="AX301" s="407"/>
      <c r="AY301" s="407"/>
      <c r="AZ301" s="407"/>
      <c r="BA301" s="407"/>
      <c r="BB301" s="407"/>
      <c r="BC301" s="407"/>
      <c r="BD301" s="407"/>
      <c r="BE301" s="407"/>
      <c r="BF301" s="407"/>
      <c r="BG301" s="407"/>
      <c r="BH301" s="407"/>
      <c r="BI301" s="407"/>
      <c r="BJ301" s="407"/>
      <c r="BK301" s="407"/>
      <c r="BL301" s="407"/>
      <c r="BM301" s="407"/>
      <c r="BN301" s="407"/>
      <c r="BO301" s="407"/>
      <c r="BP301" s="407"/>
      <c r="BQ301" s="407"/>
      <c r="BR301" s="407"/>
      <c r="BS301" s="407"/>
      <c r="BT301" s="407"/>
      <c r="BU301" s="407"/>
      <c r="BV301" s="407"/>
      <c r="BW301" s="407"/>
      <c r="BX301" s="407"/>
      <c r="BY301" s="407"/>
      <c r="BZ301" s="407"/>
      <c r="CA301" s="407"/>
      <c r="CB301" s="407"/>
      <c r="CC301" s="407"/>
      <c r="CD301" s="407"/>
      <c r="CE301" s="407"/>
      <c r="CF301" s="407"/>
    </row>
    <row r="302" spans="1:84">
      <c r="A302" s="407"/>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407"/>
      <c r="AE302" s="407"/>
      <c r="AF302" s="407"/>
      <c r="AG302" s="407"/>
      <c r="AH302" s="407"/>
      <c r="AI302" s="407"/>
      <c r="AJ302" s="407"/>
      <c r="AK302" s="407"/>
      <c r="AL302" s="407"/>
      <c r="AM302" s="407"/>
      <c r="AN302" s="407"/>
      <c r="AO302" s="407"/>
      <c r="AP302" s="407"/>
      <c r="AQ302" s="407"/>
      <c r="AR302" s="407"/>
      <c r="AS302" s="407"/>
      <c r="AT302" s="407"/>
      <c r="AU302" s="407"/>
      <c r="AV302" s="407"/>
      <c r="AW302" s="407"/>
      <c r="AX302" s="407"/>
      <c r="AY302" s="407"/>
      <c r="AZ302" s="407"/>
      <c r="BA302" s="407"/>
      <c r="BB302" s="407"/>
      <c r="BC302" s="407"/>
      <c r="BD302" s="407"/>
      <c r="BE302" s="407"/>
      <c r="BF302" s="407"/>
      <c r="BG302" s="407"/>
      <c r="BH302" s="407"/>
      <c r="BI302" s="407"/>
      <c r="BJ302" s="407"/>
      <c r="BK302" s="407"/>
      <c r="BL302" s="407"/>
      <c r="BM302" s="407"/>
      <c r="BN302" s="407"/>
      <c r="BO302" s="407"/>
      <c r="BP302" s="407"/>
      <c r="BQ302" s="407"/>
      <c r="BR302" s="407"/>
      <c r="BS302" s="407"/>
      <c r="BT302" s="407"/>
      <c r="BU302" s="407"/>
      <c r="BV302" s="407"/>
      <c r="BW302" s="407"/>
      <c r="BX302" s="407"/>
      <c r="BY302" s="407"/>
      <c r="BZ302" s="407"/>
      <c r="CA302" s="407"/>
      <c r="CB302" s="407"/>
      <c r="CC302" s="407"/>
      <c r="CD302" s="407"/>
      <c r="CE302" s="407"/>
      <c r="CF302" s="407"/>
    </row>
    <row r="303" spans="1:84">
      <c r="A303" s="407"/>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c r="AA303" s="407"/>
      <c r="AB303" s="407"/>
      <c r="AC303" s="407"/>
      <c r="AD303" s="407"/>
      <c r="AE303" s="407"/>
      <c r="AF303" s="407"/>
      <c r="AG303" s="407"/>
      <c r="AH303" s="407"/>
      <c r="AI303" s="407"/>
      <c r="AJ303" s="407"/>
      <c r="AK303" s="407"/>
      <c r="AL303" s="407"/>
      <c r="AM303" s="407"/>
      <c r="AN303" s="407"/>
      <c r="AO303" s="407"/>
      <c r="AP303" s="407"/>
      <c r="AQ303" s="407"/>
      <c r="AR303" s="407"/>
      <c r="AS303" s="407"/>
      <c r="AT303" s="407"/>
      <c r="AU303" s="407"/>
      <c r="AV303" s="407"/>
      <c r="AW303" s="407"/>
      <c r="AX303" s="407"/>
      <c r="AY303" s="407"/>
      <c r="AZ303" s="407"/>
      <c r="BA303" s="407"/>
      <c r="BB303" s="407"/>
      <c r="BC303" s="407"/>
      <c r="BD303" s="407"/>
      <c r="BE303" s="407"/>
      <c r="BF303" s="407"/>
      <c r="BG303" s="407"/>
      <c r="BH303" s="407"/>
      <c r="BI303" s="407"/>
      <c r="BJ303" s="407"/>
      <c r="BK303" s="407"/>
      <c r="BL303" s="407"/>
      <c r="BM303" s="407"/>
      <c r="BN303" s="407"/>
      <c r="BO303" s="407"/>
      <c r="BP303" s="407"/>
      <c r="BQ303" s="407"/>
      <c r="BR303" s="407"/>
      <c r="BS303" s="407"/>
      <c r="BT303" s="407"/>
      <c r="BU303" s="407"/>
      <c r="BV303" s="407"/>
      <c r="BW303" s="407"/>
      <c r="BX303" s="407"/>
      <c r="BY303" s="407"/>
      <c r="BZ303" s="407"/>
      <c r="CA303" s="407"/>
      <c r="CB303" s="407"/>
      <c r="CC303" s="407"/>
      <c r="CD303" s="407"/>
      <c r="CE303" s="407"/>
      <c r="CF303" s="407"/>
    </row>
    <row r="304" spans="1:84">
      <c r="A304" s="407"/>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c r="AA304" s="407"/>
      <c r="AB304" s="407"/>
      <c r="AC304" s="407"/>
      <c r="AD304" s="407"/>
      <c r="AE304" s="407"/>
      <c r="AF304" s="407"/>
      <c r="AG304" s="407"/>
      <c r="AH304" s="407"/>
      <c r="AI304" s="407"/>
      <c r="AJ304" s="407"/>
      <c r="AK304" s="407"/>
      <c r="AL304" s="407"/>
      <c r="AM304" s="407"/>
      <c r="AN304" s="407"/>
      <c r="AO304" s="407"/>
      <c r="AP304" s="407"/>
      <c r="AQ304" s="407"/>
      <c r="AR304" s="407"/>
      <c r="AS304" s="407"/>
      <c r="AT304" s="407"/>
      <c r="AU304" s="407"/>
      <c r="AV304" s="407"/>
      <c r="AW304" s="407"/>
      <c r="AX304" s="407"/>
      <c r="AY304" s="407"/>
      <c r="AZ304" s="407"/>
      <c r="BA304" s="407"/>
      <c r="BB304" s="407"/>
      <c r="BC304" s="407"/>
      <c r="BD304" s="407"/>
      <c r="BE304" s="407"/>
      <c r="BF304" s="407"/>
      <c r="BG304" s="407"/>
      <c r="BH304" s="407"/>
      <c r="BI304" s="407"/>
      <c r="BJ304" s="407"/>
      <c r="BK304" s="407"/>
      <c r="BL304" s="407"/>
      <c r="BM304" s="407"/>
      <c r="BN304" s="407"/>
      <c r="BO304" s="407"/>
      <c r="BP304" s="407"/>
      <c r="BQ304" s="407"/>
      <c r="BR304" s="407"/>
      <c r="BS304" s="407"/>
      <c r="BT304" s="407"/>
      <c r="BU304" s="407"/>
      <c r="BV304" s="407"/>
      <c r="BW304" s="407"/>
      <c r="BX304" s="407"/>
      <c r="BY304" s="407"/>
      <c r="BZ304" s="407"/>
      <c r="CA304" s="407"/>
      <c r="CB304" s="407"/>
      <c r="CC304" s="407"/>
      <c r="CD304" s="407"/>
      <c r="CE304" s="407"/>
      <c r="CF304" s="407"/>
    </row>
    <row r="305" spans="1:84">
      <c r="A305" s="407"/>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c r="AA305" s="407"/>
      <c r="AB305" s="407"/>
      <c r="AC305" s="407"/>
      <c r="AD305" s="407"/>
      <c r="AE305" s="407"/>
      <c r="AF305" s="407"/>
      <c r="AG305" s="407"/>
      <c r="AH305" s="407"/>
      <c r="AI305" s="407"/>
      <c r="AJ305" s="407"/>
      <c r="AK305" s="407"/>
      <c r="AL305" s="407"/>
      <c r="AM305" s="407"/>
      <c r="AN305" s="407"/>
      <c r="AO305" s="407"/>
      <c r="AP305" s="407"/>
      <c r="AQ305" s="407"/>
      <c r="AR305" s="407"/>
      <c r="AS305" s="407"/>
      <c r="AT305" s="407"/>
      <c r="AU305" s="407"/>
      <c r="AV305" s="407"/>
      <c r="AW305" s="407"/>
      <c r="AX305" s="407"/>
      <c r="AY305" s="407"/>
      <c r="AZ305" s="407"/>
      <c r="BA305" s="407"/>
      <c r="BB305" s="407"/>
      <c r="BC305" s="407"/>
      <c r="BD305" s="407"/>
      <c r="BE305" s="407"/>
      <c r="BF305" s="407"/>
      <c r="BG305" s="407"/>
      <c r="BH305" s="407"/>
      <c r="BI305" s="407"/>
      <c r="BJ305" s="407"/>
      <c r="BK305" s="407"/>
      <c r="BL305" s="407"/>
      <c r="BM305" s="407"/>
      <c r="BN305" s="407"/>
      <c r="BO305" s="407"/>
      <c r="BP305" s="407"/>
      <c r="BQ305" s="407"/>
      <c r="BR305" s="407"/>
      <c r="BS305" s="407"/>
      <c r="BT305" s="407"/>
      <c r="BU305" s="407"/>
      <c r="BV305" s="407"/>
      <c r="BW305" s="407"/>
      <c r="BX305" s="407"/>
      <c r="BY305" s="407"/>
      <c r="BZ305" s="407"/>
      <c r="CA305" s="407"/>
      <c r="CB305" s="407"/>
      <c r="CC305" s="407"/>
      <c r="CD305" s="407"/>
      <c r="CE305" s="407"/>
      <c r="CF305" s="407"/>
    </row>
    <row r="306" spans="1:84">
      <c r="A306" s="407"/>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c r="AA306" s="407"/>
      <c r="AB306" s="407"/>
      <c r="AC306" s="407"/>
      <c r="AD306" s="407"/>
      <c r="AE306" s="407"/>
      <c r="AF306" s="407"/>
      <c r="AG306" s="407"/>
      <c r="AH306" s="407"/>
      <c r="AI306" s="407"/>
      <c r="AJ306" s="407"/>
      <c r="AK306" s="407"/>
      <c r="AL306" s="407"/>
      <c r="AM306" s="407"/>
      <c r="AN306" s="407"/>
      <c r="AO306" s="407"/>
      <c r="AP306" s="407"/>
      <c r="AQ306" s="407"/>
      <c r="AR306" s="407"/>
      <c r="AS306" s="407"/>
      <c r="AT306" s="407"/>
      <c r="AU306" s="407"/>
      <c r="AV306" s="407"/>
      <c r="AW306" s="407"/>
      <c r="AX306" s="407"/>
      <c r="AY306" s="407"/>
      <c r="AZ306" s="407"/>
      <c r="BA306" s="407"/>
      <c r="BB306" s="407"/>
      <c r="BC306" s="407"/>
      <c r="BD306" s="407"/>
      <c r="BE306" s="407"/>
      <c r="BF306" s="407"/>
      <c r="BG306" s="407"/>
      <c r="BH306" s="407"/>
      <c r="BI306" s="407"/>
      <c r="BJ306" s="407"/>
      <c r="BK306" s="407"/>
      <c r="BL306" s="407"/>
      <c r="BM306" s="407"/>
      <c r="BN306" s="407"/>
      <c r="BO306" s="407"/>
      <c r="BP306" s="407"/>
      <c r="BQ306" s="407"/>
      <c r="BR306" s="407"/>
      <c r="BS306" s="407"/>
      <c r="BT306" s="407"/>
      <c r="BU306" s="407"/>
      <c r="BV306" s="407"/>
      <c r="BW306" s="407"/>
      <c r="BX306" s="407"/>
      <c r="BY306" s="407"/>
      <c r="BZ306" s="407"/>
      <c r="CA306" s="407"/>
      <c r="CB306" s="407"/>
      <c r="CC306" s="407"/>
      <c r="CD306" s="407"/>
      <c r="CE306" s="407"/>
      <c r="CF306" s="407"/>
    </row>
    <row r="307" spans="1:84">
      <c r="A307" s="407"/>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c r="AA307" s="407"/>
      <c r="AB307" s="407"/>
      <c r="AC307" s="407"/>
      <c r="AD307" s="407"/>
      <c r="AE307" s="407"/>
      <c r="AF307" s="407"/>
      <c r="AG307" s="407"/>
      <c r="AH307" s="407"/>
      <c r="AI307" s="407"/>
      <c r="AJ307" s="407"/>
      <c r="AK307" s="407"/>
      <c r="AL307" s="407"/>
      <c r="AM307" s="407"/>
      <c r="AN307" s="407"/>
      <c r="AO307" s="407"/>
      <c r="AP307" s="407"/>
      <c r="AQ307" s="407"/>
      <c r="AR307" s="407"/>
      <c r="AS307" s="407"/>
      <c r="AT307" s="407"/>
      <c r="AU307" s="407"/>
      <c r="AV307" s="407"/>
      <c r="AW307" s="407"/>
      <c r="AX307" s="407"/>
      <c r="AY307" s="407"/>
      <c r="AZ307" s="407"/>
      <c r="BA307" s="407"/>
      <c r="BB307" s="407"/>
      <c r="BC307" s="407"/>
      <c r="BD307" s="407"/>
      <c r="BE307" s="407"/>
      <c r="BF307" s="407"/>
      <c r="BG307" s="407"/>
      <c r="BH307" s="407"/>
      <c r="BI307" s="407"/>
      <c r="BJ307" s="407"/>
      <c r="BK307" s="407"/>
      <c r="BL307" s="407"/>
      <c r="BM307" s="407"/>
      <c r="BN307" s="407"/>
      <c r="BO307" s="407"/>
      <c r="BP307" s="407"/>
      <c r="BQ307" s="407"/>
      <c r="BR307" s="407"/>
      <c r="BS307" s="407"/>
      <c r="BT307" s="407"/>
      <c r="BU307" s="407"/>
      <c r="BV307" s="407"/>
      <c r="BW307" s="407"/>
      <c r="BX307" s="407"/>
      <c r="BY307" s="407"/>
      <c r="BZ307" s="407"/>
      <c r="CA307" s="407"/>
      <c r="CB307" s="407"/>
      <c r="CC307" s="407"/>
      <c r="CD307" s="407"/>
      <c r="CE307" s="407"/>
      <c r="CF307" s="407"/>
    </row>
    <row r="308" spans="1:84">
      <c r="A308" s="407"/>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407"/>
      <c r="AG308" s="407"/>
      <c r="AH308" s="407"/>
      <c r="AI308" s="407"/>
      <c r="AJ308" s="407"/>
      <c r="AK308" s="407"/>
      <c r="AL308" s="407"/>
      <c r="AM308" s="407"/>
      <c r="AN308" s="407"/>
      <c r="AO308" s="407"/>
      <c r="AP308" s="407"/>
      <c r="AQ308" s="407"/>
      <c r="AR308" s="407"/>
      <c r="AS308" s="407"/>
      <c r="AT308" s="407"/>
      <c r="AU308" s="407"/>
      <c r="AV308" s="407"/>
      <c r="AW308" s="407"/>
      <c r="AX308" s="407"/>
      <c r="AY308" s="407"/>
      <c r="AZ308" s="407"/>
      <c r="BA308" s="407"/>
      <c r="BB308" s="407"/>
      <c r="BC308" s="407"/>
      <c r="BD308" s="407"/>
      <c r="BE308" s="407"/>
      <c r="BF308" s="407"/>
      <c r="BG308" s="407"/>
      <c r="BH308" s="407"/>
      <c r="BI308" s="407"/>
      <c r="BJ308" s="407"/>
      <c r="BK308" s="407"/>
      <c r="BL308" s="407"/>
      <c r="BM308" s="407"/>
      <c r="BN308" s="407"/>
      <c r="BO308" s="407"/>
      <c r="BP308" s="407"/>
      <c r="BQ308" s="407"/>
      <c r="BR308" s="407"/>
      <c r="BS308" s="407"/>
      <c r="BT308" s="407"/>
      <c r="BU308" s="407"/>
      <c r="BV308" s="407"/>
      <c r="BW308" s="407"/>
      <c r="BX308" s="407"/>
      <c r="BY308" s="407"/>
      <c r="BZ308" s="407"/>
      <c r="CA308" s="407"/>
      <c r="CB308" s="407"/>
      <c r="CC308" s="407"/>
      <c r="CD308" s="407"/>
      <c r="CE308" s="407"/>
      <c r="CF308" s="407"/>
    </row>
    <row r="309" spans="1:84">
      <c r="A309" s="407"/>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c r="AA309" s="407"/>
      <c r="AB309" s="407"/>
      <c r="AC309" s="407"/>
      <c r="AD309" s="407"/>
      <c r="AE309" s="407"/>
      <c r="AF309" s="407"/>
      <c r="AG309" s="407"/>
      <c r="AH309" s="407"/>
      <c r="AI309" s="407"/>
      <c r="AJ309" s="407"/>
      <c r="AK309" s="407"/>
      <c r="AL309" s="407"/>
      <c r="AM309" s="407"/>
      <c r="AN309" s="407"/>
      <c r="AO309" s="407"/>
      <c r="AP309" s="407"/>
      <c r="AQ309" s="407"/>
      <c r="AR309" s="407"/>
      <c r="AS309" s="407"/>
      <c r="AT309" s="407"/>
      <c r="AU309" s="407"/>
      <c r="AV309" s="407"/>
      <c r="AW309" s="407"/>
      <c r="AX309" s="407"/>
      <c r="AY309" s="407"/>
      <c r="AZ309" s="407"/>
      <c r="BA309" s="407"/>
      <c r="BB309" s="407"/>
      <c r="BC309" s="407"/>
      <c r="BD309" s="407"/>
      <c r="BE309" s="407"/>
      <c r="BF309" s="407"/>
      <c r="BG309" s="407"/>
      <c r="BH309" s="407"/>
      <c r="BI309" s="407"/>
      <c r="BJ309" s="407"/>
      <c r="BK309" s="407"/>
      <c r="BL309" s="407"/>
      <c r="BM309" s="407"/>
      <c r="BN309" s="407"/>
      <c r="BO309" s="407"/>
      <c r="BP309" s="407"/>
      <c r="BQ309" s="407"/>
      <c r="BR309" s="407"/>
      <c r="BS309" s="407"/>
      <c r="BT309" s="407"/>
      <c r="BU309" s="407"/>
      <c r="BV309" s="407"/>
      <c r="BW309" s="407"/>
      <c r="BX309" s="407"/>
      <c r="BY309" s="407"/>
      <c r="BZ309" s="407"/>
      <c r="CA309" s="407"/>
      <c r="CB309" s="407"/>
      <c r="CC309" s="407"/>
      <c r="CD309" s="407"/>
      <c r="CE309" s="407"/>
      <c r="CF309" s="407"/>
    </row>
    <row r="310" spans="1:84">
      <c r="A310" s="407"/>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c r="AA310" s="407"/>
      <c r="AB310" s="407"/>
      <c r="AC310" s="407"/>
      <c r="AD310" s="407"/>
      <c r="AE310" s="407"/>
      <c r="AF310" s="407"/>
      <c r="AG310" s="407"/>
      <c r="AH310" s="407"/>
      <c r="AI310" s="407"/>
      <c r="AJ310" s="407"/>
      <c r="AK310" s="407"/>
      <c r="AL310" s="407"/>
      <c r="AM310" s="407"/>
      <c r="AN310" s="407"/>
      <c r="AO310" s="407"/>
      <c r="AP310" s="407"/>
      <c r="AQ310" s="407"/>
      <c r="AR310" s="407"/>
      <c r="AS310" s="407"/>
      <c r="AT310" s="407"/>
      <c r="AU310" s="407"/>
      <c r="AV310" s="407"/>
      <c r="AW310" s="407"/>
      <c r="AX310" s="407"/>
      <c r="AY310" s="407"/>
      <c r="AZ310" s="407"/>
      <c r="BA310" s="407"/>
      <c r="BB310" s="407"/>
      <c r="BC310" s="407"/>
      <c r="BD310" s="407"/>
      <c r="BE310" s="407"/>
      <c r="BF310" s="407"/>
      <c r="BG310" s="407"/>
      <c r="BH310" s="407"/>
      <c r="BI310" s="407"/>
      <c r="BJ310" s="407"/>
      <c r="BK310" s="407"/>
      <c r="BL310" s="407"/>
      <c r="BM310" s="407"/>
      <c r="BN310" s="407"/>
      <c r="BO310" s="407"/>
      <c r="BP310" s="407"/>
      <c r="BQ310" s="407"/>
      <c r="BR310" s="407"/>
      <c r="BS310" s="407"/>
      <c r="BT310" s="407"/>
      <c r="BU310" s="407"/>
      <c r="BV310" s="407"/>
      <c r="BW310" s="407"/>
      <c r="BX310" s="407"/>
      <c r="BY310" s="407"/>
      <c r="BZ310" s="407"/>
      <c r="CA310" s="407"/>
      <c r="CB310" s="407"/>
      <c r="CC310" s="407"/>
      <c r="CD310" s="407"/>
      <c r="CE310" s="407"/>
      <c r="CF310" s="407"/>
    </row>
    <row r="311" spans="1:84">
      <c r="A311" s="407"/>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c r="AA311" s="407"/>
      <c r="AB311" s="407"/>
      <c r="AC311" s="407"/>
      <c r="AD311" s="407"/>
      <c r="AE311" s="407"/>
      <c r="AF311" s="407"/>
      <c r="AG311" s="407"/>
      <c r="AH311" s="407"/>
      <c r="AI311" s="407"/>
      <c r="AJ311" s="407"/>
      <c r="AK311" s="407"/>
      <c r="AL311" s="407"/>
      <c r="AM311" s="407"/>
      <c r="AN311" s="407"/>
      <c r="AO311" s="407"/>
      <c r="AP311" s="407"/>
      <c r="AQ311" s="407"/>
      <c r="AR311" s="407"/>
      <c r="AS311" s="407"/>
      <c r="AT311" s="407"/>
      <c r="AU311" s="407"/>
      <c r="AV311" s="407"/>
      <c r="AW311" s="407"/>
      <c r="AX311" s="407"/>
      <c r="AY311" s="407"/>
      <c r="AZ311" s="407"/>
      <c r="BA311" s="407"/>
      <c r="BB311" s="407"/>
      <c r="BC311" s="407"/>
      <c r="BD311" s="407"/>
      <c r="BE311" s="407"/>
      <c r="BF311" s="407"/>
      <c r="BG311" s="407"/>
      <c r="BH311" s="407"/>
      <c r="BI311" s="407"/>
      <c r="BJ311" s="407"/>
      <c r="BK311" s="407"/>
      <c r="BL311" s="407"/>
      <c r="BM311" s="407"/>
      <c r="BN311" s="407"/>
      <c r="BO311" s="407"/>
      <c r="BP311" s="407"/>
      <c r="BQ311" s="407"/>
      <c r="BR311" s="407"/>
      <c r="BS311" s="407"/>
      <c r="BT311" s="407"/>
      <c r="BU311" s="407"/>
      <c r="BV311" s="407"/>
      <c r="BW311" s="407"/>
      <c r="BX311" s="407"/>
      <c r="BY311" s="407"/>
      <c r="BZ311" s="407"/>
      <c r="CA311" s="407"/>
      <c r="CB311" s="407"/>
      <c r="CC311" s="407"/>
      <c r="CD311" s="407"/>
      <c r="CE311" s="407"/>
      <c r="CF311" s="407"/>
    </row>
    <row r="312" spans="1:84">
      <c r="A312" s="407"/>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7"/>
      <c r="AI312" s="407"/>
      <c r="AJ312" s="407"/>
      <c r="AK312" s="407"/>
      <c r="AL312" s="407"/>
      <c r="AM312" s="407"/>
      <c r="AN312" s="407"/>
      <c r="AO312" s="407"/>
      <c r="AP312" s="407"/>
      <c r="AQ312" s="407"/>
      <c r="AR312" s="407"/>
      <c r="AS312" s="407"/>
      <c r="AT312" s="407"/>
      <c r="AU312" s="407"/>
      <c r="AV312" s="407"/>
      <c r="AW312" s="407"/>
      <c r="AX312" s="407"/>
      <c r="AY312" s="407"/>
      <c r="AZ312" s="407"/>
      <c r="BA312" s="407"/>
      <c r="BB312" s="407"/>
      <c r="BC312" s="407"/>
      <c r="BD312" s="407"/>
      <c r="BE312" s="407"/>
      <c r="BF312" s="407"/>
      <c r="BG312" s="407"/>
      <c r="BH312" s="407"/>
      <c r="BI312" s="407"/>
      <c r="BJ312" s="407"/>
      <c r="BK312" s="407"/>
      <c r="BL312" s="407"/>
      <c r="BM312" s="407"/>
      <c r="BN312" s="407"/>
      <c r="BO312" s="407"/>
      <c r="BP312" s="407"/>
      <c r="BQ312" s="407"/>
      <c r="BR312" s="407"/>
      <c r="BS312" s="407"/>
      <c r="BT312" s="407"/>
      <c r="BU312" s="407"/>
      <c r="BV312" s="407"/>
      <c r="BW312" s="407"/>
      <c r="BX312" s="407"/>
      <c r="BY312" s="407"/>
      <c r="BZ312" s="407"/>
      <c r="CA312" s="407"/>
      <c r="CB312" s="407"/>
      <c r="CC312" s="407"/>
      <c r="CD312" s="407"/>
      <c r="CE312" s="407"/>
      <c r="CF312" s="407"/>
    </row>
    <row r="313" spans="1:84">
      <c r="A313" s="407"/>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c r="AA313" s="407"/>
      <c r="AB313" s="407"/>
      <c r="AC313" s="407"/>
      <c r="AD313" s="407"/>
      <c r="AE313" s="407"/>
      <c r="AF313" s="407"/>
      <c r="AG313" s="407"/>
      <c r="AH313" s="407"/>
      <c r="AI313" s="407"/>
      <c r="AJ313" s="407"/>
      <c r="AK313" s="407"/>
      <c r="AL313" s="407"/>
      <c r="AM313" s="407"/>
      <c r="AN313" s="407"/>
      <c r="AO313" s="407"/>
      <c r="AP313" s="407"/>
      <c r="AQ313" s="407"/>
      <c r="AR313" s="407"/>
      <c r="AS313" s="407"/>
      <c r="AT313" s="407"/>
      <c r="AU313" s="407"/>
      <c r="AV313" s="407"/>
      <c r="AW313" s="407"/>
      <c r="AX313" s="407"/>
      <c r="AY313" s="407"/>
      <c r="AZ313" s="407"/>
      <c r="BA313" s="407"/>
      <c r="BB313" s="407"/>
      <c r="BC313" s="407"/>
      <c r="BD313" s="407"/>
      <c r="BE313" s="407"/>
      <c r="BF313" s="407"/>
      <c r="BG313" s="407"/>
      <c r="BH313" s="407"/>
      <c r="BI313" s="407"/>
      <c r="BJ313" s="407"/>
      <c r="BK313" s="407"/>
      <c r="BL313" s="407"/>
      <c r="BM313" s="407"/>
      <c r="BN313" s="407"/>
      <c r="BO313" s="407"/>
      <c r="BP313" s="407"/>
      <c r="BQ313" s="407"/>
      <c r="BR313" s="407"/>
      <c r="BS313" s="407"/>
      <c r="BT313" s="407"/>
      <c r="BU313" s="407"/>
      <c r="BV313" s="407"/>
      <c r="BW313" s="407"/>
      <c r="BX313" s="407"/>
      <c r="BY313" s="407"/>
      <c r="BZ313" s="407"/>
      <c r="CA313" s="407"/>
      <c r="CB313" s="407"/>
      <c r="CC313" s="407"/>
      <c r="CD313" s="407"/>
      <c r="CE313" s="407"/>
      <c r="CF313" s="407"/>
    </row>
    <row r="314" spans="1:84">
      <c r="A314" s="407"/>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c r="AA314" s="407"/>
      <c r="AB314" s="407"/>
      <c r="AC314" s="407"/>
      <c r="AD314" s="407"/>
      <c r="AE314" s="407"/>
      <c r="AF314" s="407"/>
      <c r="AG314" s="407"/>
      <c r="AH314" s="407"/>
      <c r="AI314" s="407"/>
      <c r="AJ314" s="407"/>
      <c r="AK314" s="407"/>
      <c r="AL314" s="407"/>
      <c r="AM314" s="407"/>
      <c r="AN314" s="407"/>
      <c r="AO314" s="407"/>
      <c r="AP314" s="407"/>
      <c r="AQ314" s="407"/>
      <c r="AR314" s="407"/>
      <c r="AS314" s="407"/>
      <c r="AT314" s="407"/>
      <c r="AU314" s="407"/>
      <c r="AV314" s="407"/>
      <c r="AW314" s="407"/>
      <c r="AX314" s="407"/>
      <c r="AY314" s="407"/>
      <c r="AZ314" s="407"/>
      <c r="BA314" s="407"/>
      <c r="BB314" s="407"/>
      <c r="BC314" s="407"/>
      <c r="BD314" s="407"/>
      <c r="BE314" s="407"/>
      <c r="BF314" s="407"/>
      <c r="BG314" s="407"/>
      <c r="BH314" s="407"/>
      <c r="BI314" s="407"/>
      <c r="BJ314" s="407"/>
      <c r="BK314" s="407"/>
      <c r="BL314" s="407"/>
      <c r="BM314" s="407"/>
      <c r="BN314" s="407"/>
      <c r="BO314" s="407"/>
      <c r="BP314" s="407"/>
      <c r="BQ314" s="407"/>
      <c r="BR314" s="407"/>
      <c r="BS314" s="407"/>
      <c r="BT314" s="407"/>
      <c r="BU314" s="407"/>
      <c r="BV314" s="407"/>
      <c r="BW314" s="407"/>
      <c r="BX314" s="407"/>
      <c r="BY314" s="407"/>
      <c r="BZ314" s="407"/>
      <c r="CA314" s="407"/>
      <c r="CB314" s="407"/>
      <c r="CC314" s="407"/>
      <c r="CD314" s="407"/>
      <c r="CE314" s="407"/>
      <c r="CF314" s="407"/>
    </row>
    <row r="315" spans="1:84">
      <c r="A315" s="407"/>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c r="AA315" s="407"/>
      <c r="AB315" s="407"/>
      <c r="AC315" s="407"/>
      <c r="AD315" s="407"/>
      <c r="AE315" s="407"/>
      <c r="AF315" s="407"/>
      <c r="AG315" s="407"/>
      <c r="AH315" s="407"/>
      <c r="AI315" s="407"/>
      <c r="AJ315" s="407"/>
      <c r="AK315" s="407"/>
      <c r="AL315" s="407"/>
      <c r="AM315" s="407"/>
      <c r="AN315" s="407"/>
      <c r="AO315" s="407"/>
      <c r="AP315" s="407"/>
      <c r="AQ315" s="407"/>
      <c r="AR315" s="407"/>
      <c r="AS315" s="407"/>
      <c r="AT315" s="407"/>
      <c r="AU315" s="407"/>
      <c r="AV315" s="407"/>
      <c r="AW315" s="407"/>
      <c r="AX315" s="407"/>
      <c r="AY315" s="407"/>
      <c r="AZ315" s="407"/>
      <c r="BA315" s="407"/>
      <c r="BB315" s="407"/>
      <c r="BC315" s="407"/>
      <c r="BD315" s="407"/>
      <c r="BE315" s="407"/>
      <c r="BF315" s="407"/>
      <c r="BG315" s="407"/>
      <c r="BH315" s="407"/>
      <c r="BI315" s="407"/>
      <c r="BJ315" s="407"/>
      <c r="BK315" s="407"/>
      <c r="BL315" s="407"/>
      <c r="BM315" s="407"/>
      <c r="BN315" s="407"/>
      <c r="BO315" s="407"/>
      <c r="BP315" s="407"/>
      <c r="BQ315" s="407"/>
      <c r="BR315" s="407"/>
      <c r="BS315" s="407"/>
      <c r="BT315" s="407"/>
      <c r="BU315" s="407"/>
      <c r="BV315" s="407"/>
      <c r="BW315" s="407"/>
      <c r="BX315" s="407"/>
      <c r="BY315" s="407"/>
      <c r="BZ315" s="407"/>
      <c r="CA315" s="407"/>
      <c r="CB315" s="407"/>
      <c r="CC315" s="407"/>
      <c r="CD315" s="407"/>
      <c r="CE315" s="407"/>
      <c r="CF315" s="407"/>
    </row>
    <row r="316" spans="1:84">
      <c r="A316" s="407"/>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c r="AA316" s="407"/>
      <c r="AB316" s="407"/>
      <c r="AC316" s="407"/>
      <c r="AD316" s="407"/>
      <c r="AE316" s="407"/>
      <c r="AF316" s="407"/>
      <c r="AG316" s="407"/>
      <c r="AH316" s="407"/>
      <c r="AI316" s="407"/>
      <c r="AJ316" s="407"/>
      <c r="AK316" s="407"/>
      <c r="AL316" s="407"/>
      <c r="AM316" s="407"/>
      <c r="AN316" s="407"/>
      <c r="AO316" s="407"/>
      <c r="AP316" s="407"/>
      <c r="AQ316" s="407"/>
      <c r="AR316" s="407"/>
      <c r="AS316" s="407"/>
      <c r="AT316" s="407"/>
      <c r="AU316" s="407"/>
      <c r="AV316" s="407"/>
      <c r="AW316" s="407"/>
      <c r="AX316" s="407"/>
      <c r="AY316" s="407"/>
      <c r="AZ316" s="407"/>
      <c r="BA316" s="407"/>
      <c r="BB316" s="407"/>
      <c r="BC316" s="407"/>
      <c r="BD316" s="407"/>
      <c r="BE316" s="407"/>
      <c r="BF316" s="407"/>
      <c r="BG316" s="407"/>
      <c r="BH316" s="407"/>
      <c r="BI316" s="407"/>
      <c r="BJ316" s="407"/>
      <c r="BK316" s="407"/>
      <c r="BL316" s="407"/>
      <c r="BM316" s="407"/>
      <c r="BN316" s="407"/>
      <c r="BO316" s="407"/>
      <c r="BP316" s="407"/>
      <c r="BQ316" s="407"/>
      <c r="BR316" s="407"/>
      <c r="BS316" s="407"/>
      <c r="BT316" s="407"/>
      <c r="BU316" s="407"/>
      <c r="BV316" s="407"/>
      <c r="BW316" s="407"/>
      <c r="BX316" s="407"/>
      <c r="BY316" s="407"/>
      <c r="BZ316" s="407"/>
      <c r="CA316" s="407"/>
      <c r="CB316" s="407"/>
      <c r="CC316" s="407"/>
      <c r="CD316" s="407"/>
      <c r="CE316" s="407"/>
      <c r="CF316" s="407"/>
    </row>
    <row r="317" spans="1:84">
      <c r="A317" s="407"/>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c r="AA317" s="407"/>
      <c r="AB317" s="407"/>
      <c r="AC317" s="407"/>
      <c r="AD317" s="407"/>
      <c r="AE317" s="407"/>
      <c r="AF317" s="407"/>
      <c r="AG317" s="407"/>
      <c r="AH317" s="407"/>
      <c r="AI317" s="407"/>
      <c r="AJ317" s="407"/>
      <c r="AK317" s="407"/>
      <c r="AL317" s="407"/>
      <c r="AM317" s="407"/>
      <c r="AN317" s="407"/>
      <c r="AO317" s="407"/>
      <c r="AP317" s="407"/>
      <c r="AQ317" s="407"/>
      <c r="AR317" s="407"/>
      <c r="AS317" s="407"/>
      <c r="AT317" s="407"/>
      <c r="AU317" s="407"/>
      <c r="AV317" s="407"/>
      <c r="AW317" s="407"/>
      <c r="AX317" s="407"/>
      <c r="AY317" s="407"/>
      <c r="AZ317" s="407"/>
      <c r="BA317" s="407"/>
      <c r="BB317" s="407"/>
      <c r="BC317" s="407"/>
      <c r="BD317" s="407"/>
      <c r="BE317" s="407"/>
      <c r="BF317" s="407"/>
      <c r="BG317" s="407"/>
      <c r="BH317" s="407"/>
      <c r="BI317" s="407"/>
      <c r="BJ317" s="407"/>
      <c r="BK317" s="407"/>
      <c r="BL317" s="407"/>
      <c r="BM317" s="407"/>
      <c r="BN317" s="407"/>
      <c r="BO317" s="407"/>
      <c r="BP317" s="407"/>
      <c r="BQ317" s="407"/>
      <c r="BR317" s="407"/>
      <c r="BS317" s="407"/>
      <c r="BT317" s="407"/>
      <c r="BU317" s="407"/>
      <c r="BV317" s="407"/>
      <c r="BW317" s="407"/>
      <c r="BX317" s="407"/>
      <c r="BY317" s="407"/>
      <c r="BZ317" s="407"/>
      <c r="CA317" s="407"/>
      <c r="CB317" s="407"/>
      <c r="CC317" s="407"/>
      <c r="CD317" s="407"/>
      <c r="CE317" s="407"/>
      <c r="CF317" s="407"/>
    </row>
    <row r="318" spans="1:84">
      <c r="A318" s="407"/>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c r="AA318" s="407"/>
      <c r="AB318" s="407"/>
      <c r="AC318" s="407"/>
      <c r="AD318" s="407"/>
      <c r="AE318" s="407"/>
      <c r="AF318" s="407"/>
      <c r="AG318" s="407"/>
      <c r="AH318" s="407"/>
      <c r="AI318" s="407"/>
      <c r="AJ318" s="407"/>
      <c r="AK318" s="407"/>
      <c r="AL318" s="407"/>
      <c r="AM318" s="407"/>
      <c r="AN318" s="407"/>
      <c r="AO318" s="407"/>
      <c r="AP318" s="407"/>
      <c r="AQ318" s="407"/>
      <c r="AR318" s="407"/>
      <c r="AS318" s="407"/>
      <c r="AT318" s="407"/>
      <c r="AU318" s="407"/>
      <c r="AV318" s="407"/>
      <c r="AW318" s="407"/>
      <c r="AX318" s="407"/>
      <c r="AY318" s="407"/>
      <c r="AZ318" s="407"/>
      <c r="BA318" s="407"/>
      <c r="BB318" s="407"/>
      <c r="BC318" s="407"/>
      <c r="BD318" s="407"/>
      <c r="BE318" s="407"/>
      <c r="BF318" s="407"/>
      <c r="BG318" s="407"/>
      <c r="BH318" s="407"/>
      <c r="BI318" s="407"/>
      <c r="BJ318" s="407"/>
      <c r="BK318" s="407"/>
      <c r="BL318" s="407"/>
      <c r="BM318" s="407"/>
      <c r="BN318" s="407"/>
      <c r="BO318" s="407"/>
      <c r="BP318" s="407"/>
      <c r="BQ318" s="407"/>
      <c r="BR318" s="407"/>
      <c r="BS318" s="407"/>
      <c r="BT318" s="407"/>
      <c r="BU318" s="407"/>
      <c r="BV318" s="407"/>
      <c r="BW318" s="407"/>
      <c r="BX318" s="407"/>
      <c r="BY318" s="407"/>
      <c r="BZ318" s="407"/>
      <c r="CA318" s="407"/>
      <c r="CB318" s="407"/>
      <c r="CC318" s="407"/>
      <c r="CD318" s="407"/>
      <c r="CE318" s="407"/>
      <c r="CF318" s="407"/>
    </row>
    <row r="319" spans="1:84">
      <c r="A319" s="407"/>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c r="AA319" s="407"/>
      <c r="AB319" s="407"/>
      <c r="AC319" s="407"/>
      <c r="AD319" s="407"/>
      <c r="AE319" s="407"/>
      <c r="AF319" s="407"/>
      <c r="AG319" s="407"/>
      <c r="AH319" s="407"/>
      <c r="AI319" s="407"/>
      <c r="AJ319" s="407"/>
      <c r="AK319" s="407"/>
      <c r="AL319" s="407"/>
      <c r="AM319" s="407"/>
      <c r="AN319" s="407"/>
      <c r="AO319" s="407"/>
      <c r="AP319" s="407"/>
      <c r="AQ319" s="407"/>
      <c r="AR319" s="407"/>
      <c r="AS319" s="407"/>
      <c r="AT319" s="407"/>
      <c r="AU319" s="407"/>
      <c r="AV319" s="407"/>
      <c r="AW319" s="407"/>
      <c r="AX319" s="407"/>
      <c r="AY319" s="407"/>
      <c r="AZ319" s="407"/>
      <c r="BA319" s="407"/>
      <c r="BB319" s="407"/>
      <c r="BC319" s="407"/>
      <c r="BD319" s="407"/>
      <c r="BE319" s="407"/>
      <c r="BF319" s="407"/>
      <c r="BG319" s="407"/>
      <c r="BH319" s="407"/>
      <c r="BI319" s="407"/>
      <c r="BJ319" s="407"/>
      <c r="BK319" s="407"/>
      <c r="BL319" s="407"/>
      <c r="BM319" s="407"/>
      <c r="BN319" s="407"/>
      <c r="BO319" s="407"/>
      <c r="BP319" s="407"/>
      <c r="BQ319" s="407"/>
      <c r="BR319" s="407"/>
      <c r="BS319" s="407"/>
      <c r="BT319" s="407"/>
      <c r="BU319" s="407"/>
      <c r="BV319" s="407"/>
      <c r="BW319" s="407"/>
      <c r="BX319" s="407"/>
      <c r="BY319" s="407"/>
      <c r="BZ319" s="407"/>
      <c r="CA319" s="407"/>
      <c r="CB319" s="407"/>
      <c r="CC319" s="407"/>
      <c r="CD319" s="407"/>
      <c r="CE319" s="407"/>
      <c r="CF319" s="407"/>
    </row>
    <row r="320" spans="1:84">
      <c r="A320" s="407"/>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c r="AA320" s="407"/>
      <c r="AB320" s="407"/>
      <c r="AC320" s="407"/>
      <c r="AD320" s="407"/>
      <c r="AE320" s="407"/>
      <c r="AF320" s="407"/>
      <c r="AG320" s="407"/>
      <c r="AH320" s="407"/>
      <c r="AI320" s="407"/>
      <c r="AJ320" s="407"/>
      <c r="AK320" s="407"/>
      <c r="AL320" s="407"/>
      <c r="AM320" s="407"/>
      <c r="AN320" s="407"/>
      <c r="AO320" s="407"/>
      <c r="AP320" s="407"/>
      <c r="AQ320" s="407"/>
      <c r="AR320" s="407"/>
      <c r="AS320" s="407"/>
      <c r="AT320" s="407"/>
      <c r="AU320" s="407"/>
      <c r="AV320" s="407"/>
      <c r="AW320" s="407"/>
      <c r="AX320" s="407"/>
      <c r="AY320" s="407"/>
      <c r="AZ320" s="407"/>
      <c r="BA320" s="407"/>
      <c r="BB320" s="407"/>
      <c r="BC320" s="407"/>
      <c r="BD320" s="407"/>
      <c r="BE320" s="407"/>
      <c r="BF320" s="407"/>
      <c r="BG320" s="407"/>
      <c r="BH320" s="407"/>
      <c r="BI320" s="407"/>
      <c r="BJ320" s="407"/>
      <c r="BK320" s="407"/>
      <c r="BL320" s="407"/>
      <c r="BM320" s="407"/>
      <c r="BN320" s="407"/>
      <c r="BO320" s="407"/>
      <c r="BP320" s="407"/>
      <c r="BQ320" s="407"/>
      <c r="BR320" s="407"/>
      <c r="BS320" s="407"/>
      <c r="BT320" s="407"/>
      <c r="BU320" s="407"/>
      <c r="BV320" s="407"/>
      <c r="BW320" s="407"/>
      <c r="BX320" s="407"/>
      <c r="BY320" s="407"/>
      <c r="BZ320" s="407"/>
      <c r="CA320" s="407"/>
      <c r="CB320" s="407"/>
      <c r="CC320" s="407"/>
      <c r="CD320" s="407"/>
      <c r="CE320" s="407"/>
      <c r="CF320" s="407"/>
    </row>
    <row r="321" spans="1:84">
      <c r="A321" s="407"/>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c r="AA321" s="407"/>
      <c r="AB321" s="407"/>
      <c r="AC321" s="407"/>
      <c r="AD321" s="407"/>
      <c r="AE321" s="407"/>
      <c r="AF321" s="407"/>
      <c r="AG321" s="407"/>
      <c r="AH321" s="407"/>
      <c r="AI321" s="407"/>
      <c r="AJ321" s="407"/>
      <c r="AK321" s="407"/>
      <c r="AL321" s="407"/>
      <c r="AM321" s="407"/>
      <c r="AN321" s="407"/>
      <c r="AO321" s="407"/>
      <c r="AP321" s="407"/>
      <c r="AQ321" s="407"/>
      <c r="AR321" s="407"/>
      <c r="AS321" s="407"/>
      <c r="AT321" s="407"/>
      <c r="AU321" s="407"/>
      <c r="AV321" s="407"/>
      <c r="AW321" s="407"/>
      <c r="AX321" s="407"/>
      <c r="AY321" s="407"/>
      <c r="AZ321" s="407"/>
      <c r="BA321" s="407"/>
      <c r="BB321" s="407"/>
      <c r="BC321" s="407"/>
      <c r="BD321" s="407"/>
      <c r="BE321" s="407"/>
      <c r="BF321" s="407"/>
      <c r="BG321" s="407"/>
      <c r="BH321" s="407"/>
      <c r="BI321" s="407"/>
      <c r="BJ321" s="407"/>
      <c r="BK321" s="407"/>
      <c r="BL321" s="407"/>
      <c r="BM321" s="407"/>
      <c r="BN321" s="407"/>
      <c r="BO321" s="407"/>
      <c r="BP321" s="407"/>
      <c r="BQ321" s="407"/>
      <c r="BR321" s="407"/>
      <c r="BS321" s="407"/>
      <c r="BT321" s="407"/>
      <c r="BU321" s="407"/>
      <c r="BV321" s="407"/>
      <c r="BW321" s="407"/>
      <c r="BX321" s="407"/>
      <c r="BY321" s="407"/>
      <c r="BZ321" s="407"/>
      <c r="CA321" s="407"/>
      <c r="CB321" s="407"/>
      <c r="CC321" s="407"/>
      <c r="CD321" s="407"/>
      <c r="CE321" s="407"/>
      <c r="CF321" s="407"/>
    </row>
    <row r="322" spans="1:84">
      <c r="A322" s="407"/>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407"/>
      <c r="AE322" s="407"/>
      <c r="AF322" s="407"/>
      <c r="AG322" s="407"/>
      <c r="AH322" s="407"/>
      <c r="AI322" s="407"/>
      <c r="AJ322" s="407"/>
      <c r="AK322" s="407"/>
      <c r="AL322" s="407"/>
      <c r="AM322" s="407"/>
      <c r="AN322" s="407"/>
      <c r="AO322" s="407"/>
      <c r="AP322" s="407"/>
      <c r="AQ322" s="407"/>
      <c r="AR322" s="407"/>
      <c r="AS322" s="407"/>
      <c r="AT322" s="407"/>
      <c r="AU322" s="407"/>
      <c r="AV322" s="407"/>
      <c r="AW322" s="407"/>
      <c r="AX322" s="407"/>
      <c r="AY322" s="407"/>
      <c r="AZ322" s="407"/>
      <c r="BA322" s="407"/>
      <c r="BB322" s="407"/>
      <c r="BC322" s="407"/>
      <c r="BD322" s="407"/>
      <c r="BE322" s="407"/>
      <c r="BF322" s="407"/>
      <c r="BG322" s="407"/>
      <c r="BH322" s="407"/>
      <c r="BI322" s="407"/>
      <c r="BJ322" s="407"/>
      <c r="BK322" s="407"/>
      <c r="BL322" s="407"/>
      <c r="BM322" s="407"/>
      <c r="BN322" s="407"/>
      <c r="BO322" s="407"/>
      <c r="BP322" s="407"/>
      <c r="BQ322" s="407"/>
      <c r="BR322" s="407"/>
      <c r="BS322" s="407"/>
      <c r="BT322" s="407"/>
      <c r="BU322" s="407"/>
      <c r="BV322" s="407"/>
      <c r="BW322" s="407"/>
      <c r="BX322" s="407"/>
      <c r="BY322" s="407"/>
      <c r="BZ322" s="407"/>
      <c r="CA322" s="407"/>
      <c r="CB322" s="407"/>
      <c r="CC322" s="407"/>
      <c r="CD322" s="407"/>
      <c r="CE322" s="407"/>
      <c r="CF322" s="407"/>
    </row>
    <row r="323" spans="1:84">
      <c r="A323" s="407"/>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c r="AA323" s="407"/>
      <c r="AB323" s="407"/>
      <c r="AC323" s="407"/>
      <c r="AD323" s="407"/>
      <c r="AE323" s="407"/>
      <c r="AF323" s="407"/>
      <c r="AG323" s="407"/>
      <c r="AH323" s="407"/>
      <c r="AI323" s="407"/>
      <c r="AJ323" s="407"/>
      <c r="AK323" s="407"/>
      <c r="AL323" s="407"/>
      <c r="AM323" s="407"/>
      <c r="AN323" s="407"/>
      <c r="AO323" s="407"/>
      <c r="AP323" s="407"/>
      <c r="AQ323" s="407"/>
      <c r="AR323" s="407"/>
      <c r="AS323" s="407"/>
      <c r="AT323" s="407"/>
      <c r="AU323" s="407"/>
      <c r="AV323" s="407"/>
      <c r="AW323" s="407"/>
      <c r="AX323" s="407"/>
      <c r="AY323" s="407"/>
      <c r="AZ323" s="407"/>
      <c r="BA323" s="407"/>
      <c r="BB323" s="407"/>
      <c r="BC323" s="407"/>
      <c r="BD323" s="407"/>
      <c r="BE323" s="407"/>
      <c r="BF323" s="407"/>
      <c r="BG323" s="407"/>
      <c r="BH323" s="407"/>
      <c r="BI323" s="407"/>
      <c r="BJ323" s="407"/>
      <c r="BK323" s="407"/>
      <c r="BL323" s="407"/>
      <c r="BM323" s="407"/>
      <c r="BN323" s="407"/>
      <c r="BO323" s="407"/>
      <c r="BP323" s="407"/>
      <c r="BQ323" s="407"/>
      <c r="BR323" s="407"/>
      <c r="BS323" s="407"/>
      <c r="BT323" s="407"/>
      <c r="BU323" s="407"/>
      <c r="BV323" s="407"/>
      <c r="BW323" s="407"/>
      <c r="BX323" s="407"/>
      <c r="BY323" s="407"/>
      <c r="BZ323" s="407"/>
      <c r="CA323" s="407"/>
      <c r="CB323" s="407"/>
      <c r="CC323" s="407"/>
      <c r="CD323" s="407"/>
      <c r="CE323" s="407"/>
      <c r="CF323" s="407"/>
    </row>
    <row r="324" spans="1:84">
      <c r="A324" s="407"/>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c r="AA324" s="407"/>
      <c r="AB324" s="407"/>
      <c r="AC324" s="407"/>
      <c r="AD324" s="407"/>
      <c r="AE324" s="407"/>
      <c r="AF324" s="407"/>
      <c r="AG324" s="407"/>
      <c r="AH324" s="407"/>
      <c r="AI324" s="407"/>
      <c r="AJ324" s="407"/>
      <c r="AK324" s="407"/>
      <c r="AL324" s="407"/>
      <c r="AM324" s="407"/>
      <c r="AN324" s="407"/>
      <c r="AO324" s="407"/>
      <c r="AP324" s="407"/>
      <c r="AQ324" s="407"/>
      <c r="AR324" s="407"/>
      <c r="AS324" s="407"/>
      <c r="AT324" s="407"/>
      <c r="AU324" s="407"/>
      <c r="AV324" s="407"/>
      <c r="AW324" s="407"/>
      <c r="AX324" s="407"/>
      <c r="AY324" s="407"/>
      <c r="AZ324" s="407"/>
      <c r="BA324" s="407"/>
      <c r="BB324" s="407"/>
      <c r="BC324" s="407"/>
      <c r="BD324" s="407"/>
      <c r="BE324" s="407"/>
      <c r="BF324" s="407"/>
      <c r="BG324" s="407"/>
      <c r="BH324" s="407"/>
      <c r="BI324" s="407"/>
      <c r="BJ324" s="407"/>
      <c r="BK324" s="407"/>
      <c r="BL324" s="407"/>
      <c r="BM324" s="407"/>
      <c r="BN324" s="407"/>
      <c r="BO324" s="407"/>
      <c r="BP324" s="407"/>
      <c r="BQ324" s="407"/>
      <c r="BR324" s="407"/>
      <c r="BS324" s="407"/>
      <c r="BT324" s="407"/>
      <c r="BU324" s="407"/>
      <c r="BV324" s="407"/>
      <c r="BW324" s="407"/>
      <c r="BX324" s="407"/>
      <c r="BY324" s="407"/>
      <c r="BZ324" s="407"/>
      <c r="CA324" s="407"/>
      <c r="CB324" s="407"/>
      <c r="CC324" s="407"/>
      <c r="CD324" s="407"/>
      <c r="CE324" s="407"/>
      <c r="CF324" s="407"/>
    </row>
    <row r="325" spans="1:84">
      <c r="A325" s="407"/>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407"/>
      <c r="AE325" s="407"/>
      <c r="AF325" s="407"/>
      <c r="AG325" s="407"/>
      <c r="AH325" s="407"/>
      <c r="AI325" s="407"/>
      <c r="AJ325" s="407"/>
      <c r="AK325" s="407"/>
      <c r="AL325" s="407"/>
      <c r="AM325" s="407"/>
      <c r="AN325" s="407"/>
      <c r="AO325" s="407"/>
      <c r="AP325" s="407"/>
      <c r="AQ325" s="407"/>
      <c r="AR325" s="407"/>
      <c r="AS325" s="407"/>
      <c r="AT325" s="407"/>
      <c r="AU325" s="407"/>
      <c r="AV325" s="407"/>
      <c r="AW325" s="407"/>
      <c r="AX325" s="407"/>
      <c r="AY325" s="407"/>
      <c r="AZ325" s="407"/>
      <c r="BA325" s="407"/>
      <c r="BB325" s="407"/>
      <c r="BC325" s="407"/>
      <c r="BD325" s="407"/>
      <c r="BE325" s="407"/>
      <c r="BF325" s="407"/>
      <c r="BG325" s="407"/>
      <c r="BH325" s="407"/>
      <c r="BI325" s="407"/>
      <c r="BJ325" s="407"/>
      <c r="BK325" s="407"/>
      <c r="BL325" s="407"/>
      <c r="BM325" s="407"/>
      <c r="BN325" s="407"/>
      <c r="BO325" s="407"/>
      <c r="BP325" s="407"/>
      <c r="BQ325" s="407"/>
      <c r="BR325" s="407"/>
      <c r="BS325" s="407"/>
      <c r="BT325" s="407"/>
      <c r="BU325" s="407"/>
      <c r="BV325" s="407"/>
      <c r="BW325" s="407"/>
      <c r="BX325" s="407"/>
      <c r="BY325" s="407"/>
      <c r="BZ325" s="407"/>
      <c r="CA325" s="407"/>
      <c r="CB325" s="407"/>
      <c r="CC325" s="407"/>
      <c r="CD325" s="407"/>
      <c r="CE325" s="407"/>
      <c r="CF325" s="407"/>
    </row>
    <row r="326" spans="1:84">
      <c r="A326" s="407"/>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c r="AA326" s="407"/>
      <c r="AB326" s="407"/>
      <c r="AC326" s="407"/>
      <c r="AD326" s="407"/>
      <c r="AE326" s="407"/>
      <c r="AF326" s="407"/>
      <c r="AG326" s="407"/>
      <c r="AH326" s="407"/>
      <c r="AI326" s="407"/>
      <c r="AJ326" s="407"/>
      <c r="AK326" s="407"/>
      <c r="AL326" s="407"/>
      <c r="AM326" s="407"/>
      <c r="AN326" s="407"/>
      <c r="AO326" s="407"/>
      <c r="AP326" s="407"/>
      <c r="AQ326" s="407"/>
      <c r="AR326" s="407"/>
      <c r="AS326" s="407"/>
      <c r="AT326" s="407"/>
      <c r="AU326" s="407"/>
      <c r="AV326" s="407"/>
      <c r="AW326" s="407"/>
      <c r="AX326" s="407"/>
      <c r="AY326" s="407"/>
      <c r="AZ326" s="407"/>
      <c r="BA326" s="407"/>
      <c r="BB326" s="407"/>
      <c r="BC326" s="407"/>
      <c r="BD326" s="407"/>
      <c r="BE326" s="407"/>
      <c r="BF326" s="407"/>
      <c r="BG326" s="407"/>
      <c r="BH326" s="407"/>
      <c r="BI326" s="407"/>
      <c r="BJ326" s="407"/>
      <c r="BK326" s="407"/>
      <c r="BL326" s="407"/>
      <c r="BM326" s="407"/>
      <c r="BN326" s="407"/>
      <c r="BO326" s="407"/>
      <c r="BP326" s="407"/>
      <c r="BQ326" s="407"/>
      <c r="BR326" s="407"/>
      <c r="BS326" s="407"/>
      <c r="BT326" s="407"/>
      <c r="BU326" s="407"/>
      <c r="BV326" s="407"/>
      <c r="BW326" s="407"/>
      <c r="BX326" s="407"/>
      <c r="BY326" s="407"/>
      <c r="BZ326" s="407"/>
      <c r="CA326" s="407"/>
      <c r="CB326" s="407"/>
      <c r="CC326" s="407"/>
      <c r="CD326" s="407"/>
      <c r="CE326" s="407"/>
      <c r="CF326" s="407"/>
    </row>
    <row r="327" spans="1:84">
      <c r="A327" s="407"/>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407"/>
      <c r="AE327" s="407"/>
      <c r="AF327" s="407"/>
      <c r="AG327" s="407"/>
      <c r="AH327" s="407"/>
      <c r="AI327" s="407"/>
      <c r="AJ327" s="407"/>
      <c r="AK327" s="407"/>
      <c r="AL327" s="407"/>
      <c r="AM327" s="407"/>
      <c r="AN327" s="407"/>
      <c r="AO327" s="407"/>
      <c r="AP327" s="407"/>
      <c r="AQ327" s="407"/>
      <c r="AR327" s="407"/>
      <c r="AS327" s="407"/>
      <c r="AT327" s="407"/>
      <c r="AU327" s="407"/>
      <c r="AV327" s="407"/>
      <c r="AW327" s="407"/>
      <c r="AX327" s="407"/>
      <c r="AY327" s="407"/>
      <c r="AZ327" s="407"/>
      <c r="BA327" s="407"/>
      <c r="BB327" s="407"/>
      <c r="BC327" s="407"/>
      <c r="BD327" s="407"/>
      <c r="BE327" s="407"/>
      <c r="BF327" s="407"/>
      <c r="BG327" s="407"/>
      <c r="BH327" s="407"/>
      <c r="BI327" s="407"/>
      <c r="BJ327" s="407"/>
      <c r="BK327" s="407"/>
      <c r="BL327" s="407"/>
      <c r="BM327" s="407"/>
      <c r="BN327" s="407"/>
      <c r="BO327" s="407"/>
      <c r="BP327" s="407"/>
      <c r="BQ327" s="407"/>
      <c r="BR327" s="407"/>
      <c r="BS327" s="407"/>
      <c r="BT327" s="407"/>
      <c r="BU327" s="407"/>
      <c r="BV327" s="407"/>
      <c r="BW327" s="407"/>
      <c r="BX327" s="407"/>
      <c r="BY327" s="407"/>
      <c r="BZ327" s="407"/>
      <c r="CA327" s="407"/>
      <c r="CB327" s="407"/>
      <c r="CC327" s="407"/>
      <c r="CD327" s="407"/>
      <c r="CE327" s="407"/>
      <c r="CF327" s="407"/>
    </row>
    <row r="328" spans="1:84">
      <c r="A328" s="407"/>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7"/>
      <c r="CD328" s="407"/>
      <c r="CE328" s="407"/>
      <c r="CF328" s="407"/>
    </row>
    <row r="329" spans="1:84">
      <c r="A329" s="407"/>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7"/>
      <c r="CD329" s="407"/>
      <c r="CE329" s="407"/>
      <c r="CF329" s="407"/>
    </row>
    <row r="330" spans="1:84">
      <c r="A330" s="407"/>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7"/>
      <c r="CD330" s="407"/>
      <c r="CE330" s="407"/>
      <c r="CF330" s="407"/>
    </row>
    <row r="331" spans="1:84">
      <c r="A331" s="407"/>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7"/>
      <c r="CD331" s="407"/>
      <c r="CE331" s="407"/>
      <c r="CF331" s="407"/>
    </row>
    <row r="332" spans="1:84">
      <c r="A332" s="407"/>
      <c r="B332" s="407"/>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7"/>
      <c r="CD332" s="407"/>
      <c r="CE332" s="407"/>
      <c r="CF332" s="407"/>
    </row>
    <row r="333" spans="1:84">
      <c r="A333" s="407"/>
      <c r="B333" s="407"/>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7"/>
      <c r="CD333" s="407"/>
      <c r="CE333" s="407"/>
      <c r="CF333" s="407"/>
    </row>
    <row r="334" spans="1:84">
      <c r="A334" s="407"/>
      <c r="B334" s="407"/>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7"/>
      <c r="CD334" s="407"/>
      <c r="CE334" s="407"/>
      <c r="CF334" s="407"/>
    </row>
    <row r="335" spans="1:84">
      <c r="A335" s="407"/>
      <c r="B335" s="407"/>
      <c r="C335" s="407"/>
      <c r="D335" s="407"/>
      <c r="E335" s="407"/>
      <c r="F335" s="407"/>
      <c r="G335" s="407"/>
      <c r="H335" s="407"/>
      <c r="I335" s="407"/>
      <c r="J335" s="407"/>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407"/>
      <c r="BX335" s="407"/>
      <c r="BY335" s="407"/>
      <c r="BZ335" s="407"/>
      <c r="CA335" s="407"/>
      <c r="CB335" s="407"/>
      <c r="CC335" s="407"/>
      <c r="CD335" s="407"/>
      <c r="CE335" s="407"/>
      <c r="CF335" s="407"/>
    </row>
    <row r="336" spans="1:84">
      <c r="A336" s="407"/>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407"/>
      <c r="AE336" s="407"/>
      <c r="AF336" s="407"/>
      <c r="AG336" s="407"/>
      <c r="AH336" s="407"/>
      <c r="AI336" s="407"/>
      <c r="AJ336" s="407"/>
      <c r="AK336" s="407"/>
      <c r="AL336" s="407"/>
      <c r="AM336" s="407"/>
      <c r="AN336" s="407"/>
      <c r="AO336" s="407"/>
      <c r="AP336" s="407"/>
      <c r="AQ336" s="407"/>
      <c r="AR336" s="407"/>
      <c r="AS336" s="407"/>
      <c r="AT336" s="407"/>
      <c r="AU336" s="407"/>
      <c r="AV336" s="407"/>
      <c r="AW336" s="407"/>
      <c r="AX336" s="407"/>
      <c r="AY336" s="407"/>
      <c r="AZ336" s="407"/>
      <c r="BA336" s="407"/>
      <c r="BB336" s="407"/>
      <c r="BC336" s="407"/>
      <c r="BD336" s="407"/>
      <c r="BE336" s="407"/>
      <c r="BF336" s="407"/>
      <c r="BG336" s="407"/>
      <c r="BH336" s="407"/>
      <c r="BI336" s="407"/>
      <c r="BJ336" s="407"/>
      <c r="BK336" s="407"/>
      <c r="BL336" s="407"/>
      <c r="BM336" s="407"/>
      <c r="BN336" s="407"/>
      <c r="BO336" s="407"/>
      <c r="BP336" s="407"/>
      <c r="BQ336" s="407"/>
      <c r="BR336" s="407"/>
      <c r="BS336" s="407"/>
      <c r="BT336" s="407"/>
      <c r="BU336" s="407"/>
      <c r="BV336" s="407"/>
      <c r="BW336" s="407"/>
      <c r="BX336" s="407"/>
      <c r="BY336" s="407"/>
      <c r="BZ336" s="407"/>
      <c r="CA336" s="407"/>
      <c r="CB336" s="407"/>
      <c r="CC336" s="407"/>
      <c r="CD336" s="407"/>
      <c r="CE336" s="407"/>
      <c r="CF336" s="407"/>
    </row>
    <row r="337" spans="1:84">
      <c r="A337" s="407"/>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407"/>
      <c r="AE337" s="407"/>
      <c r="AF337" s="407"/>
      <c r="AG337" s="407"/>
      <c r="AH337" s="407"/>
      <c r="AI337" s="407"/>
      <c r="AJ337" s="407"/>
      <c r="AK337" s="407"/>
      <c r="AL337" s="407"/>
      <c r="AM337" s="407"/>
      <c r="AN337" s="407"/>
      <c r="AO337" s="407"/>
      <c r="AP337" s="407"/>
      <c r="AQ337" s="407"/>
      <c r="AR337" s="407"/>
      <c r="AS337" s="407"/>
      <c r="AT337" s="407"/>
      <c r="AU337" s="407"/>
      <c r="AV337" s="407"/>
      <c r="AW337" s="407"/>
      <c r="AX337" s="407"/>
      <c r="AY337" s="407"/>
      <c r="AZ337" s="407"/>
      <c r="BA337" s="407"/>
      <c r="BB337" s="407"/>
      <c r="BC337" s="407"/>
      <c r="BD337" s="407"/>
      <c r="BE337" s="407"/>
      <c r="BF337" s="407"/>
      <c r="BG337" s="407"/>
      <c r="BH337" s="407"/>
      <c r="BI337" s="407"/>
      <c r="BJ337" s="407"/>
      <c r="BK337" s="407"/>
      <c r="BL337" s="407"/>
      <c r="BM337" s="407"/>
      <c r="BN337" s="407"/>
      <c r="BO337" s="407"/>
      <c r="BP337" s="407"/>
      <c r="BQ337" s="407"/>
      <c r="BR337" s="407"/>
      <c r="BS337" s="407"/>
      <c r="BT337" s="407"/>
      <c r="BU337" s="407"/>
      <c r="BV337" s="407"/>
      <c r="BW337" s="407"/>
      <c r="BX337" s="407"/>
      <c r="BY337" s="407"/>
      <c r="BZ337" s="407"/>
      <c r="CA337" s="407"/>
      <c r="CB337" s="407"/>
      <c r="CC337" s="407"/>
      <c r="CD337" s="407"/>
      <c r="CE337" s="407"/>
      <c r="CF337" s="407"/>
    </row>
    <row r="338" spans="1:84">
      <c r="A338" s="407"/>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7"/>
      <c r="AI338" s="407"/>
      <c r="AJ338" s="407"/>
      <c r="AK338" s="407"/>
      <c r="AL338" s="407"/>
      <c r="AM338" s="407"/>
      <c r="AN338" s="407"/>
      <c r="AO338" s="407"/>
      <c r="AP338" s="407"/>
      <c r="AQ338" s="407"/>
      <c r="AR338" s="407"/>
      <c r="AS338" s="407"/>
      <c r="AT338" s="407"/>
      <c r="AU338" s="407"/>
      <c r="AV338" s="407"/>
      <c r="AW338" s="407"/>
      <c r="AX338" s="407"/>
      <c r="AY338" s="407"/>
      <c r="AZ338" s="407"/>
      <c r="BA338" s="407"/>
      <c r="BB338" s="407"/>
      <c r="BC338" s="407"/>
      <c r="BD338" s="407"/>
      <c r="BE338" s="407"/>
      <c r="BF338" s="407"/>
      <c r="BG338" s="407"/>
      <c r="BH338" s="407"/>
      <c r="BI338" s="407"/>
      <c r="BJ338" s="407"/>
      <c r="BK338" s="407"/>
      <c r="BL338" s="407"/>
      <c r="BM338" s="407"/>
      <c r="BN338" s="407"/>
      <c r="BO338" s="407"/>
      <c r="BP338" s="407"/>
      <c r="BQ338" s="407"/>
      <c r="BR338" s="407"/>
      <c r="BS338" s="407"/>
      <c r="BT338" s="407"/>
      <c r="BU338" s="407"/>
      <c r="BV338" s="407"/>
      <c r="BW338" s="407"/>
      <c r="BX338" s="407"/>
      <c r="BY338" s="407"/>
      <c r="BZ338" s="407"/>
      <c r="CA338" s="407"/>
      <c r="CB338" s="407"/>
      <c r="CC338" s="407"/>
      <c r="CD338" s="407"/>
      <c r="CE338" s="407"/>
      <c r="CF338" s="407"/>
    </row>
    <row r="339" spans="1:84">
      <c r="A339" s="407"/>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c r="AA339" s="407"/>
      <c r="AB339" s="407"/>
      <c r="AC339" s="407"/>
      <c r="AD339" s="407"/>
      <c r="AE339" s="407"/>
      <c r="AF339" s="407"/>
      <c r="AG339" s="407"/>
      <c r="AH339" s="407"/>
      <c r="AI339" s="407"/>
      <c r="AJ339" s="407"/>
      <c r="AK339" s="407"/>
      <c r="AL339" s="407"/>
      <c r="AM339" s="407"/>
      <c r="AN339" s="407"/>
      <c r="AO339" s="407"/>
      <c r="AP339" s="407"/>
      <c r="AQ339" s="407"/>
      <c r="AR339" s="407"/>
      <c r="AS339" s="407"/>
      <c r="AT339" s="407"/>
      <c r="AU339" s="407"/>
      <c r="AV339" s="407"/>
      <c r="AW339" s="407"/>
      <c r="AX339" s="407"/>
      <c r="AY339" s="407"/>
      <c r="AZ339" s="407"/>
      <c r="BA339" s="407"/>
      <c r="BB339" s="407"/>
      <c r="BC339" s="407"/>
      <c r="BD339" s="407"/>
      <c r="BE339" s="407"/>
      <c r="BF339" s="407"/>
      <c r="BG339" s="407"/>
      <c r="BH339" s="407"/>
      <c r="BI339" s="407"/>
      <c r="BJ339" s="407"/>
      <c r="BK339" s="407"/>
      <c r="BL339" s="407"/>
      <c r="BM339" s="407"/>
      <c r="BN339" s="407"/>
      <c r="BO339" s="407"/>
      <c r="BP339" s="407"/>
      <c r="BQ339" s="407"/>
      <c r="BR339" s="407"/>
      <c r="BS339" s="407"/>
      <c r="BT339" s="407"/>
      <c r="BU339" s="407"/>
      <c r="BV339" s="407"/>
      <c r="BW339" s="407"/>
      <c r="BX339" s="407"/>
      <c r="BY339" s="407"/>
      <c r="BZ339" s="407"/>
      <c r="CA339" s="407"/>
      <c r="CB339" s="407"/>
      <c r="CC339" s="407"/>
      <c r="CD339" s="407"/>
      <c r="CE339" s="407"/>
      <c r="CF339" s="407"/>
    </row>
    <row r="340" spans="1:84">
      <c r="A340" s="407"/>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c r="AA340" s="407"/>
      <c r="AB340" s="407"/>
      <c r="AC340" s="407"/>
      <c r="AD340" s="407"/>
      <c r="AE340" s="407"/>
      <c r="AF340" s="407"/>
      <c r="AG340" s="407"/>
      <c r="AH340" s="407"/>
      <c r="AI340" s="407"/>
      <c r="AJ340" s="407"/>
      <c r="AK340" s="407"/>
      <c r="AL340" s="407"/>
      <c r="AM340" s="407"/>
      <c r="AN340" s="407"/>
      <c r="AO340" s="407"/>
      <c r="AP340" s="407"/>
      <c r="AQ340" s="407"/>
      <c r="AR340" s="407"/>
      <c r="AS340" s="407"/>
      <c r="AT340" s="407"/>
      <c r="AU340" s="407"/>
      <c r="AV340" s="407"/>
      <c r="AW340" s="407"/>
      <c r="AX340" s="407"/>
      <c r="AY340" s="407"/>
      <c r="AZ340" s="407"/>
      <c r="BA340" s="407"/>
      <c r="BB340" s="407"/>
      <c r="BC340" s="407"/>
      <c r="BD340" s="407"/>
      <c r="BE340" s="407"/>
      <c r="BF340" s="407"/>
      <c r="BG340" s="407"/>
      <c r="BH340" s="407"/>
      <c r="BI340" s="407"/>
      <c r="BJ340" s="407"/>
      <c r="BK340" s="407"/>
      <c r="BL340" s="407"/>
      <c r="BM340" s="407"/>
      <c r="BN340" s="407"/>
      <c r="BO340" s="407"/>
      <c r="BP340" s="407"/>
      <c r="BQ340" s="407"/>
      <c r="BR340" s="407"/>
      <c r="BS340" s="407"/>
      <c r="BT340" s="407"/>
      <c r="BU340" s="407"/>
      <c r="BV340" s="407"/>
      <c r="BW340" s="407"/>
      <c r="BX340" s="407"/>
      <c r="BY340" s="407"/>
      <c r="BZ340" s="407"/>
      <c r="CA340" s="407"/>
      <c r="CB340" s="407"/>
      <c r="CC340" s="407"/>
      <c r="CD340" s="407"/>
      <c r="CE340" s="407"/>
      <c r="CF340" s="407"/>
    </row>
    <row r="341" spans="1:84">
      <c r="A341" s="407"/>
      <c r="B341" s="407"/>
      <c r="C341" s="407"/>
      <c r="D341" s="407"/>
      <c r="E341" s="407"/>
      <c r="F341" s="407"/>
      <c r="G341" s="407"/>
      <c r="H341" s="407"/>
      <c r="I341" s="407"/>
      <c r="J341" s="407"/>
      <c r="K341" s="407"/>
      <c r="L341" s="407"/>
      <c r="M341" s="407"/>
      <c r="N341" s="407"/>
      <c r="O341" s="407"/>
      <c r="P341" s="407"/>
      <c r="Q341" s="407"/>
      <c r="R341" s="407"/>
      <c r="S341" s="407"/>
      <c r="T341" s="407"/>
      <c r="U341" s="407"/>
      <c r="V341" s="407"/>
      <c r="W341" s="407"/>
      <c r="X341" s="407"/>
      <c r="Y341" s="407"/>
      <c r="Z341" s="407"/>
      <c r="AA341" s="407"/>
      <c r="AB341" s="407"/>
      <c r="AC341" s="407"/>
      <c r="AD341" s="407"/>
      <c r="AE341" s="407"/>
      <c r="AF341" s="407"/>
      <c r="AG341" s="407"/>
      <c r="AH341" s="407"/>
      <c r="AI341" s="407"/>
      <c r="AJ341" s="407"/>
      <c r="AK341" s="407"/>
      <c r="AL341" s="407"/>
      <c r="AM341" s="407"/>
      <c r="AN341" s="407"/>
      <c r="AO341" s="407"/>
      <c r="AP341" s="407"/>
      <c r="AQ341" s="407"/>
      <c r="AR341" s="407"/>
      <c r="AS341" s="407"/>
      <c r="AT341" s="407"/>
      <c r="AU341" s="407"/>
      <c r="AV341" s="407"/>
      <c r="AW341" s="407"/>
      <c r="AX341" s="407"/>
      <c r="AY341" s="407"/>
      <c r="AZ341" s="407"/>
      <c r="BA341" s="407"/>
      <c r="BB341" s="407"/>
      <c r="BC341" s="407"/>
      <c r="BD341" s="407"/>
      <c r="BE341" s="407"/>
      <c r="BF341" s="407"/>
      <c r="BG341" s="407"/>
      <c r="BH341" s="407"/>
      <c r="BI341" s="407"/>
      <c r="BJ341" s="407"/>
      <c r="BK341" s="407"/>
      <c r="BL341" s="407"/>
      <c r="BM341" s="407"/>
      <c r="BN341" s="407"/>
      <c r="BO341" s="407"/>
      <c r="BP341" s="407"/>
      <c r="BQ341" s="407"/>
      <c r="BR341" s="407"/>
      <c r="BS341" s="407"/>
      <c r="BT341" s="407"/>
      <c r="BU341" s="407"/>
      <c r="BV341" s="407"/>
      <c r="BW341" s="407"/>
      <c r="BX341" s="407"/>
      <c r="BY341" s="407"/>
      <c r="BZ341" s="407"/>
      <c r="CA341" s="407"/>
      <c r="CB341" s="407"/>
      <c r="CC341" s="407"/>
      <c r="CD341" s="407"/>
      <c r="CE341" s="407"/>
      <c r="CF341" s="407"/>
    </row>
    <row r="342" spans="1:84">
      <c r="A342" s="407"/>
      <c r="B342" s="407"/>
      <c r="C342" s="407"/>
      <c r="D342" s="407"/>
      <c r="E342" s="407"/>
      <c r="F342" s="407"/>
      <c r="G342" s="407"/>
      <c r="H342" s="407"/>
      <c r="I342" s="407"/>
      <c r="J342" s="407"/>
      <c r="K342" s="407"/>
      <c r="L342" s="407"/>
      <c r="M342" s="407"/>
      <c r="N342" s="407"/>
      <c r="O342" s="407"/>
      <c r="P342" s="407"/>
      <c r="Q342" s="407"/>
      <c r="R342" s="407"/>
      <c r="S342" s="407"/>
      <c r="T342" s="407"/>
      <c r="U342" s="407"/>
      <c r="V342" s="407"/>
      <c r="W342" s="407"/>
      <c r="X342" s="407"/>
      <c r="Y342" s="407"/>
      <c r="Z342" s="407"/>
      <c r="AA342" s="407"/>
      <c r="AB342" s="407"/>
      <c r="AC342" s="407"/>
      <c r="AD342" s="407"/>
      <c r="AE342" s="407"/>
      <c r="AF342" s="407"/>
      <c r="AG342" s="407"/>
      <c r="AH342" s="407"/>
      <c r="AI342" s="407"/>
      <c r="AJ342" s="407"/>
      <c r="AK342" s="407"/>
      <c r="AL342" s="407"/>
      <c r="AM342" s="407"/>
      <c r="AN342" s="407"/>
      <c r="AO342" s="407"/>
      <c r="AP342" s="407"/>
      <c r="AQ342" s="407"/>
      <c r="AR342" s="407"/>
      <c r="AS342" s="407"/>
      <c r="AT342" s="407"/>
      <c r="AU342" s="407"/>
      <c r="AV342" s="407"/>
      <c r="AW342" s="407"/>
      <c r="AX342" s="407"/>
      <c r="AY342" s="407"/>
      <c r="AZ342" s="407"/>
      <c r="BA342" s="407"/>
      <c r="BB342" s="407"/>
      <c r="BC342" s="407"/>
      <c r="BD342" s="407"/>
      <c r="BE342" s="407"/>
      <c r="BF342" s="407"/>
      <c r="BG342" s="407"/>
      <c r="BH342" s="407"/>
      <c r="BI342" s="407"/>
      <c r="BJ342" s="407"/>
      <c r="BK342" s="407"/>
      <c r="BL342" s="407"/>
      <c r="BM342" s="407"/>
      <c r="BN342" s="407"/>
      <c r="BO342" s="407"/>
      <c r="BP342" s="407"/>
      <c r="BQ342" s="407"/>
      <c r="BR342" s="407"/>
      <c r="BS342" s="407"/>
      <c r="BT342" s="407"/>
      <c r="BU342" s="407"/>
      <c r="BV342" s="407"/>
      <c r="BW342" s="407"/>
      <c r="BX342" s="407"/>
      <c r="BY342" s="407"/>
      <c r="BZ342" s="407"/>
      <c r="CA342" s="407"/>
      <c r="CB342" s="407"/>
      <c r="CC342" s="407"/>
      <c r="CD342" s="407"/>
      <c r="CE342" s="407"/>
      <c r="CF342" s="407"/>
    </row>
    <row r="343" spans="1:84">
      <c r="A343" s="407"/>
      <c r="B343" s="407"/>
      <c r="C343" s="407"/>
      <c r="D343" s="407"/>
      <c r="E343" s="407"/>
      <c r="F343" s="407"/>
      <c r="G343" s="407"/>
      <c r="H343" s="407"/>
      <c r="I343" s="407"/>
      <c r="J343" s="407"/>
      <c r="K343" s="407"/>
      <c r="L343" s="407"/>
      <c r="M343" s="407"/>
      <c r="N343" s="407"/>
      <c r="O343" s="407"/>
      <c r="P343" s="407"/>
      <c r="Q343" s="407"/>
      <c r="R343" s="407"/>
      <c r="S343" s="407"/>
      <c r="T343" s="407"/>
      <c r="U343" s="407"/>
      <c r="V343" s="407"/>
      <c r="W343" s="407"/>
      <c r="X343" s="407"/>
      <c r="Y343" s="407"/>
      <c r="Z343" s="407"/>
      <c r="AA343" s="407"/>
      <c r="AB343" s="407"/>
      <c r="AC343" s="407"/>
      <c r="AD343" s="407"/>
      <c r="AE343" s="407"/>
      <c r="AF343" s="407"/>
      <c r="AG343" s="407"/>
      <c r="AH343" s="407"/>
      <c r="AI343" s="407"/>
      <c r="AJ343" s="407"/>
      <c r="AK343" s="407"/>
      <c r="AL343" s="407"/>
      <c r="AM343" s="407"/>
      <c r="AN343" s="407"/>
      <c r="AO343" s="407"/>
      <c r="AP343" s="407"/>
      <c r="AQ343" s="407"/>
      <c r="AR343" s="407"/>
      <c r="AS343" s="407"/>
      <c r="AT343" s="407"/>
      <c r="AU343" s="407"/>
      <c r="AV343" s="407"/>
      <c r="AW343" s="407"/>
      <c r="AX343" s="407"/>
      <c r="AY343" s="407"/>
      <c r="AZ343" s="407"/>
      <c r="BA343" s="407"/>
      <c r="BB343" s="407"/>
      <c r="BC343" s="407"/>
      <c r="BD343" s="407"/>
      <c r="BE343" s="407"/>
      <c r="BF343" s="407"/>
      <c r="BG343" s="407"/>
      <c r="BH343" s="407"/>
      <c r="BI343" s="407"/>
      <c r="BJ343" s="407"/>
      <c r="BK343" s="407"/>
      <c r="BL343" s="407"/>
      <c r="BM343" s="407"/>
      <c r="BN343" s="407"/>
      <c r="BO343" s="407"/>
      <c r="BP343" s="407"/>
      <c r="BQ343" s="407"/>
      <c r="BR343" s="407"/>
      <c r="BS343" s="407"/>
      <c r="BT343" s="407"/>
      <c r="BU343" s="407"/>
      <c r="BV343" s="407"/>
      <c r="BW343" s="407"/>
      <c r="BX343" s="407"/>
      <c r="BY343" s="407"/>
      <c r="BZ343" s="407"/>
      <c r="CA343" s="407"/>
      <c r="CB343" s="407"/>
      <c r="CC343" s="407"/>
      <c r="CD343" s="407"/>
      <c r="CE343" s="407"/>
      <c r="CF343" s="407"/>
    </row>
    <row r="344" spans="1:84">
      <c r="A344" s="407"/>
      <c r="B344" s="407"/>
      <c r="C344" s="407"/>
      <c r="D344" s="407"/>
      <c r="E344" s="407"/>
      <c r="F344" s="407"/>
      <c r="G344" s="407"/>
      <c r="H344" s="407"/>
      <c r="I344" s="407"/>
      <c r="J344" s="407"/>
      <c r="K344" s="407"/>
      <c r="L344" s="407"/>
      <c r="M344" s="407"/>
      <c r="N344" s="407"/>
      <c r="O344" s="407"/>
      <c r="P344" s="407"/>
      <c r="Q344" s="407"/>
      <c r="R344" s="407"/>
      <c r="S344" s="407"/>
      <c r="T344" s="407"/>
      <c r="U344" s="407"/>
      <c r="V344" s="407"/>
      <c r="W344" s="407"/>
      <c r="X344" s="407"/>
      <c r="Y344" s="407"/>
      <c r="Z344" s="407"/>
      <c r="AA344" s="407"/>
      <c r="AB344" s="407"/>
      <c r="AC344" s="407"/>
      <c r="AD344" s="407"/>
      <c r="AE344" s="407"/>
      <c r="AF344" s="407"/>
      <c r="AG344" s="407"/>
      <c r="AH344" s="407"/>
      <c r="AI344" s="407"/>
      <c r="AJ344" s="407"/>
      <c r="AK344" s="407"/>
      <c r="AL344" s="407"/>
      <c r="AM344" s="407"/>
      <c r="AN344" s="407"/>
      <c r="AO344" s="407"/>
      <c r="AP344" s="407"/>
      <c r="AQ344" s="407"/>
      <c r="AR344" s="407"/>
      <c r="AS344" s="407"/>
      <c r="AT344" s="407"/>
      <c r="AU344" s="407"/>
      <c r="AV344" s="407"/>
      <c r="AW344" s="407"/>
      <c r="AX344" s="407"/>
      <c r="AY344" s="407"/>
      <c r="AZ344" s="407"/>
      <c r="BA344" s="407"/>
      <c r="BB344" s="407"/>
      <c r="BC344" s="407"/>
      <c r="BD344" s="407"/>
      <c r="BE344" s="407"/>
      <c r="BF344" s="407"/>
      <c r="BG344" s="407"/>
      <c r="BH344" s="407"/>
      <c r="BI344" s="407"/>
      <c r="BJ344" s="407"/>
      <c r="BK344" s="407"/>
      <c r="BL344" s="407"/>
      <c r="BM344" s="407"/>
      <c r="BN344" s="407"/>
      <c r="BO344" s="407"/>
      <c r="BP344" s="407"/>
      <c r="BQ344" s="407"/>
      <c r="BR344" s="407"/>
      <c r="BS344" s="407"/>
      <c r="BT344" s="407"/>
      <c r="BU344" s="407"/>
      <c r="BV344" s="407"/>
      <c r="BW344" s="407"/>
      <c r="BX344" s="407"/>
      <c r="BY344" s="407"/>
      <c r="BZ344" s="407"/>
      <c r="CA344" s="407"/>
      <c r="CB344" s="407"/>
      <c r="CC344" s="407"/>
      <c r="CD344" s="407"/>
      <c r="CE344" s="407"/>
      <c r="CF344" s="407"/>
    </row>
    <row r="345" spans="1:84">
      <c r="A345" s="407"/>
      <c r="B345" s="407"/>
      <c r="C345" s="407"/>
      <c r="D345" s="407"/>
      <c r="E345" s="407"/>
      <c r="F345" s="407"/>
      <c r="G345" s="407"/>
      <c r="H345" s="407"/>
      <c r="I345" s="407"/>
      <c r="J345" s="407"/>
      <c r="K345" s="407"/>
      <c r="L345" s="407"/>
      <c r="M345" s="407"/>
      <c r="N345" s="407"/>
      <c r="O345" s="407"/>
      <c r="P345" s="407"/>
      <c r="Q345" s="407"/>
      <c r="R345" s="407"/>
      <c r="S345" s="407"/>
      <c r="T345" s="407"/>
      <c r="U345" s="407"/>
      <c r="V345" s="407"/>
      <c r="W345" s="407"/>
      <c r="X345" s="407"/>
      <c r="Y345" s="407"/>
      <c r="Z345" s="407"/>
      <c r="AA345" s="407"/>
      <c r="AB345" s="407"/>
      <c r="AC345" s="407"/>
      <c r="AD345" s="407"/>
      <c r="AE345" s="407"/>
      <c r="AF345" s="407"/>
      <c r="AG345" s="407"/>
      <c r="AH345" s="407"/>
      <c r="AI345" s="407"/>
      <c r="AJ345" s="407"/>
      <c r="AK345" s="407"/>
      <c r="AL345" s="407"/>
      <c r="AM345" s="407"/>
      <c r="AN345" s="407"/>
      <c r="AO345" s="407"/>
      <c r="AP345" s="407"/>
      <c r="AQ345" s="407"/>
      <c r="AR345" s="407"/>
      <c r="AS345" s="407"/>
      <c r="AT345" s="407"/>
      <c r="AU345" s="407"/>
      <c r="AV345" s="407"/>
      <c r="AW345" s="407"/>
      <c r="AX345" s="407"/>
      <c r="AY345" s="407"/>
      <c r="AZ345" s="407"/>
      <c r="BA345" s="407"/>
      <c r="BB345" s="407"/>
      <c r="BC345" s="407"/>
      <c r="BD345" s="407"/>
      <c r="BE345" s="407"/>
      <c r="BF345" s="407"/>
      <c r="BG345" s="407"/>
      <c r="BH345" s="407"/>
      <c r="BI345" s="407"/>
      <c r="BJ345" s="407"/>
      <c r="BK345" s="407"/>
      <c r="BL345" s="407"/>
      <c r="BM345" s="407"/>
      <c r="BN345" s="407"/>
      <c r="BO345" s="407"/>
      <c r="BP345" s="407"/>
      <c r="BQ345" s="407"/>
      <c r="BR345" s="407"/>
      <c r="BS345" s="407"/>
      <c r="BT345" s="407"/>
      <c r="BU345" s="407"/>
      <c r="BV345" s="407"/>
      <c r="BW345" s="407"/>
      <c r="BX345" s="407"/>
      <c r="BY345" s="407"/>
      <c r="BZ345" s="407"/>
      <c r="CA345" s="407"/>
      <c r="CB345" s="407"/>
      <c r="CC345" s="407"/>
      <c r="CD345" s="407"/>
      <c r="CE345" s="407"/>
      <c r="CF345" s="407"/>
    </row>
    <row r="346" spans="1:84">
      <c r="A346" s="407"/>
      <c r="B346" s="407"/>
      <c r="C346" s="407"/>
      <c r="D346" s="407"/>
      <c r="E346" s="407"/>
      <c r="F346" s="407"/>
      <c r="G346" s="407"/>
      <c r="H346" s="407"/>
      <c r="I346" s="407"/>
      <c r="J346" s="407"/>
      <c r="K346" s="407"/>
      <c r="L346" s="407"/>
      <c r="M346" s="407"/>
      <c r="N346" s="407"/>
      <c r="O346" s="407"/>
      <c r="P346" s="407"/>
      <c r="Q346" s="407"/>
      <c r="R346" s="407"/>
      <c r="S346" s="407"/>
      <c r="T346" s="407"/>
      <c r="U346" s="407"/>
      <c r="V346" s="407"/>
      <c r="W346" s="407"/>
      <c r="X346" s="407"/>
      <c r="Y346" s="407"/>
      <c r="Z346" s="407"/>
      <c r="AA346" s="407"/>
      <c r="AB346" s="407"/>
      <c r="AC346" s="407"/>
      <c r="AD346" s="407"/>
      <c r="AE346" s="407"/>
      <c r="AF346" s="407"/>
      <c r="AG346" s="407"/>
      <c r="AH346" s="407"/>
      <c r="AI346" s="407"/>
      <c r="AJ346" s="407"/>
      <c r="AK346" s="407"/>
      <c r="AL346" s="407"/>
      <c r="AM346" s="407"/>
      <c r="AN346" s="407"/>
      <c r="AO346" s="407"/>
      <c r="AP346" s="407"/>
      <c r="AQ346" s="407"/>
      <c r="AR346" s="407"/>
      <c r="AS346" s="407"/>
      <c r="AT346" s="407"/>
      <c r="AU346" s="407"/>
      <c r="AV346" s="407"/>
      <c r="AW346" s="407"/>
      <c r="AX346" s="407"/>
      <c r="AY346" s="407"/>
      <c r="AZ346" s="407"/>
      <c r="BA346" s="407"/>
      <c r="BB346" s="407"/>
      <c r="BC346" s="407"/>
      <c r="BD346" s="407"/>
      <c r="BE346" s="407"/>
      <c r="BF346" s="407"/>
      <c r="BG346" s="407"/>
      <c r="BH346" s="407"/>
      <c r="BI346" s="407"/>
      <c r="BJ346" s="407"/>
      <c r="BK346" s="407"/>
      <c r="BL346" s="407"/>
      <c r="BM346" s="407"/>
      <c r="BN346" s="407"/>
      <c r="BO346" s="407"/>
      <c r="BP346" s="407"/>
      <c r="BQ346" s="407"/>
      <c r="BR346" s="407"/>
      <c r="BS346" s="407"/>
      <c r="BT346" s="407"/>
      <c r="BU346" s="407"/>
      <c r="BV346" s="407"/>
      <c r="BW346" s="407"/>
      <c r="BX346" s="407"/>
      <c r="BY346" s="407"/>
      <c r="BZ346" s="407"/>
      <c r="CA346" s="407"/>
      <c r="CB346" s="407"/>
      <c r="CC346" s="407"/>
      <c r="CD346" s="407"/>
      <c r="CE346" s="407"/>
      <c r="CF346" s="407"/>
    </row>
    <row r="347" spans="1:84">
      <c r="A347" s="407"/>
      <c r="B347" s="407"/>
      <c r="C347" s="407"/>
      <c r="D347" s="407"/>
      <c r="E347" s="407"/>
      <c r="F347" s="407"/>
      <c r="G347" s="407"/>
      <c r="H347" s="407"/>
      <c r="I347" s="407"/>
      <c r="J347" s="407"/>
      <c r="K347" s="407"/>
      <c r="L347" s="407"/>
      <c r="M347" s="407"/>
      <c r="N347" s="407"/>
      <c r="O347" s="407"/>
      <c r="P347" s="407"/>
      <c r="Q347" s="407"/>
      <c r="R347" s="407"/>
      <c r="S347" s="407"/>
      <c r="T347" s="407"/>
      <c r="U347" s="407"/>
      <c r="V347" s="407"/>
      <c r="W347" s="407"/>
      <c r="X347" s="407"/>
      <c r="Y347" s="407"/>
      <c r="Z347" s="407"/>
      <c r="AA347" s="407"/>
      <c r="AB347" s="407"/>
      <c r="AC347" s="407"/>
      <c r="AD347" s="407"/>
      <c r="AE347" s="407"/>
      <c r="AF347" s="407"/>
      <c r="AG347" s="407"/>
      <c r="AH347" s="407"/>
      <c r="AI347" s="407"/>
      <c r="AJ347" s="407"/>
      <c r="AK347" s="407"/>
      <c r="AL347" s="407"/>
      <c r="AM347" s="407"/>
      <c r="AN347" s="407"/>
      <c r="AO347" s="407"/>
      <c r="AP347" s="407"/>
      <c r="AQ347" s="407"/>
      <c r="AR347" s="407"/>
      <c r="AS347" s="407"/>
      <c r="AT347" s="407"/>
      <c r="AU347" s="407"/>
      <c r="AV347" s="407"/>
      <c r="AW347" s="407"/>
      <c r="AX347" s="407"/>
      <c r="AY347" s="407"/>
      <c r="AZ347" s="407"/>
      <c r="BA347" s="407"/>
      <c r="BB347" s="407"/>
      <c r="BC347" s="407"/>
      <c r="BD347" s="407"/>
      <c r="BE347" s="407"/>
      <c r="BF347" s="407"/>
      <c r="BG347" s="407"/>
      <c r="BH347" s="407"/>
      <c r="BI347" s="407"/>
      <c r="BJ347" s="407"/>
      <c r="BK347" s="407"/>
      <c r="BL347" s="407"/>
      <c r="BM347" s="407"/>
      <c r="BN347" s="407"/>
      <c r="BO347" s="407"/>
      <c r="BP347" s="407"/>
      <c r="BQ347" s="407"/>
      <c r="BR347" s="407"/>
      <c r="BS347" s="407"/>
      <c r="BT347" s="407"/>
      <c r="BU347" s="407"/>
      <c r="BV347" s="407"/>
      <c r="BW347" s="407"/>
      <c r="BX347" s="407"/>
      <c r="BY347" s="407"/>
      <c r="BZ347" s="407"/>
      <c r="CA347" s="407"/>
      <c r="CB347" s="407"/>
      <c r="CC347" s="407"/>
      <c r="CD347" s="407"/>
      <c r="CE347" s="407"/>
      <c r="CF347" s="407"/>
    </row>
    <row r="348" spans="1:84">
      <c r="A348" s="407"/>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c r="AA348" s="407"/>
      <c r="AB348" s="407"/>
      <c r="AC348" s="407"/>
      <c r="AD348" s="407"/>
      <c r="AE348" s="407"/>
      <c r="AF348" s="407"/>
      <c r="AG348" s="407"/>
      <c r="AH348" s="407"/>
      <c r="AI348" s="407"/>
      <c r="AJ348" s="407"/>
      <c r="AK348" s="407"/>
      <c r="AL348" s="407"/>
      <c r="AM348" s="407"/>
      <c r="AN348" s="407"/>
      <c r="AO348" s="407"/>
      <c r="AP348" s="407"/>
      <c r="AQ348" s="407"/>
      <c r="AR348" s="407"/>
      <c r="AS348" s="407"/>
      <c r="AT348" s="407"/>
      <c r="AU348" s="407"/>
      <c r="AV348" s="407"/>
      <c r="AW348" s="407"/>
      <c r="AX348" s="407"/>
      <c r="AY348" s="407"/>
      <c r="AZ348" s="407"/>
      <c r="BA348" s="407"/>
      <c r="BB348" s="407"/>
      <c r="BC348" s="407"/>
      <c r="BD348" s="407"/>
      <c r="BE348" s="407"/>
      <c r="BF348" s="407"/>
      <c r="BG348" s="407"/>
      <c r="BH348" s="407"/>
      <c r="BI348" s="407"/>
      <c r="BJ348" s="407"/>
      <c r="BK348" s="407"/>
      <c r="BL348" s="407"/>
      <c r="BM348" s="407"/>
      <c r="BN348" s="407"/>
      <c r="BO348" s="407"/>
      <c r="BP348" s="407"/>
      <c r="BQ348" s="407"/>
      <c r="BR348" s="407"/>
      <c r="BS348" s="407"/>
      <c r="BT348" s="407"/>
      <c r="BU348" s="407"/>
      <c r="BV348" s="407"/>
      <c r="BW348" s="407"/>
      <c r="BX348" s="407"/>
      <c r="BY348" s="407"/>
      <c r="BZ348" s="407"/>
      <c r="CA348" s="407"/>
      <c r="CB348" s="407"/>
      <c r="CC348" s="407"/>
      <c r="CD348" s="407"/>
      <c r="CE348" s="407"/>
      <c r="CF348" s="407"/>
    </row>
    <row r="349" spans="1:84">
      <c r="A349" s="407"/>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407"/>
      <c r="AE349" s="407"/>
      <c r="AF349" s="407"/>
      <c r="AG349" s="407"/>
      <c r="AH349" s="407"/>
      <c r="AI349" s="407"/>
      <c r="AJ349" s="407"/>
      <c r="AK349" s="407"/>
      <c r="AL349" s="407"/>
      <c r="AM349" s="407"/>
      <c r="AN349" s="407"/>
      <c r="AO349" s="407"/>
      <c r="AP349" s="407"/>
      <c r="AQ349" s="407"/>
      <c r="AR349" s="407"/>
      <c r="AS349" s="407"/>
      <c r="AT349" s="407"/>
      <c r="AU349" s="407"/>
      <c r="AV349" s="407"/>
      <c r="AW349" s="407"/>
      <c r="AX349" s="407"/>
      <c r="AY349" s="407"/>
      <c r="AZ349" s="407"/>
      <c r="BA349" s="407"/>
      <c r="BB349" s="407"/>
      <c r="BC349" s="407"/>
      <c r="BD349" s="407"/>
      <c r="BE349" s="407"/>
      <c r="BF349" s="407"/>
      <c r="BG349" s="407"/>
      <c r="BH349" s="407"/>
      <c r="BI349" s="407"/>
      <c r="BJ349" s="407"/>
      <c r="BK349" s="407"/>
      <c r="BL349" s="407"/>
      <c r="BM349" s="407"/>
      <c r="BN349" s="407"/>
      <c r="BO349" s="407"/>
      <c r="BP349" s="407"/>
      <c r="BQ349" s="407"/>
      <c r="BR349" s="407"/>
      <c r="BS349" s="407"/>
      <c r="BT349" s="407"/>
      <c r="BU349" s="407"/>
      <c r="BV349" s="407"/>
      <c r="BW349" s="407"/>
      <c r="BX349" s="407"/>
      <c r="BY349" s="407"/>
      <c r="BZ349" s="407"/>
      <c r="CA349" s="407"/>
      <c r="CB349" s="407"/>
      <c r="CC349" s="407"/>
      <c r="CD349" s="407"/>
      <c r="CE349" s="407"/>
      <c r="CF349" s="407"/>
    </row>
    <row r="350" spans="1:84">
      <c r="A350" s="407"/>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c r="AA350" s="407"/>
      <c r="AB350" s="407"/>
      <c r="AC350" s="407"/>
      <c r="AD350" s="407"/>
      <c r="AE350" s="407"/>
      <c r="AF350" s="407"/>
      <c r="AG350" s="407"/>
      <c r="AH350" s="407"/>
      <c r="AI350" s="407"/>
      <c r="AJ350" s="407"/>
      <c r="AK350" s="407"/>
      <c r="AL350" s="407"/>
      <c r="AM350" s="407"/>
      <c r="AN350" s="407"/>
      <c r="AO350" s="407"/>
      <c r="AP350" s="407"/>
      <c r="AQ350" s="407"/>
      <c r="AR350" s="407"/>
      <c r="AS350" s="407"/>
      <c r="AT350" s="407"/>
      <c r="AU350" s="407"/>
      <c r="AV350" s="407"/>
      <c r="AW350" s="407"/>
      <c r="AX350" s="407"/>
      <c r="AY350" s="407"/>
      <c r="AZ350" s="407"/>
      <c r="BA350" s="407"/>
      <c r="BB350" s="407"/>
      <c r="BC350" s="407"/>
      <c r="BD350" s="407"/>
      <c r="BE350" s="407"/>
      <c r="BF350" s="407"/>
      <c r="BG350" s="407"/>
      <c r="BH350" s="407"/>
      <c r="BI350" s="407"/>
      <c r="BJ350" s="407"/>
      <c r="BK350" s="407"/>
      <c r="BL350" s="407"/>
      <c r="BM350" s="407"/>
      <c r="BN350" s="407"/>
      <c r="BO350" s="407"/>
      <c r="BP350" s="407"/>
      <c r="BQ350" s="407"/>
      <c r="BR350" s="407"/>
      <c r="BS350" s="407"/>
      <c r="BT350" s="407"/>
      <c r="BU350" s="407"/>
      <c r="BV350" s="407"/>
      <c r="BW350" s="407"/>
      <c r="BX350" s="407"/>
      <c r="BY350" s="407"/>
      <c r="BZ350" s="407"/>
      <c r="CA350" s="407"/>
      <c r="CB350" s="407"/>
      <c r="CC350" s="407"/>
      <c r="CD350" s="407"/>
      <c r="CE350" s="407"/>
      <c r="CF350" s="407"/>
    </row>
    <row r="351" spans="1:84">
      <c r="A351" s="407"/>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407"/>
      <c r="AE351" s="407"/>
      <c r="AF351" s="407"/>
      <c r="AG351" s="407"/>
      <c r="AH351" s="407"/>
      <c r="AI351" s="407"/>
      <c r="AJ351" s="407"/>
      <c r="AK351" s="407"/>
      <c r="AL351" s="407"/>
      <c r="AM351" s="407"/>
      <c r="AN351" s="407"/>
      <c r="AO351" s="407"/>
      <c r="AP351" s="407"/>
      <c r="AQ351" s="407"/>
      <c r="AR351" s="407"/>
      <c r="AS351" s="407"/>
      <c r="AT351" s="407"/>
      <c r="AU351" s="407"/>
      <c r="AV351" s="407"/>
      <c r="AW351" s="407"/>
      <c r="AX351" s="407"/>
      <c r="AY351" s="407"/>
      <c r="AZ351" s="407"/>
      <c r="BA351" s="407"/>
      <c r="BB351" s="407"/>
      <c r="BC351" s="407"/>
      <c r="BD351" s="407"/>
      <c r="BE351" s="407"/>
      <c r="BF351" s="407"/>
      <c r="BG351" s="407"/>
      <c r="BH351" s="407"/>
      <c r="BI351" s="407"/>
      <c r="BJ351" s="407"/>
      <c r="BK351" s="407"/>
      <c r="BL351" s="407"/>
      <c r="BM351" s="407"/>
      <c r="BN351" s="407"/>
      <c r="BO351" s="407"/>
      <c r="BP351" s="407"/>
      <c r="BQ351" s="407"/>
      <c r="BR351" s="407"/>
      <c r="BS351" s="407"/>
      <c r="BT351" s="407"/>
      <c r="BU351" s="407"/>
      <c r="BV351" s="407"/>
      <c r="BW351" s="407"/>
      <c r="BX351" s="407"/>
      <c r="BY351" s="407"/>
      <c r="BZ351" s="407"/>
      <c r="CA351" s="407"/>
      <c r="CB351" s="407"/>
      <c r="CC351" s="407"/>
      <c r="CD351" s="407"/>
      <c r="CE351" s="407"/>
      <c r="CF351" s="407"/>
    </row>
    <row r="352" spans="1:84">
      <c r="A352" s="407"/>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c r="AA352" s="407"/>
      <c r="AB352" s="407"/>
      <c r="AC352" s="407"/>
      <c r="AD352" s="407"/>
      <c r="AE352" s="407"/>
      <c r="AF352" s="407"/>
      <c r="AG352" s="407"/>
      <c r="AH352" s="407"/>
      <c r="AI352" s="407"/>
      <c r="AJ352" s="407"/>
      <c r="AK352" s="407"/>
      <c r="AL352" s="407"/>
      <c r="AM352" s="407"/>
      <c r="AN352" s="407"/>
      <c r="AO352" s="407"/>
      <c r="AP352" s="407"/>
      <c r="AQ352" s="407"/>
      <c r="AR352" s="407"/>
      <c r="AS352" s="407"/>
      <c r="AT352" s="407"/>
      <c r="AU352" s="407"/>
      <c r="AV352" s="407"/>
      <c r="AW352" s="407"/>
      <c r="AX352" s="407"/>
      <c r="AY352" s="407"/>
      <c r="AZ352" s="407"/>
      <c r="BA352" s="407"/>
      <c r="BB352" s="407"/>
      <c r="BC352" s="407"/>
      <c r="BD352" s="407"/>
      <c r="BE352" s="407"/>
      <c r="BF352" s="407"/>
      <c r="BG352" s="407"/>
      <c r="BH352" s="407"/>
      <c r="BI352" s="407"/>
      <c r="BJ352" s="407"/>
      <c r="BK352" s="407"/>
      <c r="BL352" s="407"/>
      <c r="BM352" s="407"/>
      <c r="BN352" s="407"/>
      <c r="BO352" s="407"/>
      <c r="BP352" s="407"/>
      <c r="BQ352" s="407"/>
      <c r="BR352" s="407"/>
      <c r="BS352" s="407"/>
      <c r="BT352" s="407"/>
      <c r="BU352" s="407"/>
      <c r="BV352" s="407"/>
      <c r="BW352" s="407"/>
      <c r="BX352" s="407"/>
      <c r="BY352" s="407"/>
      <c r="BZ352" s="407"/>
      <c r="CA352" s="407"/>
      <c r="CB352" s="407"/>
      <c r="CC352" s="407"/>
      <c r="CD352" s="407"/>
      <c r="CE352" s="407"/>
      <c r="CF352" s="407"/>
    </row>
    <row r="353" spans="1:84">
      <c r="A353" s="407"/>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c r="AA353" s="407"/>
      <c r="AB353" s="407"/>
      <c r="AC353" s="407"/>
      <c r="AD353" s="407"/>
      <c r="AE353" s="407"/>
      <c r="AF353" s="407"/>
      <c r="AG353" s="407"/>
      <c r="AH353" s="407"/>
      <c r="AI353" s="407"/>
      <c r="AJ353" s="407"/>
      <c r="AK353" s="407"/>
      <c r="AL353" s="407"/>
      <c r="AM353" s="407"/>
      <c r="AN353" s="407"/>
      <c r="AO353" s="407"/>
      <c r="AP353" s="407"/>
      <c r="AQ353" s="407"/>
      <c r="AR353" s="407"/>
      <c r="AS353" s="407"/>
      <c r="AT353" s="407"/>
      <c r="AU353" s="407"/>
      <c r="AV353" s="407"/>
      <c r="AW353" s="407"/>
      <c r="AX353" s="407"/>
      <c r="AY353" s="407"/>
      <c r="AZ353" s="407"/>
      <c r="BA353" s="407"/>
      <c r="BB353" s="407"/>
      <c r="BC353" s="407"/>
      <c r="BD353" s="407"/>
      <c r="BE353" s="407"/>
      <c r="BF353" s="407"/>
      <c r="BG353" s="407"/>
      <c r="BH353" s="407"/>
      <c r="BI353" s="407"/>
      <c r="BJ353" s="407"/>
      <c r="BK353" s="407"/>
      <c r="BL353" s="407"/>
      <c r="BM353" s="407"/>
      <c r="BN353" s="407"/>
      <c r="BO353" s="407"/>
      <c r="BP353" s="407"/>
      <c r="BQ353" s="407"/>
      <c r="BR353" s="407"/>
      <c r="BS353" s="407"/>
      <c r="BT353" s="407"/>
      <c r="BU353" s="407"/>
      <c r="BV353" s="407"/>
      <c r="BW353" s="407"/>
      <c r="BX353" s="407"/>
      <c r="BY353" s="407"/>
      <c r="BZ353" s="407"/>
      <c r="CA353" s="407"/>
      <c r="CB353" s="407"/>
      <c r="CC353" s="407"/>
      <c r="CD353" s="407"/>
      <c r="CE353" s="407"/>
      <c r="CF353" s="407"/>
    </row>
    <row r="354" spans="1:84">
      <c r="A354" s="407"/>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7"/>
      <c r="BA354" s="407"/>
      <c r="BB354" s="407"/>
      <c r="BC354" s="407"/>
      <c r="BD354" s="407"/>
      <c r="BE354" s="407"/>
      <c r="BF354" s="407"/>
      <c r="BG354" s="407"/>
      <c r="BH354" s="407"/>
      <c r="BI354" s="407"/>
      <c r="BJ354" s="407"/>
      <c r="BK354" s="407"/>
      <c r="BL354" s="407"/>
      <c r="BM354" s="407"/>
      <c r="BN354" s="407"/>
      <c r="BO354" s="407"/>
      <c r="BP354" s="407"/>
      <c r="BQ354" s="407"/>
      <c r="BR354" s="407"/>
      <c r="BS354" s="407"/>
      <c r="BT354" s="407"/>
      <c r="BU354" s="407"/>
      <c r="BV354" s="407"/>
      <c r="BW354" s="407"/>
      <c r="BX354" s="407"/>
      <c r="BY354" s="407"/>
      <c r="BZ354" s="407"/>
      <c r="CA354" s="407"/>
      <c r="CB354" s="407"/>
      <c r="CC354" s="407"/>
      <c r="CD354" s="407"/>
      <c r="CE354" s="407"/>
      <c r="CF354" s="407"/>
    </row>
    <row r="355" spans="1:84">
      <c r="A355" s="407"/>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c r="AA355" s="407"/>
      <c r="AB355" s="407"/>
      <c r="AC355" s="407"/>
      <c r="AD355" s="407"/>
      <c r="AE355" s="407"/>
      <c r="AF355" s="407"/>
      <c r="AG355" s="407"/>
      <c r="AH355" s="407"/>
      <c r="AI355" s="407"/>
      <c r="AJ355" s="407"/>
      <c r="AK355" s="407"/>
      <c r="AL355" s="407"/>
      <c r="AM355" s="407"/>
      <c r="AN355" s="407"/>
      <c r="AO355" s="407"/>
      <c r="AP355" s="407"/>
      <c r="AQ355" s="407"/>
      <c r="AR355" s="407"/>
      <c r="AS355" s="407"/>
      <c r="AT355" s="407"/>
      <c r="AU355" s="407"/>
      <c r="AV355" s="407"/>
      <c r="AW355" s="407"/>
      <c r="AX355" s="407"/>
      <c r="AY355" s="407"/>
      <c r="AZ355" s="407"/>
      <c r="BA355" s="407"/>
      <c r="BB355" s="407"/>
      <c r="BC355" s="407"/>
      <c r="BD355" s="407"/>
      <c r="BE355" s="407"/>
      <c r="BF355" s="407"/>
      <c r="BG355" s="407"/>
      <c r="BH355" s="407"/>
      <c r="BI355" s="407"/>
      <c r="BJ355" s="407"/>
      <c r="BK355" s="407"/>
      <c r="BL355" s="407"/>
      <c r="BM355" s="407"/>
      <c r="BN355" s="407"/>
      <c r="BO355" s="407"/>
      <c r="BP355" s="407"/>
      <c r="BQ355" s="407"/>
      <c r="BR355" s="407"/>
      <c r="BS355" s="407"/>
      <c r="BT355" s="407"/>
      <c r="BU355" s="407"/>
      <c r="BV355" s="407"/>
      <c r="BW355" s="407"/>
      <c r="BX355" s="407"/>
      <c r="BY355" s="407"/>
      <c r="BZ355" s="407"/>
      <c r="CA355" s="407"/>
      <c r="CB355" s="407"/>
      <c r="CC355" s="407"/>
      <c r="CD355" s="407"/>
      <c r="CE355" s="407"/>
      <c r="CF355" s="407"/>
    </row>
    <row r="356" spans="1:84">
      <c r="A356" s="407"/>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407"/>
      <c r="AE356" s="407"/>
      <c r="AF356" s="407"/>
      <c r="AG356" s="407"/>
      <c r="AH356" s="407"/>
      <c r="AI356" s="407"/>
      <c r="AJ356" s="407"/>
      <c r="AK356" s="407"/>
      <c r="AL356" s="407"/>
      <c r="AM356" s="407"/>
      <c r="AN356" s="407"/>
      <c r="AO356" s="407"/>
      <c r="AP356" s="407"/>
      <c r="AQ356" s="407"/>
      <c r="AR356" s="407"/>
      <c r="AS356" s="407"/>
      <c r="AT356" s="407"/>
      <c r="AU356" s="407"/>
      <c r="AV356" s="407"/>
      <c r="AW356" s="407"/>
      <c r="AX356" s="407"/>
      <c r="AY356" s="407"/>
      <c r="AZ356" s="407"/>
      <c r="BA356" s="407"/>
      <c r="BB356" s="407"/>
      <c r="BC356" s="407"/>
      <c r="BD356" s="407"/>
      <c r="BE356" s="407"/>
      <c r="BF356" s="407"/>
      <c r="BG356" s="407"/>
      <c r="BH356" s="407"/>
      <c r="BI356" s="407"/>
      <c r="BJ356" s="407"/>
      <c r="BK356" s="407"/>
      <c r="BL356" s="407"/>
      <c r="BM356" s="407"/>
      <c r="BN356" s="407"/>
      <c r="BO356" s="407"/>
      <c r="BP356" s="407"/>
      <c r="BQ356" s="407"/>
      <c r="BR356" s="407"/>
      <c r="BS356" s="407"/>
      <c r="BT356" s="407"/>
      <c r="BU356" s="407"/>
      <c r="BV356" s="407"/>
      <c r="BW356" s="407"/>
      <c r="BX356" s="407"/>
      <c r="BY356" s="407"/>
      <c r="BZ356" s="407"/>
      <c r="CA356" s="407"/>
      <c r="CB356" s="407"/>
      <c r="CC356" s="407"/>
      <c r="CD356" s="407"/>
      <c r="CE356" s="407"/>
      <c r="CF356" s="407"/>
    </row>
    <row r="357" spans="1:84">
      <c r="A357" s="407"/>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7"/>
      <c r="AI357" s="407"/>
      <c r="AJ357" s="407"/>
      <c r="AK357" s="407"/>
      <c r="AL357" s="407"/>
      <c r="AM357" s="407"/>
      <c r="AN357" s="407"/>
      <c r="AO357" s="407"/>
      <c r="AP357" s="407"/>
      <c r="AQ357" s="407"/>
      <c r="AR357" s="407"/>
      <c r="AS357" s="407"/>
      <c r="AT357" s="407"/>
      <c r="AU357" s="407"/>
      <c r="AV357" s="407"/>
      <c r="AW357" s="407"/>
      <c r="AX357" s="407"/>
      <c r="AY357" s="407"/>
      <c r="AZ357" s="407"/>
      <c r="BA357" s="407"/>
      <c r="BB357" s="407"/>
      <c r="BC357" s="407"/>
      <c r="BD357" s="407"/>
      <c r="BE357" s="407"/>
      <c r="BF357" s="407"/>
      <c r="BG357" s="407"/>
      <c r="BH357" s="407"/>
      <c r="BI357" s="407"/>
      <c r="BJ357" s="407"/>
      <c r="BK357" s="407"/>
      <c r="BL357" s="407"/>
      <c r="BM357" s="407"/>
      <c r="BN357" s="407"/>
      <c r="BO357" s="407"/>
      <c r="BP357" s="407"/>
      <c r="BQ357" s="407"/>
      <c r="BR357" s="407"/>
      <c r="BS357" s="407"/>
      <c r="BT357" s="407"/>
      <c r="BU357" s="407"/>
      <c r="BV357" s="407"/>
      <c r="BW357" s="407"/>
      <c r="BX357" s="407"/>
      <c r="BY357" s="407"/>
      <c r="BZ357" s="407"/>
      <c r="CA357" s="407"/>
      <c r="CB357" s="407"/>
      <c r="CC357" s="407"/>
      <c r="CD357" s="407"/>
      <c r="CE357" s="407"/>
      <c r="CF357" s="407"/>
    </row>
    <row r="358" spans="1:84">
      <c r="A358" s="407"/>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7"/>
      <c r="AI358" s="407"/>
      <c r="AJ358" s="407"/>
      <c r="AK358" s="407"/>
      <c r="AL358" s="407"/>
      <c r="AM358" s="407"/>
      <c r="AN358" s="407"/>
      <c r="AO358" s="407"/>
      <c r="AP358" s="407"/>
      <c r="AQ358" s="407"/>
      <c r="AR358" s="407"/>
      <c r="AS358" s="407"/>
      <c r="AT358" s="407"/>
      <c r="AU358" s="407"/>
      <c r="AV358" s="407"/>
      <c r="AW358" s="407"/>
      <c r="AX358" s="407"/>
      <c r="AY358" s="407"/>
      <c r="AZ358" s="407"/>
      <c r="BA358" s="407"/>
      <c r="BB358" s="407"/>
      <c r="BC358" s="407"/>
      <c r="BD358" s="407"/>
      <c r="BE358" s="407"/>
      <c r="BF358" s="407"/>
      <c r="BG358" s="407"/>
      <c r="BH358" s="407"/>
      <c r="BI358" s="407"/>
      <c r="BJ358" s="407"/>
      <c r="BK358" s="407"/>
      <c r="BL358" s="407"/>
      <c r="BM358" s="407"/>
      <c r="BN358" s="407"/>
      <c r="BO358" s="407"/>
      <c r="BP358" s="407"/>
      <c r="BQ358" s="407"/>
      <c r="BR358" s="407"/>
      <c r="BS358" s="407"/>
      <c r="BT358" s="407"/>
      <c r="BU358" s="407"/>
      <c r="BV358" s="407"/>
      <c r="BW358" s="407"/>
      <c r="BX358" s="407"/>
      <c r="BY358" s="407"/>
      <c r="BZ358" s="407"/>
      <c r="CA358" s="407"/>
      <c r="CB358" s="407"/>
      <c r="CC358" s="407"/>
      <c r="CD358" s="407"/>
      <c r="CE358" s="407"/>
      <c r="CF358" s="407"/>
    </row>
    <row r="359" spans="1:84">
      <c r="A359" s="407"/>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row>
    <row r="360" spans="1:84">
      <c r="A360" s="407"/>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row>
    <row r="361" spans="1:84">
      <c r="A361" s="407"/>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row>
    <row r="362" spans="1:84">
      <c r="A362" s="407"/>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7"/>
      <c r="AI362" s="407"/>
      <c r="AJ362" s="407"/>
      <c r="AK362" s="407"/>
      <c r="AL362" s="407"/>
      <c r="AM362" s="407"/>
      <c r="AN362" s="407"/>
      <c r="AO362" s="407"/>
      <c r="AP362" s="407"/>
      <c r="AQ362" s="407"/>
      <c r="AR362" s="407"/>
      <c r="AS362" s="407"/>
      <c r="AT362" s="407"/>
      <c r="AU362" s="407"/>
      <c r="AV362" s="407"/>
      <c r="AW362" s="407"/>
      <c r="AX362" s="407"/>
      <c r="AY362" s="407"/>
      <c r="AZ362" s="407"/>
      <c r="BA362" s="407"/>
      <c r="BB362" s="407"/>
      <c r="BC362" s="407"/>
      <c r="BD362" s="407"/>
      <c r="BE362" s="407"/>
      <c r="BF362" s="407"/>
      <c r="BG362" s="407"/>
      <c r="BH362" s="407"/>
      <c r="BI362" s="407"/>
      <c r="BJ362" s="407"/>
      <c r="BK362" s="407"/>
      <c r="BL362" s="407"/>
      <c r="BM362" s="407"/>
      <c r="BN362" s="407"/>
      <c r="BO362" s="407"/>
      <c r="BP362" s="407"/>
      <c r="BQ362" s="407"/>
      <c r="BR362" s="407"/>
      <c r="BS362" s="407"/>
      <c r="BT362" s="407"/>
      <c r="BU362" s="407"/>
      <c r="BV362" s="407"/>
      <c r="BW362" s="407"/>
      <c r="BX362" s="407"/>
      <c r="BY362" s="407"/>
      <c r="BZ362" s="407"/>
      <c r="CA362" s="407"/>
      <c r="CB362" s="407"/>
      <c r="CC362" s="407"/>
      <c r="CD362" s="407"/>
      <c r="CE362" s="407"/>
      <c r="CF362" s="407"/>
    </row>
    <row r="363" spans="1:84">
      <c r="A363" s="407"/>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row>
    <row r="364" spans="1:84">
      <c r="A364" s="407"/>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c r="BU364" s="407"/>
      <c r="BV364" s="407"/>
      <c r="BW364" s="407"/>
      <c r="BX364" s="407"/>
      <c r="BY364" s="407"/>
      <c r="BZ364" s="407"/>
      <c r="CA364" s="407"/>
      <c r="CB364" s="407"/>
      <c r="CC364" s="407"/>
      <c r="CD364" s="407"/>
      <c r="CE364" s="407"/>
      <c r="CF364" s="407"/>
    </row>
    <row r="365" spans="1:84">
      <c r="A365" s="407"/>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c r="AA365" s="407"/>
      <c r="AB365" s="407"/>
      <c r="AC365" s="407"/>
      <c r="AD365" s="407"/>
      <c r="AE365" s="407"/>
      <c r="AF365" s="407"/>
      <c r="AG365" s="407"/>
      <c r="AH365" s="407"/>
      <c r="AI365" s="407"/>
      <c r="AJ365" s="407"/>
      <c r="AK365" s="407"/>
      <c r="AL365" s="407"/>
      <c r="AM365" s="407"/>
      <c r="AN365" s="407"/>
      <c r="AO365" s="407"/>
      <c r="AP365" s="407"/>
      <c r="AQ365" s="407"/>
      <c r="AR365" s="407"/>
      <c r="AS365" s="407"/>
      <c r="AT365" s="407"/>
      <c r="AU365" s="407"/>
      <c r="AV365" s="407"/>
      <c r="AW365" s="407"/>
      <c r="AX365" s="407"/>
      <c r="AY365" s="407"/>
      <c r="AZ365" s="407"/>
      <c r="BA365" s="407"/>
      <c r="BB365" s="407"/>
      <c r="BC365" s="407"/>
      <c r="BD365" s="407"/>
      <c r="BE365" s="407"/>
      <c r="BF365" s="407"/>
      <c r="BG365" s="407"/>
      <c r="BH365" s="407"/>
      <c r="BI365" s="407"/>
      <c r="BJ365" s="407"/>
      <c r="BK365" s="407"/>
      <c r="BL365" s="407"/>
      <c r="BM365" s="407"/>
      <c r="BN365" s="407"/>
      <c r="BO365" s="407"/>
      <c r="BP365" s="407"/>
      <c r="BQ365" s="407"/>
      <c r="BR365" s="407"/>
      <c r="BS365" s="407"/>
      <c r="BT365" s="407"/>
      <c r="BU365" s="407"/>
      <c r="BV365" s="407"/>
      <c r="BW365" s="407"/>
      <c r="BX365" s="407"/>
      <c r="BY365" s="407"/>
      <c r="BZ365" s="407"/>
      <c r="CA365" s="407"/>
      <c r="CB365" s="407"/>
      <c r="CC365" s="407"/>
      <c r="CD365" s="407"/>
      <c r="CE365" s="407"/>
      <c r="CF365" s="407"/>
    </row>
    <row r="366" spans="1:84">
      <c r="A366" s="407"/>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c r="AA366" s="407"/>
      <c r="AB366" s="407"/>
      <c r="AC366" s="407"/>
      <c r="AD366" s="407"/>
      <c r="AE366" s="407"/>
      <c r="AF366" s="407"/>
      <c r="AG366" s="407"/>
      <c r="AH366" s="407"/>
      <c r="AI366" s="407"/>
      <c r="AJ366" s="407"/>
      <c r="AK366" s="407"/>
      <c r="AL366" s="407"/>
      <c r="AM366" s="407"/>
      <c r="AN366" s="407"/>
      <c r="AO366" s="407"/>
      <c r="AP366" s="407"/>
      <c r="AQ366" s="407"/>
      <c r="AR366" s="407"/>
      <c r="AS366" s="407"/>
      <c r="AT366" s="407"/>
      <c r="AU366" s="407"/>
      <c r="AV366" s="407"/>
      <c r="AW366" s="407"/>
      <c r="AX366" s="407"/>
      <c r="AY366" s="407"/>
      <c r="AZ366" s="407"/>
      <c r="BA366" s="407"/>
      <c r="BB366" s="407"/>
      <c r="BC366" s="407"/>
      <c r="BD366" s="407"/>
      <c r="BE366" s="407"/>
      <c r="BF366" s="407"/>
      <c r="BG366" s="407"/>
      <c r="BH366" s="407"/>
      <c r="BI366" s="407"/>
      <c r="BJ366" s="407"/>
      <c r="BK366" s="407"/>
      <c r="BL366" s="407"/>
      <c r="BM366" s="407"/>
      <c r="BN366" s="407"/>
      <c r="BO366" s="407"/>
      <c r="BP366" s="407"/>
      <c r="BQ366" s="407"/>
      <c r="BR366" s="407"/>
      <c r="BS366" s="407"/>
      <c r="BT366" s="407"/>
      <c r="BU366" s="407"/>
      <c r="BV366" s="407"/>
      <c r="BW366" s="407"/>
      <c r="BX366" s="407"/>
      <c r="BY366" s="407"/>
      <c r="BZ366" s="407"/>
      <c r="CA366" s="407"/>
      <c r="CB366" s="407"/>
      <c r="CC366" s="407"/>
      <c r="CD366" s="407"/>
      <c r="CE366" s="407"/>
      <c r="CF366" s="407"/>
    </row>
    <row r="367" spans="1:84">
      <c r="A367" s="407"/>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407"/>
      <c r="AE367" s="407"/>
      <c r="AF367" s="407"/>
      <c r="AG367" s="407"/>
      <c r="AH367" s="407"/>
      <c r="AI367" s="407"/>
      <c r="AJ367" s="407"/>
      <c r="AK367" s="407"/>
      <c r="AL367" s="407"/>
      <c r="AM367" s="407"/>
      <c r="AN367" s="407"/>
      <c r="AO367" s="407"/>
      <c r="AP367" s="407"/>
      <c r="AQ367" s="407"/>
      <c r="AR367" s="407"/>
      <c r="AS367" s="407"/>
      <c r="AT367" s="407"/>
      <c r="AU367" s="407"/>
      <c r="AV367" s="407"/>
      <c r="AW367" s="407"/>
      <c r="AX367" s="407"/>
      <c r="AY367" s="407"/>
      <c r="AZ367" s="407"/>
      <c r="BA367" s="407"/>
      <c r="BB367" s="407"/>
      <c r="BC367" s="407"/>
      <c r="BD367" s="407"/>
      <c r="BE367" s="407"/>
      <c r="BF367" s="407"/>
      <c r="BG367" s="407"/>
      <c r="BH367" s="407"/>
      <c r="BI367" s="407"/>
      <c r="BJ367" s="407"/>
      <c r="BK367" s="407"/>
      <c r="BL367" s="407"/>
      <c r="BM367" s="407"/>
      <c r="BN367" s="407"/>
      <c r="BO367" s="407"/>
      <c r="BP367" s="407"/>
      <c r="BQ367" s="407"/>
      <c r="BR367" s="407"/>
      <c r="BS367" s="407"/>
      <c r="BT367" s="407"/>
      <c r="BU367" s="407"/>
      <c r="BV367" s="407"/>
      <c r="BW367" s="407"/>
      <c r="BX367" s="407"/>
      <c r="BY367" s="407"/>
      <c r="BZ367" s="407"/>
      <c r="CA367" s="407"/>
      <c r="CB367" s="407"/>
      <c r="CC367" s="407"/>
      <c r="CD367" s="407"/>
      <c r="CE367" s="407"/>
      <c r="CF367" s="407"/>
    </row>
    <row r="368" spans="1:84">
      <c r="A368" s="407"/>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407"/>
      <c r="AE368" s="407"/>
      <c r="AF368" s="407"/>
      <c r="AG368" s="407"/>
      <c r="AH368" s="407"/>
      <c r="AI368" s="407"/>
      <c r="AJ368" s="407"/>
      <c r="AK368" s="407"/>
      <c r="AL368" s="407"/>
      <c r="AM368" s="407"/>
      <c r="AN368" s="407"/>
      <c r="AO368" s="407"/>
      <c r="AP368" s="407"/>
      <c r="AQ368" s="407"/>
      <c r="AR368" s="407"/>
      <c r="AS368" s="407"/>
      <c r="AT368" s="407"/>
      <c r="AU368" s="407"/>
      <c r="AV368" s="407"/>
      <c r="AW368" s="407"/>
      <c r="AX368" s="407"/>
      <c r="AY368" s="407"/>
      <c r="AZ368" s="407"/>
      <c r="BA368" s="407"/>
      <c r="BB368" s="407"/>
      <c r="BC368" s="407"/>
      <c r="BD368" s="407"/>
      <c r="BE368" s="407"/>
      <c r="BF368" s="407"/>
      <c r="BG368" s="407"/>
      <c r="BH368" s="407"/>
      <c r="BI368" s="407"/>
      <c r="BJ368" s="407"/>
      <c r="BK368" s="407"/>
      <c r="BL368" s="407"/>
      <c r="BM368" s="407"/>
      <c r="BN368" s="407"/>
      <c r="BO368" s="407"/>
      <c r="BP368" s="407"/>
      <c r="BQ368" s="407"/>
      <c r="BR368" s="407"/>
      <c r="BS368" s="407"/>
      <c r="BT368" s="407"/>
      <c r="BU368" s="407"/>
      <c r="BV368" s="407"/>
      <c r="BW368" s="407"/>
      <c r="BX368" s="407"/>
      <c r="BY368" s="407"/>
      <c r="BZ368" s="407"/>
      <c r="CA368" s="407"/>
      <c r="CB368" s="407"/>
      <c r="CC368" s="407"/>
      <c r="CD368" s="407"/>
      <c r="CE368" s="407"/>
      <c r="CF368" s="407"/>
    </row>
    <row r="369" spans="1:84">
      <c r="A369" s="407"/>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07"/>
      <c r="BG369" s="407"/>
      <c r="BH369" s="407"/>
      <c r="BI369" s="407"/>
      <c r="BJ369" s="407"/>
      <c r="BK369" s="407"/>
      <c r="BL369" s="407"/>
      <c r="BM369" s="407"/>
      <c r="BN369" s="407"/>
      <c r="BO369" s="407"/>
      <c r="BP369" s="407"/>
      <c r="BQ369" s="407"/>
      <c r="BR369" s="407"/>
      <c r="BS369" s="407"/>
      <c r="BT369" s="407"/>
      <c r="BU369" s="407"/>
      <c r="BV369" s="407"/>
      <c r="BW369" s="407"/>
      <c r="BX369" s="407"/>
      <c r="BY369" s="407"/>
      <c r="BZ369" s="407"/>
      <c r="CA369" s="407"/>
      <c r="CB369" s="407"/>
      <c r="CC369" s="407"/>
      <c r="CD369" s="407"/>
      <c r="CE369" s="407"/>
      <c r="CF369" s="407"/>
    </row>
    <row r="370" spans="1:84">
      <c r="A370" s="407"/>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c r="AA370" s="407"/>
      <c r="AB370" s="407"/>
      <c r="AC370" s="407"/>
      <c r="AD370" s="407"/>
      <c r="AE370" s="407"/>
      <c r="AF370" s="407"/>
      <c r="AG370" s="407"/>
      <c r="AH370" s="407"/>
      <c r="AI370" s="407"/>
      <c r="AJ370" s="407"/>
      <c r="AK370" s="407"/>
      <c r="AL370" s="407"/>
      <c r="AM370" s="407"/>
      <c r="AN370" s="407"/>
      <c r="AO370" s="407"/>
      <c r="AP370" s="407"/>
      <c r="AQ370" s="407"/>
      <c r="AR370" s="407"/>
      <c r="AS370" s="407"/>
      <c r="AT370" s="407"/>
      <c r="AU370" s="407"/>
      <c r="AV370" s="407"/>
      <c r="AW370" s="407"/>
      <c r="AX370" s="407"/>
      <c r="AY370" s="407"/>
      <c r="AZ370" s="407"/>
      <c r="BA370" s="407"/>
      <c r="BB370" s="407"/>
      <c r="BC370" s="407"/>
      <c r="BD370" s="407"/>
      <c r="BE370" s="407"/>
      <c r="BF370" s="407"/>
      <c r="BG370" s="407"/>
      <c r="BH370" s="407"/>
      <c r="BI370" s="407"/>
      <c r="BJ370" s="407"/>
      <c r="BK370" s="407"/>
      <c r="BL370" s="407"/>
      <c r="BM370" s="407"/>
      <c r="BN370" s="407"/>
      <c r="BO370" s="407"/>
      <c r="BP370" s="407"/>
      <c r="BQ370" s="407"/>
      <c r="BR370" s="407"/>
      <c r="BS370" s="407"/>
      <c r="BT370" s="407"/>
      <c r="BU370" s="407"/>
      <c r="BV370" s="407"/>
      <c r="BW370" s="407"/>
      <c r="BX370" s="407"/>
      <c r="BY370" s="407"/>
      <c r="BZ370" s="407"/>
      <c r="CA370" s="407"/>
      <c r="CB370" s="407"/>
      <c r="CC370" s="407"/>
      <c r="CD370" s="407"/>
      <c r="CE370" s="407"/>
      <c r="CF370" s="407"/>
    </row>
    <row r="371" spans="1:84">
      <c r="A371" s="407"/>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c r="AA371" s="407"/>
      <c r="AB371" s="407"/>
      <c r="AC371" s="407"/>
      <c r="AD371" s="407"/>
      <c r="AE371" s="407"/>
      <c r="AF371" s="407"/>
      <c r="AG371" s="407"/>
      <c r="AH371" s="407"/>
      <c r="AI371" s="407"/>
      <c r="AJ371" s="407"/>
      <c r="AK371" s="407"/>
      <c r="AL371" s="407"/>
      <c r="AM371" s="407"/>
      <c r="AN371" s="407"/>
      <c r="AO371" s="407"/>
      <c r="AP371" s="407"/>
      <c r="AQ371" s="407"/>
      <c r="AR371" s="407"/>
      <c r="AS371" s="407"/>
      <c r="AT371" s="407"/>
      <c r="AU371" s="407"/>
      <c r="AV371" s="407"/>
      <c r="AW371" s="407"/>
      <c r="AX371" s="407"/>
      <c r="AY371" s="407"/>
      <c r="AZ371" s="407"/>
      <c r="BA371" s="407"/>
      <c r="BB371" s="407"/>
      <c r="BC371" s="407"/>
      <c r="BD371" s="407"/>
      <c r="BE371" s="407"/>
      <c r="BF371" s="407"/>
      <c r="BG371" s="407"/>
      <c r="BH371" s="407"/>
      <c r="BI371" s="407"/>
      <c r="BJ371" s="407"/>
      <c r="BK371" s="407"/>
      <c r="BL371" s="407"/>
      <c r="BM371" s="407"/>
      <c r="BN371" s="407"/>
      <c r="BO371" s="407"/>
      <c r="BP371" s="407"/>
      <c r="BQ371" s="407"/>
      <c r="BR371" s="407"/>
      <c r="BS371" s="407"/>
      <c r="BT371" s="407"/>
      <c r="BU371" s="407"/>
      <c r="BV371" s="407"/>
      <c r="BW371" s="407"/>
      <c r="BX371" s="407"/>
      <c r="BY371" s="407"/>
      <c r="BZ371" s="407"/>
      <c r="CA371" s="407"/>
      <c r="CB371" s="407"/>
      <c r="CC371" s="407"/>
      <c r="CD371" s="407"/>
      <c r="CE371" s="407"/>
      <c r="CF371" s="407"/>
    </row>
  </sheetData>
  <pageMargins left="0.7" right="0.7" top="0.75" bottom="0.75" header="0.3" footer="0.3"/>
  <pageSetup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F371"/>
  <sheetViews>
    <sheetView workbookViewId="0">
      <selection activeCell="J6" sqref="J6"/>
    </sheetView>
  </sheetViews>
  <sheetFormatPr defaultRowHeight="15"/>
  <cols>
    <col min="1" max="1" width="2" style="401" customWidth="1"/>
    <col min="2" max="4" width="9.140625" style="401"/>
    <col min="5" max="5" width="13" style="401" customWidth="1"/>
    <col min="6" max="6" width="9.7109375" style="401" bestFit="1" customWidth="1"/>
    <col min="7" max="7" width="9.140625" style="401"/>
    <col min="8" max="8" width="9.7109375" style="401" bestFit="1" customWidth="1"/>
    <col min="9" max="10" width="9.140625" style="401"/>
    <col min="11" max="11" width="10" style="401" customWidth="1"/>
    <col min="12" max="12" width="9.140625" style="401"/>
    <col min="13" max="13" width="11.140625" style="401" customWidth="1"/>
    <col min="14" max="16384" width="9.140625" style="401"/>
  </cols>
  <sheetData>
    <row r="1" spans="1:84">
      <c r="A1" s="406"/>
      <c r="B1" s="406"/>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7"/>
      <c r="BL1" s="407"/>
      <c r="BM1" s="407"/>
      <c r="BN1" s="407"/>
      <c r="BO1" s="407"/>
      <c r="BP1" s="407"/>
      <c r="BQ1" s="407"/>
      <c r="BR1" s="407"/>
      <c r="BS1" s="407"/>
      <c r="BT1" s="407"/>
      <c r="BU1" s="407"/>
      <c r="BV1" s="407"/>
      <c r="BW1" s="407"/>
      <c r="BX1" s="407"/>
      <c r="BY1" s="407"/>
      <c r="BZ1" s="407"/>
      <c r="CA1" s="407"/>
      <c r="CB1" s="407"/>
      <c r="CC1" s="407"/>
      <c r="CD1" s="407"/>
      <c r="CE1" s="407"/>
      <c r="CF1" s="407"/>
    </row>
    <row r="2" spans="1:84">
      <c r="A2" s="406"/>
      <c r="B2" s="406"/>
      <c r="C2" s="406"/>
      <c r="D2" s="406"/>
      <c r="E2" s="406"/>
      <c r="F2" s="406"/>
      <c r="G2" s="406"/>
      <c r="H2" s="406"/>
      <c r="I2" s="406"/>
      <c r="J2" s="406"/>
      <c r="K2" s="408"/>
      <c r="L2" s="408"/>
      <c r="M2" s="408"/>
      <c r="N2" s="408"/>
      <c r="O2" s="408"/>
      <c r="P2" s="408"/>
      <c r="Q2" s="408"/>
      <c r="R2" s="408"/>
      <c r="S2" s="408"/>
      <c r="T2" s="408"/>
      <c r="U2" s="408"/>
      <c r="V2" s="408"/>
      <c r="W2" s="408"/>
      <c r="X2" s="408"/>
      <c r="Y2" s="408"/>
      <c r="Z2" s="408"/>
      <c r="AA2" s="408"/>
      <c r="AB2" s="408"/>
      <c r="AC2" s="408"/>
      <c r="AD2" s="408"/>
      <c r="AE2" s="409" t="s">
        <v>924</v>
      </c>
      <c r="AF2" s="409" t="s">
        <v>925</v>
      </c>
      <c r="AG2" s="408"/>
      <c r="AH2" s="408"/>
      <c r="AI2" s="408" t="s">
        <v>926</v>
      </c>
      <c r="AJ2" s="408"/>
      <c r="AK2" s="408"/>
      <c r="AL2" s="408"/>
      <c r="AM2" s="408"/>
      <c r="AN2" s="408"/>
      <c r="AO2" s="408"/>
      <c r="AP2" s="408"/>
      <c r="AQ2" s="408"/>
      <c r="AR2" s="408"/>
      <c r="AS2" s="406"/>
      <c r="AT2" s="406"/>
      <c r="AU2" s="406"/>
      <c r="AV2" s="406"/>
      <c r="AW2" s="406"/>
      <c r="AX2" s="406"/>
      <c r="AY2" s="406"/>
      <c r="AZ2" s="406"/>
      <c r="BA2" s="406"/>
      <c r="BB2" s="406"/>
      <c r="BC2" s="406"/>
      <c r="BD2" s="406"/>
      <c r="BE2" s="406"/>
      <c r="BF2" s="406"/>
      <c r="BG2" s="406"/>
      <c r="BH2" s="406"/>
      <c r="BI2" s="406"/>
      <c r="BJ2" s="406"/>
      <c r="BK2" s="407"/>
      <c r="BL2" s="407"/>
      <c r="BM2" s="407"/>
      <c r="BN2" s="407"/>
      <c r="BO2" s="407"/>
      <c r="BP2" s="407"/>
      <c r="BQ2" s="407"/>
      <c r="BR2" s="407"/>
      <c r="BS2" s="407"/>
      <c r="BT2" s="407"/>
      <c r="BU2" s="407"/>
      <c r="BV2" s="407"/>
      <c r="BW2" s="407"/>
      <c r="BX2" s="407"/>
      <c r="BY2" s="407"/>
      <c r="BZ2" s="407"/>
      <c r="CA2" s="407"/>
      <c r="CB2" s="407"/>
      <c r="CC2" s="407"/>
      <c r="CD2" s="407"/>
      <c r="CE2" s="407"/>
      <c r="CF2" s="407"/>
    </row>
    <row r="3" spans="1:84">
      <c r="A3" s="406"/>
      <c r="B3" s="408" t="s">
        <v>2253</v>
      </c>
      <c r="C3" s="406"/>
      <c r="D3" s="406"/>
      <c r="E3" s="406"/>
      <c r="F3" s="406"/>
      <c r="G3" s="406"/>
      <c r="H3" s="406"/>
      <c r="I3" s="406"/>
      <c r="J3" s="406"/>
      <c r="K3" s="408"/>
      <c r="L3" s="408"/>
      <c r="M3" s="408"/>
      <c r="N3" s="408"/>
      <c r="O3" s="408"/>
      <c r="P3" s="408"/>
      <c r="Q3" s="408"/>
      <c r="R3" s="408"/>
      <c r="S3" s="408"/>
      <c r="T3" s="408"/>
      <c r="U3" s="408"/>
      <c r="V3" s="408"/>
      <c r="W3" s="408"/>
      <c r="X3" s="408"/>
      <c r="Y3" s="408"/>
      <c r="Z3" s="408"/>
      <c r="AA3" s="408"/>
      <c r="AB3" s="408"/>
      <c r="AC3" s="408"/>
      <c r="AD3" s="408"/>
      <c r="AE3" s="409"/>
      <c r="AF3" s="409"/>
      <c r="AG3" s="408"/>
      <c r="AH3" s="408"/>
      <c r="AI3" s="408"/>
      <c r="AJ3" s="408"/>
      <c r="AK3" s="408"/>
      <c r="AL3" s="408"/>
      <c r="AM3" s="408"/>
      <c r="AN3" s="408"/>
      <c r="AO3" s="408"/>
      <c r="AP3" s="408"/>
      <c r="AQ3" s="408"/>
      <c r="AR3" s="408"/>
      <c r="AS3" s="406"/>
      <c r="AT3" s="406"/>
      <c r="AU3" s="406"/>
      <c r="AV3" s="406"/>
      <c r="AW3" s="406"/>
      <c r="AX3" s="406"/>
      <c r="AY3" s="406"/>
      <c r="AZ3" s="406"/>
      <c r="BA3" s="406"/>
      <c r="BB3" s="406"/>
      <c r="BC3" s="406"/>
      <c r="BD3" s="406"/>
      <c r="BE3" s="406"/>
      <c r="BF3" s="406"/>
      <c r="BG3" s="406"/>
      <c r="BH3" s="406"/>
      <c r="BI3" s="406"/>
      <c r="BJ3" s="406"/>
      <c r="BK3" s="407"/>
      <c r="BL3" s="407"/>
      <c r="BM3" s="407"/>
      <c r="BN3" s="407"/>
      <c r="BO3" s="407"/>
      <c r="BP3" s="407"/>
      <c r="BQ3" s="407"/>
      <c r="BR3" s="407"/>
      <c r="BS3" s="407"/>
      <c r="BT3" s="407"/>
      <c r="BU3" s="407"/>
      <c r="BV3" s="407"/>
      <c r="BW3" s="407"/>
      <c r="BX3" s="407"/>
      <c r="BY3" s="407"/>
      <c r="BZ3" s="407"/>
      <c r="CA3" s="407"/>
      <c r="CB3" s="407"/>
      <c r="CC3" s="407"/>
      <c r="CD3" s="407"/>
      <c r="CE3" s="407"/>
      <c r="CF3" s="407"/>
    </row>
    <row r="4" spans="1:84">
      <c r="A4" s="406"/>
      <c r="B4" s="410"/>
      <c r="C4" s="408"/>
      <c r="D4" s="408"/>
      <c r="E4" s="411"/>
      <c r="F4" s="408"/>
      <c r="G4" s="412"/>
      <c r="H4" s="408"/>
      <c r="I4" s="408"/>
      <c r="J4" s="408"/>
      <c r="K4" s="408"/>
      <c r="L4" s="408"/>
      <c r="M4" s="408"/>
      <c r="N4" s="408" t="s">
        <v>927</v>
      </c>
      <c r="O4" s="408"/>
      <c r="P4" s="408"/>
      <c r="Q4" s="408"/>
      <c r="R4" s="408"/>
      <c r="S4" s="408"/>
      <c r="T4" s="408"/>
      <c r="U4" s="409" t="s">
        <v>928</v>
      </c>
      <c r="V4" s="409" t="s">
        <v>929</v>
      </c>
      <c r="W4" s="409" t="s">
        <v>718</v>
      </c>
      <c r="X4" s="409" t="s">
        <v>930</v>
      </c>
      <c r="Y4" s="409" t="s">
        <v>931</v>
      </c>
      <c r="Z4" s="408"/>
      <c r="AA4" s="409" t="s">
        <v>932</v>
      </c>
      <c r="AB4" s="408" t="s">
        <v>933</v>
      </c>
      <c r="AC4" s="409" t="s">
        <v>934</v>
      </c>
      <c r="AD4" s="409" t="s">
        <v>935</v>
      </c>
      <c r="AE4" s="409" t="s">
        <v>936</v>
      </c>
      <c r="AF4" s="408"/>
      <c r="AG4" s="408"/>
      <c r="AH4" s="408"/>
      <c r="AI4" s="408" t="s">
        <v>937</v>
      </c>
      <c r="AJ4" s="408"/>
      <c r="AK4" s="408"/>
      <c r="AL4" s="408"/>
      <c r="AM4" s="408"/>
      <c r="AN4" s="408"/>
      <c r="AO4" s="408"/>
      <c r="AP4" s="408"/>
      <c r="AQ4" s="408"/>
      <c r="AR4" s="408"/>
      <c r="AS4" s="406"/>
      <c r="AT4" s="406"/>
      <c r="AU4" s="406"/>
      <c r="AV4" s="406"/>
      <c r="AW4" s="406"/>
      <c r="AX4" s="406"/>
      <c r="AY4" s="406"/>
      <c r="AZ4" s="406"/>
      <c r="BA4" s="406"/>
      <c r="BB4" s="406"/>
      <c r="BC4" s="406"/>
      <c r="BD4" s="406"/>
      <c r="BE4" s="406"/>
      <c r="BF4" s="406"/>
      <c r="BG4" s="406"/>
      <c r="BH4" s="406"/>
      <c r="BI4" s="406"/>
      <c r="BJ4" s="406"/>
      <c r="BK4" s="407"/>
      <c r="BL4" s="407"/>
      <c r="BM4" s="407"/>
      <c r="BN4" s="407"/>
      <c r="BO4" s="407"/>
      <c r="BP4" s="407"/>
      <c r="BQ4" s="407"/>
      <c r="BR4" s="407"/>
      <c r="BS4" s="407"/>
      <c r="BT4" s="407"/>
      <c r="BU4" s="407"/>
      <c r="BV4" s="407"/>
      <c r="BW4" s="407"/>
      <c r="BX4" s="407"/>
      <c r="BY4" s="407"/>
      <c r="BZ4" s="407"/>
      <c r="CA4" s="407"/>
      <c r="CB4" s="407"/>
      <c r="CC4" s="407"/>
      <c r="CD4" s="407"/>
      <c r="CE4" s="407"/>
      <c r="CF4" s="407"/>
    </row>
    <row r="5" spans="1:84">
      <c r="A5" s="406"/>
      <c r="B5" s="413" t="s">
        <v>938</v>
      </c>
      <c r="C5" s="413" t="s">
        <v>939</v>
      </c>
      <c r="D5" s="408"/>
      <c r="E5" s="411">
        <f>E7+E6</f>
        <v>6773.6784021352214</v>
      </c>
      <c r="F5" s="413" t="s">
        <v>940</v>
      </c>
      <c r="G5" s="408"/>
      <c r="H5" s="408"/>
      <c r="I5" s="408"/>
      <c r="J5" s="413"/>
      <c r="K5" s="408"/>
      <c r="L5" s="414"/>
      <c r="M5" s="408"/>
      <c r="N5" s="413" t="s">
        <v>941</v>
      </c>
      <c r="O5" s="408"/>
      <c r="P5" s="408"/>
      <c r="Q5" s="413" t="s">
        <v>942</v>
      </c>
      <c r="R5" s="408"/>
      <c r="S5" s="408"/>
      <c r="T5" s="408"/>
      <c r="U5" s="415">
        <f>$E$8*1.25</f>
        <v>5991.9205948671934</v>
      </c>
      <c r="V5" s="416">
        <f>100*(+U5/$E$9)</f>
        <v>23.252483834149285</v>
      </c>
      <c r="W5" s="417">
        <f>EXP(5.7226-(0.68367*LN(+V5)))</f>
        <v>35.569642551029524</v>
      </c>
      <c r="X5" s="417">
        <f>(+W5*V5)/100</f>
        <v>8.2708253840428263</v>
      </c>
      <c r="Y5" s="416">
        <f>100*((((X5/100)-((X5/100)-0.03574)*$E$21)-0.03574-0.00619)/0.344)</f>
        <v>7.2119324228728647</v>
      </c>
      <c r="Z5" s="408">
        <f>$E$20</f>
        <v>0.25</v>
      </c>
      <c r="AA5" s="416">
        <f>Y5+Z5</f>
        <v>7.4619324228728647</v>
      </c>
      <c r="AB5" s="416">
        <f>100*($E$17*$E$19+($E$18*(AA5/100))/(1-$E$21))</f>
        <v>6.9892143944623148</v>
      </c>
      <c r="AC5" s="417">
        <f>AB5/V5</f>
        <v>0.30057926044862993</v>
      </c>
      <c r="AD5" s="415">
        <f>$E$8/(1-AC5)</f>
        <v>6853.5806915998464</v>
      </c>
      <c r="AE5" s="408" t="str">
        <f>IF(AD5=$U$5,"yes","not yet")</f>
        <v>not yet</v>
      </c>
      <c r="AF5" s="416">
        <f>100*(1-AC5)</f>
        <v>69.942073955137005</v>
      </c>
      <c r="AG5" s="408"/>
      <c r="AH5" s="408"/>
      <c r="AI5" s="408">
        <v>0</v>
      </c>
      <c r="AJ5" s="408">
        <v>1</v>
      </c>
      <c r="AK5" s="408"/>
      <c r="AL5" s="408"/>
      <c r="AM5" s="408"/>
      <c r="AN5" s="408"/>
      <c r="AO5" s="408"/>
      <c r="AP5" s="408"/>
      <c r="AQ5" s="408"/>
      <c r="AR5" s="408"/>
      <c r="AS5" s="406"/>
      <c r="AT5" s="406"/>
      <c r="AU5" s="406"/>
      <c r="AV5" s="406"/>
      <c r="AW5" s="406"/>
      <c r="AX5" s="406"/>
      <c r="AY5" s="406"/>
      <c r="AZ5" s="406"/>
      <c r="BA5" s="406"/>
      <c r="BB5" s="406"/>
      <c r="BC5" s="406"/>
      <c r="BD5" s="406"/>
      <c r="BE5" s="406"/>
      <c r="BF5" s="406"/>
      <c r="BG5" s="406"/>
      <c r="BH5" s="406"/>
      <c r="BI5" s="406"/>
      <c r="BJ5" s="406"/>
      <c r="BK5" s="407"/>
      <c r="BL5" s="407"/>
      <c r="BM5" s="407"/>
      <c r="BN5" s="407"/>
      <c r="BO5" s="407"/>
      <c r="BP5" s="407"/>
      <c r="BQ5" s="407"/>
      <c r="BR5" s="407"/>
      <c r="BS5" s="407"/>
      <c r="BT5" s="407"/>
      <c r="BU5" s="407"/>
      <c r="BV5" s="407"/>
      <c r="BW5" s="407"/>
      <c r="BX5" s="407"/>
      <c r="BY5" s="407"/>
      <c r="BZ5" s="407"/>
      <c r="CA5" s="407"/>
      <c r="CB5" s="407"/>
      <c r="CC5" s="407"/>
      <c r="CD5" s="407"/>
      <c r="CE5" s="407"/>
      <c r="CF5" s="407"/>
    </row>
    <row r="6" spans="1:84">
      <c r="A6" s="406"/>
      <c r="B6" s="413" t="s">
        <v>938</v>
      </c>
      <c r="C6" s="413" t="s">
        <v>943</v>
      </c>
      <c r="D6" s="408"/>
      <c r="E6" s="411">
        <f>(+E8-((H15/100)*E7))/H25</f>
        <v>2100.8818666436632</v>
      </c>
      <c r="F6" s="418" t="s">
        <v>940</v>
      </c>
      <c r="G6" s="408"/>
      <c r="H6" s="419"/>
      <c r="I6" s="408"/>
      <c r="J6" s="420">
        <f>E6/E7</f>
        <v>0.44959840444297439</v>
      </c>
      <c r="K6" s="408" t="s">
        <v>944</v>
      </c>
      <c r="L6" s="414"/>
      <c r="M6" s="408"/>
      <c r="N6" s="413" t="s">
        <v>945</v>
      </c>
      <c r="O6" s="408"/>
      <c r="P6" s="408"/>
      <c r="Q6" s="413" t="s">
        <v>946</v>
      </c>
      <c r="R6" s="408"/>
      <c r="S6" s="408"/>
      <c r="T6" s="408"/>
      <c r="U6" s="415">
        <f>$E$8*1.25</f>
        <v>5991.9205948671934</v>
      </c>
      <c r="V6" s="416">
        <f>100*(+U6/$E$9)</f>
        <v>23.252483834149285</v>
      </c>
      <c r="W6" s="417">
        <f>EXP(5.70827-(0.68367*LN(+V6)))</f>
        <v>35.0635642842431</v>
      </c>
      <c r="X6" s="417">
        <f>(+W6*V6)/100</f>
        <v>8.1531496168701683</v>
      </c>
      <c r="Y6" s="416">
        <f>100*((((X6/100)-((X6/100)-0.03574)*$E$21)-0.03574-0.00619)/0.344)</f>
        <v>6.9861591486462533</v>
      </c>
      <c r="Z6" s="408">
        <f>$E$20</f>
        <v>0.25</v>
      </c>
      <c r="AA6" s="416">
        <f>Y6+Z6</f>
        <v>7.2361591486462533</v>
      </c>
      <c r="AB6" s="416">
        <f>100*($E$17*$E$19+($E$18*(AA6/100))/(1-$E$21))</f>
        <v>6.8246781360421167</v>
      </c>
      <c r="AC6" s="417">
        <f>AB6/V6</f>
        <v>0.29350318807744713</v>
      </c>
      <c r="AD6" s="415">
        <f>$E$8/(1-AC6)</f>
        <v>6784.937164612752</v>
      </c>
      <c r="AE6" s="408" t="str">
        <f>IF(AD6=$U$6,"yes","not yet")</f>
        <v>not yet</v>
      </c>
      <c r="AF6" s="416">
        <f>100*(1-AC6)</f>
        <v>70.649681192255287</v>
      </c>
      <c r="AG6" s="408"/>
      <c r="AH6" s="408"/>
      <c r="AI6" s="408">
        <v>50</v>
      </c>
      <c r="AJ6" s="408">
        <v>2</v>
      </c>
      <c r="AK6" s="408"/>
      <c r="AL6" s="408"/>
      <c r="AM6" s="408"/>
      <c r="AN6" s="408"/>
      <c r="AO6" s="408"/>
      <c r="AP6" s="408"/>
      <c r="AQ6" s="408"/>
      <c r="AR6" s="408"/>
      <c r="AS6" s="406"/>
      <c r="AT6" s="406"/>
      <c r="AU6" s="406"/>
      <c r="AV6" s="406"/>
      <c r="AW6" s="406"/>
      <c r="AX6" s="406"/>
      <c r="AY6" s="406"/>
      <c r="AZ6" s="406"/>
      <c r="BA6" s="406"/>
      <c r="BB6" s="406"/>
      <c r="BC6" s="406"/>
      <c r="BD6" s="406"/>
      <c r="BE6" s="406"/>
      <c r="BF6" s="406"/>
      <c r="BG6" s="406"/>
      <c r="BH6" s="406"/>
      <c r="BI6" s="406"/>
      <c r="BJ6" s="406"/>
      <c r="BK6" s="407"/>
      <c r="BL6" s="407"/>
      <c r="BM6" s="407"/>
      <c r="BN6" s="407"/>
      <c r="BO6" s="407"/>
      <c r="BP6" s="407"/>
      <c r="BQ6" s="407"/>
      <c r="BR6" s="407"/>
      <c r="BS6" s="407"/>
      <c r="BT6" s="407"/>
      <c r="BU6" s="407"/>
      <c r="BV6" s="407"/>
      <c r="BW6" s="407"/>
      <c r="BX6" s="407"/>
      <c r="BY6" s="407"/>
      <c r="BZ6" s="407"/>
      <c r="CA6" s="407"/>
      <c r="CB6" s="407"/>
      <c r="CC6" s="407"/>
      <c r="CD6" s="407"/>
      <c r="CE6" s="407"/>
      <c r="CF6" s="407"/>
    </row>
    <row r="7" spans="1:84">
      <c r="A7" s="406"/>
      <c r="B7" s="421" t="s">
        <v>592</v>
      </c>
      <c r="C7" s="413" t="s">
        <v>64</v>
      </c>
      <c r="D7" s="421" t="s">
        <v>717</v>
      </c>
      <c r="E7" s="422">
        <f>'Consolidated IS'!S15</f>
        <v>4672.7965354915586</v>
      </c>
      <c r="F7" s="413" t="s">
        <v>947</v>
      </c>
      <c r="G7" s="408"/>
      <c r="H7" s="423"/>
      <c r="I7" s="408"/>
      <c r="J7" s="413"/>
      <c r="K7" s="408"/>
      <c r="L7" s="414"/>
      <c r="M7" s="408"/>
      <c r="N7" s="413" t="s">
        <v>948</v>
      </c>
      <c r="O7" s="408"/>
      <c r="P7" s="408"/>
      <c r="Q7" s="413" t="s">
        <v>949</v>
      </c>
      <c r="R7" s="408"/>
      <c r="S7" s="408"/>
      <c r="T7" s="408"/>
      <c r="U7" s="415">
        <f>$E$8*1.25</f>
        <v>5991.9205948671934</v>
      </c>
      <c r="V7" s="416">
        <f>100*(+U7/$E$9)</f>
        <v>23.252483834149285</v>
      </c>
      <c r="W7" s="417">
        <f>EXP(5.6985-(0.68367*LN(V7)))</f>
        <v>34.722661284019502</v>
      </c>
      <c r="X7" s="417">
        <f>(+W7*V7)/100</f>
        <v>8.0738812018530481</v>
      </c>
      <c r="Y7" s="416">
        <f>100*((((X7/100)-((X7/100)-0.03574)*$E$21)-0.03574-0.00619)/0.344)</f>
        <v>6.8340743989041011</v>
      </c>
      <c r="Z7" s="408">
        <f>$E$20</f>
        <v>0.25</v>
      </c>
      <c r="AA7" s="416">
        <f>Y7+Z7</f>
        <v>7.0840743989041011</v>
      </c>
      <c r="AB7" s="416">
        <f>100*($E$17*$E$19+($E$18*(AA7/100))/(1-$E$21))</f>
        <v>6.7138436904193384</v>
      </c>
      <c r="AC7" s="417">
        <f>AB7/V7</f>
        <v>0.28873662436694997</v>
      </c>
      <c r="AD7" s="415">
        <f>$E$8/(1-AC7)</f>
        <v>6739.4676010519097</v>
      </c>
      <c r="AE7" s="408" t="str">
        <f>IF(AD7=$U$7,"yes","not yet")</f>
        <v>not yet</v>
      </c>
      <c r="AF7" s="416">
        <f>100*(1-AC7)</f>
        <v>71.126337563305</v>
      </c>
      <c r="AG7" s="408"/>
      <c r="AH7" s="408"/>
      <c r="AI7" s="408">
        <v>125</v>
      </c>
      <c r="AJ7" s="408">
        <v>3</v>
      </c>
      <c r="AK7" s="408"/>
      <c r="AL7" s="408"/>
      <c r="AM7" s="408"/>
      <c r="AN7" s="408"/>
      <c r="AO7" s="408"/>
      <c r="AP7" s="408"/>
      <c r="AQ7" s="408"/>
      <c r="AR7" s="408"/>
      <c r="AS7" s="406"/>
      <c r="AT7" s="406"/>
      <c r="AU7" s="406"/>
      <c r="AV7" s="406"/>
      <c r="AW7" s="406"/>
      <c r="AX7" s="406"/>
      <c r="AY7" s="406"/>
      <c r="AZ7" s="406"/>
      <c r="BA7" s="406"/>
      <c r="BB7" s="406"/>
      <c r="BC7" s="406"/>
      <c r="BD7" s="406"/>
      <c r="BE7" s="406"/>
      <c r="BF7" s="406"/>
      <c r="BG7" s="406"/>
      <c r="BH7" s="406"/>
      <c r="BI7" s="406"/>
      <c r="BJ7" s="406"/>
      <c r="BK7" s="407"/>
      <c r="BL7" s="407"/>
      <c r="BM7" s="407"/>
      <c r="BN7" s="407"/>
      <c r="BO7" s="407"/>
      <c r="BP7" s="407"/>
      <c r="BQ7" s="407"/>
      <c r="BR7" s="407"/>
      <c r="BS7" s="407"/>
      <c r="BT7" s="407"/>
      <c r="BU7" s="407"/>
      <c r="BV7" s="407"/>
      <c r="BW7" s="407"/>
      <c r="BX7" s="407"/>
      <c r="BY7" s="407"/>
      <c r="BZ7" s="407"/>
      <c r="CA7" s="407"/>
      <c r="CB7" s="407"/>
      <c r="CC7" s="407"/>
      <c r="CD7" s="407"/>
      <c r="CE7" s="407"/>
      <c r="CF7" s="407"/>
    </row>
    <row r="8" spans="1:84">
      <c r="A8" s="406"/>
      <c r="B8" s="421" t="s">
        <v>592</v>
      </c>
      <c r="C8" s="413" t="s">
        <v>950</v>
      </c>
      <c r="D8" s="421" t="s">
        <v>717</v>
      </c>
      <c r="E8" s="422">
        <f>'Consolidated IS'!S195</f>
        <v>4793.5364758937549</v>
      </c>
      <c r="F8" s="413" t="s">
        <v>947</v>
      </c>
      <c r="G8" s="408"/>
      <c r="H8" s="423"/>
      <c r="I8" s="408"/>
      <c r="J8" s="1015"/>
      <c r="K8" s="419"/>
      <c r="L8" s="414"/>
      <c r="M8" s="408"/>
      <c r="N8" s="413" t="s">
        <v>951</v>
      </c>
      <c r="O8" s="408"/>
      <c r="P8" s="408"/>
      <c r="Q8" s="413" t="s">
        <v>952</v>
      </c>
      <c r="R8" s="408"/>
      <c r="S8" s="408"/>
      <c r="T8" s="408"/>
      <c r="U8" s="415">
        <f>$E$8*1.25</f>
        <v>5991.9205948671934</v>
      </c>
      <c r="V8" s="416">
        <f>100*(+U8/$E$9)</f>
        <v>23.252483834149285</v>
      </c>
      <c r="W8" s="417">
        <f>EXP(5.6922-(0.68367*LN(V8)))</f>
        <v>34.504596144370034</v>
      </c>
      <c r="X8" s="417">
        <f>(+W8*V8)/100</f>
        <v>8.0231756405081391</v>
      </c>
      <c r="Y8" s="416">
        <f>100*((((X8/100)-((X8/100)-0.03574)*$E$21)-0.03574-0.00619)/0.344)</f>
        <v>6.7367904730679395</v>
      </c>
      <c r="Z8" s="408">
        <f>$E$20</f>
        <v>0.25</v>
      </c>
      <c r="AA8" s="416">
        <f>Y8+Z8</f>
        <v>6.9867904730679395</v>
      </c>
      <c r="AB8" s="416">
        <f>100*($E$17*$E$19+($E$18*(AA8/100))/(1-$E$21))</f>
        <v>6.6429463124354244</v>
      </c>
      <c r="AC8" s="417">
        <f>AB8/V8</f>
        <v>0.28568760050826902</v>
      </c>
      <c r="AD8" s="415">
        <f>$E$8/(1-AC8)</f>
        <v>6710.7003592610126</v>
      </c>
      <c r="AE8" s="408" t="str">
        <f>IF(AD8=$U$8,"yes","not yet")</f>
        <v>not yet</v>
      </c>
      <c r="AF8" s="416">
        <f>100*(1-AC8)</f>
        <v>71.431239949173104</v>
      </c>
      <c r="AG8" s="408"/>
      <c r="AH8" s="408"/>
      <c r="AI8" s="408">
        <v>401</v>
      </c>
      <c r="AJ8" s="408">
        <v>4</v>
      </c>
      <c r="AK8" s="408"/>
      <c r="AL8" s="408"/>
      <c r="AM8" s="408"/>
      <c r="AN8" s="408"/>
      <c r="AO8" s="408"/>
      <c r="AP8" s="408"/>
      <c r="AQ8" s="408"/>
      <c r="AR8" s="408"/>
      <c r="AS8" s="406"/>
      <c r="AT8" s="406"/>
      <c r="AU8" s="406"/>
      <c r="AV8" s="406"/>
      <c r="AW8" s="406"/>
      <c r="AX8" s="406"/>
      <c r="AY8" s="406"/>
      <c r="AZ8" s="406"/>
      <c r="BA8" s="406"/>
      <c r="BB8" s="406"/>
      <c r="BC8" s="406"/>
      <c r="BD8" s="406"/>
      <c r="BE8" s="406"/>
      <c r="BF8" s="406"/>
      <c r="BG8" s="406"/>
      <c r="BH8" s="406"/>
      <c r="BI8" s="406"/>
      <c r="BJ8" s="406"/>
      <c r="BK8" s="407"/>
      <c r="BL8" s="407"/>
      <c r="BM8" s="407"/>
      <c r="BN8" s="407"/>
      <c r="BO8" s="407"/>
      <c r="BP8" s="407"/>
      <c r="BQ8" s="407"/>
      <c r="BR8" s="407"/>
      <c r="BS8" s="407"/>
      <c r="BT8" s="407"/>
      <c r="BU8" s="407"/>
      <c r="BV8" s="407"/>
      <c r="BW8" s="407"/>
      <c r="BX8" s="407"/>
      <c r="BY8" s="407"/>
      <c r="BZ8" s="407"/>
      <c r="CA8" s="407"/>
      <c r="CB8" s="407"/>
      <c r="CC8" s="407"/>
      <c r="CD8" s="407"/>
      <c r="CE8" s="407"/>
      <c r="CF8" s="407"/>
    </row>
    <row r="9" spans="1:84">
      <c r="A9" s="406"/>
      <c r="B9" s="421" t="s">
        <v>592</v>
      </c>
      <c r="C9" s="413" t="s">
        <v>953</v>
      </c>
      <c r="D9" s="408"/>
      <c r="E9" s="422">
        <f>'Consolidated IS'!S201</f>
        <v>25768.94854590666</v>
      </c>
      <c r="F9" s="413" t="s">
        <v>947</v>
      </c>
      <c r="G9" s="408"/>
      <c r="H9" s="408"/>
      <c r="I9" s="408"/>
      <c r="J9" s="413"/>
      <c r="K9" s="424"/>
      <c r="L9" s="414"/>
      <c r="M9" s="408"/>
      <c r="N9" s="408"/>
      <c r="O9" s="408"/>
      <c r="P9" s="408"/>
      <c r="Q9" s="408"/>
      <c r="R9" s="408"/>
      <c r="S9" s="408"/>
      <c r="T9" s="408"/>
      <c r="U9" s="408"/>
      <c r="V9" s="408"/>
      <c r="W9" s="408"/>
      <c r="X9" s="408"/>
      <c r="Y9" s="408"/>
      <c r="Z9" s="408"/>
      <c r="AA9" s="416"/>
      <c r="AB9" s="408"/>
      <c r="AC9" s="408"/>
      <c r="AD9" s="408"/>
      <c r="AE9" s="408"/>
      <c r="AF9" s="408"/>
      <c r="AG9" s="408"/>
      <c r="AH9" s="408"/>
      <c r="AI9" s="408"/>
      <c r="AJ9" s="408"/>
      <c r="AK9" s="408"/>
      <c r="AL9" s="408"/>
      <c r="AM9" s="408"/>
      <c r="AN9" s="408"/>
      <c r="AO9" s="408"/>
      <c r="AP9" s="408"/>
      <c r="AQ9" s="408"/>
      <c r="AR9" s="408"/>
      <c r="AS9" s="406"/>
      <c r="AT9" s="406"/>
      <c r="AU9" s="406"/>
      <c r="AV9" s="406"/>
      <c r="AW9" s="406"/>
      <c r="AX9" s="406"/>
      <c r="AY9" s="406"/>
      <c r="AZ9" s="406"/>
      <c r="BA9" s="406"/>
      <c r="BB9" s="406"/>
      <c r="BC9" s="406"/>
      <c r="BD9" s="406"/>
      <c r="BE9" s="406"/>
      <c r="BF9" s="406"/>
      <c r="BG9" s="406"/>
      <c r="BH9" s="406"/>
      <c r="BI9" s="406"/>
      <c r="BJ9" s="406"/>
      <c r="BK9" s="407"/>
      <c r="BL9" s="407"/>
      <c r="BM9" s="407"/>
      <c r="BN9" s="407"/>
      <c r="BO9" s="407"/>
      <c r="BP9" s="407"/>
      <c r="BQ9" s="407"/>
      <c r="BR9" s="407"/>
      <c r="BS9" s="407"/>
      <c r="BT9" s="407"/>
      <c r="BU9" s="407"/>
      <c r="BV9" s="407"/>
      <c r="BW9" s="407"/>
      <c r="BX9" s="407"/>
      <c r="BY9" s="407"/>
      <c r="BZ9" s="407"/>
      <c r="CA9" s="407"/>
      <c r="CB9" s="407"/>
      <c r="CC9" s="407"/>
      <c r="CD9" s="407"/>
      <c r="CE9" s="407"/>
      <c r="CF9" s="407"/>
    </row>
    <row r="10" spans="1:84">
      <c r="A10" s="406"/>
      <c r="B10" s="410"/>
      <c r="C10" s="413" t="s">
        <v>954</v>
      </c>
      <c r="D10" s="408"/>
      <c r="E10" s="416">
        <f>V5</f>
        <v>23.252483834149285</v>
      </c>
      <c r="F10" s="413" t="s">
        <v>955</v>
      </c>
      <c r="G10" s="408"/>
      <c r="H10" s="416"/>
      <c r="I10" s="416"/>
      <c r="J10" s="410"/>
      <c r="K10" s="412"/>
      <c r="L10" s="408"/>
      <c r="M10" s="408"/>
      <c r="N10" s="408"/>
      <c r="O10" s="408"/>
      <c r="P10" s="408"/>
      <c r="Q10" s="408"/>
      <c r="R10" s="408"/>
      <c r="S10" s="408"/>
      <c r="T10" s="408"/>
      <c r="U10" s="408"/>
      <c r="V10" s="425" t="s">
        <v>956</v>
      </c>
      <c r="W10" s="425" t="s">
        <v>718</v>
      </c>
      <c r="X10" s="425" t="s">
        <v>930</v>
      </c>
      <c r="Y10" s="425" t="s">
        <v>931</v>
      </c>
      <c r="Z10" s="408"/>
      <c r="AA10" s="416"/>
      <c r="AB10" s="408"/>
      <c r="AC10" s="408"/>
      <c r="AD10" s="408"/>
      <c r="AE10" s="408"/>
      <c r="AF10" s="408"/>
      <c r="AG10" s="408"/>
      <c r="AH10" s="408"/>
      <c r="AI10" s="408" t="s">
        <v>957</v>
      </c>
      <c r="AJ10" s="408"/>
      <c r="AK10" s="408"/>
      <c r="AL10" s="408"/>
      <c r="AM10" s="408"/>
      <c r="AN10" s="408"/>
      <c r="AO10" s="408"/>
      <c r="AP10" s="408"/>
      <c r="AQ10" s="408"/>
      <c r="AR10" s="408"/>
      <c r="AS10" s="406"/>
      <c r="AT10" s="406"/>
      <c r="AU10" s="406"/>
      <c r="AV10" s="406"/>
      <c r="AW10" s="406"/>
      <c r="AX10" s="406"/>
      <c r="AY10" s="406"/>
      <c r="AZ10" s="406"/>
      <c r="BA10" s="406"/>
      <c r="BB10" s="406"/>
      <c r="BC10" s="406"/>
      <c r="BD10" s="406"/>
      <c r="BE10" s="406"/>
      <c r="BF10" s="406"/>
      <c r="BG10" s="406"/>
      <c r="BH10" s="406"/>
      <c r="BI10" s="406"/>
      <c r="BJ10" s="406"/>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row>
    <row r="11" spans="1:84">
      <c r="A11" s="406"/>
      <c r="B11" s="410"/>
      <c r="C11" s="413" t="s">
        <v>958</v>
      </c>
      <c r="D11" s="408"/>
      <c r="E11" s="416">
        <f>HLOOKUP($AJ$34,$AJ$28:$AR$32,($E$12)+1)</f>
        <v>26.00804603284676</v>
      </c>
      <c r="F11" s="413" t="s">
        <v>955</v>
      </c>
      <c r="G11" s="408"/>
      <c r="H11" s="408"/>
      <c r="I11" s="408"/>
      <c r="J11" s="421"/>
      <c r="K11" s="411"/>
      <c r="L11" s="408"/>
      <c r="M11" s="408"/>
      <c r="N11" s="408"/>
      <c r="O11" s="408"/>
      <c r="P11" s="408"/>
      <c r="Q11" s="408"/>
      <c r="R11" s="408"/>
      <c r="S11" s="408"/>
      <c r="T11" s="408"/>
      <c r="U11" s="408"/>
      <c r="V11" s="416">
        <f>100*(+AD5/$E$9)</f>
        <v>26.596276054455171</v>
      </c>
      <c r="W11" s="426">
        <f>EXP(5.7226-(0.68367*LN(+V11)))</f>
        <v>32.447881248147404</v>
      </c>
      <c r="X11" s="417">
        <f>(+W11*V11)/100</f>
        <v>8.6299280705790764</v>
      </c>
      <c r="Y11" s="416">
        <f>100*((((X11/100)-((X11/100)-0.03574)*$E$21)-0.03574-0.00619)/0.344)</f>
        <v>7.9009085075063652</v>
      </c>
      <c r="Z11" s="408">
        <f>$E$20</f>
        <v>0.25</v>
      </c>
      <c r="AA11" s="416">
        <f>Y11+Z11</f>
        <v>8.1509085075063652</v>
      </c>
      <c r="AB11" s="416">
        <f>100*($E$17*$E$19+($E$18*(AA11/100))/(1-$E$21))</f>
        <v>7.4913178763510144</v>
      </c>
      <c r="AC11" s="417">
        <f>AB11/V11</f>
        <v>0.28166792452495004</v>
      </c>
      <c r="AD11" s="415">
        <f>$E$8/(1-AC11)</f>
        <v>6673.1483105827847</v>
      </c>
      <c r="AE11" s="408" t="str">
        <f>IF(AD11=AD5,"yes","not yet")</f>
        <v>not yet</v>
      </c>
      <c r="AF11" s="416">
        <f>100*(1-AC11)</f>
        <v>71.833207547504998</v>
      </c>
      <c r="AG11" s="408"/>
      <c r="AH11" s="408"/>
      <c r="AI11" s="408"/>
      <c r="AJ11" s="408"/>
      <c r="AK11" s="408"/>
      <c r="AL11" s="408"/>
      <c r="AM11" s="408"/>
      <c r="AN11" s="408"/>
      <c r="AO11" s="408"/>
      <c r="AP11" s="408"/>
      <c r="AQ11" s="408"/>
      <c r="AR11" s="408"/>
      <c r="AS11" s="406"/>
      <c r="AT11" s="406"/>
      <c r="AU11" s="406"/>
      <c r="AV11" s="406"/>
      <c r="AW11" s="406"/>
      <c r="AX11" s="406"/>
      <c r="AY11" s="406"/>
      <c r="AZ11" s="406"/>
      <c r="BA11" s="406"/>
      <c r="BB11" s="406"/>
      <c r="BC11" s="406"/>
      <c r="BD11" s="406"/>
      <c r="BE11" s="406"/>
      <c r="BF11" s="406"/>
      <c r="BG11" s="406"/>
      <c r="BH11" s="406"/>
      <c r="BI11" s="406"/>
      <c r="BJ11" s="406"/>
      <c r="BK11" s="407"/>
      <c r="BL11" s="407"/>
      <c r="BM11" s="407"/>
      <c r="BN11" s="407"/>
      <c r="BO11" s="407"/>
      <c r="BP11" s="407"/>
      <c r="BQ11" s="407"/>
      <c r="BR11" s="407"/>
      <c r="BS11" s="407"/>
      <c r="BT11" s="407"/>
      <c r="BU11" s="407"/>
      <c r="BV11" s="407"/>
      <c r="BW11" s="407"/>
      <c r="BX11" s="407"/>
      <c r="BY11" s="407"/>
      <c r="BZ11" s="407"/>
      <c r="CA11" s="407"/>
      <c r="CB11" s="407"/>
      <c r="CC11" s="407"/>
      <c r="CD11" s="407"/>
      <c r="CE11" s="407"/>
      <c r="CF11" s="407"/>
    </row>
    <row r="12" spans="1:84">
      <c r="A12" s="406"/>
      <c r="B12" s="410"/>
      <c r="C12" s="413" t="s">
        <v>959</v>
      </c>
      <c r="D12" s="408"/>
      <c r="E12" s="408">
        <f>VLOOKUP(E10,AI5:AJ8,2)</f>
        <v>1</v>
      </c>
      <c r="F12" s="413" t="s">
        <v>955</v>
      </c>
      <c r="G12" s="408"/>
      <c r="H12" s="408"/>
      <c r="I12" s="408"/>
      <c r="J12" s="421"/>
      <c r="K12" s="411"/>
      <c r="L12" s="408"/>
      <c r="M12" s="408"/>
      <c r="N12" s="408"/>
      <c r="O12" s="408"/>
      <c r="P12" s="408"/>
      <c r="Q12" s="408"/>
      <c r="R12" s="408"/>
      <c r="S12" s="408"/>
      <c r="T12" s="408"/>
      <c r="U12" s="408"/>
      <c r="V12" s="416">
        <f>100*(+AD6/$E$9)</f>
        <v>26.329895271146107</v>
      </c>
      <c r="W12" s="426">
        <f>EXP(5.70827-(0.68367*LN(+V12)))</f>
        <v>32.207106128327993</v>
      </c>
      <c r="X12" s="417">
        <f>(+W12*V12)/100</f>
        <v>8.480097313455639</v>
      </c>
      <c r="Y12" s="416">
        <f>100*((((X12/100)-((X12/100)-0.03574)*$E$21)-0.03574-0.00619)/0.344)</f>
        <v>7.613442520002101</v>
      </c>
      <c r="Z12" s="408">
        <f>$E$20</f>
        <v>0.25</v>
      </c>
      <c r="AA12" s="416">
        <f>Y12+Z12</f>
        <v>7.863442520002101</v>
      </c>
      <c r="AB12" s="416">
        <f>100*($E$17*$E$19+($E$18*(AA12/100))/(1-$E$21))</f>
        <v>7.2818219642726651</v>
      </c>
      <c r="AC12" s="417">
        <f>AB12/V12</f>
        <v>0.27656099233529907</v>
      </c>
      <c r="AD12" s="415">
        <f>$E$8/(1-AC12)</f>
        <v>6626.0409310351433</v>
      </c>
      <c r="AE12" s="408" t="str">
        <f>IF(AD12=AD6,"yes","not yet")</f>
        <v>not yet</v>
      </c>
      <c r="AF12" s="416">
        <f>100*(1-AC12)</f>
        <v>72.343900766470099</v>
      </c>
      <c r="AG12" s="408"/>
      <c r="AH12" s="408"/>
      <c r="AI12" s="408"/>
      <c r="AJ12" s="408"/>
      <c r="AK12" s="408"/>
      <c r="AL12" s="408"/>
      <c r="AM12" s="408"/>
      <c r="AN12" s="408"/>
      <c r="AO12" s="408"/>
      <c r="AP12" s="408"/>
      <c r="AQ12" s="408"/>
      <c r="AR12" s="408"/>
      <c r="AS12" s="406"/>
      <c r="AT12" s="406"/>
      <c r="AU12" s="406"/>
      <c r="AV12" s="406"/>
      <c r="AW12" s="406"/>
      <c r="AX12" s="406"/>
      <c r="AY12" s="406"/>
      <c r="AZ12" s="406"/>
      <c r="BA12" s="406"/>
      <c r="BB12" s="406"/>
      <c r="BC12" s="406"/>
      <c r="BD12" s="406"/>
      <c r="BE12" s="406"/>
      <c r="BF12" s="406"/>
      <c r="BG12" s="406"/>
      <c r="BH12" s="406"/>
      <c r="BI12" s="406"/>
      <c r="BJ12" s="406"/>
      <c r="BK12" s="407"/>
      <c r="BL12" s="407"/>
      <c r="BM12" s="407"/>
      <c r="BN12" s="407"/>
      <c r="BO12" s="407"/>
      <c r="BP12" s="407"/>
      <c r="BQ12" s="407"/>
      <c r="BR12" s="407"/>
      <c r="BS12" s="407"/>
      <c r="BT12" s="407"/>
      <c r="BU12" s="407"/>
      <c r="BV12" s="407"/>
      <c r="BW12" s="407"/>
      <c r="BX12" s="407"/>
      <c r="BY12" s="407"/>
      <c r="BZ12" s="407"/>
      <c r="CA12" s="407"/>
      <c r="CB12" s="407"/>
      <c r="CC12" s="407"/>
      <c r="CD12" s="407"/>
      <c r="CE12" s="407"/>
      <c r="CF12" s="407"/>
    </row>
    <row r="13" spans="1:84">
      <c r="A13" s="406"/>
      <c r="B13" s="410"/>
      <c r="C13" s="408"/>
      <c r="D13" s="408"/>
      <c r="E13" s="408"/>
      <c r="F13" s="408"/>
      <c r="G13" s="408"/>
      <c r="H13" s="408"/>
      <c r="I13" s="408"/>
      <c r="J13" s="421"/>
      <c r="L13" s="427"/>
      <c r="M13" s="412"/>
      <c r="N13" s="411"/>
      <c r="O13" s="408"/>
      <c r="P13" s="408"/>
      <c r="Q13" s="408"/>
      <c r="R13" s="408"/>
      <c r="S13" s="408"/>
      <c r="T13" s="408"/>
      <c r="U13" s="408"/>
      <c r="V13" s="416">
        <f>100*(+AD7/$E$9)</f>
        <v>26.153444286039601</v>
      </c>
      <c r="W13" s="426">
        <f>EXP(5.6985-(0.68367*LN(V13)))</f>
        <v>32.040931085008815</v>
      </c>
      <c r="X13" s="417">
        <f>(+W13*V13)/100</f>
        <v>8.3798070600461241</v>
      </c>
      <c r="Y13" s="416">
        <f>100*((((X13/100)-((X13/100)-0.03574)*$E$21)-0.03574-0.00619)/0.344)</f>
        <v>7.4210251733443089</v>
      </c>
      <c r="Z13" s="408">
        <f>$E$20</f>
        <v>0.25</v>
      </c>
      <c r="AA13" s="416">
        <f>Y13+Z13</f>
        <v>7.6710251733443089</v>
      </c>
      <c r="AB13" s="416">
        <f>100*($E$17*$E$19+($E$18*(AA13/100))/(1-$E$21))</f>
        <v>7.1415944267899159</v>
      </c>
      <c r="AC13" s="417">
        <f>AB13/V13</f>
        <v>0.27306515916918883</v>
      </c>
      <c r="AD13" s="415">
        <f>$E$8/(1-AC13)</f>
        <v>6594.1762681442533</v>
      </c>
      <c r="AE13" s="408" t="str">
        <f>IF(AD13=AD7,"yes","not yet")</f>
        <v>not yet</v>
      </c>
      <c r="AF13" s="416">
        <f>100*(1-AC13)</f>
        <v>72.693484083081117</v>
      </c>
      <c r="AG13" s="408"/>
      <c r="AH13" s="408"/>
      <c r="AI13" s="408"/>
      <c r="AJ13" s="408">
        <v>1</v>
      </c>
      <c r="AK13" s="408">
        <v>2</v>
      </c>
      <c r="AL13" s="408">
        <v>3</v>
      </c>
      <c r="AM13" s="408">
        <v>4</v>
      </c>
      <c r="AN13" s="408">
        <v>5</v>
      </c>
      <c r="AO13" s="408">
        <v>6</v>
      </c>
      <c r="AP13" s="408">
        <v>7</v>
      </c>
      <c r="AQ13" s="408">
        <v>8</v>
      </c>
      <c r="AR13" s="408">
        <v>9</v>
      </c>
      <c r="AS13" s="406"/>
      <c r="AT13" s="406"/>
      <c r="AU13" s="406"/>
      <c r="AV13" s="406"/>
      <c r="AW13" s="406"/>
      <c r="AX13" s="406"/>
      <c r="AY13" s="406"/>
      <c r="AZ13" s="406"/>
      <c r="BA13" s="406"/>
      <c r="BB13" s="406"/>
      <c r="BC13" s="406"/>
      <c r="BD13" s="406"/>
      <c r="BE13" s="406"/>
      <c r="BF13" s="406"/>
      <c r="BG13" s="406"/>
      <c r="BH13" s="406"/>
      <c r="BI13" s="406"/>
      <c r="BJ13" s="406"/>
      <c r="BK13" s="407"/>
      <c r="BL13" s="407"/>
      <c r="BM13" s="407"/>
      <c r="BN13" s="407"/>
      <c r="BO13" s="407"/>
      <c r="BP13" s="407"/>
      <c r="BQ13" s="407"/>
      <c r="BR13" s="407"/>
      <c r="BS13" s="407"/>
      <c r="BT13" s="407"/>
      <c r="BU13" s="407"/>
      <c r="BV13" s="407"/>
      <c r="BW13" s="407"/>
      <c r="BX13" s="407"/>
      <c r="BY13" s="407"/>
      <c r="BZ13" s="407"/>
      <c r="CA13" s="407"/>
      <c r="CB13" s="407"/>
      <c r="CC13" s="407"/>
      <c r="CD13" s="407"/>
      <c r="CE13" s="407"/>
      <c r="CF13" s="407"/>
    </row>
    <row r="14" spans="1:84">
      <c r="A14" s="406"/>
      <c r="B14" s="410"/>
      <c r="C14" s="413" t="s">
        <v>960</v>
      </c>
      <c r="D14" s="408"/>
      <c r="E14" s="408"/>
      <c r="F14" s="408"/>
      <c r="G14" s="408"/>
      <c r="H14" s="408"/>
      <c r="I14" s="408"/>
      <c r="J14" s="410"/>
      <c r="L14" s="427"/>
      <c r="M14" s="412"/>
      <c r="N14" s="411"/>
      <c r="O14" s="408"/>
      <c r="P14" s="408"/>
      <c r="Q14" s="408"/>
      <c r="R14" s="408"/>
      <c r="S14" s="408"/>
      <c r="T14" s="408"/>
      <c r="U14" s="408"/>
      <c r="V14" s="416">
        <f>100*(+AD8/$E$9)</f>
        <v>26.041808990794046</v>
      </c>
      <c r="W14" s="426">
        <f>EXP(5.6922-(0.68367*LN(V14)))</f>
        <v>31.932958409305478</v>
      </c>
      <c r="X14" s="417">
        <f>(+W14*V14)/100</f>
        <v>8.3159200340610369</v>
      </c>
      <c r="Y14" s="416">
        <f>100*((((X14/100)-((X14/100)-0.03574)*$E$21)-0.03574-0.00619)/0.344)</f>
        <v>7.2984512281403582</v>
      </c>
      <c r="Z14" s="408">
        <f>$E$20</f>
        <v>0.25</v>
      </c>
      <c r="AA14" s="416">
        <f>Y14+Z14</f>
        <v>7.5484512281403582</v>
      </c>
      <c r="AB14" s="416">
        <f>100*($E$17*$E$19+($E$18*(AA14/100))/(1-$E$21))</f>
        <v>7.0522665008308056</v>
      </c>
      <c r="AC14" s="417">
        <f>AB14/V14</f>
        <v>0.27080555361280123</v>
      </c>
      <c r="AD14" s="415">
        <f>$E$8/(1-AC14)</f>
        <v>6573.7424354277236</v>
      </c>
      <c r="AE14" s="408" t="str">
        <f>IF(AD14=AD8,"yes","not yet")</f>
        <v>not yet</v>
      </c>
      <c r="AF14" s="416">
        <f>100*(1-AC14)</f>
        <v>72.919444638719881</v>
      </c>
      <c r="AG14" s="408"/>
      <c r="AH14" s="408"/>
      <c r="AI14" s="408"/>
      <c r="AJ14" s="408" t="str">
        <f>AE5</f>
        <v>not yet</v>
      </c>
      <c r="AK14" s="408" t="str">
        <f>AE11</f>
        <v>not yet</v>
      </c>
      <c r="AL14" s="408" t="str">
        <f>AE17</f>
        <v>not yet</v>
      </c>
      <c r="AM14" s="408" t="str">
        <f>AE23</f>
        <v>not yet</v>
      </c>
      <c r="AN14" s="408" t="str">
        <f>AE29</f>
        <v>not yet</v>
      </c>
      <c r="AO14" s="408" t="str">
        <f>AE35</f>
        <v>not yet</v>
      </c>
      <c r="AP14" s="408" t="str">
        <f>AE41</f>
        <v>yes</v>
      </c>
      <c r="AQ14" s="408" t="str">
        <f>AE47</f>
        <v>yes</v>
      </c>
      <c r="AR14" s="408" t="str">
        <f>AE53</f>
        <v>yes</v>
      </c>
      <c r="AS14" s="406"/>
      <c r="AT14" s="406"/>
      <c r="AU14" s="406"/>
      <c r="AV14" s="406"/>
      <c r="AW14" s="406"/>
      <c r="AX14" s="406"/>
      <c r="AY14" s="406"/>
      <c r="AZ14" s="406"/>
      <c r="BA14" s="406"/>
      <c r="BB14" s="406"/>
      <c r="BC14" s="406"/>
      <c r="BD14" s="406"/>
      <c r="BE14" s="406"/>
      <c r="BF14" s="406"/>
      <c r="BG14" s="406"/>
      <c r="BH14" s="406"/>
      <c r="BI14" s="406"/>
      <c r="BJ14" s="406"/>
      <c r="BK14" s="407"/>
      <c r="BL14" s="407"/>
      <c r="BM14" s="407"/>
      <c r="BN14" s="407"/>
      <c r="BO14" s="407"/>
      <c r="BP14" s="407"/>
      <c r="BQ14" s="407"/>
      <c r="BR14" s="407"/>
      <c r="BS14" s="407"/>
      <c r="BT14" s="407"/>
      <c r="BU14" s="407"/>
      <c r="BV14" s="407"/>
      <c r="BW14" s="407"/>
      <c r="BX14" s="407"/>
      <c r="BY14" s="407"/>
      <c r="BZ14" s="407"/>
      <c r="CA14" s="407"/>
      <c r="CB14" s="407"/>
      <c r="CC14" s="407"/>
      <c r="CD14" s="407"/>
      <c r="CE14" s="407"/>
      <c r="CF14" s="407"/>
    </row>
    <row r="15" spans="1:84">
      <c r="A15" s="406"/>
      <c r="B15" s="410"/>
      <c r="C15" s="413" t="s">
        <v>961</v>
      </c>
      <c r="D15" s="408"/>
      <c r="E15" s="421" t="s">
        <v>938</v>
      </c>
      <c r="F15" s="413" t="s">
        <v>962</v>
      </c>
      <c r="G15" s="408"/>
      <c r="H15" s="416">
        <f>HLOOKUP($AJ$25,$AJ$19:$AR$23,($E$12)+1)</f>
        <v>71.523231835431062</v>
      </c>
      <c r="I15" s="413" t="s">
        <v>940</v>
      </c>
      <c r="J15" s="406"/>
      <c r="L15" s="427"/>
      <c r="M15" s="412"/>
      <c r="N15" s="411"/>
      <c r="O15" s="408"/>
      <c r="P15" s="408"/>
      <c r="Q15" s="408"/>
      <c r="R15" s="408"/>
      <c r="S15" s="408"/>
      <c r="T15" s="408"/>
      <c r="U15" s="408"/>
      <c r="V15" s="408"/>
      <c r="W15" s="408"/>
      <c r="X15" s="408"/>
      <c r="Y15" s="408"/>
      <c r="Z15" s="408"/>
      <c r="AA15" s="416"/>
      <c r="AB15" s="408"/>
      <c r="AC15" s="408"/>
      <c r="AD15" s="408"/>
      <c r="AE15" s="408"/>
      <c r="AF15" s="408"/>
      <c r="AG15" s="408"/>
      <c r="AH15" s="408"/>
      <c r="AI15" s="408"/>
      <c r="AJ15" s="408" t="str">
        <f>AE6</f>
        <v>not yet</v>
      </c>
      <c r="AK15" s="408" t="str">
        <f>AE12</f>
        <v>not yet</v>
      </c>
      <c r="AL15" s="408" t="str">
        <f>AE18</f>
        <v>not yet</v>
      </c>
      <c r="AM15" s="408" t="str">
        <f>AE24</f>
        <v>not yet</v>
      </c>
      <c r="AN15" s="408" t="str">
        <f>AE30</f>
        <v>not yet</v>
      </c>
      <c r="AO15" s="408" t="str">
        <f>AE36</f>
        <v>not yet</v>
      </c>
      <c r="AP15" s="408" t="str">
        <f>AE42</f>
        <v>yes</v>
      </c>
      <c r="AQ15" s="408" t="str">
        <f>AE48</f>
        <v>yes</v>
      </c>
      <c r="AR15" s="408" t="str">
        <f>AE54</f>
        <v>yes</v>
      </c>
      <c r="AS15" s="406"/>
      <c r="AT15" s="406"/>
      <c r="AU15" s="406"/>
      <c r="AV15" s="406"/>
      <c r="AW15" s="406"/>
      <c r="AX15" s="406"/>
      <c r="AY15" s="406"/>
      <c r="AZ15" s="406"/>
      <c r="BA15" s="406"/>
      <c r="BB15" s="406"/>
      <c r="BC15" s="406"/>
      <c r="BD15" s="406"/>
      <c r="BE15" s="406"/>
      <c r="BF15" s="406"/>
      <c r="BG15" s="406"/>
      <c r="BH15" s="406"/>
      <c r="BI15" s="406"/>
      <c r="BJ15" s="406"/>
      <c r="BK15" s="407"/>
      <c r="BL15" s="407"/>
      <c r="BM15" s="407"/>
      <c r="BN15" s="407"/>
      <c r="BO15" s="407"/>
      <c r="BP15" s="407"/>
      <c r="BQ15" s="407"/>
      <c r="BR15" s="407"/>
      <c r="BS15" s="407"/>
      <c r="BT15" s="407"/>
      <c r="BU15" s="407"/>
      <c r="BV15" s="407"/>
      <c r="BW15" s="407"/>
      <c r="BX15" s="407"/>
      <c r="BY15" s="407"/>
      <c r="BZ15" s="407"/>
      <c r="CA15" s="407"/>
      <c r="CB15" s="407"/>
      <c r="CC15" s="407"/>
      <c r="CD15" s="407"/>
      <c r="CE15" s="407"/>
      <c r="CF15" s="407"/>
    </row>
    <row r="16" spans="1:84">
      <c r="A16" s="406"/>
      <c r="B16" s="410"/>
      <c r="C16" s="428"/>
      <c r="D16" s="428"/>
      <c r="E16" s="429"/>
      <c r="F16" s="408"/>
      <c r="G16" s="408"/>
      <c r="H16" s="428"/>
      <c r="I16" s="410"/>
      <c r="J16" s="406"/>
      <c r="K16" s="411"/>
      <c r="L16" s="408"/>
      <c r="M16" s="408"/>
      <c r="N16" s="408"/>
      <c r="O16" s="408"/>
      <c r="P16" s="408"/>
      <c r="Q16" s="408"/>
      <c r="R16" s="408"/>
      <c r="S16" s="408"/>
      <c r="T16" s="408"/>
      <c r="U16" s="408"/>
      <c r="V16" s="413" t="s">
        <v>963</v>
      </c>
      <c r="W16" s="425" t="s">
        <v>718</v>
      </c>
      <c r="X16" s="425" t="s">
        <v>930</v>
      </c>
      <c r="Y16" s="425" t="s">
        <v>931</v>
      </c>
      <c r="Z16" s="408"/>
      <c r="AA16" s="416"/>
      <c r="AB16" s="408"/>
      <c r="AC16" s="408"/>
      <c r="AD16" s="408"/>
      <c r="AE16" s="408"/>
      <c r="AF16" s="408"/>
      <c r="AG16" s="408"/>
      <c r="AH16" s="408"/>
      <c r="AI16" s="408"/>
      <c r="AJ16" s="408" t="str">
        <f>AE7</f>
        <v>not yet</v>
      </c>
      <c r="AK16" s="408" t="str">
        <f>AE13</f>
        <v>not yet</v>
      </c>
      <c r="AL16" s="408" t="str">
        <f>AE19</f>
        <v>not yet</v>
      </c>
      <c r="AM16" s="408" t="str">
        <f>AE25</f>
        <v>not yet</v>
      </c>
      <c r="AN16" s="408" t="str">
        <f>AE31</f>
        <v>not yet</v>
      </c>
      <c r="AO16" s="408" t="str">
        <f>AE37</f>
        <v>not yet</v>
      </c>
      <c r="AP16" s="408" t="str">
        <f>AE43</f>
        <v>yes</v>
      </c>
      <c r="AQ16" s="408" t="str">
        <f>AE49</f>
        <v>yes</v>
      </c>
      <c r="AR16" s="408" t="str">
        <f>AE55</f>
        <v>yes</v>
      </c>
      <c r="AS16" s="406"/>
      <c r="AT16" s="406"/>
      <c r="AU16" s="406"/>
      <c r="AV16" s="406"/>
      <c r="AW16" s="406"/>
      <c r="AX16" s="406"/>
      <c r="AY16" s="406"/>
      <c r="AZ16" s="406"/>
      <c r="BA16" s="406"/>
      <c r="BB16" s="406"/>
      <c r="BC16" s="406"/>
      <c r="BD16" s="406"/>
      <c r="BE16" s="406"/>
      <c r="BF16" s="406"/>
      <c r="BG16" s="406"/>
      <c r="BH16" s="406"/>
      <c r="BI16" s="406"/>
      <c r="BJ16" s="406"/>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row>
    <row r="17" spans="1:84">
      <c r="A17" s="406"/>
      <c r="B17" s="421" t="s">
        <v>592</v>
      </c>
      <c r="C17" s="413" t="s">
        <v>964</v>
      </c>
      <c r="D17" s="408"/>
      <c r="E17" s="430">
        <f>'Corp-BS'!$D$65</f>
        <v>0.51901335120677927</v>
      </c>
      <c r="F17" s="413" t="s">
        <v>965</v>
      </c>
      <c r="G17" s="408"/>
      <c r="H17" s="408"/>
      <c r="I17" s="410"/>
      <c r="J17" s="406"/>
      <c r="K17" s="408"/>
      <c r="L17" s="408"/>
      <c r="M17" s="408"/>
      <c r="N17" s="408"/>
      <c r="O17" s="408"/>
      <c r="P17" s="408"/>
      <c r="Q17" s="408"/>
      <c r="R17" s="408"/>
      <c r="S17" s="408"/>
      <c r="T17" s="408"/>
      <c r="U17" s="408"/>
      <c r="V17" s="416">
        <f>100*(+AD11/$E$9)</f>
        <v>25.896083026805528</v>
      </c>
      <c r="W17" s="426">
        <f>EXP(5.7226-(0.68367*LN(+V17)))</f>
        <v>33.045160036103965</v>
      </c>
      <c r="X17" s="417">
        <f>(+W17*V17)/100</f>
        <v>8.5574020792902417</v>
      </c>
      <c r="Y17" s="416">
        <f>100*((((X17/100)-((X17/100)-0.03574)*$E$21)-0.03574-0.00619)/0.344)</f>
        <v>7.7617598032894124</v>
      </c>
      <c r="Z17" s="408">
        <f>$E$20</f>
        <v>0.25</v>
      </c>
      <c r="AA17" s="416">
        <f>Y17+Z17</f>
        <v>8.0117598032894115</v>
      </c>
      <c r="AB17" s="416">
        <f>100*($E$17*$E$19+($E$18*(AA17/100))/(1-$E$21))</f>
        <v>7.3899108022218742</v>
      </c>
      <c r="AC17" s="417">
        <f>AB17/V17</f>
        <v>0.2853678988661118</v>
      </c>
      <c r="AD17" s="415">
        <f>$E$8/(1-AC17)</f>
        <v>6707.6982244262117</v>
      </c>
      <c r="AE17" s="408" t="str">
        <f>IF(AD17=AD11,"yes","not yet")</f>
        <v>not yet</v>
      </c>
      <c r="AF17" s="416">
        <f>100*(1-AC17)</f>
        <v>71.463210113388826</v>
      </c>
      <c r="AG17" s="408"/>
      <c r="AH17" s="408"/>
      <c r="AI17" s="408"/>
      <c r="AJ17" s="408" t="str">
        <f>AE8</f>
        <v>not yet</v>
      </c>
      <c r="AK17" s="408" t="str">
        <f>AE14</f>
        <v>not yet</v>
      </c>
      <c r="AL17" s="408" t="str">
        <f>AE20</f>
        <v>not yet</v>
      </c>
      <c r="AM17" s="408" t="str">
        <f>AE26</f>
        <v>not yet</v>
      </c>
      <c r="AN17" s="408" t="str">
        <f>AE32</f>
        <v>not yet</v>
      </c>
      <c r="AO17" s="408" t="str">
        <f>AE38</f>
        <v>not yet</v>
      </c>
      <c r="AP17" s="408" t="str">
        <f>AE44</f>
        <v>yes</v>
      </c>
      <c r="AQ17" s="408" t="str">
        <f>AE50</f>
        <v>yes</v>
      </c>
      <c r="AR17" s="408" t="str">
        <f>AE56</f>
        <v>yes</v>
      </c>
      <c r="AS17" s="406"/>
      <c r="AT17" s="406"/>
      <c r="AU17" s="406"/>
      <c r="AV17" s="406"/>
      <c r="AW17" s="406"/>
      <c r="AX17" s="406"/>
      <c r="AY17" s="406"/>
      <c r="AZ17" s="406"/>
      <c r="BA17" s="406"/>
      <c r="BB17" s="406"/>
      <c r="BC17" s="406"/>
      <c r="BD17" s="406"/>
      <c r="BE17" s="406"/>
      <c r="BF17" s="406"/>
      <c r="BG17" s="406"/>
      <c r="BH17" s="406"/>
      <c r="BI17" s="406"/>
      <c r="BJ17" s="406"/>
      <c r="BK17" s="407"/>
      <c r="BL17" s="407"/>
      <c r="BM17" s="407"/>
      <c r="BN17" s="407"/>
      <c r="BO17" s="407"/>
      <c r="BP17" s="407"/>
      <c r="BQ17" s="407"/>
      <c r="BR17" s="407"/>
      <c r="BS17" s="407"/>
      <c r="BT17" s="407"/>
      <c r="BU17" s="407"/>
      <c r="BV17" s="407"/>
      <c r="BW17" s="407"/>
      <c r="BX17" s="407"/>
      <c r="BY17" s="407"/>
      <c r="BZ17" s="407"/>
      <c r="CA17" s="407"/>
      <c r="CB17" s="407"/>
      <c r="CC17" s="407"/>
      <c r="CD17" s="407"/>
      <c r="CE17" s="407"/>
      <c r="CF17" s="407"/>
    </row>
    <row r="18" spans="1:84">
      <c r="A18" s="406"/>
      <c r="B18" s="421" t="s">
        <v>592</v>
      </c>
      <c r="C18" s="413" t="s">
        <v>966</v>
      </c>
      <c r="D18" s="408"/>
      <c r="E18" s="430">
        <f>'Corp-BS'!$D$66</f>
        <v>0.48098664879322067</v>
      </c>
      <c r="F18" s="413" t="s">
        <v>967</v>
      </c>
      <c r="G18" s="408"/>
      <c r="H18" s="414">
        <v>1.4999999999999999E-2</v>
      </c>
      <c r="I18" s="413" t="s">
        <v>592</v>
      </c>
      <c r="J18" s="406"/>
      <c r="K18" s="408"/>
      <c r="L18" s="408"/>
      <c r="M18" s="408"/>
      <c r="N18" s="408"/>
      <c r="O18" s="408"/>
      <c r="P18" s="408"/>
      <c r="Q18" s="408"/>
      <c r="R18" s="408"/>
      <c r="S18" s="408"/>
      <c r="T18" s="408"/>
      <c r="U18" s="408"/>
      <c r="V18" s="416">
        <f>100*(+AD12/$E$9)</f>
        <v>25.713276268261538</v>
      </c>
      <c r="W18" s="426">
        <f>EXP(5.70827-(0.68367*LN(+V18)))</f>
        <v>32.733153087752846</v>
      </c>
      <c r="X18" s="417">
        <f>(+W18*V18)/100</f>
        <v>8.4167660847668717</v>
      </c>
      <c r="Y18" s="416">
        <f>100*((((X18/100)-((X18/100)-0.03574)*$E$21)-0.03574-0.00619)/0.344)</f>
        <v>7.4919349300759732</v>
      </c>
      <c r="Z18" s="408">
        <f>$E$20</f>
        <v>0.25</v>
      </c>
      <c r="AA18" s="416">
        <f>Y18+Z18</f>
        <v>7.7419349300759732</v>
      </c>
      <c r="AB18" s="416">
        <f>100*($E$17*$E$19+($E$18*(AA18/100))/(1-$E$21))</f>
        <v>7.1932711635431064</v>
      </c>
      <c r="AC18" s="417">
        <f>AB18/V18</f>
        <v>0.27974930493092859</v>
      </c>
      <c r="AD18" s="415">
        <f>$E$8/(1-AC18)</f>
        <v>6655.3722317950123</v>
      </c>
      <c r="AE18" s="408" t="str">
        <f>IF(AD18=AD12,"yes","not yet")</f>
        <v>not yet</v>
      </c>
      <c r="AF18" s="416">
        <f>100*(1-AC18)</f>
        <v>72.025069506907144</v>
      </c>
      <c r="AG18" s="408"/>
      <c r="AH18" s="408"/>
      <c r="AI18" s="408"/>
      <c r="AJ18" s="408"/>
      <c r="AK18" s="408"/>
      <c r="AL18" s="408"/>
      <c r="AM18" s="408"/>
      <c r="AN18" s="408"/>
      <c r="AO18" s="408"/>
      <c r="AP18" s="408"/>
      <c r="AQ18" s="408"/>
      <c r="AR18" s="408"/>
      <c r="AS18" s="406"/>
      <c r="AT18" s="406"/>
      <c r="AU18" s="406"/>
      <c r="AV18" s="406"/>
      <c r="AW18" s="406"/>
      <c r="AX18" s="406"/>
      <c r="AY18" s="406"/>
      <c r="AZ18" s="406"/>
      <c r="BA18" s="406"/>
      <c r="BB18" s="406"/>
      <c r="BC18" s="406"/>
      <c r="BD18" s="406"/>
      <c r="BE18" s="406"/>
      <c r="BF18" s="406"/>
      <c r="BG18" s="406"/>
      <c r="BH18" s="406"/>
      <c r="BI18" s="406"/>
      <c r="BJ18" s="406"/>
      <c r="BK18" s="407"/>
      <c r="BL18" s="407"/>
      <c r="BM18" s="407"/>
      <c r="BN18" s="407"/>
      <c r="BO18" s="407"/>
      <c r="BP18" s="407"/>
      <c r="BQ18" s="407"/>
      <c r="BR18" s="407"/>
      <c r="BS18" s="407"/>
      <c r="BT18" s="407"/>
      <c r="BU18" s="407"/>
      <c r="BV18" s="407"/>
      <c r="BW18" s="407"/>
      <c r="BX18" s="407"/>
      <c r="BY18" s="407"/>
      <c r="BZ18" s="407"/>
      <c r="CA18" s="407"/>
      <c r="CB18" s="407"/>
      <c r="CC18" s="407"/>
      <c r="CD18" s="407"/>
      <c r="CE18" s="407"/>
      <c r="CF18" s="407"/>
    </row>
    <row r="19" spans="1:84">
      <c r="A19" s="406"/>
      <c r="B19" s="421" t="s">
        <v>592</v>
      </c>
      <c r="C19" s="413" t="s">
        <v>968</v>
      </c>
      <c r="D19" s="408"/>
      <c r="E19" s="430">
        <f>'Corp-BS'!$C$75</f>
        <v>2.9887466997092278E-2</v>
      </c>
      <c r="F19" s="413" t="s">
        <v>969</v>
      </c>
      <c r="G19" s="408"/>
      <c r="H19" s="431">
        <v>4.2750000000000002E-3</v>
      </c>
      <c r="I19" s="413" t="s">
        <v>592</v>
      </c>
      <c r="J19" s="406"/>
      <c r="K19" s="408"/>
      <c r="L19" s="408"/>
      <c r="M19" s="408"/>
      <c r="N19" s="408"/>
      <c r="O19" s="408"/>
      <c r="P19" s="408"/>
      <c r="Q19" s="408"/>
      <c r="R19" s="408"/>
      <c r="S19" s="408"/>
      <c r="T19" s="408"/>
      <c r="U19" s="408"/>
      <c r="V19" s="416">
        <f>100*(+AD13/$E$9)</f>
        <v>25.589620998299225</v>
      </c>
      <c r="W19" s="426">
        <f>EXP(5.6985-(0.68367*LN(V19)))</f>
        <v>32.521913492244629</v>
      </c>
      <c r="X19" s="417">
        <f>(+W19*V19)/100</f>
        <v>8.3222344040601399</v>
      </c>
      <c r="Y19" s="416">
        <f>100*((((X19/100)-((X19/100)-0.03574)*$E$21)-0.03574-0.00619)/0.344)</f>
        <v>7.310566007789804</v>
      </c>
      <c r="Z19" s="408">
        <f>$E$20</f>
        <v>0.25</v>
      </c>
      <c r="AA19" s="416">
        <f>Y19+Z19</f>
        <v>7.560566007789804</v>
      </c>
      <c r="AB19" s="416">
        <f>100*($E$17*$E$19+($E$18*(AA19/100))/(1-$E$21))</f>
        <v>7.0610953603224056</v>
      </c>
      <c r="AC19" s="417">
        <f>AB19/V19</f>
        <v>0.27593591014074459</v>
      </c>
      <c r="AD19" s="415">
        <f>$E$8/(1-AC19)</f>
        <v>6620.3206912602573</v>
      </c>
      <c r="AE19" s="408" t="str">
        <f>IF(AD19=AD13,"yes","not yet")</f>
        <v>not yet</v>
      </c>
      <c r="AF19" s="416">
        <f>100*(1-AC19)</f>
        <v>72.406408985925538</v>
      </c>
      <c r="AG19" s="408"/>
      <c r="AH19" s="408"/>
      <c r="AI19" s="408"/>
      <c r="AJ19" s="408" t="str">
        <f>HLOOKUP(1,$AJ$13:$AR$17,($E$12)+1)</f>
        <v>not yet</v>
      </c>
      <c r="AK19" s="408" t="str">
        <f>HLOOKUP(2,$AJ$13:$AR$17,($E$12)+1)</f>
        <v>not yet</v>
      </c>
      <c r="AL19" s="408" t="str">
        <f>HLOOKUP(3,$AJ$13:$AR$17,($E$12)+1)</f>
        <v>not yet</v>
      </c>
      <c r="AM19" s="408" t="str">
        <f>HLOOKUP(4,$AJ$13:$AR$17,($E$12)+1)</f>
        <v>not yet</v>
      </c>
      <c r="AN19" s="408" t="str">
        <f>HLOOKUP(5,$AJ$13:$AR$17,($E$12)+1)</f>
        <v>not yet</v>
      </c>
      <c r="AO19" s="408" t="str">
        <f>HLOOKUP(6,$AJ$13:$AR$17,($E$12)+1)</f>
        <v>not yet</v>
      </c>
      <c r="AP19" s="408" t="str">
        <f>HLOOKUP(7,$AJ$13:$AR$17,($E$12)+1)</f>
        <v>yes</v>
      </c>
      <c r="AQ19" s="408" t="str">
        <f>HLOOKUP(8,$AJ$13:$AR$17,($E$12)+1)</f>
        <v>yes</v>
      </c>
      <c r="AR19" s="408" t="str">
        <f>HLOOKUP(9,$AJ$13:$AR$17,($E$12)+1)</f>
        <v>yes</v>
      </c>
      <c r="AS19" s="406"/>
      <c r="AT19" s="406"/>
      <c r="AU19" s="406"/>
      <c r="AV19" s="406"/>
      <c r="AW19" s="406"/>
      <c r="AX19" s="406"/>
      <c r="AY19" s="406"/>
      <c r="AZ19" s="406"/>
      <c r="BA19" s="406"/>
      <c r="BB19" s="406"/>
      <c r="BC19" s="406"/>
      <c r="BD19" s="406"/>
      <c r="BE19" s="406"/>
      <c r="BF19" s="406"/>
      <c r="BG19" s="406"/>
      <c r="BH19" s="406"/>
      <c r="BI19" s="406"/>
      <c r="BJ19" s="406"/>
      <c r="BK19" s="407"/>
      <c r="BL19" s="407"/>
      <c r="BM19" s="407"/>
      <c r="BN19" s="407"/>
      <c r="BO19" s="407"/>
      <c r="BP19" s="407"/>
      <c r="BQ19" s="407"/>
      <c r="BR19" s="407"/>
      <c r="BS19" s="407"/>
      <c r="BT19" s="407"/>
      <c r="BU19" s="407"/>
      <c r="BV19" s="407"/>
      <c r="BW19" s="407"/>
      <c r="BX19" s="407"/>
      <c r="BY19" s="407"/>
      <c r="BZ19" s="407"/>
      <c r="CA19" s="407"/>
      <c r="CB19" s="407"/>
      <c r="CC19" s="407"/>
      <c r="CD19" s="407"/>
      <c r="CE19" s="407"/>
      <c r="CF19" s="407"/>
    </row>
    <row r="20" spans="1:84">
      <c r="A20" s="406"/>
      <c r="B20" s="421" t="s">
        <v>592</v>
      </c>
      <c r="C20" s="413" t="s">
        <v>970</v>
      </c>
      <c r="D20" s="408"/>
      <c r="E20" s="432">
        <v>0.25</v>
      </c>
      <c r="F20" s="413" t="s">
        <v>971</v>
      </c>
      <c r="G20" s="408"/>
      <c r="H20" s="414"/>
      <c r="I20" s="413" t="s">
        <v>592</v>
      </c>
      <c r="J20" s="406"/>
      <c r="K20" s="433"/>
      <c r="L20" s="408"/>
      <c r="M20" s="408"/>
      <c r="N20" s="408"/>
      <c r="O20" s="408"/>
      <c r="P20" s="408"/>
      <c r="Q20" s="408"/>
      <c r="R20" s="408"/>
      <c r="S20" s="408"/>
      <c r="T20" s="408"/>
      <c r="U20" s="408"/>
      <c r="V20" s="416">
        <f>100*(+AD14/$E$9)</f>
        <v>25.510324659606447</v>
      </c>
      <c r="W20" s="426">
        <f>EXP(5.6922-(0.68367*LN(V20)))</f>
        <v>32.386314721670395</v>
      </c>
      <c r="X20" s="417">
        <f>(+W20*V20)/100</f>
        <v>8.2618540307800359</v>
      </c>
      <c r="Y20" s="416">
        <f>100*((((X20/100)-((X20/100)-0.03574)*$E$21)-0.03574-0.00619)/0.344)</f>
        <v>7.1947199427756487</v>
      </c>
      <c r="Z20" s="408">
        <f>$E$20</f>
        <v>0.25</v>
      </c>
      <c r="AA20" s="416">
        <f>Y20+Z20</f>
        <v>7.4447199427756487</v>
      </c>
      <c r="AB20" s="416">
        <f>100*($E$17*$E$19+($E$18*(AA20/100))/(1-$E$21))</f>
        <v>6.9766704957965873</v>
      </c>
      <c r="AC20" s="417">
        <f>AB20/V20</f>
        <v>0.27348419076937841</v>
      </c>
      <c r="AD20" s="415">
        <f>$E$8/(1-AC20)</f>
        <v>6597.9795828119659</v>
      </c>
      <c r="AE20" s="408" t="str">
        <f>IF(AD20=AD14,"yes","not yet")</f>
        <v>not yet</v>
      </c>
      <c r="AF20" s="416">
        <f>100*(1-AC20)</f>
        <v>72.65158092306217</v>
      </c>
      <c r="AG20" s="408"/>
      <c r="AH20" s="408"/>
      <c r="AI20" s="408">
        <v>1</v>
      </c>
      <c r="AJ20" s="416">
        <f>AF5</f>
        <v>69.942073955137005</v>
      </c>
      <c r="AK20" s="416">
        <f>AF11</f>
        <v>71.833207547504998</v>
      </c>
      <c r="AL20" s="416">
        <f>AF17</f>
        <v>71.463210113388826</v>
      </c>
      <c r="AM20" s="416">
        <f>AF23</f>
        <v>71.535046957277345</v>
      </c>
      <c r="AN20" s="416">
        <f>AF29</f>
        <v>71.521078652477627</v>
      </c>
      <c r="AO20" s="416">
        <f>AF35</f>
        <v>71.523793930124839</v>
      </c>
      <c r="AP20" s="416">
        <f>AF41</f>
        <v>71.523231835431062</v>
      </c>
      <c r="AQ20" s="416">
        <f>AF47</f>
        <v>71.523231835431062</v>
      </c>
      <c r="AR20" s="416">
        <f>AF53</f>
        <v>71.523231835431062</v>
      </c>
      <c r="AS20" s="406"/>
      <c r="AT20" s="406"/>
      <c r="AU20" s="406"/>
      <c r="AV20" s="406"/>
      <c r="AW20" s="406"/>
      <c r="AX20" s="406"/>
      <c r="AY20" s="406"/>
      <c r="AZ20" s="406"/>
      <c r="BA20" s="406"/>
      <c r="BB20" s="406"/>
      <c r="BC20" s="406"/>
      <c r="BD20" s="406"/>
      <c r="BE20" s="406"/>
      <c r="BF20" s="406"/>
      <c r="BG20" s="406"/>
      <c r="BH20" s="406"/>
      <c r="BI20" s="406"/>
      <c r="BJ20" s="406"/>
      <c r="BK20" s="407"/>
      <c r="BL20" s="407"/>
      <c r="BM20" s="407"/>
      <c r="BN20" s="407"/>
      <c r="BO20" s="407"/>
      <c r="BP20" s="407"/>
      <c r="BQ20" s="407"/>
      <c r="BR20" s="407"/>
      <c r="BS20" s="407"/>
      <c r="BT20" s="407"/>
      <c r="BU20" s="407"/>
      <c r="BV20" s="407"/>
      <c r="BW20" s="407"/>
      <c r="BX20" s="407"/>
      <c r="BY20" s="407"/>
      <c r="BZ20" s="407"/>
      <c r="CA20" s="407"/>
      <c r="CB20" s="407"/>
      <c r="CC20" s="407"/>
      <c r="CD20" s="407"/>
      <c r="CE20" s="407"/>
      <c r="CF20" s="407"/>
    </row>
    <row r="21" spans="1:84">
      <c r="A21" s="406"/>
      <c r="B21" s="421" t="s">
        <v>592</v>
      </c>
      <c r="C21" s="413" t="s">
        <v>972</v>
      </c>
      <c r="D21" s="408"/>
      <c r="E21" s="432">
        <v>0.34</v>
      </c>
      <c r="F21" s="413" t="s">
        <v>973</v>
      </c>
      <c r="G21" s="408"/>
      <c r="H21" s="430">
        <f>'Restating Adj''s'!$E$125</f>
        <v>5.1039202358942552E-3</v>
      </c>
      <c r="I21" s="413" t="s">
        <v>592</v>
      </c>
      <c r="J21" s="406"/>
      <c r="K21" s="434"/>
      <c r="L21" s="408"/>
      <c r="M21" s="408"/>
      <c r="N21" s="408"/>
      <c r="O21" s="408"/>
      <c r="P21" s="408"/>
      <c r="Q21" s="408"/>
      <c r="R21" s="408"/>
      <c r="S21" s="408"/>
      <c r="T21" s="408"/>
      <c r="U21" s="408"/>
      <c r="V21" s="408"/>
      <c r="W21" s="408"/>
      <c r="X21" s="408"/>
      <c r="Y21" s="408"/>
      <c r="Z21" s="408"/>
      <c r="AA21" s="416"/>
      <c r="AB21" s="408"/>
      <c r="AC21" s="408"/>
      <c r="AD21" s="408"/>
      <c r="AE21" s="408"/>
      <c r="AF21" s="408"/>
      <c r="AG21" s="408"/>
      <c r="AH21" s="408"/>
      <c r="AI21" s="408">
        <v>2</v>
      </c>
      <c r="AJ21" s="416">
        <f>AF6</f>
        <v>70.649681192255287</v>
      </c>
      <c r="AK21" s="416">
        <f>AF12</f>
        <v>72.343900766470099</v>
      </c>
      <c r="AL21" s="416">
        <f>AF18</f>
        <v>72.025069506907144</v>
      </c>
      <c r="AM21" s="416">
        <f>AF24</f>
        <v>72.084649819702406</v>
      </c>
      <c r="AN21" s="416">
        <f>AF30</f>
        <v>72.07350133008913</v>
      </c>
      <c r="AO21" s="416">
        <f>AF36</f>
        <v>72.075586888844228</v>
      </c>
      <c r="AP21" s="416">
        <f>AF42</f>
        <v>72.075789688429467</v>
      </c>
      <c r="AQ21" s="416">
        <f>AF48</f>
        <v>72.075789688429467</v>
      </c>
      <c r="AR21" s="416">
        <f>AF54</f>
        <v>72.075789688429467</v>
      </c>
      <c r="AS21" s="406"/>
      <c r="AT21" s="406"/>
      <c r="AU21" s="406"/>
      <c r="AV21" s="406"/>
      <c r="AW21" s="406"/>
      <c r="AX21" s="406"/>
      <c r="AY21" s="406"/>
      <c r="AZ21" s="406"/>
      <c r="BA21" s="406"/>
      <c r="BB21" s="406"/>
      <c r="BC21" s="406"/>
      <c r="BD21" s="406"/>
      <c r="BE21" s="406"/>
      <c r="BF21" s="406"/>
      <c r="BG21" s="406"/>
      <c r="BH21" s="406"/>
      <c r="BI21" s="406"/>
      <c r="BJ21" s="406"/>
      <c r="BK21" s="407"/>
      <c r="BL21" s="407"/>
      <c r="BM21" s="407"/>
      <c r="BN21" s="407"/>
      <c r="BO21" s="407"/>
      <c r="BP21" s="407"/>
      <c r="BQ21" s="407"/>
      <c r="BR21" s="407"/>
      <c r="BS21" s="407"/>
      <c r="BT21" s="407"/>
      <c r="BU21" s="407"/>
      <c r="BV21" s="407"/>
      <c r="BW21" s="407"/>
      <c r="BX21" s="407"/>
      <c r="BY21" s="407"/>
      <c r="BZ21" s="407"/>
      <c r="CA21" s="407"/>
      <c r="CB21" s="407"/>
      <c r="CC21" s="407"/>
      <c r="CD21" s="407"/>
      <c r="CE21" s="407"/>
      <c r="CF21" s="407"/>
    </row>
    <row r="22" spans="1:84">
      <c r="A22" s="406"/>
      <c r="B22" s="410"/>
      <c r="C22" s="408"/>
      <c r="D22" s="408"/>
      <c r="E22" s="408"/>
      <c r="F22" s="408"/>
      <c r="G22" s="408"/>
      <c r="H22" s="428"/>
      <c r="I22" s="428"/>
      <c r="J22" s="410"/>
      <c r="K22" s="408"/>
      <c r="L22" s="408"/>
      <c r="M22" s="408"/>
      <c r="N22" s="408"/>
      <c r="O22" s="408"/>
      <c r="P22" s="408"/>
      <c r="Q22" s="408"/>
      <c r="R22" s="408"/>
      <c r="S22" s="408"/>
      <c r="T22" s="408"/>
      <c r="U22" s="408"/>
      <c r="V22" s="413" t="s">
        <v>974</v>
      </c>
      <c r="W22" s="425" t="s">
        <v>718</v>
      </c>
      <c r="X22" s="425" t="s">
        <v>930</v>
      </c>
      <c r="Y22" s="425" t="s">
        <v>931</v>
      </c>
      <c r="Z22" s="408"/>
      <c r="AA22" s="416"/>
      <c r="AB22" s="408"/>
      <c r="AC22" s="408"/>
      <c r="AD22" s="408"/>
      <c r="AE22" s="408"/>
      <c r="AF22" s="408"/>
      <c r="AG22" s="408"/>
      <c r="AH22" s="408"/>
      <c r="AI22" s="408">
        <v>3</v>
      </c>
      <c r="AJ22" s="416">
        <f>AF7</f>
        <v>71.126337563305</v>
      </c>
      <c r="AK22" s="416">
        <f>AF13</f>
        <v>72.693484083081117</v>
      </c>
      <c r="AL22" s="416">
        <f>AF19</f>
        <v>72.406408985925538</v>
      </c>
      <c r="AM22" s="416">
        <f>AF25</f>
        <v>72.458650540336194</v>
      </c>
      <c r="AN22" s="416">
        <f>AF31</f>
        <v>72.449132238399997</v>
      </c>
      <c r="AO22" s="416">
        <f>AF37</f>
        <v>72.450866072954739</v>
      </c>
      <c r="AP22" s="416">
        <f>AF43</f>
        <v>72.450034867978431</v>
      </c>
      <c r="AQ22" s="416">
        <f>AF49</f>
        <v>72.450034867978431</v>
      </c>
      <c r="AR22" s="416">
        <f>AF55</f>
        <v>72.450034867978431</v>
      </c>
      <c r="AS22" s="406"/>
      <c r="AT22" s="406"/>
      <c r="AU22" s="406"/>
      <c r="AV22" s="406"/>
      <c r="AW22" s="406"/>
      <c r="AX22" s="406"/>
      <c r="AY22" s="406"/>
      <c r="AZ22" s="406"/>
      <c r="BA22" s="406"/>
      <c r="BB22" s="406"/>
      <c r="BC22" s="406"/>
      <c r="BD22" s="406"/>
      <c r="BE22" s="406"/>
      <c r="BF22" s="406"/>
      <c r="BG22" s="406"/>
      <c r="BH22" s="406"/>
      <c r="BI22" s="406"/>
      <c r="BJ22" s="406"/>
      <c r="BK22" s="407"/>
      <c r="BL22" s="407"/>
      <c r="BM22" s="407"/>
      <c r="BN22" s="407"/>
      <c r="BO22" s="407"/>
      <c r="BP22" s="407"/>
      <c r="BQ22" s="407"/>
      <c r="BR22" s="407"/>
      <c r="BS22" s="407"/>
      <c r="BT22" s="407"/>
      <c r="BU22" s="407"/>
      <c r="BV22" s="407"/>
      <c r="BW22" s="407"/>
      <c r="BX22" s="407"/>
      <c r="BY22" s="407"/>
      <c r="BZ22" s="407"/>
      <c r="CA22" s="407"/>
      <c r="CB22" s="407"/>
      <c r="CC22" s="407"/>
      <c r="CD22" s="407"/>
      <c r="CE22" s="407"/>
      <c r="CF22" s="407"/>
    </row>
    <row r="23" spans="1:84">
      <c r="A23" s="406"/>
      <c r="B23" s="410"/>
      <c r="C23" s="408"/>
      <c r="D23" s="408"/>
      <c r="E23" s="408"/>
      <c r="F23" s="413" t="s">
        <v>975</v>
      </c>
      <c r="G23" s="408"/>
      <c r="H23" s="414">
        <f>SUM(H18:H21)</f>
        <v>2.4378920235894254E-2</v>
      </c>
      <c r="I23" s="414"/>
      <c r="J23" s="410"/>
      <c r="K23" s="435"/>
      <c r="L23" s="408"/>
      <c r="M23" s="408"/>
      <c r="N23" s="411"/>
      <c r="O23" s="408"/>
      <c r="P23" s="411"/>
      <c r="Q23" s="408"/>
      <c r="R23" s="408"/>
      <c r="S23" s="408"/>
      <c r="T23" s="408"/>
      <c r="U23" s="408"/>
      <c r="V23" s="416">
        <f>100*(+AD17/$E$9)</f>
        <v>26.030158787723273</v>
      </c>
      <c r="W23" s="426">
        <f>EXP(5.7226-(0.68367*LN(+V23)))</f>
        <v>32.928698557045529</v>
      </c>
      <c r="X23" s="417">
        <f>(+W23*V23)/100</f>
        <v>8.5713925211296935</v>
      </c>
      <c r="Y23" s="416">
        <f>100*((((X23/100)-((X23/100)-0.03574)*$E$21)-0.03574-0.00619)/0.344)</f>
        <v>7.788601930074412</v>
      </c>
      <c r="Z23" s="408">
        <f>$E$20</f>
        <v>0.25</v>
      </c>
      <c r="AA23" s="416">
        <f>Y23+Z23</f>
        <v>8.038601930074412</v>
      </c>
      <c r="AB23" s="416">
        <f>100*($E$17*$E$19+($E$18*(AA23/100))/(1-$E$21))</f>
        <v>7.4094724758715733</v>
      </c>
      <c r="AC23" s="417">
        <f>AB23/V23</f>
        <v>0.28464953042722652</v>
      </c>
      <c r="AD23" s="415">
        <f>$E$8/(1-AC23)</f>
        <v>6700.9622273073837</v>
      </c>
      <c r="AE23" s="408" t="str">
        <f>IF(AD23=AD17,"yes","not yet")</f>
        <v>not yet</v>
      </c>
      <c r="AF23" s="416">
        <f>100*(1-AC23)</f>
        <v>71.535046957277345</v>
      </c>
      <c r="AG23" s="408"/>
      <c r="AH23" s="408"/>
      <c r="AI23" s="408">
        <v>4</v>
      </c>
      <c r="AJ23" s="416">
        <f>AF8</f>
        <v>71.431239949173104</v>
      </c>
      <c r="AK23" s="416">
        <f>AF14</f>
        <v>72.919444638719881</v>
      </c>
      <c r="AL23" s="416">
        <f>AF20</f>
        <v>72.65158092306217</v>
      </c>
      <c r="AM23" s="416">
        <f>AF26</f>
        <v>72.699489784676558</v>
      </c>
      <c r="AN23" s="416">
        <f>AF32</f>
        <v>72.69091129524989</v>
      </c>
      <c r="AO23" s="416">
        <f>AF38</f>
        <v>72.692447034746465</v>
      </c>
      <c r="AP23" s="416">
        <f>AF44</f>
        <v>72.691638553697004</v>
      </c>
      <c r="AQ23" s="416">
        <f>AF50</f>
        <v>72.691638553697004</v>
      </c>
      <c r="AR23" s="416">
        <f>AF56</f>
        <v>72.691638553697004</v>
      </c>
      <c r="AS23" s="406"/>
      <c r="AT23" s="406"/>
      <c r="AU23" s="406"/>
      <c r="AV23" s="406"/>
      <c r="AW23" s="406"/>
      <c r="AX23" s="406"/>
      <c r="AY23" s="406"/>
      <c r="AZ23" s="406"/>
      <c r="BA23" s="406"/>
      <c r="BB23" s="406"/>
      <c r="BC23" s="406"/>
      <c r="BD23" s="406"/>
      <c r="BE23" s="406"/>
      <c r="BF23" s="406"/>
      <c r="BG23" s="406"/>
      <c r="BH23" s="406"/>
      <c r="BI23" s="406"/>
      <c r="BJ23" s="406"/>
      <c r="BK23" s="407"/>
      <c r="BL23" s="407"/>
      <c r="BM23" s="407"/>
      <c r="BN23" s="407"/>
      <c r="BO23" s="407"/>
      <c r="BP23" s="407"/>
      <c r="BQ23" s="407"/>
      <c r="BR23" s="407"/>
      <c r="BS23" s="407"/>
      <c r="BT23" s="407"/>
      <c r="BU23" s="407"/>
      <c r="BV23" s="407"/>
      <c r="BW23" s="407"/>
      <c r="BX23" s="407"/>
      <c r="BY23" s="407"/>
      <c r="BZ23" s="407"/>
      <c r="CA23" s="407"/>
      <c r="CB23" s="407"/>
      <c r="CC23" s="407"/>
      <c r="CD23" s="407"/>
      <c r="CE23" s="407"/>
      <c r="CF23" s="407"/>
    </row>
    <row r="24" spans="1:84">
      <c r="A24" s="406"/>
      <c r="B24" s="410"/>
      <c r="C24" s="408"/>
      <c r="D24" s="408"/>
      <c r="E24" s="408"/>
      <c r="F24" s="408"/>
      <c r="G24" s="408"/>
      <c r="H24" s="408"/>
      <c r="I24" s="408"/>
      <c r="J24" s="410"/>
      <c r="K24" s="408"/>
      <c r="L24" s="408"/>
      <c r="M24" s="408"/>
      <c r="N24" s="408"/>
      <c r="O24" s="408"/>
      <c r="P24" s="408"/>
      <c r="Q24" s="408"/>
      <c r="R24" s="408"/>
      <c r="S24" s="408"/>
      <c r="T24" s="408"/>
      <c r="U24" s="408"/>
      <c r="V24" s="416">
        <f>100*(+AD18/$E$9)</f>
        <v>25.827100473031152</v>
      </c>
      <c r="W24" s="426">
        <f>EXP(5.70827-(0.68367*LN(+V24)))</f>
        <v>32.634457770526247</v>
      </c>
      <c r="X24" s="417">
        <f>(+W24*V24)/100</f>
        <v>8.428534197222735</v>
      </c>
      <c r="Y24" s="416">
        <f>100*((((X24/100)-((X24/100)-0.03574)*$E$21)-0.03574-0.00619)/0.344)</f>
        <v>7.5145132853691994</v>
      </c>
      <c r="Z24" s="408">
        <f>$E$20</f>
        <v>0.25</v>
      </c>
      <c r="AA24" s="416">
        <f>Y24+Z24</f>
        <v>7.7645132853691994</v>
      </c>
      <c r="AB24" s="416">
        <f>100*($E$17*$E$19+($E$18*(AA24/100))/(1-$E$21))</f>
        <v>7.2097255384639416</v>
      </c>
      <c r="AC24" s="417">
        <f>AB24/V24</f>
        <v>0.27915350180297593</v>
      </c>
      <c r="AD24" s="415">
        <f>$E$8/(1-AC24)</f>
        <v>6649.8713497024855</v>
      </c>
      <c r="AE24" s="408" t="str">
        <f>IF(AD24=AD18,"yes","not yet")</f>
        <v>not yet</v>
      </c>
      <c r="AF24" s="416">
        <f>100*(1-AC24)</f>
        <v>72.084649819702406</v>
      </c>
      <c r="AG24" s="408"/>
      <c r="AH24" s="408"/>
      <c r="AI24" s="408"/>
      <c r="AJ24" s="408"/>
      <c r="AK24" s="408"/>
      <c r="AL24" s="408"/>
      <c r="AM24" s="408"/>
      <c r="AN24" s="408"/>
      <c r="AO24" s="408"/>
      <c r="AP24" s="408"/>
      <c r="AQ24" s="408"/>
      <c r="AR24" s="408"/>
      <c r="AS24" s="406"/>
      <c r="AT24" s="406"/>
      <c r="AU24" s="406"/>
      <c r="AV24" s="406"/>
      <c r="AW24" s="406"/>
      <c r="AX24" s="406"/>
      <c r="AY24" s="406"/>
      <c r="AZ24" s="406"/>
      <c r="BA24" s="406"/>
      <c r="BB24" s="406"/>
      <c r="BC24" s="406"/>
      <c r="BD24" s="406"/>
      <c r="BE24" s="406"/>
      <c r="BF24" s="406"/>
      <c r="BG24" s="406"/>
      <c r="BH24" s="406"/>
      <c r="BI24" s="406"/>
      <c r="BJ24" s="406"/>
      <c r="BK24" s="407"/>
      <c r="BL24" s="407"/>
      <c r="BM24" s="407"/>
      <c r="BN24" s="407"/>
      <c r="BO24" s="407"/>
      <c r="BP24" s="407"/>
      <c r="BQ24" s="407"/>
      <c r="BR24" s="407"/>
      <c r="BS24" s="407"/>
      <c r="BT24" s="407"/>
      <c r="BU24" s="407"/>
      <c r="BV24" s="407"/>
      <c r="BW24" s="407"/>
      <c r="BX24" s="407"/>
      <c r="BY24" s="407"/>
      <c r="BZ24" s="407"/>
      <c r="CA24" s="407"/>
      <c r="CB24" s="407"/>
      <c r="CC24" s="407"/>
      <c r="CD24" s="407"/>
      <c r="CE24" s="407"/>
      <c r="CF24" s="407"/>
    </row>
    <row r="25" spans="1:84">
      <c r="A25" s="406"/>
      <c r="B25" s="410"/>
      <c r="C25" s="408"/>
      <c r="D25" s="408"/>
      <c r="E25" s="408"/>
      <c r="F25" s="413" t="s">
        <v>976</v>
      </c>
      <c r="G25" s="408"/>
      <c r="H25" s="417">
        <f>((+H15/100)-H23)</f>
        <v>0.6908533981184164</v>
      </c>
      <c r="I25" s="417"/>
      <c r="J25" s="410"/>
      <c r="K25" s="408"/>
      <c r="L25" s="411"/>
      <c r="M25" s="408"/>
      <c r="N25" s="408"/>
      <c r="O25" s="408"/>
      <c r="P25" s="408"/>
      <c r="Q25" s="408"/>
      <c r="R25" s="408"/>
      <c r="S25" s="408"/>
      <c r="T25" s="408"/>
      <c r="U25" s="408"/>
      <c r="V25" s="416">
        <f>100*(+AD19/$E$9)</f>
        <v>25.691078079753005</v>
      </c>
      <c r="W25" s="426">
        <f>EXP(5.6985-(0.68367*LN(V25)))</f>
        <v>32.434052864634836</v>
      </c>
      <c r="X25" s="417">
        <f>(+W25*V25)/100</f>
        <v>8.3326578458817018</v>
      </c>
      <c r="Y25" s="416">
        <f>100*((((X25/100)-((X25/100)-0.03574)*$E$21)-0.03574-0.00619)/0.344)</f>
        <v>7.3305644717497769</v>
      </c>
      <c r="Z25" s="408">
        <f>$E$20</f>
        <v>0.25</v>
      </c>
      <c r="AA25" s="416">
        <f>Y25+Z25</f>
        <v>7.5805644717497769</v>
      </c>
      <c r="AB25" s="416">
        <f>100*($E$17*$E$19+($E$18*(AA25/100))/(1-$E$21))</f>
        <v>7.0756695938998595</v>
      </c>
      <c r="AC25" s="417">
        <f>AB25/V25</f>
        <v>0.275413494596638</v>
      </c>
      <c r="AD25" s="415">
        <f>$E$8/(1-AC25)</f>
        <v>6615.5475435266271</v>
      </c>
      <c r="AE25" s="408" t="str">
        <f>IF(AD25=AD19,"yes","not yet")</f>
        <v>not yet</v>
      </c>
      <c r="AF25" s="416">
        <f>100*(1-AC25)</f>
        <v>72.458650540336194</v>
      </c>
      <c r="AG25" s="408"/>
      <c r="AH25" s="408"/>
      <c r="AI25" s="408"/>
      <c r="AJ25" s="408" t="s">
        <v>977</v>
      </c>
      <c r="AK25" s="408"/>
      <c r="AL25" s="408"/>
      <c r="AM25" s="408"/>
      <c r="AN25" s="408"/>
      <c r="AO25" s="408"/>
      <c r="AP25" s="408"/>
      <c r="AQ25" s="408"/>
      <c r="AR25" s="408"/>
      <c r="AS25" s="406"/>
      <c r="AT25" s="406"/>
      <c r="AU25" s="406"/>
      <c r="AV25" s="406"/>
      <c r="AW25" s="406"/>
      <c r="AX25" s="406"/>
      <c r="AY25" s="406"/>
      <c r="AZ25" s="406"/>
      <c r="BA25" s="406"/>
      <c r="BB25" s="406"/>
      <c r="BC25" s="406"/>
      <c r="BD25" s="406"/>
      <c r="BE25" s="406"/>
      <c r="BF25" s="406"/>
      <c r="BG25" s="406"/>
      <c r="BH25" s="406"/>
      <c r="BI25" s="406"/>
      <c r="BJ25" s="406"/>
      <c r="BK25" s="407"/>
      <c r="BL25" s="407"/>
      <c r="BM25" s="407"/>
      <c r="BN25" s="407"/>
      <c r="BO25" s="407"/>
      <c r="BP25" s="407"/>
      <c r="BQ25" s="407"/>
      <c r="BR25" s="407"/>
      <c r="BS25" s="407"/>
      <c r="BT25" s="407"/>
      <c r="BU25" s="407"/>
      <c r="BV25" s="407"/>
      <c r="BW25" s="407"/>
      <c r="BX25" s="407"/>
      <c r="BY25" s="407"/>
      <c r="BZ25" s="407"/>
      <c r="CA25" s="407"/>
      <c r="CB25" s="407"/>
      <c r="CC25" s="407"/>
      <c r="CD25" s="407"/>
      <c r="CE25" s="407"/>
      <c r="CF25" s="407"/>
    </row>
    <row r="26" spans="1:84">
      <c r="A26" s="406"/>
      <c r="B26" s="410"/>
      <c r="C26" s="408"/>
      <c r="D26" s="408"/>
      <c r="E26" s="408"/>
      <c r="F26" s="408"/>
      <c r="G26" s="408"/>
      <c r="H26" s="408"/>
      <c r="I26" s="408"/>
      <c r="J26" s="410"/>
      <c r="K26" s="408"/>
      <c r="L26" s="408"/>
      <c r="M26" s="408"/>
      <c r="N26" s="408"/>
      <c r="O26" s="408"/>
      <c r="P26" s="408"/>
      <c r="Q26" s="408"/>
      <c r="R26" s="408"/>
      <c r="S26" s="408"/>
      <c r="T26" s="408"/>
      <c r="U26" s="408"/>
      <c r="V26" s="416">
        <f>100*(+AD20/$E$9)</f>
        <v>25.60438029148861</v>
      </c>
      <c r="W26" s="426">
        <f>EXP(5.6922-(0.68367*LN(V26)))</f>
        <v>32.304932179212699</v>
      </c>
      <c r="X26" s="417">
        <f>(+W26*V26)/100</f>
        <v>8.271477688073098</v>
      </c>
      <c r="Y26" s="416">
        <f>100*((((X26/100)-((X26/100)-0.03574)*$E$21)-0.03574-0.00619)/0.344)</f>
        <v>7.2131839364193153</v>
      </c>
      <c r="Z26" s="408">
        <f>$E$20</f>
        <v>0.25</v>
      </c>
      <c r="AA26" s="416">
        <f>Y26+Z26</f>
        <v>7.4631839364193153</v>
      </c>
      <c r="AB26" s="416">
        <f>100*($E$17*$E$19+($E$18*(AA26/100))/(1-$E$21))</f>
        <v>6.9901264570481114</v>
      </c>
      <c r="AC26" s="417">
        <f>AB26/V26</f>
        <v>0.27300510215323448</v>
      </c>
      <c r="AD26" s="415">
        <f>$E$8/(1-AC26)</f>
        <v>6593.6315235380462</v>
      </c>
      <c r="AE26" s="408" t="str">
        <f>IF(AD26=AD20,"yes","not yet")</f>
        <v>not yet</v>
      </c>
      <c r="AF26" s="416">
        <f>100*(1-AC26)</f>
        <v>72.699489784676558</v>
      </c>
      <c r="AG26" s="408"/>
      <c r="AH26" s="408"/>
      <c r="AI26" s="408"/>
      <c r="AJ26" s="416">
        <f>HLOOKUP($AJ$25,$AJ$19:$AR$23,($E$12)+1)</f>
        <v>71.523231835431062</v>
      </c>
      <c r="AK26" s="408"/>
      <c r="AL26" s="408"/>
      <c r="AM26" s="408"/>
      <c r="AN26" s="408"/>
      <c r="AO26" s="408"/>
      <c r="AP26" s="408"/>
      <c r="AQ26" s="408"/>
      <c r="AR26" s="408"/>
      <c r="AS26" s="406"/>
      <c r="AT26" s="406"/>
      <c r="AU26" s="406"/>
      <c r="AV26" s="406"/>
      <c r="AW26" s="406"/>
      <c r="AX26" s="406"/>
      <c r="AY26" s="406"/>
      <c r="AZ26" s="406"/>
      <c r="BA26" s="406"/>
      <c r="BB26" s="406"/>
      <c r="BC26" s="406"/>
      <c r="BD26" s="406"/>
      <c r="BE26" s="406"/>
      <c r="BF26" s="406"/>
      <c r="BG26" s="406"/>
      <c r="BH26" s="406"/>
      <c r="BI26" s="406"/>
      <c r="BJ26" s="406"/>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row>
    <row r="27" spans="1:84" ht="15.75">
      <c r="A27" s="406"/>
      <c r="B27" s="410"/>
      <c r="C27" s="408"/>
      <c r="D27" s="408"/>
      <c r="E27" s="436"/>
      <c r="F27" s="437"/>
      <c r="G27" s="437"/>
      <c r="H27" s="408"/>
      <c r="I27" s="408"/>
      <c r="J27" s="410"/>
      <c r="K27" s="408"/>
      <c r="L27" s="408"/>
      <c r="M27" s="408"/>
      <c r="N27" s="408"/>
      <c r="O27" s="408"/>
      <c r="P27" s="408"/>
      <c r="Q27" s="408"/>
      <c r="R27" s="408"/>
      <c r="S27" s="408"/>
      <c r="T27" s="408"/>
      <c r="U27" s="408"/>
      <c r="V27" s="408"/>
      <c r="W27" s="408"/>
      <c r="X27" s="408"/>
      <c r="Y27" s="408"/>
      <c r="Z27" s="408"/>
      <c r="AA27" s="416"/>
      <c r="AB27" s="408"/>
      <c r="AC27" s="408"/>
      <c r="AD27" s="408"/>
      <c r="AE27" s="408"/>
      <c r="AF27" s="408"/>
      <c r="AG27" s="408"/>
      <c r="AH27" s="408"/>
      <c r="AI27" s="408"/>
      <c r="AJ27" s="408"/>
      <c r="AK27" s="408"/>
      <c r="AL27" s="408"/>
      <c r="AM27" s="408"/>
      <c r="AN27" s="408"/>
      <c r="AO27" s="408"/>
      <c r="AP27" s="408"/>
      <c r="AQ27" s="408"/>
      <c r="AR27" s="408"/>
      <c r="AS27" s="406"/>
      <c r="AT27" s="406"/>
      <c r="AU27" s="406"/>
      <c r="AV27" s="406"/>
      <c r="AW27" s="406"/>
      <c r="AX27" s="406"/>
      <c r="AY27" s="406"/>
      <c r="AZ27" s="406"/>
      <c r="BA27" s="406"/>
      <c r="BB27" s="406"/>
      <c r="BC27" s="406"/>
      <c r="BD27" s="406"/>
      <c r="BE27" s="406"/>
      <c r="BF27" s="406"/>
      <c r="BG27" s="406"/>
      <c r="BH27" s="406"/>
      <c r="BI27" s="406"/>
      <c r="BJ27" s="406"/>
      <c r="BK27" s="407"/>
      <c r="BL27" s="407"/>
      <c r="BM27" s="407"/>
      <c r="BN27" s="407"/>
      <c r="BO27" s="407"/>
      <c r="BP27" s="407"/>
      <c r="BQ27" s="407"/>
      <c r="BR27" s="407"/>
      <c r="BS27" s="407"/>
      <c r="BT27" s="407"/>
      <c r="BU27" s="407"/>
      <c r="BV27" s="407"/>
      <c r="BW27" s="407"/>
      <c r="BX27" s="407"/>
      <c r="BY27" s="407"/>
      <c r="BZ27" s="407"/>
      <c r="CA27" s="407"/>
      <c r="CB27" s="407"/>
      <c r="CC27" s="407"/>
      <c r="CD27" s="407"/>
      <c r="CE27" s="407"/>
      <c r="CF27" s="407"/>
    </row>
    <row r="28" spans="1:84">
      <c r="A28" s="406"/>
      <c r="B28" s="410"/>
      <c r="C28" s="438"/>
      <c r="D28" s="439"/>
      <c r="E28" s="422"/>
      <c r="F28" s="440"/>
      <c r="G28" s="441"/>
      <c r="H28" s="438"/>
      <c r="I28" s="438"/>
      <c r="J28" s="408"/>
      <c r="K28" s="408"/>
      <c r="L28" s="408"/>
      <c r="M28" s="408"/>
      <c r="N28" s="408"/>
      <c r="O28" s="408"/>
      <c r="P28" s="408"/>
      <c r="Q28" s="408"/>
      <c r="R28" s="408"/>
      <c r="S28" s="408"/>
      <c r="T28" s="408"/>
      <c r="U28" s="408"/>
      <c r="V28" s="413" t="s">
        <v>978</v>
      </c>
      <c r="W28" s="425" t="s">
        <v>718</v>
      </c>
      <c r="X28" s="425" t="s">
        <v>930</v>
      </c>
      <c r="Y28" s="425" t="s">
        <v>931</v>
      </c>
      <c r="Z28" s="408"/>
      <c r="AA28" s="416"/>
      <c r="AB28" s="408"/>
      <c r="AC28" s="408"/>
      <c r="AD28" s="408"/>
      <c r="AE28" s="408"/>
      <c r="AF28" s="408"/>
      <c r="AG28" s="408"/>
      <c r="AH28" s="408"/>
      <c r="AI28" s="408"/>
      <c r="AJ28" s="408" t="str">
        <f>HLOOKUP(1,$AJ$13:$AR$17,($E$12)+1)</f>
        <v>not yet</v>
      </c>
      <c r="AK28" s="408" t="str">
        <f>HLOOKUP(2,$AJ$13:$AR$17,($E$12)+1)</f>
        <v>not yet</v>
      </c>
      <c r="AL28" s="408" t="str">
        <f>HLOOKUP(3,$AJ$13:$AR$17,($E$12)+1)</f>
        <v>not yet</v>
      </c>
      <c r="AM28" s="408" t="str">
        <f>HLOOKUP(4,$AJ$13:$AR$17,($E$12)+1)</f>
        <v>not yet</v>
      </c>
      <c r="AN28" s="408" t="str">
        <f>HLOOKUP(5,$AJ$13:$AR$17,($E$12)+1)</f>
        <v>not yet</v>
      </c>
      <c r="AO28" s="408" t="str">
        <f>HLOOKUP(6,$AJ$13:$AR$17,($E$12)+1)</f>
        <v>not yet</v>
      </c>
      <c r="AP28" s="408" t="str">
        <f>HLOOKUP(7,$AJ$13:$AR$17,($E$12)+1)</f>
        <v>yes</v>
      </c>
      <c r="AQ28" s="408" t="str">
        <f>HLOOKUP(8,$AJ$13:$AR$17,($E$12)+1)</f>
        <v>yes</v>
      </c>
      <c r="AR28" s="408" t="str">
        <f>HLOOKUP(9,$AJ$13:$AR$17,($E$12)+1)</f>
        <v>yes</v>
      </c>
      <c r="AS28" s="406"/>
      <c r="AT28" s="406"/>
      <c r="AU28" s="406"/>
      <c r="AV28" s="406"/>
      <c r="AW28" s="406"/>
      <c r="AX28" s="406"/>
      <c r="AY28" s="406"/>
      <c r="AZ28" s="406"/>
      <c r="BA28" s="406"/>
      <c r="BB28" s="406"/>
      <c r="BC28" s="406"/>
      <c r="BD28" s="406"/>
      <c r="BE28" s="406"/>
      <c r="BF28" s="406"/>
      <c r="BG28" s="406"/>
      <c r="BH28" s="406"/>
      <c r="BI28" s="406"/>
      <c r="BJ28" s="406"/>
      <c r="BK28" s="407"/>
      <c r="BL28" s="407"/>
      <c r="BM28" s="407"/>
      <c r="BN28" s="407"/>
      <c r="BO28" s="407"/>
      <c r="BP28" s="407"/>
      <c r="BQ28" s="407"/>
      <c r="BR28" s="407"/>
      <c r="BS28" s="407"/>
      <c r="BT28" s="407"/>
      <c r="BU28" s="407"/>
      <c r="BV28" s="407"/>
      <c r="BW28" s="407"/>
      <c r="BX28" s="407"/>
      <c r="BY28" s="407"/>
      <c r="BZ28" s="407"/>
      <c r="CA28" s="407"/>
      <c r="CB28" s="407"/>
      <c r="CC28" s="407"/>
      <c r="CD28" s="407"/>
      <c r="CE28" s="407"/>
      <c r="CF28" s="407"/>
    </row>
    <row r="29" spans="1:84">
      <c r="A29" s="406"/>
      <c r="B29" s="408"/>
      <c r="C29" s="450"/>
      <c r="D29" s="448"/>
      <c r="E29" s="427"/>
      <c r="F29" s="445"/>
      <c r="G29" s="446"/>
      <c r="H29" s="408"/>
      <c r="I29" s="412"/>
      <c r="J29" s="408"/>
      <c r="K29" s="408"/>
      <c r="L29" s="408"/>
      <c r="M29" s="408"/>
      <c r="N29" s="408"/>
      <c r="O29" s="408"/>
      <c r="P29" s="408"/>
      <c r="Q29" s="408"/>
      <c r="R29" s="408"/>
      <c r="S29" s="408"/>
      <c r="T29" s="408"/>
      <c r="U29" s="408"/>
      <c r="V29" s="416">
        <f>100*(+AD23/$E$9)</f>
        <v>26.004018811127693</v>
      </c>
      <c r="W29" s="426">
        <f>EXP(5.7226-(0.68367*LN(+V29)))</f>
        <v>32.951325026207584</v>
      </c>
      <c r="X29" s="417">
        <f>(+W29*V29)/100</f>
        <v>8.5686687583308476</v>
      </c>
      <c r="Y29" s="416">
        <f>100*((((X29/100)-((X29/100)-0.03574)*$E$21)-0.03574-0.00619)/0.344)</f>
        <v>7.7833761060998832</v>
      </c>
      <c r="Z29" s="408">
        <f>$E$20</f>
        <v>0.25</v>
      </c>
      <c r="AA29" s="416">
        <f>Y29+Z29</f>
        <v>8.0333761060998832</v>
      </c>
      <c r="AB29" s="416">
        <f>100*($E$17*$E$19+($E$18*(AA29/100))/(1-$E$21))</f>
        <v>7.405664064415979</v>
      </c>
      <c r="AC29" s="417">
        <f>AB29/V29</f>
        <v>0.28478921347522373</v>
      </c>
      <c r="AD29" s="415">
        <f>$E$8/(1-AC29)</f>
        <v>6702.2709475421161</v>
      </c>
      <c r="AE29" s="408" t="str">
        <f>IF(AD29=AD23,"yes","not yet")</f>
        <v>not yet</v>
      </c>
      <c r="AF29" s="416">
        <f>100*(1-AC29)</f>
        <v>71.521078652477627</v>
      </c>
      <c r="AG29" s="408"/>
      <c r="AH29" s="408"/>
      <c r="AI29" s="408">
        <v>1</v>
      </c>
      <c r="AJ29" s="416">
        <f>V5</f>
        <v>23.252483834149285</v>
      </c>
      <c r="AK29" s="416">
        <f>V11</f>
        <v>26.596276054455171</v>
      </c>
      <c r="AL29" s="416">
        <f>V17</f>
        <v>25.896083026805528</v>
      </c>
      <c r="AM29" s="416">
        <f>V23</f>
        <v>26.030158787723273</v>
      </c>
      <c r="AN29" s="416">
        <f>V29</f>
        <v>26.004018811127693</v>
      </c>
      <c r="AO29" s="416">
        <f>V35</f>
        <v>26.009097482585325</v>
      </c>
      <c r="AP29" s="416">
        <f>V41</f>
        <v>26.00804603284676</v>
      </c>
      <c r="AQ29" s="416">
        <f>V47</f>
        <v>26.00804603284676</v>
      </c>
      <c r="AR29" s="416">
        <f>V53</f>
        <v>26.00804603284676</v>
      </c>
      <c r="AS29" s="406"/>
      <c r="AT29" s="406"/>
      <c r="AU29" s="406"/>
      <c r="AV29" s="406"/>
      <c r="AW29" s="406"/>
      <c r="AX29" s="406"/>
      <c r="AY29" s="406"/>
      <c r="AZ29" s="406"/>
      <c r="BA29" s="406"/>
      <c r="BB29" s="406"/>
      <c r="BC29" s="406"/>
      <c r="BD29" s="406"/>
      <c r="BE29" s="406"/>
      <c r="BF29" s="406"/>
      <c r="BG29" s="406"/>
      <c r="BH29" s="406"/>
      <c r="BI29" s="406"/>
      <c r="BJ29" s="406"/>
      <c r="BK29" s="407"/>
      <c r="BL29" s="407"/>
      <c r="BM29" s="407"/>
      <c r="BN29" s="407"/>
      <c r="BO29" s="407"/>
      <c r="BP29" s="407"/>
      <c r="BQ29" s="407"/>
      <c r="BR29" s="407"/>
      <c r="BS29" s="407"/>
      <c r="BT29" s="407"/>
      <c r="BU29" s="407"/>
      <c r="BV29" s="407"/>
      <c r="BW29" s="407"/>
      <c r="BX29" s="407"/>
      <c r="BY29" s="407"/>
      <c r="BZ29" s="407"/>
      <c r="CA29" s="407"/>
      <c r="CB29" s="407"/>
      <c r="CC29" s="407"/>
      <c r="CD29" s="407"/>
      <c r="CE29" s="407"/>
      <c r="CF29" s="407"/>
    </row>
    <row r="30" spans="1:84">
      <c r="A30" s="406"/>
      <c r="B30" s="408"/>
      <c r="C30" s="450"/>
      <c r="D30" s="448"/>
      <c r="E30" s="945"/>
      <c r="F30" s="445"/>
      <c r="G30" s="446"/>
      <c r="H30" s="408"/>
      <c r="I30" s="412"/>
      <c r="J30" s="408"/>
      <c r="K30" s="408"/>
      <c r="L30" s="408"/>
      <c r="M30" s="408"/>
      <c r="N30" s="408"/>
      <c r="O30" s="408"/>
      <c r="P30" s="408"/>
      <c r="Q30" s="408"/>
      <c r="R30" s="408"/>
      <c r="S30" s="408"/>
      <c r="T30" s="408"/>
      <c r="U30" s="408"/>
      <c r="V30" s="416">
        <f>100*(+AD24/$E$9)</f>
        <v>25.805753532612812</v>
      </c>
      <c r="W30" s="426">
        <f>EXP(5.70827-(0.68367*LN(+V30)))</f>
        <v>32.652911545156606</v>
      </c>
      <c r="X30" s="417">
        <f>(+W30*V30)/100</f>
        <v>8.4263298745651873</v>
      </c>
      <c r="Y30" s="416">
        <f>100*((((X30/100)-((X30/100)-0.03574)*$E$21)-0.03574-0.00619)/0.344)</f>
        <v>7.5102840616657689</v>
      </c>
      <c r="Z30" s="408">
        <f>$E$20</f>
        <v>0.25</v>
      </c>
      <c r="AA30" s="416">
        <f>Y30+Z30</f>
        <v>7.7602840616657689</v>
      </c>
      <c r="AB30" s="416">
        <f>100*($E$17*$E$19+($E$18*(AA30/100))/(1-$E$21))</f>
        <v>7.2066434170455942</v>
      </c>
      <c r="AC30" s="417">
        <f>AB30/V30</f>
        <v>0.27926498669910871</v>
      </c>
      <c r="AD30" s="415">
        <f>$E$8/(1-AC30)</f>
        <v>6650.8999666047266</v>
      </c>
      <c r="AE30" s="408" t="str">
        <f>IF(AD30=AD24,"yes","not yet")</f>
        <v>not yet</v>
      </c>
      <c r="AF30" s="416">
        <f>100*(1-AC30)</f>
        <v>72.07350133008913</v>
      </c>
      <c r="AG30" s="408"/>
      <c r="AH30" s="408"/>
      <c r="AI30" s="408">
        <v>2</v>
      </c>
      <c r="AJ30" s="416">
        <f>V6</f>
        <v>23.252483834149285</v>
      </c>
      <c r="AK30" s="416">
        <f>V12</f>
        <v>26.329895271146107</v>
      </c>
      <c r="AL30" s="416">
        <f>V18</f>
        <v>25.713276268261538</v>
      </c>
      <c r="AM30" s="416">
        <f>V24</f>
        <v>25.827100473031152</v>
      </c>
      <c r="AN30" s="416">
        <f>V30</f>
        <v>25.805753532612812</v>
      </c>
      <c r="AO30" s="416">
        <f>V36</f>
        <v>25.809745224009955</v>
      </c>
      <c r="AP30" s="416">
        <f>V42</f>
        <v>25.810133417556518</v>
      </c>
      <c r="AQ30" s="416">
        <f>V48</f>
        <v>25.810133417556518</v>
      </c>
      <c r="AR30" s="416">
        <f>V54</f>
        <v>25.810133417556518</v>
      </c>
      <c r="AS30" s="406"/>
      <c r="AT30" s="406"/>
      <c r="AU30" s="406"/>
      <c r="AV30" s="406"/>
      <c r="AW30" s="406"/>
      <c r="AX30" s="406"/>
      <c r="AY30" s="406"/>
      <c r="AZ30" s="406"/>
      <c r="BA30" s="406"/>
      <c r="BB30" s="406"/>
      <c r="BC30" s="406"/>
      <c r="BD30" s="406"/>
      <c r="BE30" s="406"/>
      <c r="BF30" s="406"/>
      <c r="BG30" s="406"/>
      <c r="BH30" s="406"/>
      <c r="BI30" s="406"/>
      <c r="BJ30" s="406"/>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row>
    <row r="31" spans="1:84">
      <c r="A31" s="406"/>
      <c r="B31" s="408"/>
      <c r="C31" s="450"/>
      <c r="D31" s="450"/>
      <c r="E31" s="946"/>
      <c r="F31" s="452"/>
      <c r="G31" s="453"/>
      <c r="H31" s="454"/>
      <c r="I31" s="453"/>
      <c r="J31" s="408"/>
      <c r="K31" s="408"/>
      <c r="L31" s="408"/>
      <c r="M31" s="408"/>
      <c r="N31" s="408"/>
      <c r="O31" s="408"/>
      <c r="P31" s="408"/>
      <c r="Q31" s="408"/>
      <c r="R31" s="408"/>
      <c r="S31" s="408"/>
      <c r="T31" s="408"/>
      <c r="U31" s="408"/>
      <c r="V31" s="416">
        <f>100*(+AD25/$E$9)</f>
        <v>25.672555214044589</v>
      </c>
      <c r="W31" s="426">
        <f>EXP(5.6985-(0.68367*LN(V31)))</f>
        <v>32.450049817952348</v>
      </c>
      <c r="X31" s="417">
        <f>(+W31*V31)/100</f>
        <v>8.3307569564987922</v>
      </c>
      <c r="Y31" s="416">
        <f>100*((((X31/100)-((X31/100)-0.03574)*$E$21)-0.03574-0.00619)/0.344)</f>
        <v>7.3269174165383806</v>
      </c>
      <c r="Z31" s="408">
        <f>$E$20</f>
        <v>0.25</v>
      </c>
      <c r="AA31" s="416">
        <f>Y31+Z31</f>
        <v>7.5769174165383806</v>
      </c>
      <c r="AB31" s="416">
        <f>100*($E$17*$E$19+($E$18*(AA31/100))/(1-$E$21))</f>
        <v>7.0730117380451736</v>
      </c>
      <c r="AC31" s="417">
        <f>AB31/V31</f>
        <v>0.27550867761600012</v>
      </c>
      <c r="AD31" s="415">
        <f>$E$8/(1-AC31)</f>
        <v>6616.4166882223208</v>
      </c>
      <c r="AE31" s="408" t="str">
        <f>IF(AD31=AD25,"yes","not yet")</f>
        <v>not yet</v>
      </c>
      <c r="AF31" s="416">
        <f>100*(1-AC31)</f>
        <v>72.449132238399997</v>
      </c>
      <c r="AG31" s="408"/>
      <c r="AH31" s="408"/>
      <c r="AI31" s="408">
        <v>3</v>
      </c>
      <c r="AJ31" s="416">
        <f>V7</f>
        <v>23.252483834149285</v>
      </c>
      <c r="AK31" s="416">
        <f>V13</f>
        <v>26.153444286039601</v>
      </c>
      <c r="AL31" s="416">
        <f>V19</f>
        <v>25.589620998299225</v>
      </c>
      <c r="AM31" s="416">
        <f>V25</f>
        <v>25.691078079753005</v>
      </c>
      <c r="AN31" s="416">
        <f>V31</f>
        <v>25.672555214044589</v>
      </c>
      <c r="AO31" s="416">
        <f>V37</f>
        <v>25.675928051295376</v>
      </c>
      <c r="AP31" s="416">
        <f>V43</f>
        <v>25.674311034514201</v>
      </c>
      <c r="AQ31" s="416">
        <f>V49</f>
        <v>25.674311034514201</v>
      </c>
      <c r="AR31" s="416">
        <f>V55</f>
        <v>25.674311034514201</v>
      </c>
      <c r="AS31" s="406"/>
      <c r="AT31" s="406"/>
      <c r="AU31" s="406"/>
      <c r="AV31" s="406"/>
      <c r="AW31" s="406"/>
      <c r="AX31" s="406"/>
      <c r="AY31" s="406"/>
      <c r="AZ31" s="406"/>
      <c r="BA31" s="406"/>
      <c r="BB31" s="406"/>
      <c r="BC31" s="406"/>
      <c r="BD31" s="406"/>
      <c r="BE31" s="406"/>
      <c r="BF31" s="406"/>
      <c r="BG31" s="406"/>
      <c r="BH31" s="406"/>
      <c r="BI31" s="406"/>
      <c r="BJ31" s="406"/>
      <c r="BK31" s="407"/>
      <c r="BL31" s="407"/>
      <c r="BM31" s="407"/>
      <c r="BN31" s="407"/>
      <c r="BO31" s="407"/>
      <c r="BP31" s="407"/>
      <c r="BQ31" s="407"/>
      <c r="BR31" s="407"/>
      <c r="BS31" s="407"/>
      <c r="BT31" s="407"/>
      <c r="BU31" s="407"/>
      <c r="BV31" s="407"/>
      <c r="BW31" s="407"/>
      <c r="BX31" s="407"/>
      <c r="BY31" s="407"/>
      <c r="BZ31" s="407"/>
      <c r="CA31" s="407"/>
      <c r="CB31" s="407"/>
      <c r="CC31" s="407"/>
      <c r="CD31" s="407"/>
      <c r="CE31" s="407"/>
      <c r="CF31" s="407"/>
    </row>
    <row r="32" spans="1:84">
      <c r="A32" s="406"/>
      <c r="B32" s="408"/>
      <c r="C32" s="450"/>
      <c r="D32" s="455"/>
      <c r="E32" s="947"/>
      <c r="F32" s="452"/>
      <c r="G32" s="415"/>
      <c r="H32" s="408"/>
      <c r="I32" s="408"/>
      <c r="J32" s="408"/>
      <c r="K32" s="408"/>
      <c r="L32" s="408"/>
      <c r="M32" s="408"/>
      <c r="N32" s="408"/>
      <c r="O32" s="408"/>
      <c r="P32" s="408"/>
      <c r="Q32" s="408"/>
      <c r="R32" s="408"/>
      <c r="S32" s="408"/>
      <c r="T32" s="408"/>
      <c r="U32" s="408"/>
      <c r="V32" s="416">
        <f>100*(+AD26/$E$9)</f>
        <v>25.587507040854522</v>
      </c>
      <c r="W32" s="426">
        <f>EXP(5.6922-(0.68367*LN(V32)))</f>
        <v>32.319494844016845</v>
      </c>
      <c r="X32" s="417">
        <f>(+W32*V32)/100</f>
        <v>8.2697530187814241</v>
      </c>
      <c r="Y32" s="416">
        <f>100*((((X32/100)-((X32/100)-0.03574)*$E$21)-0.03574-0.00619)/0.344)</f>
        <v>7.209874977894593</v>
      </c>
      <c r="Z32" s="408">
        <f>$E$20</f>
        <v>0.25</v>
      </c>
      <c r="AA32" s="416">
        <f>Y32+Z32</f>
        <v>7.459874977894593</v>
      </c>
      <c r="AB32" s="416">
        <f>100*($E$17*$E$19+($E$18*(AA32/100))/(1-$E$21))</f>
        <v>6.9877149951211397</v>
      </c>
      <c r="AC32" s="417">
        <f>AB32/V32</f>
        <v>0.27309088704750101</v>
      </c>
      <c r="AD32" s="415">
        <f>$E$8/(1-AC32)</f>
        <v>6594.4096593090808</v>
      </c>
      <c r="AE32" s="408" t="str">
        <f>IF(AD32=AD26,"yes","not yet")</f>
        <v>not yet</v>
      </c>
      <c r="AF32" s="416">
        <f>100*(1-AC32)</f>
        <v>72.69091129524989</v>
      </c>
      <c r="AG32" s="408"/>
      <c r="AH32" s="408"/>
      <c r="AI32" s="408">
        <v>4</v>
      </c>
      <c r="AJ32" s="416">
        <f>V8</f>
        <v>23.252483834149285</v>
      </c>
      <c r="AK32" s="416">
        <f>V14</f>
        <v>26.041808990794046</v>
      </c>
      <c r="AL32" s="416">
        <f>V20</f>
        <v>25.510324659606447</v>
      </c>
      <c r="AM32" s="416">
        <f>V26</f>
        <v>25.60438029148861</v>
      </c>
      <c r="AN32" s="416">
        <f>V32</f>
        <v>25.587507040854522</v>
      </c>
      <c r="AO32" s="416">
        <f>V38</f>
        <v>25.590526705276023</v>
      </c>
      <c r="AP32" s="416">
        <f>V44</f>
        <v>25.588936965173314</v>
      </c>
      <c r="AQ32" s="416">
        <f>V50</f>
        <v>25.588936965173314</v>
      </c>
      <c r="AR32" s="416">
        <f>V56</f>
        <v>25.588936965173314</v>
      </c>
      <c r="AS32" s="406"/>
      <c r="AT32" s="406"/>
      <c r="AU32" s="406"/>
      <c r="AV32" s="406"/>
      <c r="AW32" s="406"/>
      <c r="AX32" s="406"/>
      <c r="AY32" s="406"/>
      <c r="AZ32" s="406"/>
      <c r="BA32" s="406"/>
      <c r="BB32" s="406"/>
      <c r="BC32" s="406"/>
      <c r="BD32" s="406"/>
      <c r="BE32" s="406"/>
      <c r="BF32" s="406"/>
      <c r="BG32" s="406"/>
      <c r="BH32" s="406"/>
      <c r="BI32" s="406"/>
      <c r="BJ32" s="406"/>
      <c r="BK32" s="407"/>
      <c r="BL32" s="407"/>
      <c r="BM32" s="407"/>
      <c r="BN32" s="407"/>
      <c r="BO32" s="407"/>
      <c r="BP32" s="407"/>
      <c r="BQ32" s="407"/>
      <c r="BR32" s="407"/>
      <c r="BS32" s="407"/>
      <c r="BT32" s="407"/>
      <c r="BU32" s="407"/>
      <c r="BV32" s="407"/>
      <c r="BW32" s="407"/>
      <c r="BX32" s="407"/>
      <c r="BY32" s="407"/>
      <c r="BZ32" s="407"/>
      <c r="CA32" s="407"/>
      <c r="CB32" s="407"/>
      <c r="CC32" s="407"/>
      <c r="CD32" s="407"/>
      <c r="CE32" s="407"/>
      <c r="CF32" s="407"/>
    </row>
    <row r="33" spans="1:84">
      <c r="A33" s="406"/>
      <c r="B33" s="408"/>
      <c r="C33" s="450"/>
      <c r="D33" s="450"/>
      <c r="E33" s="948"/>
      <c r="F33" s="452"/>
      <c r="G33" s="414"/>
      <c r="H33" s="408"/>
      <c r="I33" s="414"/>
      <c r="J33" s="408"/>
      <c r="K33" s="408"/>
      <c r="L33" s="408"/>
      <c r="M33" s="408"/>
      <c r="N33" s="408"/>
      <c r="O33" s="408"/>
      <c r="P33" s="408"/>
      <c r="Q33" s="408"/>
      <c r="R33" s="408"/>
      <c r="S33" s="408"/>
      <c r="T33" s="408"/>
      <c r="U33" s="408"/>
      <c r="V33" s="408"/>
      <c r="W33" s="408"/>
      <c r="X33" s="408"/>
      <c r="Y33" s="408"/>
      <c r="Z33" s="408"/>
      <c r="AA33" s="416"/>
      <c r="AB33" s="408"/>
      <c r="AC33" s="408"/>
      <c r="AD33" s="408"/>
      <c r="AE33" s="408"/>
      <c r="AF33" s="408"/>
      <c r="AG33" s="408"/>
      <c r="AH33" s="408"/>
      <c r="AI33" s="408"/>
      <c r="AJ33" s="408"/>
      <c r="AK33" s="408"/>
      <c r="AL33" s="408"/>
      <c r="AM33" s="408"/>
      <c r="AN33" s="408"/>
      <c r="AO33" s="408"/>
      <c r="AP33" s="408"/>
      <c r="AQ33" s="408"/>
      <c r="AR33" s="408"/>
      <c r="AS33" s="406"/>
      <c r="AT33" s="406"/>
      <c r="AU33" s="406"/>
      <c r="AV33" s="406"/>
      <c r="AW33" s="406"/>
      <c r="AX33" s="406"/>
      <c r="AY33" s="406"/>
      <c r="AZ33" s="406"/>
      <c r="BA33" s="406"/>
      <c r="BB33" s="406"/>
      <c r="BC33" s="406"/>
      <c r="BD33" s="406"/>
      <c r="BE33" s="406"/>
      <c r="BF33" s="406"/>
      <c r="BG33" s="406"/>
      <c r="BH33" s="406"/>
      <c r="BI33" s="406"/>
      <c r="BJ33" s="406"/>
      <c r="BK33" s="407"/>
      <c r="BL33" s="407"/>
      <c r="BM33" s="407"/>
      <c r="BN33" s="407"/>
      <c r="BO33" s="407"/>
      <c r="BP33" s="407"/>
      <c r="BQ33" s="407"/>
      <c r="BR33" s="407"/>
      <c r="BS33" s="407"/>
      <c r="BT33" s="407"/>
      <c r="BU33" s="407"/>
      <c r="BV33" s="407"/>
      <c r="BW33" s="407"/>
      <c r="BX33" s="407"/>
      <c r="BY33" s="407"/>
      <c r="BZ33" s="407"/>
      <c r="CA33" s="407"/>
      <c r="CB33" s="407"/>
      <c r="CC33" s="407"/>
      <c r="CD33" s="407"/>
      <c r="CE33" s="407"/>
      <c r="CF33" s="407"/>
    </row>
    <row r="34" spans="1:84">
      <c r="A34" s="406"/>
      <c r="B34" s="408"/>
      <c r="C34" s="450"/>
      <c r="D34" s="450"/>
      <c r="E34" s="945"/>
      <c r="F34" s="452"/>
      <c r="G34" s="408"/>
      <c r="H34" s="408"/>
      <c r="I34" s="408"/>
      <c r="J34" s="408"/>
      <c r="K34" s="408"/>
      <c r="L34" s="408"/>
      <c r="M34" s="408"/>
      <c r="N34" s="408"/>
      <c r="O34" s="408"/>
      <c r="P34" s="408"/>
      <c r="Q34" s="408"/>
      <c r="R34" s="408"/>
      <c r="S34" s="408"/>
      <c r="T34" s="408"/>
      <c r="U34" s="408"/>
      <c r="V34" s="413" t="s">
        <v>981</v>
      </c>
      <c r="W34" s="425" t="s">
        <v>718</v>
      </c>
      <c r="X34" s="425" t="s">
        <v>930</v>
      </c>
      <c r="Y34" s="425" t="s">
        <v>931</v>
      </c>
      <c r="Z34" s="408"/>
      <c r="AA34" s="416"/>
      <c r="AB34" s="408"/>
      <c r="AC34" s="408"/>
      <c r="AD34" s="408"/>
      <c r="AE34" s="408"/>
      <c r="AF34" s="408"/>
      <c r="AG34" s="408"/>
      <c r="AH34" s="408"/>
      <c r="AI34" s="408"/>
      <c r="AJ34" s="408" t="s">
        <v>977</v>
      </c>
      <c r="AK34" s="408"/>
      <c r="AL34" s="408"/>
      <c r="AM34" s="408"/>
      <c r="AN34" s="408"/>
      <c r="AO34" s="408"/>
      <c r="AP34" s="408"/>
      <c r="AQ34" s="408"/>
      <c r="AR34" s="408"/>
      <c r="AS34" s="406"/>
      <c r="AT34" s="406"/>
      <c r="AU34" s="406"/>
      <c r="AV34" s="406"/>
      <c r="AW34" s="406"/>
      <c r="AX34" s="406"/>
      <c r="AY34" s="406"/>
      <c r="AZ34" s="406"/>
      <c r="BA34" s="406"/>
      <c r="BB34" s="406"/>
      <c r="BC34" s="406"/>
      <c r="BD34" s="406"/>
      <c r="BE34" s="406"/>
      <c r="BF34" s="406"/>
      <c r="BG34" s="406"/>
      <c r="BH34" s="406"/>
      <c r="BI34" s="406"/>
      <c r="BJ34" s="406"/>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row>
    <row r="35" spans="1:84">
      <c r="A35" s="406"/>
      <c r="B35" s="408"/>
      <c r="C35" s="450"/>
      <c r="D35" s="450"/>
      <c r="E35" s="949"/>
      <c r="F35" s="452"/>
      <c r="G35" s="452"/>
      <c r="H35" s="408"/>
      <c r="I35" s="408"/>
      <c r="J35" s="408"/>
      <c r="K35" s="408"/>
      <c r="L35" s="408"/>
      <c r="M35" s="408"/>
      <c r="N35" s="408"/>
      <c r="O35" s="408"/>
      <c r="P35" s="408"/>
      <c r="Q35" s="408"/>
      <c r="R35" s="408"/>
      <c r="S35" s="408"/>
      <c r="T35" s="408"/>
      <c r="U35" s="408"/>
      <c r="V35" s="416">
        <f>100*(+AD29/$E$9)</f>
        <v>26.009097482585325</v>
      </c>
      <c r="W35" s="426">
        <f>EXP(5.7226-(0.68367*LN(+V35)))</f>
        <v>32.946925988786525</v>
      </c>
      <c r="X35" s="417">
        <f>(+W35*V35)/100</f>
        <v>8.5691980979387274</v>
      </c>
      <c r="Y35" s="416">
        <f>100*((((X35/100)-((X35/100)-0.03574)*$E$21)-0.03574-0.00619)/0.344)</f>
        <v>7.7843916995336073</v>
      </c>
      <c r="Z35" s="408">
        <f>$E$20</f>
        <v>0.25</v>
      </c>
      <c r="AA35" s="416">
        <f>Y35+Z35</f>
        <v>8.0343916995336073</v>
      </c>
      <c r="AB35" s="416">
        <f>100*($E$17*$E$19+($E$18*(AA35/100))/(1-$E$21))</f>
        <v>7.4064041960557114</v>
      </c>
      <c r="AC35" s="417">
        <f>AB35/V35</f>
        <v>0.28476206069875165</v>
      </c>
      <c r="AD35" s="415">
        <f>ROUND($E$8/(1-AC35),0)</f>
        <v>6702</v>
      </c>
      <c r="AE35" s="408" t="str">
        <f>IF(AD35=AD29,"yes","not yet")</f>
        <v>not yet</v>
      </c>
      <c r="AF35" s="416">
        <f>100*(1-AC35)</f>
        <v>71.523793930124839</v>
      </c>
      <c r="AG35" s="408"/>
      <c r="AH35" s="408"/>
      <c r="AI35" s="408"/>
      <c r="AJ35" s="416">
        <f>HLOOKUP($AJ$34,$AJ$28:$AR$32,($E$12)+1)</f>
        <v>26.00804603284676</v>
      </c>
      <c r="AK35" s="408"/>
      <c r="AL35" s="408"/>
      <c r="AM35" s="408"/>
      <c r="AN35" s="408"/>
      <c r="AO35" s="408"/>
      <c r="AP35" s="408"/>
      <c r="AQ35" s="408"/>
      <c r="AR35" s="408"/>
      <c r="AS35" s="406"/>
      <c r="AT35" s="406"/>
      <c r="AU35" s="406"/>
      <c r="AV35" s="406"/>
      <c r="AW35" s="406"/>
      <c r="AX35" s="406"/>
      <c r="AY35" s="406"/>
      <c r="AZ35" s="406"/>
      <c r="BA35" s="406"/>
      <c r="BB35" s="406"/>
      <c r="BC35" s="406"/>
      <c r="BD35" s="406"/>
      <c r="BE35" s="406"/>
      <c r="BF35" s="406"/>
      <c r="BG35" s="406"/>
      <c r="BH35" s="406"/>
      <c r="BI35" s="406"/>
      <c r="BJ35" s="406"/>
      <c r="BK35" s="407"/>
      <c r="BL35" s="407"/>
      <c r="BM35" s="407"/>
      <c r="BN35" s="407"/>
      <c r="BO35" s="407"/>
      <c r="BP35" s="407"/>
      <c r="BQ35" s="407"/>
      <c r="BR35" s="407"/>
      <c r="BS35" s="407"/>
      <c r="BT35" s="407"/>
      <c r="BU35" s="407"/>
      <c r="BV35" s="407"/>
      <c r="BW35" s="407"/>
      <c r="BX35" s="407"/>
      <c r="BY35" s="407"/>
      <c r="BZ35" s="407"/>
      <c r="CA35" s="407"/>
      <c r="CB35" s="407"/>
      <c r="CC35" s="407"/>
      <c r="CD35" s="407"/>
      <c r="CE35" s="407"/>
      <c r="CF35" s="407"/>
    </row>
    <row r="36" spans="1:84" ht="15.75">
      <c r="A36" s="406"/>
      <c r="B36" s="408"/>
      <c r="C36" s="450"/>
      <c r="D36" s="450"/>
      <c r="E36" s="950"/>
      <c r="F36" s="408"/>
      <c r="G36" s="408"/>
      <c r="H36" s="408"/>
      <c r="I36" s="408"/>
      <c r="J36" s="408"/>
      <c r="K36" s="408"/>
      <c r="L36" s="408"/>
      <c r="M36" s="408"/>
      <c r="N36" s="408"/>
      <c r="O36" s="408"/>
      <c r="P36" s="408"/>
      <c r="Q36" s="408"/>
      <c r="R36" s="408"/>
      <c r="S36" s="408"/>
      <c r="T36" s="408"/>
      <c r="U36" s="408"/>
      <c r="V36" s="416">
        <f>100*(+AD30/$E$9)</f>
        <v>25.809745224009955</v>
      </c>
      <c r="W36" s="426">
        <f>EXP(5.70827-(0.68367*LN(+V36)))</f>
        <v>32.649458897191323</v>
      </c>
      <c r="X36" s="417">
        <f>(+W36*V36)/100</f>
        <v>8.4267421583829307</v>
      </c>
      <c r="Y36" s="416">
        <f>100*((((X36/100)-((X36/100)-0.03574)*$E$21)-0.03574-0.00619)/0.344)</f>
        <v>7.5110750713160872</v>
      </c>
      <c r="Z36" s="408">
        <f>$E$20</f>
        <v>0.25</v>
      </c>
      <c r="AA36" s="416">
        <f>Y36+Z36</f>
        <v>7.7610750713160872</v>
      </c>
      <c r="AB36" s="416">
        <f>100*($E$17*$E$19+($E$18*(AA36/100))/(1-$E$21))</f>
        <v>7.2072198792893349</v>
      </c>
      <c r="AC36" s="417">
        <f>AB36/V36</f>
        <v>0.27924413111155766</v>
      </c>
      <c r="AD36" s="415">
        <f>ROUND($E$8/(1-AC36),0)</f>
        <v>6651</v>
      </c>
      <c r="AE36" s="408" t="str">
        <f>IF(AD36=AD30,"yes","not yet")</f>
        <v>not yet</v>
      </c>
      <c r="AF36" s="416">
        <f>100*(1-AC36)</f>
        <v>72.075586888844228</v>
      </c>
      <c r="AG36" s="408"/>
      <c r="AH36" s="408"/>
      <c r="AI36" s="408"/>
      <c r="AJ36" s="408"/>
      <c r="AK36" s="408"/>
      <c r="AL36" s="408"/>
      <c r="AM36" s="408"/>
      <c r="AN36" s="408"/>
      <c r="AO36" s="408"/>
      <c r="AP36" s="408"/>
      <c r="AQ36" s="408"/>
      <c r="AR36" s="408"/>
      <c r="AS36" s="406"/>
      <c r="AT36" s="406"/>
      <c r="AU36" s="406"/>
      <c r="AV36" s="406"/>
      <c r="AW36" s="406"/>
      <c r="AX36" s="406"/>
      <c r="AY36" s="406"/>
      <c r="AZ36" s="406"/>
      <c r="BA36" s="406"/>
      <c r="BB36" s="406"/>
      <c r="BC36" s="406"/>
      <c r="BD36" s="406"/>
      <c r="BE36" s="406"/>
      <c r="BF36" s="406"/>
      <c r="BG36" s="406"/>
      <c r="BH36" s="406"/>
      <c r="BI36" s="406"/>
      <c r="BJ36" s="406"/>
      <c r="BK36" s="407"/>
      <c r="BL36" s="407"/>
      <c r="BM36" s="407"/>
      <c r="BN36" s="407"/>
      <c r="BO36" s="407"/>
      <c r="BP36" s="407"/>
      <c r="BQ36" s="407"/>
      <c r="BR36" s="407"/>
      <c r="BS36" s="407"/>
      <c r="BT36" s="407"/>
      <c r="BU36" s="407"/>
      <c r="BV36" s="407"/>
      <c r="BW36" s="407"/>
      <c r="BX36" s="407"/>
      <c r="BY36" s="407"/>
      <c r="BZ36" s="407"/>
      <c r="CA36" s="407"/>
      <c r="CB36" s="407"/>
      <c r="CC36" s="407"/>
      <c r="CD36" s="407"/>
      <c r="CE36" s="407"/>
      <c r="CF36" s="407"/>
    </row>
    <row r="37" spans="1:84">
      <c r="A37" s="406"/>
      <c r="B37" s="408"/>
      <c r="C37" s="450"/>
      <c r="D37" s="450"/>
      <c r="E37" s="427"/>
      <c r="F37" s="408"/>
      <c r="G37" s="452"/>
      <c r="H37" s="408"/>
      <c r="I37" s="408"/>
      <c r="J37" s="408"/>
      <c r="K37" s="408"/>
      <c r="L37" s="408"/>
      <c r="M37" s="408"/>
      <c r="N37" s="408"/>
      <c r="O37" s="408"/>
      <c r="P37" s="408"/>
      <c r="Q37" s="408"/>
      <c r="R37" s="408"/>
      <c r="S37" s="408"/>
      <c r="T37" s="408"/>
      <c r="U37" s="408"/>
      <c r="V37" s="416">
        <f>100*(+AD31/$E$9)</f>
        <v>25.675928051295376</v>
      </c>
      <c r="W37" s="426">
        <f>EXP(5.6985-(0.68367*LN(V37)))</f>
        <v>32.447135478400362</v>
      </c>
      <c r="X37" s="417">
        <f>(+W37*V37)/100</f>
        <v>8.3311031601404117</v>
      </c>
      <c r="Y37" s="416">
        <f>100*((((X37/100)-((X37/100)-0.03574)*$E$21)-0.03574-0.00619)/0.344)</f>
        <v>7.3275816444554414</v>
      </c>
      <c r="Z37" s="408">
        <f>$E$20</f>
        <v>0.25</v>
      </c>
      <c r="AA37" s="416">
        <f>Y37+Z37</f>
        <v>7.5775816444554414</v>
      </c>
      <c r="AB37" s="416">
        <f>100*($E$17*$E$19+($E$18*(AA37/100))/(1-$E$21))</f>
        <v>7.0734958058631445</v>
      </c>
      <c r="AC37" s="417">
        <f>AB37/V37</f>
        <v>0.27549133927045255</v>
      </c>
      <c r="AD37" s="415">
        <f>ROUND($E$8/(1-AC37),0)</f>
        <v>6616</v>
      </c>
      <c r="AE37" s="408" t="str">
        <f>IF(AD37=AD31,"yes","not yet")</f>
        <v>not yet</v>
      </c>
      <c r="AF37" s="416">
        <f>100*(1-AC37)</f>
        <v>72.450866072954739</v>
      </c>
      <c r="AG37" s="408"/>
      <c r="AH37" s="408"/>
      <c r="AI37" s="408"/>
      <c r="AJ37" s="408" t="str">
        <f>HLOOKUP(1,$AJ$13:$AR$17,($E$12)+1)</f>
        <v>not yet</v>
      </c>
      <c r="AK37" s="408" t="str">
        <f>HLOOKUP(2,$AJ$13:$AR$17,($E$12)+1)</f>
        <v>not yet</v>
      </c>
      <c r="AL37" s="408" t="str">
        <f>HLOOKUP(3,$AJ$13:$AR$17,($E$12)+1)</f>
        <v>not yet</v>
      </c>
      <c r="AM37" s="408" t="str">
        <f>HLOOKUP(4,$AJ$13:$AR$17,($E$12)+1)</f>
        <v>not yet</v>
      </c>
      <c r="AN37" s="408" t="str">
        <f>HLOOKUP(5,$AJ$13:$AR$17,($E$12)+1)</f>
        <v>not yet</v>
      </c>
      <c r="AO37" s="408" t="str">
        <f>HLOOKUP(6,$AJ$13:$AR$17,($E$12)+1)</f>
        <v>not yet</v>
      </c>
      <c r="AP37" s="408" t="str">
        <f>HLOOKUP(7,$AJ$13:$AR$17,($E$12)+1)</f>
        <v>yes</v>
      </c>
      <c r="AQ37" s="408" t="str">
        <f>HLOOKUP(8,$AJ$13:$AR$17,($E$12)+1)</f>
        <v>yes</v>
      </c>
      <c r="AR37" s="408" t="str">
        <f>HLOOKUP(9,$AJ$13:$AR$17,($E$12)+1)</f>
        <v>yes</v>
      </c>
      <c r="AS37" s="406"/>
      <c r="AT37" s="406"/>
      <c r="AU37" s="406"/>
      <c r="AV37" s="406"/>
      <c r="AW37" s="406"/>
      <c r="AX37" s="406"/>
      <c r="AY37" s="406"/>
      <c r="AZ37" s="406"/>
      <c r="BA37" s="406"/>
      <c r="BB37" s="406"/>
      <c r="BC37" s="406"/>
      <c r="BD37" s="406"/>
      <c r="BE37" s="406"/>
      <c r="BF37" s="406"/>
      <c r="BG37" s="406"/>
      <c r="BH37" s="406"/>
      <c r="BI37" s="406"/>
      <c r="BJ37" s="406"/>
      <c r="BK37" s="407"/>
      <c r="BL37" s="407"/>
      <c r="BM37" s="407"/>
      <c r="BN37" s="407"/>
      <c r="BO37" s="407"/>
      <c r="BP37" s="407"/>
      <c r="BQ37" s="407"/>
      <c r="BR37" s="407"/>
      <c r="BS37" s="407"/>
      <c r="BT37" s="407"/>
      <c r="BU37" s="407"/>
      <c r="BV37" s="407"/>
      <c r="BW37" s="407"/>
      <c r="BX37" s="407"/>
      <c r="BY37" s="407"/>
      <c r="BZ37" s="407"/>
      <c r="CA37" s="407"/>
      <c r="CB37" s="407"/>
      <c r="CC37" s="407"/>
      <c r="CD37" s="407"/>
      <c r="CE37" s="407"/>
      <c r="CF37" s="407"/>
    </row>
    <row r="38" spans="1:84">
      <c r="A38" s="406"/>
      <c r="B38" s="408"/>
      <c r="C38" s="450"/>
      <c r="D38" s="450"/>
      <c r="E38" s="949"/>
      <c r="F38" s="408"/>
      <c r="G38" s="408"/>
      <c r="H38" s="408"/>
      <c r="I38" s="408"/>
      <c r="J38" s="408"/>
      <c r="K38" s="408"/>
      <c r="L38" s="408"/>
      <c r="M38" s="408"/>
      <c r="N38" s="408"/>
      <c r="O38" s="408"/>
      <c r="P38" s="408"/>
      <c r="Q38" s="408"/>
      <c r="R38" s="408"/>
      <c r="S38" s="408"/>
      <c r="T38" s="408"/>
      <c r="U38" s="408"/>
      <c r="V38" s="416">
        <f>100*(+AD32/$E$9)</f>
        <v>25.590526705276023</v>
      </c>
      <c r="W38" s="426">
        <f>EXP(5.6922-(0.68367*LN(V38)))</f>
        <v>32.316887498115221</v>
      </c>
      <c r="X38" s="417">
        <f>(+W38*V38)/100</f>
        <v>8.2700617255191844</v>
      </c>
      <c r="Y38" s="416">
        <f>100*((((X38/100)-((X38/100)-0.03574)*$E$21)-0.03574-0.00619)/0.344)</f>
        <v>7.2104672640775025</v>
      </c>
      <c r="Z38" s="408">
        <f>$E$20</f>
        <v>0.25</v>
      </c>
      <c r="AA38" s="416">
        <f>Y38+Z38</f>
        <v>7.4604672640775025</v>
      </c>
      <c r="AB38" s="416">
        <f>100*($E$17*$E$19+($E$18*(AA38/100))/(1-$E$21))</f>
        <v>6.9881466341306</v>
      </c>
      <c r="AC38" s="417">
        <f>AB38/V38</f>
        <v>0.27307552965253534</v>
      </c>
      <c r="AD38" s="415">
        <f>ROUND($E$8/(1-AC38),0)</f>
        <v>6594</v>
      </c>
      <c r="AE38" s="408" t="str">
        <f>IF(AD38=AD32,"yes","not yet")</f>
        <v>not yet</v>
      </c>
      <c r="AF38" s="416">
        <f>100*(1-AC38)</f>
        <v>72.692447034746465</v>
      </c>
      <c r="AG38" s="408"/>
      <c r="AH38" s="408"/>
      <c r="AI38" s="408">
        <v>1</v>
      </c>
      <c r="AJ38" s="415">
        <f>AD5</f>
        <v>6853.5806915998464</v>
      </c>
      <c r="AK38" s="415">
        <f>AD11</f>
        <v>6673.1483105827847</v>
      </c>
      <c r="AL38" s="415">
        <f>AD17</f>
        <v>6707.6982244262117</v>
      </c>
      <c r="AM38" s="415">
        <f>AD23</f>
        <v>6700.9622273073837</v>
      </c>
      <c r="AN38" s="415">
        <f>AD29</f>
        <v>6702.2709475421161</v>
      </c>
      <c r="AO38" s="415">
        <f>AD35</f>
        <v>6702</v>
      </c>
      <c r="AP38" s="415">
        <f>AD41</f>
        <v>6702</v>
      </c>
      <c r="AQ38" s="415">
        <f>AD47</f>
        <v>6702</v>
      </c>
      <c r="AR38" s="415">
        <f>AD53</f>
        <v>6702</v>
      </c>
      <c r="AS38" s="406"/>
      <c r="AT38" s="406"/>
      <c r="AU38" s="406"/>
      <c r="AV38" s="406"/>
      <c r="AW38" s="406"/>
      <c r="AX38" s="406"/>
      <c r="AY38" s="406"/>
      <c r="AZ38" s="406"/>
      <c r="BA38" s="406"/>
      <c r="BB38" s="406"/>
      <c r="BC38" s="406"/>
      <c r="BD38" s="406"/>
      <c r="BE38" s="406"/>
      <c r="BF38" s="406"/>
      <c r="BG38" s="406"/>
      <c r="BH38" s="406"/>
      <c r="BI38" s="406"/>
      <c r="BJ38" s="406"/>
      <c r="BK38" s="407"/>
      <c r="BL38" s="407"/>
      <c r="BM38" s="407"/>
      <c r="BN38" s="407"/>
      <c r="BO38" s="407"/>
      <c r="BP38" s="407"/>
      <c r="BQ38" s="407"/>
      <c r="BR38" s="407"/>
      <c r="BS38" s="407"/>
      <c r="BT38" s="407"/>
      <c r="BU38" s="407"/>
      <c r="BV38" s="407"/>
      <c r="BW38" s="407"/>
      <c r="BX38" s="407"/>
      <c r="BY38" s="407"/>
      <c r="BZ38" s="407"/>
      <c r="CA38" s="407"/>
      <c r="CB38" s="407"/>
      <c r="CC38" s="407"/>
      <c r="CD38" s="407"/>
      <c r="CE38" s="407"/>
      <c r="CF38" s="407"/>
    </row>
    <row r="39" spans="1:84" ht="15.75">
      <c r="A39" s="406"/>
      <c r="B39" s="408"/>
      <c r="C39" s="450"/>
      <c r="D39" s="450"/>
      <c r="E39" s="951"/>
      <c r="F39" s="408"/>
      <c r="G39" s="408"/>
      <c r="H39" s="408"/>
      <c r="I39" s="408"/>
      <c r="J39" s="408"/>
      <c r="K39" s="408"/>
      <c r="L39" s="408"/>
      <c r="M39" s="408"/>
      <c r="N39" s="408"/>
      <c r="O39" s="408"/>
      <c r="P39" s="408"/>
      <c r="Q39" s="408"/>
      <c r="R39" s="408"/>
      <c r="S39" s="408"/>
      <c r="T39" s="408"/>
      <c r="U39" s="408"/>
      <c r="V39" s="408"/>
      <c r="W39" s="408"/>
      <c r="X39" s="408"/>
      <c r="Y39" s="408"/>
      <c r="Z39" s="408"/>
      <c r="AA39" s="416"/>
      <c r="AB39" s="408"/>
      <c r="AC39" s="408"/>
      <c r="AD39" s="408"/>
      <c r="AE39" s="408"/>
      <c r="AF39" s="408"/>
      <c r="AG39" s="408"/>
      <c r="AH39" s="408"/>
      <c r="AI39" s="408">
        <v>2</v>
      </c>
      <c r="AJ39" s="415">
        <f>AD6</f>
        <v>6784.937164612752</v>
      </c>
      <c r="AK39" s="415">
        <f>AD12</f>
        <v>6626.0409310351433</v>
      </c>
      <c r="AL39" s="415">
        <f>AD18</f>
        <v>6655.3722317950123</v>
      </c>
      <c r="AM39" s="415">
        <f>AD24</f>
        <v>6649.8713497024855</v>
      </c>
      <c r="AN39" s="415">
        <f>AD30</f>
        <v>6650.8999666047266</v>
      </c>
      <c r="AO39" s="415">
        <f>AD36</f>
        <v>6651</v>
      </c>
      <c r="AP39" s="415">
        <f>AD42</f>
        <v>6651</v>
      </c>
      <c r="AQ39" s="415">
        <f>AD48</f>
        <v>6651</v>
      </c>
      <c r="AR39" s="415">
        <f>AD54</f>
        <v>6651</v>
      </c>
      <c r="AS39" s="406"/>
      <c r="AT39" s="406"/>
      <c r="AU39" s="406"/>
      <c r="AV39" s="406"/>
      <c r="AW39" s="406"/>
      <c r="AX39" s="406"/>
      <c r="AY39" s="406"/>
      <c r="AZ39" s="406"/>
      <c r="BA39" s="406"/>
      <c r="BB39" s="406"/>
      <c r="BC39" s="406"/>
      <c r="BD39" s="406"/>
      <c r="BE39" s="406"/>
      <c r="BF39" s="406"/>
      <c r="BG39" s="406"/>
      <c r="BH39" s="406"/>
      <c r="BI39" s="406"/>
      <c r="BJ39" s="406"/>
      <c r="BK39" s="407"/>
      <c r="BL39" s="407"/>
      <c r="BM39" s="407"/>
      <c r="BN39" s="407"/>
      <c r="BO39" s="407"/>
      <c r="BP39" s="407"/>
      <c r="BQ39" s="407"/>
      <c r="BR39" s="407"/>
      <c r="BS39" s="407"/>
      <c r="BT39" s="407"/>
      <c r="BU39" s="407"/>
      <c r="BV39" s="407"/>
      <c r="BW39" s="407"/>
      <c r="BX39" s="407"/>
      <c r="BY39" s="407"/>
      <c r="BZ39" s="407"/>
      <c r="CA39" s="407"/>
      <c r="CB39" s="407"/>
      <c r="CC39" s="407"/>
      <c r="CD39" s="407"/>
      <c r="CE39" s="407"/>
      <c r="CF39" s="407"/>
    </row>
    <row r="40" spans="1:84">
      <c r="A40" s="406"/>
      <c r="B40" s="408"/>
      <c r="C40" s="450"/>
      <c r="D40" s="450"/>
      <c r="E40" s="949"/>
      <c r="F40" s="408"/>
      <c r="G40" s="408"/>
      <c r="H40" s="408"/>
      <c r="I40" s="408"/>
      <c r="J40" s="408"/>
      <c r="K40" s="408"/>
      <c r="L40" s="408"/>
      <c r="M40" s="408"/>
      <c r="N40" s="408"/>
      <c r="O40" s="408"/>
      <c r="P40" s="408"/>
      <c r="Q40" s="408"/>
      <c r="R40" s="408"/>
      <c r="S40" s="408"/>
      <c r="T40" s="408"/>
      <c r="U40" s="408"/>
      <c r="V40" s="413" t="s">
        <v>983</v>
      </c>
      <c r="W40" s="425" t="s">
        <v>718</v>
      </c>
      <c r="X40" s="425" t="s">
        <v>930</v>
      </c>
      <c r="Y40" s="425" t="s">
        <v>931</v>
      </c>
      <c r="Z40" s="408"/>
      <c r="AA40" s="416"/>
      <c r="AB40" s="408"/>
      <c r="AC40" s="408"/>
      <c r="AD40" s="408"/>
      <c r="AE40" s="408"/>
      <c r="AF40" s="408"/>
      <c r="AG40" s="408"/>
      <c r="AH40" s="408"/>
      <c r="AI40" s="408">
        <v>3</v>
      </c>
      <c r="AJ40" s="415">
        <f>AD7</f>
        <v>6739.4676010519097</v>
      </c>
      <c r="AK40" s="415">
        <f>AD13</f>
        <v>6594.1762681442533</v>
      </c>
      <c r="AL40" s="415">
        <f>AD19</f>
        <v>6620.3206912602573</v>
      </c>
      <c r="AM40" s="415">
        <f>AD25</f>
        <v>6615.5475435266271</v>
      </c>
      <c r="AN40" s="415">
        <f>AD31</f>
        <v>6616.4166882223208</v>
      </c>
      <c r="AO40" s="415">
        <f>AD37</f>
        <v>6616</v>
      </c>
      <c r="AP40" s="415">
        <f>AD43</f>
        <v>6616</v>
      </c>
      <c r="AQ40" s="415">
        <f>AD49</f>
        <v>6616</v>
      </c>
      <c r="AR40" s="415">
        <f>AD55</f>
        <v>6616</v>
      </c>
      <c r="AS40" s="406"/>
      <c r="AT40" s="406"/>
      <c r="AU40" s="406"/>
      <c r="AV40" s="406"/>
      <c r="AW40" s="406"/>
      <c r="AX40" s="406"/>
      <c r="AY40" s="406"/>
      <c r="AZ40" s="406"/>
      <c r="BA40" s="406"/>
      <c r="BB40" s="406"/>
      <c r="BC40" s="406"/>
      <c r="BD40" s="406"/>
      <c r="BE40" s="406"/>
      <c r="BF40" s="406"/>
      <c r="BG40" s="406"/>
      <c r="BH40" s="406"/>
      <c r="BI40" s="406"/>
      <c r="BJ40" s="406"/>
      <c r="BK40" s="407"/>
      <c r="BL40" s="407"/>
      <c r="BM40" s="407"/>
      <c r="BN40" s="407"/>
      <c r="BO40" s="407"/>
      <c r="BP40" s="407"/>
      <c r="BQ40" s="407"/>
      <c r="BR40" s="407"/>
      <c r="BS40" s="407"/>
      <c r="BT40" s="407"/>
      <c r="BU40" s="407"/>
      <c r="BV40" s="407"/>
      <c r="BW40" s="407"/>
      <c r="BX40" s="407"/>
      <c r="BY40" s="407"/>
      <c r="BZ40" s="407"/>
      <c r="CA40" s="407"/>
      <c r="CB40" s="407"/>
      <c r="CC40" s="407"/>
      <c r="CD40" s="407"/>
      <c r="CE40" s="407"/>
      <c r="CF40" s="407"/>
    </row>
    <row r="41" spans="1:84">
      <c r="A41" s="406"/>
      <c r="B41" s="408"/>
      <c r="C41" s="408"/>
      <c r="D41" s="408"/>
      <c r="E41" s="412"/>
      <c r="F41" s="408"/>
      <c r="G41" s="408"/>
      <c r="H41" s="408"/>
      <c r="I41" s="408"/>
      <c r="J41" s="408"/>
      <c r="K41" s="408"/>
      <c r="L41" s="408"/>
      <c r="M41" s="408"/>
      <c r="N41" s="408"/>
      <c r="O41" s="408"/>
      <c r="P41" s="408"/>
      <c r="Q41" s="408"/>
      <c r="R41" s="408"/>
      <c r="S41" s="408"/>
      <c r="T41" s="408"/>
      <c r="U41" s="408"/>
      <c r="V41" s="416">
        <f>100*(+AD35/$E$9)</f>
        <v>26.00804603284676</v>
      </c>
      <c r="W41" s="426">
        <f>EXP(5.7226-(0.68367*LN(+V41)))</f>
        <v>32.947836613513005</v>
      </c>
      <c r="X41" s="417">
        <f>(+W41*V41)/100</f>
        <v>8.5690885132696</v>
      </c>
      <c r="Y41" s="416">
        <f>100*((((X41/100)-((X41/100)-0.03574)*$E$21)-0.03574-0.00619)/0.344)</f>
        <v>7.7841814498777193</v>
      </c>
      <c r="Z41" s="408">
        <f>$E$20</f>
        <v>0.25</v>
      </c>
      <c r="AA41" s="416">
        <f>Y41+Z41</f>
        <v>8.0341814498777193</v>
      </c>
      <c r="AB41" s="416">
        <f>100*($E$17*$E$19+($E$18*(AA41/100))/(1-$E$21))</f>
        <v>7.4062509729081416</v>
      </c>
      <c r="AC41" s="417">
        <f>AB41/V41</f>
        <v>0.28476768164568939</v>
      </c>
      <c r="AD41" s="415">
        <f>ROUND($E$8/(1-AC41),0)</f>
        <v>6702</v>
      </c>
      <c r="AE41" s="408" t="str">
        <f>IF(OR(OR(AD41=AD35,AD41=(AD35+1)),AD41=(AD27-1)),"yes","not yet")</f>
        <v>yes</v>
      </c>
      <c r="AF41" s="416">
        <f>100*(1-AC41)</f>
        <v>71.523231835431062</v>
      </c>
      <c r="AG41" s="408"/>
      <c r="AH41" s="408"/>
      <c r="AI41" s="408">
        <v>4</v>
      </c>
      <c r="AJ41" s="415">
        <f>AD8</f>
        <v>6710.7003592610126</v>
      </c>
      <c r="AK41" s="415">
        <f>AD14</f>
        <v>6573.7424354277236</v>
      </c>
      <c r="AL41" s="415">
        <f>AD20</f>
        <v>6597.9795828119659</v>
      </c>
      <c r="AM41" s="415">
        <f>AD26</f>
        <v>6593.6315235380462</v>
      </c>
      <c r="AN41" s="415">
        <f>AD32</f>
        <v>6594.4096593090808</v>
      </c>
      <c r="AO41" s="415">
        <f>AD38</f>
        <v>6594</v>
      </c>
      <c r="AP41" s="415">
        <f>AD44</f>
        <v>6594</v>
      </c>
      <c r="AQ41" s="415">
        <f>AD50</f>
        <v>6594</v>
      </c>
      <c r="AR41" s="415">
        <f>AD56</f>
        <v>6594</v>
      </c>
      <c r="AS41" s="406"/>
      <c r="AT41" s="406"/>
      <c r="AU41" s="406"/>
      <c r="AV41" s="406"/>
      <c r="AW41" s="406"/>
      <c r="AX41" s="406"/>
      <c r="AY41" s="406"/>
      <c r="AZ41" s="406"/>
      <c r="BA41" s="406"/>
      <c r="BB41" s="406"/>
      <c r="BC41" s="406"/>
      <c r="BD41" s="406"/>
      <c r="BE41" s="406"/>
      <c r="BF41" s="406"/>
      <c r="BG41" s="406"/>
      <c r="BH41" s="406"/>
      <c r="BI41" s="406"/>
      <c r="BJ41" s="406"/>
      <c r="BK41" s="407"/>
      <c r="BL41" s="407"/>
      <c r="BM41" s="407"/>
      <c r="BN41" s="407"/>
      <c r="BO41" s="407"/>
      <c r="BP41" s="407"/>
      <c r="BQ41" s="407"/>
      <c r="BR41" s="407"/>
      <c r="BS41" s="407"/>
      <c r="BT41" s="407"/>
      <c r="BU41" s="407"/>
      <c r="BV41" s="407"/>
      <c r="BW41" s="407"/>
      <c r="BX41" s="407"/>
      <c r="BY41" s="407"/>
      <c r="BZ41" s="407"/>
      <c r="CA41" s="407"/>
      <c r="CB41" s="407"/>
      <c r="CC41" s="407"/>
      <c r="CD41" s="407"/>
      <c r="CE41" s="407"/>
      <c r="CF41" s="407"/>
    </row>
    <row r="42" spans="1:84">
      <c r="A42" s="406"/>
      <c r="B42" s="408"/>
      <c r="C42" s="408"/>
      <c r="D42" s="408"/>
      <c r="E42" s="411"/>
      <c r="F42" s="408"/>
      <c r="G42" s="408"/>
      <c r="H42" s="408"/>
      <c r="I42" s="408"/>
      <c r="J42" s="408"/>
      <c r="K42" s="408"/>
      <c r="L42" s="408"/>
      <c r="M42" s="408"/>
      <c r="N42" s="408"/>
      <c r="O42" s="408"/>
      <c r="P42" s="408"/>
      <c r="Q42" s="408"/>
      <c r="R42" s="408"/>
      <c r="S42" s="408"/>
      <c r="T42" s="408"/>
      <c r="U42" s="408"/>
      <c r="V42" s="416">
        <f>100*(+AD36/$E$9)</f>
        <v>25.810133417556518</v>
      </c>
      <c r="W42" s="426">
        <f>EXP(5.70827-(0.68367*LN(+V42)))</f>
        <v>32.649123173796454</v>
      </c>
      <c r="X42" s="417">
        <f>(+W42*V42)/100</f>
        <v>8.4267822508192278</v>
      </c>
      <c r="Y42" s="416">
        <f>100*((((X42/100)-((X42/100)-0.03574)*$E$21)-0.03574-0.00619)/0.344)</f>
        <v>7.5111519928508423</v>
      </c>
      <c r="Z42" s="408">
        <f>$E$20</f>
        <v>0.25</v>
      </c>
      <c r="AA42" s="416">
        <f>Y42+Z42</f>
        <v>7.7611519928508423</v>
      </c>
      <c r="AB42" s="416">
        <f>100*($E$17*$E$19+($E$18*(AA42/100))/(1-$E$21))</f>
        <v>7.2072759372154298</v>
      </c>
      <c r="AC42" s="417">
        <f>AB42/V42</f>
        <v>0.27924210311570535</v>
      </c>
      <c r="AD42" s="415">
        <f>ROUND($E$8/(1-AC42),0)</f>
        <v>6651</v>
      </c>
      <c r="AE42" s="408" t="str">
        <f>IF(OR(OR(AD42=AD36,AD42=(AD36+5)),AD42=(AD28-5)),"yes","not yet")</f>
        <v>yes</v>
      </c>
      <c r="AF42" s="416">
        <f>100*(1-AC42)</f>
        <v>72.075789688429467</v>
      </c>
      <c r="AG42" s="408"/>
      <c r="AH42" s="408"/>
      <c r="AI42" s="408"/>
      <c r="AJ42" s="408"/>
      <c r="AK42" s="408"/>
      <c r="AL42" s="408"/>
      <c r="AM42" s="408"/>
      <c r="AN42" s="408"/>
      <c r="AO42" s="408"/>
      <c r="AP42" s="408"/>
      <c r="AQ42" s="408"/>
      <c r="AR42" s="408"/>
      <c r="AS42" s="406"/>
      <c r="AT42" s="406"/>
      <c r="AU42" s="406"/>
      <c r="AV42" s="406"/>
      <c r="AW42" s="406"/>
      <c r="AX42" s="406"/>
      <c r="AY42" s="406"/>
      <c r="AZ42" s="406"/>
      <c r="BA42" s="406"/>
      <c r="BB42" s="406"/>
      <c r="BC42" s="406"/>
      <c r="BD42" s="406"/>
      <c r="BE42" s="406"/>
      <c r="BF42" s="406"/>
      <c r="BG42" s="406"/>
      <c r="BH42" s="406"/>
      <c r="BI42" s="406"/>
      <c r="BJ42" s="406"/>
      <c r="BK42" s="407"/>
      <c r="BL42" s="407"/>
      <c r="BM42" s="407"/>
      <c r="BN42" s="407"/>
      <c r="BO42" s="407"/>
      <c r="BP42" s="407"/>
      <c r="BQ42" s="407"/>
      <c r="BR42" s="407"/>
      <c r="BS42" s="407"/>
      <c r="BT42" s="407"/>
      <c r="BU42" s="407"/>
      <c r="BV42" s="407"/>
      <c r="BW42" s="407"/>
      <c r="BX42" s="407"/>
      <c r="BY42" s="407"/>
      <c r="BZ42" s="407"/>
      <c r="CA42" s="407"/>
      <c r="CB42" s="407"/>
      <c r="CC42" s="407"/>
      <c r="CD42" s="407"/>
      <c r="CE42" s="407"/>
      <c r="CF42" s="407"/>
    </row>
    <row r="43" spans="1:84">
      <c r="A43" s="406"/>
      <c r="B43" s="408"/>
      <c r="C43" s="408"/>
      <c r="D43" s="408"/>
      <c r="E43" s="412"/>
      <c r="F43" s="408"/>
      <c r="G43" s="408"/>
      <c r="H43" s="408"/>
      <c r="I43" s="408"/>
      <c r="J43" s="408"/>
      <c r="K43" s="408"/>
      <c r="L43" s="408"/>
      <c r="M43" s="408"/>
      <c r="N43" s="408"/>
      <c r="O43" s="408"/>
      <c r="P43" s="408"/>
      <c r="Q43" s="408"/>
      <c r="R43" s="408"/>
      <c r="S43" s="408"/>
      <c r="T43" s="408"/>
      <c r="U43" s="408"/>
      <c r="V43" s="416">
        <f>100*(+AD37/$E$9)</f>
        <v>25.674311034514201</v>
      </c>
      <c r="W43" s="426">
        <f>EXP(5.6985-(0.68367*LN(V43)))</f>
        <v>32.448532600260371</v>
      </c>
      <c r="X43" s="417">
        <f>(+W43*V43)/100</f>
        <v>8.3309371859265866</v>
      </c>
      <c r="Y43" s="416">
        <f>100*((((X43/100)-((X43/100)-0.03574)*$E$21)-0.03574-0.00619)/0.344)</f>
        <v>7.3272632055568234</v>
      </c>
      <c r="Z43" s="408">
        <f>$E$20</f>
        <v>0.25</v>
      </c>
      <c r="AA43" s="416">
        <f>Y43+Z43</f>
        <v>7.5772632055568234</v>
      </c>
      <c r="AB43" s="416">
        <f>100*($E$17*$E$19+($E$18*(AA43/100))/(1-$E$21))</f>
        <v>7.0732637378954299</v>
      </c>
      <c r="AC43" s="417">
        <f>AB43/V43</f>
        <v>0.27549965132021575</v>
      </c>
      <c r="AD43" s="415">
        <f>ROUND($E$8/(1-AC43),0)</f>
        <v>6616</v>
      </c>
      <c r="AE43" s="408" t="str">
        <f>IF(OR(OR(AD43=AD37,AD43=(AD37+5)),AD43=(AD29-5)),"yes","not yet")</f>
        <v>yes</v>
      </c>
      <c r="AF43" s="416">
        <f>100*(1-AC43)</f>
        <v>72.450034867978431</v>
      </c>
      <c r="AG43" s="408"/>
      <c r="AH43" s="408"/>
      <c r="AI43" s="408"/>
      <c r="AJ43" s="408" t="s">
        <v>977</v>
      </c>
      <c r="AK43" s="408"/>
      <c r="AL43" s="408"/>
      <c r="AM43" s="408"/>
      <c r="AN43" s="408"/>
      <c r="AO43" s="408"/>
      <c r="AP43" s="408"/>
      <c r="AQ43" s="408"/>
      <c r="AR43" s="408"/>
      <c r="AS43" s="406"/>
      <c r="AT43" s="406"/>
      <c r="AU43" s="406"/>
      <c r="AV43" s="406"/>
      <c r="AW43" s="406"/>
      <c r="AX43" s="406"/>
      <c r="AY43" s="406"/>
      <c r="AZ43" s="406"/>
      <c r="BA43" s="406"/>
      <c r="BB43" s="406"/>
      <c r="BC43" s="406"/>
      <c r="BD43" s="406"/>
      <c r="BE43" s="406"/>
      <c r="BF43" s="406"/>
      <c r="BG43" s="406"/>
      <c r="BH43" s="406"/>
      <c r="BI43" s="406"/>
      <c r="BJ43" s="406"/>
      <c r="BK43" s="407"/>
      <c r="BL43" s="407"/>
      <c r="BM43" s="407"/>
      <c r="BN43" s="407"/>
      <c r="BO43" s="407"/>
      <c r="BP43" s="407"/>
      <c r="BQ43" s="407"/>
      <c r="BR43" s="407"/>
      <c r="BS43" s="407"/>
      <c r="BT43" s="407"/>
      <c r="BU43" s="407"/>
      <c r="BV43" s="407"/>
      <c r="BW43" s="407"/>
      <c r="BX43" s="407"/>
      <c r="BY43" s="407"/>
      <c r="BZ43" s="407"/>
      <c r="CA43" s="407"/>
      <c r="CB43" s="407"/>
      <c r="CC43" s="407"/>
      <c r="CD43" s="407"/>
      <c r="CE43" s="407"/>
      <c r="CF43" s="407"/>
    </row>
    <row r="44" spans="1:84">
      <c r="A44" s="406"/>
      <c r="B44" s="408"/>
      <c r="C44" s="408"/>
      <c r="D44" s="408"/>
      <c r="E44" s="452"/>
      <c r="F44" s="408"/>
      <c r="G44" s="408"/>
      <c r="H44" s="408"/>
      <c r="I44" s="408"/>
      <c r="J44" s="408"/>
      <c r="K44" s="408"/>
      <c r="L44" s="408"/>
      <c r="M44" s="408"/>
      <c r="N44" s="408"/>
      <c r="O44" s="408"/>
      <c r="P44" s="408"/>
      <c r="Q44" s="408"/>
      <c r="R44" s="408"/>
      <c r="S44" s="408"/>
      <c r="T44" s="408"/>
      <c r="U44" s="408"/>
      <c r="V44" s="416">
        <f>100*(+AD38/$E$9)</f>
        <v>25.588936965173314</v>
      </c>
      <c r="W44" s="426">
        <f>EXP(5.6922-(0.68367*LN(V44)))</f>
        <v>32.318260103402721</v>
      </c>
      <c r="X44" s="417">
        <f>(+W44*V44)/100</f>
        <v>8.2698992061004795</v>
      </c>
      <c r="Y44" s="416">
        <f>100*((((X44/100)-((X44/100)-0.03574)*$E$21)-0.03574-0.00619)/0.344)</f>
        <v>7.2101554535648731</v>
      </c>
      <c r="Z44" s="408">
        <f>$E$20</f>
        <v>0.25</v>
      </c>
      <c r="AA44" s="416">
        <f>Y44+Z44</f>
        <v>7.4601554535648731</v>
      </c>
      <c r="AB44" s="416">
        <f>100*($E$17*$E$19+($E$18*(AA44/100))/(1-$E$21))</f>
        <v>6.9879193967161646</v>
      </c>
      <c r="AC44" s="417">
        <f>AB44/V44</f>
        <v>0.27308361446302992</v>
      </c>
      <c r="AD44" s="415">
        <f>ROUND($E$8/(1-AC44),0)</f>
        <v>6594</v>
      </c>
      <c r="AE44" s="408" t="str">
        <f>IF(OR(OR(AD44=AD38,AD44=(AD38+5)),AD44=(AD30-5)),"yes","not yet")</f>
        <v>yes</v>
      </c>
      <c r="AF44" s="416">
        <f>100*(1-AC44)</f>
        <v>72.691638553697004</v>
      </c>
      <c r="AG44" s="408"/>
      <c r="AH44" s="408"/>
      <c r="AI44" s="408"/>
      <c r="AJ44" s="415">
        <f>HLOOKUP($AJ$34,$AJ$37:$AR$41,($E$12)+1)</f>
        <v>6702</v>
      </c>
      <c r="AK44" s="408"/>
      <c r="AL44" s="408"/>
      <c r="AM44" s="408"/>
      <c r="AN44" s="408"/>
      <c r="AO44" s="408"/>
      <c r="AP44" s="408"/>
      <c r="AQ44" s="408"/>
      <c r="AR44" s="408"/>
      <c r="AS44" s="406"/>
      <c r="AT44" s="406"/>
      <c r="AU44" s="406"/>
      <c r="AV44" s="406"/>
      <c r="AW44" s="406"/>
      <c r="AX44" s="406"/>
      <c r="AY44" s="406"/>
      <c r="AZ44" s="406"/>
      <c r="BA44" s="406"/>
      <c r="BB44" s="406"/>
      <c r="BC44" s="406"/>
      <c r="BD44" s="406"/>
      <c r="BE44" s="406"/>
      <c r="BF44" s="406"/>
      <c r="BG44" s="406"/>
      <c r="BH44" s="406"/>
      <c r="BI44" s="406"/>
      <c r="BJ44" s="406"/>
      <c r="BK44" s="407"/>
      <c r="BL44" s="407"/>
      <c r="BM44" s="407"/>
      <c r="BN44" s="407"/>
      <c r="BO44" s="407"/>
      <c r="BP44" s="407"/>
      <c r="BQ44" s="407"/>
      <c r="BR44" s="407"/>
      <c r="BS44" s="407"/>
      <c r="BT44" s="407"/>
      <c r="BU44" s="407"/>
      <c r="BV44" s="407"/>
      <c r="BW44" s="407"/>
      <c r="BX44" s="407"/>
      <c r="BY44" s="407"/>
      <c r="BZ44" s="407"/>
      <c r="CA44" s="407"/>
      <c r="CB44" s="407"/>
      <c r="CC44" s="407"/>
      <c r="CD44" s="407"/>
      <c r="CE44" s="407"/>
      <c r="CF44" s="407"/>
    </row>
    <row r="45" spans="1:84">
      <c r="A45" s="406"/>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16"/>
      <c r="AB45" s="408"/>
      <c r="AC45" s="408"/>
      <c r="AD45" s="408"/>
      <c r="AE45" s="408"/>
      <c r="AF45" s="408"/>
      <c r="AG45" s="408"/>
      <c r="AH45" s="408"/>
      <c r="AI45" s="408"/>
      <c r="AJ45" s="408"/>
      <c r="AK45" s="408"/>
      <c r="AL45" s="408"/>
      <c r="AM45" s="408"/>
      <c r="AN45" s="408"/>
      <c r="AO45" s="408"/>
      <c r="AP45" s="408"/>
      <c r="AQ45" s="408"/>
      <c r="AR45" s="408"/>
      <c r="AS45" s="406"/>
      <c r="AT45" s="406"/>
      <c r="AU45" s="406"/>
      <c r="AV45" s="406"/>
      <c r="AW45" s="406"/>
      <c r="AX45" s="406"/>
      <c r="AY45" s="406"/>
      <c r="AZ45" s="406"/>
      <c r="BA45" s="406"/>
      <c r="BB45" s="406"/>
      <c r="BC45" s="406"/>
      <c r="BD45" s="406"/>
      <c r="BE45" s="406"/>
      <c r="BF45" s="406"/>
      <c r="BG45" s="406"/>
      <c r="BH45" s="406"/>
      <c r="BI45" s="406"/>
      <c r="BJ45" s="406"/>
      <c r="BK45" s="407"/>
      <c r="BL45" s="407"/>
      <c r="BM45" s="407"/>
      <c r="BN45" s="407"/>
      <c r="BO45" s="407"/>
      <c r="BP45" s="407"/>
      <c r="BQ45" s="407"/>
      <c r="BR45" s="407"/>
      <c r="BS45" s="407"/>
      <c r="BT45" s="407"/>
      <c r="BU45" s="407"/>
      <c r="BV45" s="407"/>
      <c r="BW45" s="407"/>
      <c r="BX45" s="407"/>
      <c r="BY45" s="407"/>
      <c r="BZ45" s="407"/>
      <c r="CA45" s="407"/>
      <c r="CB45" s="407"/>
      <c r="CC45" s="407"/>
      <c r="CD45" s="407"/>
      <c r="CE45" s="407"/>
      <c r="CF45" s="407"/>
    </row>
    <row r="46" spans="1:84">
      <c r="A46" s="406"/>
      <c r="B46" s="408"/>
      <c r="C46" s="408"/>
      <c r="D46" s="415"/>
      <c r="E46" s="415"/>
      <c r="F46" s="415"/>
      <c r="G46" s="408"/>
      <c r="H46" s="408"/>
      <c r="I46" s="408"/>
      <c r="J46" s="408"/>
      <c r="K46" s="408"/>
      <c r="L46" s="408"/>
      <c r="M46" s="408"/>
      <c r="N46" s="408"/>
      <c r="O46" s="408"/>
      <c r="P46" s="408"/>
      <c r="Q46" s="408"/>
      <c r="R46" s="408"/>
      <c r="S46" s="408"/>
      <c r="T46" s="408"/>
      <c r="U46" s="408"/>
      <c r="V46" s="413" t="s">
        <v>984</v>
      </c>
      <c r="W46" s="425" t="s">
        <v>718</v>
      </c>
      <c r="X46" s="425" t="s">
        <v>930</v>
      </c>
      <c r="Y46" s="425" t="s">
        <v>931</v>
      </c>
      <c r="Z46" s="408"/>
      <c r="AA46" s="416"/>
      <c r="AB46" s="408"/>
      <c r="AC46" s="408"/>
      <c r="AD46" s="408"/>
      <c r="AE46" s="408"/>
      <c r="AF46" s="408"/>
      <c r="AG46" s="408"/>
      <c r="AH46" s="408"/>
      <c r="AI46" s="408"/>
      <c r="AJ46" s="408"/>
      <c r="AK46" s="408"/>
      <c r="AL46" s="408"/>
      <c r="AM46" s="408"/>
      <c r="AN46" s="408"/>
      <c r="AO46" s="408"/>
      <c r="AP46" s="408"/>
      <c r="AQ46" s="408"/>
      <c r="AR46" s="408"/>
      <c r="AS46" s="406"/>
      <c r="AT46" s="406"/>
      <c r="AU46" s="406"/>
      <c r="AV46" s="406"/>
      <c r="AW46" s="406"/>
      <c r="AX46" s="406"/>
      <c r="AY46" s="406"/>
      <c r="AZ46" s="406"/>
      <c r="BA46" s="406"/>
      <c r="BB46" s="406"/>
      <c r="BC46" s="406"/>
      <c r="BD46" s="406"/>
      <c r="BE46" s="406"/>
      <c r="BF46" s="406"/>
      <c r="BG46" s="406"/>
      <c r="BH46" s="406"/>
      <c r="BI46" s="406"/>
      <c r="BJ46" s="406"/>
      <c r="BK46" s="407"/>
      <c r="BL46" s="407"/>
      <c r="BM46" s="407"/>
      <c r="BN46" s="407"/>
      <c r="BO46" s="407"/>
      <c r="BP46" s="407"/>
      <c r="BQ46" s="407"/>
      <c r="BR46" s="407"/>
      <c r="BS46" s="407"/>
      <c r="BT46" s="407"/>
      <c r="BU46" s="407"/>
      <c r="BV46" s="407"/>
      <c r="BW46" s="407"/>
      <c r="BX46" s="407"/>
      <c r="BY46" s="407"/>
      <c r="BZ46" s="407"/>
      <c r="CA46" s="407"/>
      <c r="CB46" s="407"/>
      <c r="CC46" s="407"/>
      <c r="CD46" s="407"/>
      <c r="CE46" s="407"/>
      <c r="CF46" s="407"/>
    </row>
    <row r="47" spans="1:84">
      <c r="A47" s="406"/>
      <c r="B47" s="408"/>
      <c r="C47" s="408"/>
      <c r="D47" s="415"/>
      <c r="E47" s="415"/>
      <c r="F47" s="415"/>
      <c r="G47" s="408"/>
      <c r="H47" s="408"/>
      <c r="I47" s="408"/>
      <c r="J47" s="408"/>
      <c r="K47" s="408"/>
      <c r="L47" s="408"/>
      <c r="M47" s="408"/>
      <c r="N47" s="408"/>
      <c r="O47" s="408"/>
      <c r="P47" s="408"/>
      <c r="Q47" s="408"/>
      <c r="R47" s="408"/>
      <c r="S47" s="408"/>
      <c r="T47" s="408"/>
      <c r="U47" s="408"/>
      <c r="V47" s="416">
        <f>100*(+AD41/$E$9)</f>
        <v>26.00804603284676</v>
      </c>
      <c r="W47" s="426">
        <f>EXP(5.7226-(0.68367*LN(+V47)))</f>
        <v>32.947836613513005</v>
      </c>
      <c r="X47" s="417">
        <f>(+W47*V47)/100</f>
        <v>8.5690885132696</v>
      </c>
      <c r="Y47" s="416">
        <f>100*((((X47/100)-((X47/100)-0.03574)*$E$21)-0.03574-0.00619)/0.344)</f>
        <v>7.7841814498777193</v>
      </c>
      <c r="Z47" s="408">
        <f>$E$20</f>
        <v>0.25</v>
      </c>
      <c r="AA47" s="416">
        <f>Y47+Z47</f>
        <v>8.0341814498777193</v>
      </c>
      <c r="AB47" s="416">
        <f>100*($E$17*$E$19+($E$18*(AA47/100))/(1-$E$21))</f>
        <v>7.4062509729081416</v>
      </c>
      <c r="AC47" s="417">
        <f>AB47/V47</f>
        <v>0.28476768164568939</v>
      </c>
      <c r="AD47" s="415">
        <f>ROUND($E$8/(1-AC47),0)</f>
        <v>6702</v>
      </c>
      <c r="AE47" s="408" t="str">
        <f>IF(OR(OR(AD47=AD41,AD47=(AD41+1)),AD47=(AD33-1)),"yes","not yet")</f>
        <v>yes</v>
      </c>
      <c r="AF47" s="416">
        <f>100*(1-AC47)</f>
        <v>71.523231835431062</v>
      </c>
      <c r="AG47" s="408"/>
      <c r="AH47" s="408"/>
      <c r="AI47" s="408"/>
      <c r="AJ47" s="408"/>
      <c r="AK47" s="408"/>
      <c r="AL47" s="408"/>
      <c r="AM47" s="408"/>
      <c r="AN47" s="408"/>
      <c r="AO47" s="408"/>
      <c r="AP47" s="408"/>
      <c r="AQ47" s="408"/>
      <c r="AR47" s="408"/>
      <c r="AS47" s="406"/>
      <c r="AT47" s="406"/>
      <c r="AU47" s="406"/>
      <c r="AV47" s="406"/>
      <c r="AW47" s="406"/>
      <c r="AX47" s="406"/>
      <c r="AY47" s="406"/>
      <c r="AZ47" s="406"/>
      <c r="BA47" s="406"/>
      <c r="BB47" s="406"/>
      <c r="BC47" s="406"/>
      <c r="BD47" s="406"/>
      <c r="BE47" s="406"/>
      <c r="BF47" s="406"/>
      <c r="BG47" s="406"/>
      <c r="BH47" s="406"/>
      <c r="BI47" s="406"/>
      <c r="BJ47" s="406"/>
      <c r="BK47" s="407"/>
      <c r="BL47" s="407"/>
      <c r="BM47" s="407"/>
      <c r="BN47" s="407"/>
      <c r="BO47" s="407"/>
      <c r="BP47" s="407"/>
      <c r="BQ47" s="407"/>
      <c r="BR47" s="407"/>
      <c r="BS47" s="407"/>
      <c r="BT47" s="407"/>
      <c r="BU47" s="407"/>
      <c r="BV47" s="407"/>
      <c r="BW47" s="407"/>
      <c r="BX47" s="407"/>
      <c r="BY47" s="407"/>
      <c r="BZ47" s="407"/>
      <c r="CA47" s="407"/>
      <c r="CB47" s="407"/>
      <c r="CC47" s="407"/>
      <c r="CD47" s="407"/>
      <c r="CE47" s="407"/>
      <c r="CF47" s="407"/>
    </row>
    <row r="48" spans="1:84">
      <c r="A48" s="406"/>
      <c r="B48" s="408"/>
      <c r="C48" s="408"/>
      <c r="D48" s="408"/>
      <c r="E48" s="411"/>
      <c r="F48" s="408"/>
      <c r="G48" s="408"/>
      <c r="H48" s="408"/>
      <c r="I48" s="408"/>
      <c r="J48" s="408"/>
      <c r="K48" s="408"/>
      <c r="L48" s="408"/>
      <c r="M48" s="408"/>
      <c r="N48" s="408"/>
      <c r="O48" s="408"/>
      <c r="P48" s="408"/>
      <c r="Q48" s="408"/>
      <c r="R48" s="408"/>
      <c r="S48" s="408"/>
      <c r="T48" s="408"/>
      <c r="U48" s="408"/>
      <c r="V48" s="416">
        <f>100*(+AD42/$E$9)</f>
        <v>25.810133417556518</v>
      </c>
      <c r="W48" s="426">
        <f>EXP(5.70827-(0.68367*LN(+V48)))</f>
        <v>32.649123173796454</v>
      </c>
      <c r="X48" s="417">
        <f>(+W48*V48)/100</f>
        <v>8.4267822508192278</v>
      </c>
      <c r="Y48" s="416">
        <f>100*((((X48/100)-((X48/100)-0.03574)*$E$21)-0.03574-0.00619)/0.344)</f>
        <v>7.5111519928508423</v>
      </c>
      <c r="Z48" s="408">
        <f>$E$20</f>
        <v>0.25</v>
      </c>
      <c r="AA48" s="416">
        <f>Y48+Z48</f>
        <v>7.7611519928508423</v>
      </c>
      <c r="AB48" s="416">
        <f>100*($E$17*$E$19+($E$18*(AA48/100))/(1-$E$21))</f>
        <v>7.2072759372154298</v>
      </c>
      <c r="AC48" s="417">
        <f>AB48/V48</f>
        <v>0.27924210311570535</v>
      </c>
      <c r="AD48" s="415">
        <f>ROUND($E$8/(1-AC48),0)</f>
        <v>6651</v>
      </c>
      <c r="AE48" s="408" t="str">
        <f>IF(OR(OR(AD48=AD42,AD48=(AD42+1)),AD48=(AD42-1)),"yes","not yet")</f>
        <v>yes</v>
      </c>
      <c r="AF48" s="416">
        <f>100*(1-AC48)</f>
        <v>72.075789688429467</v>
      </c>
      <c r="AG48" s="408"/>
      <c r="AH48" s="408"/>
      <c r="AI48" s="408"/>
      <c r="AJ48" s="408"/>
      <c r="AK48" s="408"/>
      <c r="AL48" s="408"/>
      <c r="AM48" s="408"/>
      <c r="AN48" s="408"/>
      <c r="AO48" s="408"/>
      <c r="AP48" s="408"/>
      <c r="AQ48" s="408"/>
      <c r="AR48" s="408"/>
      <c r="AS48" s="406"/>
      <c r="AT48" s="406"/>
      <c r="AU48" s="406"/>
      <c r="AV48" s="406"/>
      <c r="AW48" s="406"/>
      <c r="AX48" s="406"/>
      <c r="AY48" s="406"/>
      <c r="AZ48" s="406"/>
      <c r="BA48" s="406"/>
      <c r="BB48" s="406"/>
      <c r="BC48" s="406"/>
      <c r="BD48" s="406"/>
      <c r="BE48" s="406"/>
      <c r="BF48" s="406"/>
      <c r="BG48" s="406"/>
      <c r="BH48" s="406"/>
      <c r="BI48" s="406"/>
      <c r="BJ48" s="406"/>
      <c r="BK48" s="407"/>
      <c r="BL48" s="407"/>
      <c r="BM48" s="407"/>
      <c r="BN48" s="407"/>
      <c r="BO48" s="407"/>
      <c r="BP48" s="407"/>
      <c r="BQ48" s="407"/>
      <c r="BR48" s="407"/>
      <c r="BS48" s="407"/>
      <c r="BT48" s="407"/>
      <c r="BU48" s="407"/>
      <c r="BV48" s="407"/>
      <c r="BW48" s="407"/>
      <c r="BX48" s="407"/>
      <c r="BY48" s="407"/>
      <c r="BZ48" s="407"/>
      <c r="CA48" s="407"/>
      <c r="CB48" s="407"/>
      <c r="CC48" s="407"/>
      <c r="CD48" s="407"/>
      <c r="CE48" s="407"/>
      <c r="CF48" s="407"/>
    </row>
    <row r="49" spans="1:84">
      <c r="A49" s="406"/>
      <c r="B49" s="408"/>
      <c r="C49" s="408"/>
      <c r="D49" s="408"/>
      <c r="E49" s="411"/>
      <c r="F49" s="408"/>
      <c r="G49" s="408"/>
      <c r="H49" s="408"/>
      <c r="I49" s="408"/>
      <c r="J49" s="408"/>
      <c r="K49" s="408"/>
      <c r="L49" s="408"/>
      <c r="M49" s="408"/>
      <c r="N49" s="408"/>
      <c r="O49" s="408"/>
      <c r="P49" s="408"/>
      <c r="Q49" s="408"/>
      <c r="R49" s="408"/>
      <c r="S49" s="408"/>
      <c r="T49" s="408"/>
      <c r="U49" s="408"/>
      <c r="V49" s="416">
        <f>100*(+AD43/$E$9)</f>
        <v>25.674311034514201</v>
      </c>
      <c r="W49" s="426">
        <f>EXP(5.6985-(0.68367*LN(V49)))</f>
        <v>32.448532600260371</v>
      </c>
      <c r="X49" s="417">
        <f>(+W49*V49)/100</f>
        <v>8.3309371859265866</v>
      </c>
      <c r="Y49" s="416">
        <f>100*((((X49/100)-((X49/100)-0.03574)*$E$21)-0.03574-0.00619)/0.344)</f>
        <v>7.3272632055568234</v>
      </c>
      <c r="Z49" s="408">
        <f>$E$20</f>
        <v>0.25</v>
      </c>
      <c r="AA49" s="416">
        <f>Y49+Z49</f>
        <v>7.5772632055568234</v>
      </c>
      <c r="AB49" s="416">
        <f>100*($E$17*$E$19+($E$18*(AA49/100))/(1-$E$21))</f>
        <v>7.0732637378954299</v>
      </c>
      <c r="AC49" s="417">
        <f>AB49/V49</f>
        <v>0.27549965132021575</v>
      </c>
      <c r="AD49" s="415">
        <f>ROUND($E$8/(1-AC49),0)</f>
        <v>6616</v>
      </c>
      <c r="AE49" s="408" t="str">
        <f>IF(OR(OR(AD49=AD43,AD49=(AD43+1)),AD49=(AD43-1)),"yes","not yet")</f>
        <v>yes</v>
      </c>
      <c r="AF49" s="416">
        <f>100*(1-AC49)</f>
        <v>72.450034867978431</v>
      </c>
      <c r="AG49" s="408"/>
      <c r="AH49" s="408"/>
      <c r="AI49" s="408"/>
      <c r="AJ49" s="408"/>
      <c r="AK49" s="408"/>
      <c r="AL49" s="408"/>
      <c r="AM49" s="408"/>
      <c r="AN49" s="408"/>
      <c r="AO49" s="408"/>
      <c r="AP49" s="408"/>
      <c r="AQ49" s="408"/>
      <c r="AR49" s="408"/>
      <c r="AS49" s="406"/>
      <c r="AT49" s="406"/>
      <c r="AU49" s="406"/>
      <c r="AV49" s="406"/>
      <c r="AW49" s="406"/>
      <c r="AX49" s="406"/>
      <c r="AY49" s="406"/>
      <c r="AZ49" s="406"/>
      <c r="BA49" s="406"/>
      <c r="BB49" s="406"/>
      <c r="BC49" s="406"/>
      <c r="BD49" s="406"/>
      <c r="BE49" s="406"/>
      <c r="BF49" s="406"/>
      <c r="BG49" s="406"/>
      <c r="BH49" s="406"/>
      <c r="BI49" s="406"/>
      <c r="BJ49" s="406"/>
      <c r="BK49" s="407"/>
      <c r="BL49" s="407"/>
      <c r="BM49" s="407"/>
      <c r="BN49" s="407"/>
      <c r="BO49" s="407"/>
      <c r="BP49" s="407"/>
      <c r="BQ49" s="407"/>
      <c r="BR49" s="407"/>
      <c r="BS49" s="407"/>
      <c r="BT49" s="407"/>
      <c r="BU49" s="407"/>
      <c r="BV49" s="407"/>
      <c r="BW49" s="407"/>
      <c r="BX49" s="407"/>
      <c r="BY49" s="407"/>
      <c r="BZ49" s="407"/>
      <c r="CA49" s="407"/>
      <c r="CB49" s="407"/>
      <c r="CC49" s="407"/>
      <c r="CD49" s="407"/>
      <c r="CE49" s="407"/>
      <c r="CF49" s="407"/>
    </row>
    <row r="50" spans="1:84">
      <c r="A50" s="406"/>
      <c r="B50" s="408"/>
      <c r="C50" s="408"/>
      <c r="D50" s="408"/>
      <c r="E50" s="411"/>
      <c r="F50" s="408"/>
      <c r="G50" s="408"/>
      <c r="H50" s="408"/>
      <c r="I50" s="408"/>
      <c r="J50" s="408"/>
      <c r="K50" s="408"/>
      <c r="L50" s="408"/>
      <c r="M50" s="408"/>
      <c r="N50" s="408"/>
      <c r="O50" s="408"/>
      <c r="P50" s="408"/>
      <c r="Q50" s="408"/>
      <c r="R50" s="408"/>
      <c r="S50" s="408"/>
      <c r="T50" s="408"/>
      <c r="U50" s="408"/>
      <c r="V50" s="416">
        <f>100*(+AD44/$E$9)</f>
        <v>25.588936965173314</v>
      </c>
      <c r="W50" s="426">
        <f>EXP(5.6922-(0.68367*LN(V50)))</f>
        <v>32.318260103402721</v>
      </c>
      <c r="X50" s="417">
        <f>(+W50*V50)/100</f>
        <v>8.2698992061004795</v>
      </c>
      <c r="Y50" s="416">
        <f>100*((((X50/100)-((X50/100)-0.03574)*$E$21)-0.03574-0.00619)/0.344)</f>
        <v>7.2101554535648731</v>
      </c>
      <c r="Z50" s="408">
        <f>$E$20</f>
        <v>0.25</v>
      </c>
      <c r="AA50" s="416">
        <f>Y50+Z50</f>
        <v>7.4601554535648731</v>
      </c>
      <c r="AB50" s="416">
        <f>100*($E$17*$E$19+($E$18*(AA50/100))/(1-$E$21))</f>
        <v>6.9879193967161646</v>
      </c>
      <c r="AC50" s="417">
        <f>AB50/V50</f>
        <v>0.27308361446302992</v>
      </c>
      <c r="AD50" s="415">
        <f>ROUND($E$8/(1-AC50),0)</f>
        <v>6594</v>
      </c>
      <c r="AE50" s="408" t="str">
        <f>IF(OR(OR(AD50=AD44,AD50=(AD44+1)),AD50=(AD44-1)),"yes","not yet")</f>
        <v>yes</v>
      </c>
      <c r="AF50" s="416">
        <f>100*(1-AC50)</f>
        <v>72.691638553697004</v>
      </c>
      <c r="AG50" s="408"/>
      <c r="AH50" s="408"/>
      <c r="AI50" s="408"/>
      <c r="AJ50" s="408"/>
      <c r="AK50" s="408"/>
      <c r="AL50" s="408"/>
      <c r="AM50" s="408"/>
      <c r="AN50" s="408"/>
      <c r="AO50" s="408"/>
      <c r="AP50" s="408"/>
      <c r="AQ50" s="408"/>
      <c r="AR50" s="408"/>
      <c r="AS50" s="406"/>
      <c r="AT50" s="406"/>
      <c r="AU50" s="406"/>
      <c r="AV50" s="406"/>
      <c r="AW50" s="406"/>
      <c r="AX50" s="406"/>
      <c r="AY50" s="406"/>
      <c r="AZ50" s="406"/>
      <c r="BA50" s="406"/>
      <c r="BB50" s="406"/>
      <c r="BC50" s="406"/>
      <c r="BD50" s="406"/>
      <c r="BE50" s="406"/>
      <c r="BF50" s="406"/>
      <c r="BG50" s="406"/>
      <c r="BH50" s="406"/>
      <c r="BI50" s="406"/>
      <c r="BJ50" s="406"/>
      <c r="BK50" s="407"/>
      <c r="BL50" s="407"/>
      <c r="BM50" s="407"/>
      <c r="BN50" s="407"/>
      <c r="BO50" s="407"/>
      <c r="BP50" s="407"/>
      <c r="BQ50" s="407"/>
      <c r="BR50" s="407"/>
      <c r="BS50" s="407"/>
      <c r="BT50" s="407"/>
      <c r="BU50" s="407"/>
      <c r="BV50" s="407"/>
      <c r="BW50" s="407"/>
      <c r="BX50" s="407"/>
      <c r="BY50" s="407"/>
      <c r="BZ50" s="407"/>
      <c r="CA50" s="407"/>
      <c r="CB50" s="407"/>
      <c r="CC50" s="407"/>
      <c r="CD50" s="407"/>
      <c r="CE50" s="407"/>
      <c r="CF50" s="407"/>
    </row>
    <row r="51" spans="1:84">
      <c r="A51" s="406"/>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16"/>
      <c r="AB51" s="408"/>
      <c r="AC51" s="408"/>
      <c r="AD51" s="408"/>
      <c r="AE51" s="408"/>
      <c r="AF51" s="408"/>
      <c r="AG51" s="408"/>
      <c r="AH51" s="408"/>
      <c r="AI51" s="408"/>
      <c r="AJ51" s="408"/>
      <c r="AK51" s="408"/>
      <c r="AL51" s="408"/>
      <c r="AM51" s="408"/>
      <c r="AN51" s="408"/>
      <c r="AO51" s="408"/>
      <c r="AP51" s="408"/>
      <c r="AQ51" s="408"/>
      <c r="AR51" s="408"/>
      <c r="AS51" s="406"/>
      <c r="AT51" s="406"/>
      <c r="AU51" s="406"/>
      <c r="AV51" s="406"/>
      <c r="AW51" s="406"/>
      <c r="AX51" s="406"/>
      <c r="AY51" s="406"/>
      <c r="AZ51" s="406"/>
      <c r="BA51" s="406"/>
      <c r="BB51" s="406"/>
      <c r="BC51" s="406"/>
      <c r="BD51" s="406"/>
      <c r="BE51" s="406"/>
      <c r="BF51" s="406"/>
      <c r="BG51" s="406"/>
      <c r="BH51" s="406"/>
      <c r="BI51" s="406"/>
      <c r="BJ51" s="406"/>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row>
    <row r="52" spans="1:84">
      <c r="A52" s="406"/>
      <c r="B52" s="408"/>
      <c r="C52" s="408"/>
      <c r="D52" s="408"/>
      <c r="E52" s="408"/>
      <c r="F52" s="408"/>
      <c r="G52" s="408"/>
      <c r="H52" s="408"/>
      <c r="I52" s="408"/>
      <c r="J52" s="408"/>
      <c r="K52" s="408"/>
      <c r="L52" s="408"/>
      <c r="M52" s="408"/>
      <c r="N52" s="408"/>
      <c r="O52" s="408"/>
      <c r="P52" s="408"/>
      <c r="Q52" s="408"/>
      <c r="R52" s="408"/>
      <c r="S52" s="408"/>
      <c r="T52" s="408"/>
      <c r="U52" s="408"/>
      <c r="V52" s="413" t="s">
        <v>985</v>
      </c>
      <c r="W52" s="425" t="s">
        <v>718</v>
      </c>
      <c r="X52" s="425" t="s">
        <v>930</v>
      </c>
      <c r="Y52" s="425" t="s">
        <v>931</v>
      </c>
      <c r="Z52" s="408"/>
      <c r="AA52" s="416"/>
      <c r="AB52" s="408"/>
      <c r="AC52" s="408"/>
      <c r="AD52" s="408"/>
      <c r="AE52" s="408"/>
      <c r="AF52" s="408"/>
      <c r="AG52" s="408"/>
      <c r="AH52" s="408"/>
      <c r="AI52" s="408"/>
      <c r="AJ52" s="408"/>
      <c r="AK52" s="408"/>
      <c r="AL52" s="408"/>
      <c r="AM52" s="408"/>
      <c r="AN52" s="408"/>
      <c r="AO52" s="408"/>
      <c r="AP52" s="408"/>
      <c r="AQ52" s="408"/>
      <c r="AR52" s="408"/>
      <c r="AS52" s="406"/>
      <c r="AT52" s="406"/>
      <c r="AU52" s="406"/>
      <c r="AV52" s="406"/>
      <c r="AW52" s="406"/>
      <c r="AX52" s="406"/>
      <c r="AY52" s="406"/>
      <c r="AZ52" s="406"/>
      <c r="BA52" s="406"/>
      <c r="BB52" s="406"/>
      <c r="BC52" s="406"/>
      <c r="BD52" s="406"/>
      <c r="BE52" s="406"/>
      <c r="BF52" s="406"/>
      <c r="BG52" s="406"/>
      <c r="BH52" s="406"/>
      <c r="BI52" s="406"/>
      <c r="BJ52" s="406"/>
      <c r="BK52" s="407"/>
      <c r="BL52" s="407"/>
      <c r="BM52" s="407"/>
      <c r="BN52" s="407"/>
      <c r="BO52" s="407"/>
      <c r="BP52" s="407"/>
      <c r="BQ52" s="407"/>
      <c r="BR52" s="407"/>
      <c r="BS52" s="407"/>
      <c r="BT52" s="407"/>
      <c r="BU52" s="407"/>
      <c r="BV52" s="407"/>
      <c r="BW52" s="407"/>
      <c r="BX52" s="407"/>
      <c r="BY52" s="407"/>
      <c r="BZ52" s="407"/>
      <c r="CA52" s="407"/>
      <c r="CB52" s="407"/>
      <c r="CC52" s="407"/>
      <c r="CD52" s="407"/>
      <c r="CE52" s="407"/>
      <c r="CF52" s="407"/>
    </row>
    <row r="53" spans="1:84">
      <c r="A53" s="406"/>
      <c r="B53" s="408"/>
      <c r="C53" s="408"/>
      <c r="D53" s="408"/>
      <c r="E53" s="408"/>
      <c r="F53" s="408"/>
      <c r="G53" s="408"/>
      <c r="H53" s="408"/>
      <c r="I53" s="408"/>
      <c r="J53" s="408"/>
      <c r="K53" s="408"/>
      <c r="L53" s="408"/>
      <c r="M53" s="408"/>
      <c r="N53" s="408"/>
      <c r="O53" s="408"/>
      <c r="P53" s="408"/>
      <c r="Q53" s="408"/>
      <c r="R53" s="408"/>
      <c r="S53" s="408"/>
      <c r="T53" s="408"/>
      <c r="U53" s="408"/>
      <c r="V53" s="416">
        <f>100*(+AD47/$E$9)</f>
        <v>26.00804603284676</v>
      </c>
      <c r="W53" s="426">
        <f>EXP(5.7226-(0.68367*LN(+V53)))</f>
        <v>32.947836613513005</v>
      </c>
      <c r="X53" s="417">
        <f>(+W53*V53)/100</f>
        <v>8.5690885132696</v>
      </c>
      <c r="Y53" s="416">
        <f>100*((((X53/100)-((X53/100)-0.03574)*$E$21)-0.03574-0.00619)/0.344)</f>
        <v>7.7841814498777193</v>
      </c>
      <c r="Z53" s="408">
        <f>$E$20</f>
        <v>0.25</v>
      </c>
      <c r="AA53" s="416">
        <f>Y53+Z53</f>
        <v>8.0341814498777193</v>
      </c>
      <c r="AB53" s="416">
        <f>100*($E$17*$E$19+($E$18*(AA53/100))/(1-$E$21))</f>
        <v>7.4062509729081416</v>
      </c>
      <c r="AC53" s="417">
        <f>AB53/V53</f>
        <v>0.28476768164568939</v>
      </c>
      <c r="AD53" s="415">
        <f>ROUND($E$8/(1-AC53),0)</f>
        <v>6702</v>
      </c>
      <c r="AE53" s="408" t="str">
        <f>IF(OR(OR(AD53=AD47,AD53=(AD47+1)),AD53=(AD39-1)),"yes","not yet")</f>
        <v>yes</v>
      </c>
      <c r="AF53" s="416">
        <f>100*(1-AC53)</f>
        <v>71.523231835431062</v>
      </c>
      <c r="AG53" s="408"/>
      <c r="AH53" s="408"/>
      <c r="AI53" s="408"/>
      <c r="AJ53" s="408"/>
      <c r="AK53" s="408"/>
      <c r="AL53" s="408"/>
      <c r="AM53" s="408"/>
      <c r="AN53" s="408"/>
      <c r="AO53" s="408"/>
      <c r="AP53" s="408"/>
      <c r="AQ53" s="408"/>
      <c r="AR53" s="408"/>
      <c r="AS53" s="406"/>
      <c r="AT53" s="406"/>
      <c r="AU53" s="406"/>
      <c r="AV53" s="406"/>
      <c r="AW53" s="406"/>
      <c r="AX53" s="406"/>
      <c r="AY53" s="406"/>
      <c r="AZ53" s="406"/>
      <c r="BA53" s="406"/>
      <c r="BB53" s="406"/>
      <c r="BC53" s="406"/>
      <c r="BD53" s="406"/>
      <c r="BE53" s="406"/>
      <c r="BF53" s="406"/>
      <c r="BG53" s="406"/>
      <c r="BH53" s="406"/>
      <c r="BI53" s="406"/>
      <c r="BJ53" s="406"/>
      <c r="BK53" s="407"/>
      <c r="BL53" s="407"/>
      <c r="BM53" s="407"/>
      <c r="BN53" s="407"/>
      <c r="BO53" s="407"/>
      <c r="BP53" s="407"/>
      <c r="BQ53" s="407"/>
      <c r="BR53" s="407"/>
      <c r="BS53" s="407"/>
      <c r="BT53" s="407"/>
      <c r="BU53" s="407"/>
      <c r="BV53" s="407"/>
      <c r="BW53" s="407"/>
      <c r="BX53" s="407"/>
      <c r="BY53" s="407"/>
      <c r="BZ53" s="407"/>
      <c r="CA53" s="407"/>
      <c r="CB53" s="407"/>
      <c r="CC53" s="407"/>
      <c r="CD53" s="407"/>
      <c r="CE53" s="407"/>
      <c r="CF53" s="407"/>
    </row>
    <row r="54" spans="1:84">
      <c r="A54" s="406"/>
      <c r="B54" s="408"/>
      <c r="C54" s="408"/>
      <c r="D54" s="408"/>
      <c r="E54" s="408"/>
      <c r="F54" s="408"/>
      <c r="G54" s="408"/>
      <c r="H54" s="408"/>
      <c r="I54" s="408"/>
      <c r="J54" s="408"/>
      <c r="K54" s="408"/>
      <c r="L54" s="408"/>
      <c r="M54" s="408"/>
      <c r="N54" s="408"/>
      <c r="O54" s="408"/>
      <c r="P54" s="408"/>
      <c r="Q54" s="408"/>
      <c r="R54" s="408"/>
      <c r="S54" s="408"/>
      <c r="T54" s="408"/>
      <c r="U54" s="408"/>
      <c r="V54" s="416">
        <f>100*(+AD48/$E$9)</f>
        <v>25.810133417556518</v>
      </c>
      <c r="W54" s="426">
        <f>EXP(5.70827-(0.68367*LN(+V54)))</f>
        <v>32.649123173796454</v>
      </c>
      <c r="X54" s="417">
        <f>(+W54*V54)/100</f>
        <v>8.4267822508192278</v>
      </c>
      <c r="Y54" s="416">
        <f>100*((((X54/100)-((X54/100)-0.03574)*$E$21)-0.03574-0.00619)/0.344)</f>
        <v>7.5111519928508423</v>
      </c>
      <c r="Z54" s="408">
        <f>$E$20</f>
        <v>0.25</v>
      </c>
      <c r="AA54" s="416">
        <f>Y54+Z54</f>
        <v>7.7611519928508423</v>
      </c>
      <c r="AB54" s="416">
        <f>100*($E$17*$E$19+($E$18*(AA54/100))/(1-$E$21))</f>
        <v>7.2072759372154298</v>
      </c>
      <c r="AC54" s="417">
        <f>AB54/V54</f>
        <v>0.27924210311570535</v>
      </c>
      <c r="AD54" s="415">
        <f>ROUND($E$8/(1-AC54),0)</f>
        <v>6651</v>
      </c>
      <c r="AE54" s="408" t="str">
        <f>IF(OR(OR(AD54=AD48,AD54=(AD48+1)),AD54=(AD48-1)),"yes","not yet")</f>
        <v>yes</v>
      </c>
      <c r="AF54" s="416">
        <f>100*(1-AC54)</f>
        <v>72.075789688429467</v>
      </c>
      <c r="AG54" s="408"/>
      <c r="AH54" s="408"/>
      <c r="AI54" s="408"/>
      <c r="AJ54" s="408"/>
      <c r="AK54" s="408"/>
      <c r="AL54" s="408"/>
      <c r="AM54" s="408"/>
      <c r="AN54" s="408"/>
      <c r="AO54" s="408"/>
      <c r="AP54" s="408"/>
      <c r="AQ54" s="408"/>
      <c r="AR54" s="408"/>
      <c r="AS54" s="406"/>
      <c r="AT54" s="406"/>
      <c r="AU54" s="406"/>
      <c r="AV54" s="406"/>
      <c r="AW54" s="406"/>
      <c r="AX54" s="406"/>
      <c r="AY54" s="406"/>
      <c r="AZ54" s="406"/>
      <c r="BA54" s="406"/>
      <c r="BB54" s="406"/>
      <c r="BC54" s="406"/>
      <c r="BD54" s="406"/>
      <c r="BE54" s="406"/>
      <c r="BF54" s="406"/>
      <c r="BG54" s="406"/>
      <c r="BH54" s="406"/>
      <c r="BI54" s="406"/>
      <c r="BJ54" s="406"/>
      <c r="BK54" s="407"/>
      <c r="BL54" s="407"/>
      <c r="BM54" s="407"/>
      <c r="BN54" s="407"/>
      <c r="BO54" s="407"/>
      <c r="BP54" s="407"/>
      <c r="BQ54" s="407"/>
      <c r="BR54" s="407"/>
      <c r="BS54" s="407"/>
      <c r="BT54" s="407"/>
      <c r="BU54" s="407"/>
      <c r="BV54" s="407"/>
      <c r="BW54" s="407"/>
      <c r="BX54" s="407"/>
      <c r="BY54" s="407"/>
      <c r="BZ54" s="407"/>
      <c r="CA54" s="407"/>
      <c r="CB54" s="407"/>
      <c r="CC54" s="407"/>
      <c r="CD54" s="407"/>
      <c r="CE54" s="407"/>
      <c r="CF54" s="407"/>
    </row>
    <row r="55" spans="1:84">
      <c r="A55" s="406"/>
      <c r="B55" s="408"/>
      <c r="C55" s="408"/>
      <c r="D55" s="408"/>
      <c r="E55" s="408"/>
      <c r="F55" s="408"/>
      <c r="G55" s="408"/>
      <c r="H55" s="408"/>
      <c r="I55" s="408"/>
      <c r="J55" s="408"/>
      <c r="K55" s="408"/>
      <c r="L55" s="408"/>
      <c r="M55" s="408"/>
      <c r="N55" s="408"/>
      <c r="O55" s="408"/>
      <c r="P55" s="408"/>
      <c r="Q55" s="408"/>
      <c r="R55" s="408"/>
      <c r="S55" s="408"/>
      <c r="T55" s="408"/>
      <c r="U55" s="408"/>
      <c r="V55" s="416">
        <f>100*(+AD49/$E$9)</f>
        <v>25.674311034514201</v>
      </c>
      <c r="W55" s="426">
        <f>EXP(5.6985-(0.68367*LN(V55)))</f>
        <v>32.448532600260371</v>
      </c>
      <c r="X55" s="417">
        <f>(+W55*V55)/100</f>
        <v>8.3309371859265866</v>
      </c>
      <c r="Y55" s="416">
        <f>100*((((X55/100)-((X55/100)-0.03574)*$E$21)-0.03574-0.00619)/0.344)</f>
        <v>7.3272632055568234</v>
      </c>
      <c r="Z55" s="408">
        <f>$E$20</f>
        <v>0.25</v>
      </c>
      <c r="AA55" s="416">
        <f>Y55+Z55</f>
        <v>7.5772632055568234</v>
      </c>
      <c r="AB55" s="416">
        <f>100*($E$17*$E$19+($E$18*(AA55/100))/(1-$E$21))</f>
        <v>7.0732637378954299</v>
      </c>
      <c r="AC55" s="417">
        <f>AB55/V55</f>
        <v>0.27549965132021575</v>
      </c>
      <c r="AD55" s="415">
        <f>ROUND($E$8/(1-AC55),0)</f>
        <v>6616</v>
      </c>
      <c r="AE55" s="408" t="str">
        <f>IF(OR(OR(AD55=AD49,AD55=(AD49+1)),AD55=(AD49-1)),"yes","not yet")</f>
        <v>yes</v>
      </c>
      <c r="AF55" s="416">
        <f>100*(1-AC55)</f>
        <v>72.450034867978431</v>
      </c>
      <c r="AG55" s="408"/>
      <c r="AH55" s="408"/>
      <c r="AI55" s="408"/>
      <c r="AJ55" s="408"/>
      <c r="AK55" s="408"/>
      <c r="AL55" s="408"/>
      <c r="AM55" s="408"/>
      <c r="AN55" s="408"/>
      <c r="AO55" s="408"/>
      <c r="AP55" s="408"/>
      <c r="AQ55" s="408"/>
      <c r="AR55" s="408"/>
      <c r="AS55" s="406"/>
      <c r="AT55" s="406"/>
      <c r="AU55" s="406"/>
      <c r="AV55" s="406"/>
      <c r="AW55" s="406"/>
      <c r="AX55" s="406"/>
      <c r="AY55" s="406"/>
      <c r="AZ55" s="406"/>
      <c r="BA55" s="406"/>
      <c r="BB55" s="406"/>
      <c r="BC55" s="406"/>
      <c r="BD55" s="406"/>
      <c r="BE55" s="406"/>
      <c r="BF55" s="406"/>
      <c r="BG55" s="406"/>
      <c r="BH55" s="406"/>
      <c r="BI55" s="406"/>
      <c r="BJ55" s="406"/>
      <c r="BK55" s="407"/>
      <c r="BL55" s="407"/>
      <c r="BM55" s="407"/>
      <c r="BN55" s="407"/>
      <c r="BO55" s="407"/>
      <c r="BP55" s="407"/>
      <c r="BQ55" s="407"/>
      <c r="BR55" s="407"/>
      <c r="BS55" s="407"/>
      <c r="BT55" s="407"/>
      <c r="BU55" s="407"/>
      <c r="BV55" s="407"/>
      <c r="BW55" s="407"/>
      <c r="BX55" s="407"/>
      <c r="BY55" s="407"/>
      <c r="BZ55" s="407"/>
      <c r="CA55" s="407"/>
      <c r="CB55" s="407"/>
      <c r="CC55" s="407"/>
      <c r="CD55" s="407"/>
      <c r="CE55" s="407"/>
      <c r="CF55" s="407"/>
    </row>
    <row r="56" spans="1:84">
      <c r="A56" s="406"/>
      <c r="B56" s="408"/>
      <c r="C56" s="408"/>
      <c r="D56" s="408"/>
      <c r="E56" s="408"/>
      <c r="F56" s="408"/>
      <c r="G56" s="408"/>
      <c r="H56" s="408"/>
      <c r="I56" s="408"/>
      <c r="J56" s="408"/>
      <c r="K56" s="408"/>
      <c r="L56" s="408"/>
      <c r="M56" s="408"/>
      <c r="N56" s="408"/>
      <c r="O56" s="408"/>
      <c r="P56" s="408"/>
      <c r="Q56" s="408"/>
      <c r="R56" s="408"/>
      <c r="S56" s="408"/>
      <c r="T56" s="408"/>
      <c r="U56" s="408"/>
      <c r="V56" s="416">
        <f>100*(+AD50/$E$9)</f>
        <v>25.588936965173314</v>
      </c>
      <c r="W56" s="426">
        <f>EXP(5.6922-(0.68367*LN(V56)))</f>
        <v>32.318260103402721</v>
      </c>
      <c r="X56" s="417">
        <f>(+W56*V56)/100</f>
        <v>8.2698992061004795</v>
      </c>
      <c r="Y56" s="416">
        <f>100*((((X56/100)-((X56/100)-0.03574)*$E$21)-0.03574-0.00619)/0.344)</f>
        <v>7.2101554535648731</v>
      </c>
      <c r="Z56" s="408">
        <f>$E$20</f>
        <v>0.25</v>
      </c>
      <c r="AA56" s="416">
        <f>Y56+Z56</f>
        <v>7.4601554535648731</v>
      </c>
      <c r="AB56" s="416">
        <f>100*($E$17*$E$19+($E$18*(AA56/100))/(1-$E$21))</f>
        <v>6.9879193967161646</v>
      </c>
      <c r="AC56" s="417">
        <f>AB56/V56</f>
        <v>0.27308361446302992</v>
      </c>
      <c r="AD56" s="415">
        <f>ROUND($E$8/(1-AC56),0)</f>
        <v>6594</v>
      </c>
      <c r="AE56" s="408" t="str">
        <f>IF(OR(OR(AD56=AD50,AD56=(AD50+1)),AD56=(AD50-1)),"yes","not yet")</f>
        <v>yes</v>
      </c>
      <c r="AF56" s="416">
        <f>100*(1-AC56)</f>
        <v>72.691638553697004</v>
      </c>
      <c r="AG56" s="408"/>
      <c r="AH56" s="408"/>
      <c r="AI56" s="408"/>
      <c r="AJ56" s="408"/>
      <c r="AK56" s="408"/>
      <c r="AL56" s="408"/>
      <c r="AM56" s="408"/>
      <c r="AN56" s="408"/>
      <c r="AO56" s="408"/>
      <c r="AP56" s="408"/>
      <c r="AQ56" s="408"/>
      <c r="AR56" s="408"/>
      <c r="AS56" s="406"/>
      <c r="AT56" s="406"/>
      <c r="AU56" s="406"/>
      <c r="AV56" s="406"/>
      <c r="AW56" s="406"/>
      <c r="AX56" s="406"/>
      <c r="AY56" s="406"/>
      <c r="AZ56" s="406"/>
      <c r="BA56" s="406"/>
      <c r="BB56" s="406"/>
      <c r="BC56" s="406"/>
      <c r="BD56" s="406"/>
      <c r="BE56" s="406"/>
      <c r="BF56" s="406"/>
      <c r="BG56" s="406"/>
      <c r="BH56" s="406"/>
      <c r="BI56" s="406"/>
      <c r="BJ56" s="406"/>
      <c r="BK56" s="407"/>
      <c r="BL56" s="407"/>
      <c r="BM56" s="407"/>
      <c r="BN56" s="407"/>
      <c r="BO56" s="407"/>
      <c r="BP56" s="407"/>
      <c r="BQ56" s="407"/>
      <c r="BR56" s="407"/>
      <c r="BS56" s="407"/>
      <c r="BT56" s="407"/>
      <c r="BU56" s="407"/>
      <c r="BV56" s="407"/>
      <c r="BW56" s="407"/>
      <c r="BX56" s="407"/>
      <c r="BY56" s="407"/>
      <c r="BZ56" s="407"/>
      <c r="CA56" s="407"/>
      <c r="CB56" s="407"/>
      <c r="CC56" s="407"/>
      <c r="CD56" s="407"/>
      <c r="CE56" s="407"/>
      <c r="CF56" s="407"/>
    </row>
    <row r="57" spans="1:84">
      <c r="A57" s="406"/>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16"/>
      <c r="AB57" s="408"/>
      <c r="AC57" s="408"/>
      <c r="AD57" s="408"/>
      <c r="AE57" s="408"/>
      <c r="AF57" s="408"/>
      <c r="AG57" s="408"/>
      <c r="AH57" s="408"/>
      <c r="AI57" s="408"/>
      <c r="AJ57" s="408"/>
      <c r="AK57" s="408"/>
      <c r="AL57" s="408"/>
      <c r="AM57" s="408"/>
      <c r="AN57" s="408"/>
      <c r="AO57" s="408"/>
      <c r="AP57" s="408"/>
      <c r="AQ57" s="408"/>
      <c r="AR57" s="408"/>
      <c r="AS57" s="406"/>
      <c r="AT57" s="406"/>
      <c r="AU57" s="406"/>
      <c r="AV57" s="406"/>
      <c r="AW57" s="406"/>
      <c r="AX57" s="406"/>
      <c r="AY57" s="406"/>
      <c r="AZ57" s="406"/>
      <c r="BA57" s="406"/>
      <c r="BB57" s="406"/>
      <c r="BC57" s="406"/>
      <c r="BD57" s="406"/>
      <c r="BE57" s="406"/>
      <c r="BF57" s="406"/>
      <c r="BG57" s="406"/>
      <c r="BH57" s="406"/>
      <c r="BI57" s="406"/>
      <c r="BJ57" s="406"/>
      <c r="BK57" s="407"/>
      <c r="BL57" s="407"/>
      <c r="BM57" s="407"/>
      <c r="BN57" s="407"/>
      <c r="BO57" s="407"/>
      <c r="BP57" s="407"/>
      <c r="BQ57" s="407"/>
      <c r="BR57" s="407"/>
      <c r="BS57" s="407"/>
      <c r="BT57" s="407"/>
      <c r="BU57" s="407"/>
      <c r="BV57" s="407"/>
      <c r="BW57" s="407"/>
      <c r="BX57" s="407"/>
      <c r="BY57" s="407"/>
      <c r="BZ57" s="407"/>
      <c r="CA57" s="407"/>
      <c r="CB57" s="407"/>
      <c r="CC57" s="407"/>
      <c r="CD57" s="407"/>
      <c r="CE57" s="407"/>
      <c r="CF57" s="407"/>
    </row>
    <row r="58" spans="1:84">
      <c r="A58" s="406"/>
      <c r="B58" s="406"/>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7"/>
      <c r="BL58" s="407"/>
      <c r="BM58" s="407"/>
      <c r="BN58" s="407"/>
      <c r="BO58" s="407"/>
      <c r="BP58" s="407"/>
      <c r="BQ58" s="407"/>
      <c r="BR58" s="407"/>
      <c r="BS58" s="407"/>
      <c r="BT58" s="407"/>
      <c r="BU58" s="407"/>
      <c r="BV58" s="407"/>
      <c r="BW58" s="407"/>
      <c r="BX58" s="407"/>
      <c r="BY58" s="407"/>
      <c r="BZ58" s="407"/>
      <c r="CA58" s="407"/>
      <c r="CB58" s="407"/>
      <c r="CC58" s="407"/>
      <c r="CD58" s="407"/>
      <c r="CE58" s="407"/>
      <c r="CF58" s="407"/>
    </row>
    <row r="59" spans="1:84">
      <c r="A59" s="406"/>
      <c r="B59" s="406"/>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7"/>
      <c r="BL59" s="407"/>
      <c r="BM59" s="407"/>
      <c r="BN59" s="407"/>
      <c r="BO59" s="407"/>
      <c r="BP59" s="407"/>
      <c r="BQ59" s="407"/>
      <c r="BR59" s="407"/>
      <c r="BS59" s="407"/>
      <c r="BT59" s="407"/>
      <c r="BU59" s="407"/>
      <c r="BV59" s="407"/>
      <c r="BW59" s="407"/>
      <c r="BX59" s="407"/>
      <c r="BY59" s="407"/>
      <c r="BZ59" s="407"/>
      <c r="CA59" s="407"/>
      <c r="CB59" s="407"/>
      <c r="CC59" s="407"/>
      <c r="CD59" s="407"/>
      <c r="CE59" s="407"/>
      <c r="CF59" s="407"/>
    </row>
    <row r="60" spans="1:84">
      <c r="A60" s="406"/>
      <c r="B60" s="406"/>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7"/>
      <c r="BL60" s="407"/>
      <c r="BM60" s="407"/>
      <c r="BN60" s="407"/>
      <c r="BO60" s="407"/>
      <c r="BP60" s="407"/>
      <c r="BQ60" s="407"/>
      <c r="BR60" s="407"/>
      <c r="BS60" s="407"/>
      <c r="BT60" s="407"/>
      <c r="BU60" s="407"/>
      <c r="BV60" s="407"/>
      <c r="BW60" s="407"/>
      <c r="BX60" s="407"/>
      <c r="BY60" s="407"/>
      <c r="BZ60" s="407"/>
      <c r="CA60" s="407"/>
      <c r="CB60" s="407"/>
      <c r="CC60" s="407"/>
      <c r="CD60" s="407"/>
      <c r="CE60" s="407"/>
      <c r="CF60" s="407"/>
    </row>
    <row r="61" spans="1:84">
      <c r="A61" s="406"/>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row>
    <row r="62" spans="1:84">
      <c r="A62" s="406"/>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7"/>
      <c r="BL62" s="407"/>
      <c r="BM62" s="407"/>
      <c r="BN62" s="407"/>
      <c r="BO62" s="407"/>
      <c r="BP62" s="407"/>
      <c r="BQ62" s="407"/>
      <c r="BR62" s="407"/>
      <c r="BS62" s="407"/>
      <c r="BT62" s="407"/>
      <c r="BU62" s="407"/>
      <c r="BV62" s="407"/>
      <c r="BW62" s="407"/>
      <c r="BX62" s="407"/>
      <c r="BY62" s="407"/>
      <c r="BZ62" s="407"/>
      <c r="CA62" s="407"/>
      <c r="CB62" s="407"/>
      <c r="CC62" s="407"/>
      <c r="CD62" s="407"/>
      <c r="CE62" s="407"/>
      <c r="CF62" s="407"/>
    </row>
    <row r="63" spans="1:84">
      <c r="A63" s="406"/>
      <c r="B63" s="406"/>
      <c r="C63" s="406"/>
      <c r="D63" s="406"/>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row>
    <row r="64" spans="1:84">
      <c r="A64" s="406"/>
      <c r="B64" s="406"/>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row>
    <row r="65" spans="1:84">
      <c r="A65" s="406"/>
      <c r="B65" s="406"/>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7"/>
      <c r="BL65" s="407"/>
      <c r="BM65" s="407"/>
      <c r="BN65" s="407"/>
      <c r="BO65" s="407"/>
      <c r="BP65" s="407"/>
      <c r="BQ65" s="407"/>
      <c r="BR65" s="407"/>
      <c r="BS65" s="407"/>
      <c r="BT65" s="407"/>
      <c r="BU65" s="407"/>
      <c r="BV65" s="407"/>
      <c r="BW65" s="407"/>
      <c r="BX65" s="407"/>
      <c r="BY65" s="407"/>
      <c r="BZ65" s="407"/>
      <c r="CA65" s="407"/>
      <c r="CB65" s="407"/>
      <c r="CC65" s="407"/>
      <c r="CD65" s="407"/>
      <c r="CE65" s="407"/>
      <c r="CF65" s="407"/>
    </row>
    <row r="66" spans="1:84">
      <c r="A66" s="406"/>
      <c r="B66" s="406"/>
      <c r="C66" s="406"/>
      <c r="D66" s="406"/>
      <c r="E66" s="406"/>
      <c r="F66" s="406"/>
      <c r="G66" s="406"/>
      <c r="H66" s="406"/>
      <c r="I66" s="406"/>
      <c r="J66" s="406"/>
      <c r="K66" s="406"/>
      <c r="L66" s="406"/>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7"/>
      <c r="BL66" s="407"/>
      <c r="BM66" s="407"/>
      <c r="BN66" s="407"/>
      <c r="BO66" s="407"/>
      <c r="BP66" s="407"/>
      <c r="BQ66" s="407"/>
      <c r="BR66" s="407"/>
      <c r="BS66" s="407"/>
      <c r="BT66" s="407"/>
      <c r="BU66" s="407"/>
      <c r="BV66" s="407"/>
      <c r="BW66" s="407"/>
      <c r="BX66" s="407"/>
      <c r="BY66" s="407"/>
      <c r="BZ66" s="407"/>
      <c r="CA66" s="407"/>
      <c r="CB66" s="407"/>
      <c r="CC66" s="407"/>
      <c r="CD66" s="407"/>
      <c r="CE66" s="407"/>
      <c r="CF66" s="407"/>
    </row>
    <row r="67" spans="1:84">
      <c r="A67" s="406"/>
      <c r="B67" s="406"/>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7"/>
      <c r="BL67" s="407"/>
      <c r="BM67" s="407"/>
      <c r="BN67" s="407"/>
      <c r="BO67" s="407"/>
      <c r="BP67" s="407"/>
      <c r="BQ67" s="407"/>
      <c r="BR67" s="407"/>
      <c r="BS67" s="407"/>
      <c r="BT67" s="407"/>
      <c r="BU67" s="407"/>
      <c r="BV67" s="407"/>
      <c r="BW67" s="407"/>
      <c r="BX67" s="407"/>
      <c r="BY67" s="407"/>
      <c r="BZ67" s="407"/>
      <c r="CA67" s="407"/>
      <c r="CB67" s="407"/>
      <c r="CC67" s="407"/>
      <c r="CD67" s="407"/>
      <c r="CE67" s="407"/>
      <c r="CF67" s="407"/>
    </row>
    <row r="68" spans="1:84">
      <c r="A68" s="406"/>
      <c r="B68" s="406"/>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7"/>
      <c r="BL68" s="407"/>
      <c r="BM68" s="407"/>
      <c r="BN68" s="407"/>
      <c r="BO68" s="407"/>
      <c r="BP68" s="407"/>
      <c r="BQ68" s="407"/>
      <c r="BR68" s="407"/>
      <c r="BS68" s="407"/>
      <c r="BT68" s="407"/>
      <c r="BU68" s="407"/>
      <c r="BV68" s="407"/>
      <c r="BW68" s="407"/>
      <c r="BX68" s="407"/>
      <c r="BY68" s="407"/>
      <c r="BZ68" s="407"/>
      <c r="CA68" s="407"/>
      <c r="CB68" s="407"/>
      <c r="CC68" s="407"/>
      <c r="CD68" s="407"/>
      <c r="CE68" s="407"/>
      <c r="CF68" s="407"/>
    </row>
    <row r="69" spans="1:84">
      <c r="A69" s="406"/>
      <c r="B69" s="406"/>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7"/>
      <c r="BL69" s="407"/>
      <c r="BM69" s="407"/>
      <c r="BN69" s="407"/>
      <c r="BO69" s="407"/>
      <c r="BP69" s="407"/>
      <c r="BQ69" s="407"/>
      <c r="BR69" s="407"/>
      <c r="BS69" s="407"/>
      <c r="BT69" s="407"/>
      <c r="BU69" s="407"/>
      <c r="BV69" s="407"/>
      <c r="BW69" s="407"/>
      <c r="BX69" s="407"/>
      <c r="BY69" s="407"/>
      <c r="BZ69" s="407"/>
      <c r="CA69" s="407"/>
      <c r="CB69" s="407"/>
      <c r="CC69" s="407"/>
      <c r="CD69" s="407"/>
      <c r="CE69" s="407"/>
      <c r="CF69" s="407"/>
    </row>
    <row r="70" spans="1:84">
      <c r="A70" s="406"/>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7"/>
      <c r="BL70" s="407"/>
      <c r="BM70" s="407"/>
      <c r="BN70" s="407"/>
      <c r="BO70" s="407"/>
      <c r="BP70" s="407"/>
      <c r="BQ70" s="407"/>
      <c r="BR70" s="407"/>
      <c r="BS70" s="407"/>
      <c r="BT70" s="407"/>
      <c r="BU70" s="407"/>
      <c r="BV70" s="407"/>
      <c r="BW70" s="407"/>
      <c r="BX70" s="407"/>
      <c r="BY70" s="407"/>
      <c r="BZ70" s="407"/>
      <c r="CA70" s="407"/>
      <c r="CB70" s="407"/>
      <c r="CC70" s="407"/>
      <c r="CD70" s="407"/>
      <c r="CE70" s="407"/>
      <c r="CF70" s="407"/>
    </row>
    <row r="71" spans="1:84">
      <c r="A71" s="406"/>
      <c r="B71" s="406"/>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7"/>
      <c r="BL71" s="407"/>
      <c r="BM71" s="407"/>
      <c r="BN71" s="407"/>
      <c r="BO71" s="407"/>
      <c r="BP71" s="407"/>
      <c r="BQ71" s="407"/>
      <c r="BR71" s="407"/>
      <c r="BS71" s="407"/>
      <c r="BT71" s="407"/>
      <c r="BU71" s="407"/>
      <c r="BV71" s="407"/>
      <c r="BW71" s="407"/>
      <c r="BX71" s="407"/>
      <c r="BY71" s="407"/>
      <c r="BZ71" s="407"/>
      <c r="CA71" s="407"/>
      <c r="CB71" s="407"/>
      <c r="CC71" s="407"/>
      <c r="CD71" s="407"/>
      <c r="CE71" s="407"/>
      <c r="CF71" s="407"/>
    </row>
    <row r="72" spans="1:84">
      <c r="A72" s="406"/>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7"/>
      <c r="BL72" s="407"/>
      <c r="BM72" s="407"/>
      <c r="BN72" s="407"/>
      <c r="BO72" s="407"/>
      <c r="BP72" s="407"/>
      <c r="BQ72" s="407"/>
      <c r="BR72" s="407"/>
      <c r="BS72" s="407"/>
      <c r="BT72" s="407"/>
      <c r="BU72" s="407"/>
      <c r="BV72" s="407"/>
      <c r="BW72" s="407"/>
      <c r="BX72" s="407"/>
      <c r="BY72" s="407"/>
      <c r="BZ72" s="407"/>
      <c r="CA72" s="407"/>
      <c r="CB72" s="407"/>
      <c r="CC72" s="407"/>
      <c r="CD72" s="407"/>
      <c r="CE72" s="407"/>
      <c r="CF72" s="407"/>
    </row>
    <row r="73" spans="1:84">
      <c r="A73" s="406"/>
      <c r="B73" s="406"/>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row>
    <row r="74" spans="1:84">
      <c r="A74" s="406"/>
      <c r="B74" s="406"/>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7"/>
      <c r="BL74" s="407"/>
      <c r="BM74" s="407"/>
      <c r="BN74" s="407"/>
      <c r="BO74" s="407"/>
      <c r="BP74" s="407"/>
      <c r="BQ74" s="407"/>
      <c r="BR74" s="407"/>
      <c r="BS74" s="407"/>
      <c r="BT74" s="407"/>
      <c r="BU74" s="407"/>
      <c r="BV74" s="407"/>
      <c r="BW74" s="407"/>
      <c r="BX74" s="407"/>
      <c r="BY74" s="407"/>
      <c r="BZ74" s="407"/>
      <c r="CA74" s="407"/>
      <c r="CB74" s="407"/>
      <c r="CC74" s="407"/>
      <c r="CD74" s="407"/>
      <c r="CE74" s="407"/>
      <c r="CF74" s="407"/>
    </row>
    <row r="75" spans="1:84">
      <c r="A75" s="406"/>
      <c r="B75" s="406"/>
      <c r="C75" s="406"/>
      <c r="D75" s="406"/>
      <c r="E75" s="406"/>
      <c r="F75" s="406"/>
      <c r="G75" s="406"/>
      <c r="H75" s="406"/>
      <c r="I75" s="406"/>
      <c r="J75" s="406"/>
      <c r="K75" s="406"/>
      <c r="L75" s="406"/>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7"/>
      <c r="BL75" s="407"/>
      <c r="BM75" s="407"/>
      <c r="BN75" s="407"/>
      <c r="BO75" s="407"/>
      <c r="BP75" s="407"/>
      <c r="BQ75" s="407"/>
      <c r="BR75" s="407"/>
      <c r="BS75" s="407"/>
      <c r="BT75" s="407"/>
      <c r="BU75" s="407"/>
      <c r="BV75" s="407"/>
      <c r="BW75" s="407"/>
      <c r="BX75" s="407"/>
      <c r="BY75" s="407"/>
      <c r="BZ75" s="407"/>
      <c r="CA75" s="407"/>
      <c r="CB75" s="407"/>
      <c r="CC75" s="407"/>
      <c r="CD75" s="407"/>
      <c r="CE75" s="407"/>
      <c r="CF75" s="407"/>
    </row>
    <row r="76" spans="1:84">
      <c r="A76" s="406"/>
      <c r="B76" s="406"/>
      <c r="C76" s="406"/>
      <c r="D76" s="406"/>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7"/>
      <c r="BL76" s="407"/>
      <c r="BM76" s="407"/>
      <c r="BN76" s="407"/>
      <c r="BO76" s="407"/>
      <c r="BP76" s="407"/>
      <c r="BQ76" s="407"/>
      <c r="BR76" s="407"/>
      <c r="BS76" s="407"/>
      <c r="BT76" s="407"/>
      <c r="BU76" s="407"/>
      <c r="BV76" s="407"/>
      <c r="BW76" s="407"/>
      <c r="BX76" s="407"/>
      <c r="BY76" s="407"/>
      <c r="BZ76" s="407"/>
      <c r="CA76" s="407"/>
      <c r="CB76" s="407"/>
      <c r="CC76" s="407"/>
      <c r="CD76" s="407"/>
      <c r="CE76" s="407"/>
      <c r="CF76" s="407"/>
    </row>
    <row r="77" spans="1:84">
      <c r="A77" s="406"/>
      <c r="B77" s="406"/>
      <c r="C77" s="406"/>
      <c r="D77" s="406"/>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7"/>
      <c r="BL77" s="407"/>
      <c r="BM77" s="407"/>
      <c r="BN77" s="407"/>
      <c r="BO77" s="407"/>
      <c r="BP77" s="407"/>
      <c r="BQ77" s="407"/>
      <c r="BR77" s="407"/>
      <c r="BS77" s="407"/>
      <c r="BT77" s="407"/>
      <c r="BU77" s="407"/>
      <c r="BV77" s="407"/>
      <c r="BW77" s="407"/>
      <c r="BX77" s="407"/>
      <c r="BY77" s="407"/>
      <c r="BZ77" s="407"/>
      <c r="CA77" s="407"/>
      <c r="CB77" s="407"/>
      <c r="CC77" s="407"/>
      <c r="CD77" s="407"/>
      <c r="CE77" s="407"/>
      <c r="CF77" s="407"/>
    </row>
    <row r="78" spans="1:84">
      <c r="A78" s="406"/>
      <c r="B78" s="406"/>
      <c r="C78" s="406"/>
      <c r="D78" s="406"/>
      <c r="E78" s="406"/>
      <c r="F78" s="406"/>
      <c r="G78" s="406"/>
      <c r="H78" s="406"/>
      <c r="I78" s="406"/>
      <c r="J78" s="406"/>
      <c r="K78" s="406"/>
      <c r="L78" s="406"/>
      <c r="M78" s="406"/>
      <c r="N78" s="406"/>
      <c r="O78" s="406"/>
      <c r="P78" s="406"/>
      <c r="Q78" s="406"/>
      <c r="R78" s="406"/>
      <c r="S78" s="406"/>
      <c r="T78" s="406"/>
      <c r="U78" s="406"/>
      <c r="V78" s="406"/>
      <c r="W78" s="406"/>
      <c r="X78" s="406"/>
      <c r="Y78" s="406"/>
      <c r="Z78" s="406"/>
      <c r="AA78" s="406"/>
      <c r="AB78" s="406"/>
      <c r="AC78" s="406"/>
      <c r="AD78" s="406"/>
      <c r="AE78" s="406"/>
      <c r="AF78" s="406"/>
      <c r="AG78" s="406"/>
      <c r="AH78" s="406"/>
      <c r="AI78" s="406"/>
      <c r="AJ78" s="406"/>
      <c r="AK78" s="406"/>
      <c r="AL78" s="406"/>
      <c r="AM78" s="406"/>
      <c r="AN78" s="406"/>
      <c r="AO78" s="406"/>
      <c r="AP78" s="406"/>
      <c r="AQ78" s="406"/>
      <c r="AR78" s="406"/>
      <c r="AS78" s="406"/>
      <c r="AT78" s="406"/>
      <c r="AU78" s="406"/>
      <c r="AV78" s="406"/>
      <c r="AW78" s="406"/>
      <c r="AX78" s="406"/>
      <c r="AY78" s="406"/>
      <c r="AZ78" s="406"/>
      <c r="BA78" s="406"/>
      <c r="BB78" s="406"/>
      <c r="BC78" s="406"/>
      <c r="BD78" s="406"/>
      <c r="BE78" s="406"/>
      <c r="BF78" s="406"/>
      <c r="BG78" s="406"/>
      <c r="BH78" s="406"/>
      <c r="BI78" s="406"/>
      <c r="BJ78" s="406"/>
      <c r="BK78" s="407"/>
      <c r="BL78" s="407"/>
      <c r="BM78" s="407"/>
      <c r="BN78" s="407"/>
      <c r="BO78" s="407"/>
      <c r="BP78" s="407"/>
      <c r="BQ78" s="407"/>
      <c r="BR78" s="407"/>
      <c r="BS78" s="407"/>
      <c r="BT78" s="407"/>
      <c r="BU78" s="407"/>
      <c r="BV78" s="407"/>
      <c r="BW78" s="407"/>
      <c r="BX78" s="407"/>
      <c r="BY78" s="407"/>
      <c r="BZ78" s="407"/>
      <c r="CA78" s="407"/>
      <c r="CB78" s="407"/>
      <c r="CC78" s="407"/>
      <c r="CD78" s="407"/>
      <c r="CE78" s="407"/>
      <c r="CF78" s="407"/>
    </row>
    <row r="79" spans="1:84">
      <c r="A79" s="406"/>
      <c r="B79" s="406"/>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7"/>
      <c r="BL79" s="407"/>
      <c r="BM79" s="407"/>
      <c r="BN79" s="407"/>
      <c r="BO79" s="407"/>
      <c r="BP79" s="407"/>
      <c r="BQ79" s="407"/>
      <c r="BR79" s="407"/>
      <c r="BS79" s="407"/>
      <c r="BT79" s="407"/>
      <c r="BU79" s="407"/>
      <c r="BV79" s="407"/>
      <c r="BW79" s="407"/>
      <c r="BX79" s="407"/>
      <c r="BY79" s="407"/>
      <c r="BZ79" s="407"/>
      <c r="CA79" s="407"/>
      <c r="CB79" s="407"/>
      <c r="CC79" s="407"/>
      <c r="CD79" s="407"/>
      <c r="CE79" s="407"/>
      <c r="CF79" s="407"/>
    </row>
    <row r="80" spans="1:84">
      <c r="A80" s="406"/>
      <c r="B80" s="406"/>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7"/>
      <c r="BL80" s="407"/>
      <c r="BM80" s="407"/>
      <c r="BN80" s="407"/>
      <c r="BO80" s="407"/>
      <c r="BP80" s="407"/>
      <c r="BQ80" s="407"/>
      <c r="BR80" s="407"/>
      <c r="BS80" s="407"/>
      <c r="BT80" s="407"/>
      <c r="BU80" s="407"/>
      <c r="BV80" s="407"/>
      <c r="BW80" s="407"/>
      <c r="BX80" s="407"/>
      <c r="BY80" s="407"/>
      <c r="BZ80" s="407"/>
      <c r="CA80" s="407"/>
      <c r="CB80" s="407"/>
      <c r="CC80" s="407"/>
      <c r="CD80" s="407"/>
      <c r="CE80" s="407"/>
      <c r="CF80" s="407"/>
    </row>
    <row r="81" spans="1:84">
      <c r="A81" s="406"/>
      <c r="B81" s="406"/>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7"/>
      <c r="BL81" s="407"/>
      <c r="BM81" s="407"/>
      <c r="BN81" s="407"/>
      <c r="BO81" s="407"/>
      <c r="BP81" s="407"/>
      <c r="BQ81" s="407"/>
      <c r="BR81" s="407"/>
      <c r="BS81" s="407"/>
      <c r="BT81" s="407"/>
      <c r="BU81" s="407"/>
      <c r="BV81" s="407"/>
      <c r="BW81" s="407"/>
      <c r="BX81" s="407"/>
      <c r="BY81" s="407"/>
      <c r="BZ81" s="407"/>
      <c r="CA81" s="407"/>
      <c r="CB81" s="407"/>
      <c r="CC81" s="407"/>
      <c r="CD81" s="407"/>
      <c r="CE81" s="407"/>
      <c r="CF81" s="407"/>
    </row>
    <row r="82" spans="1:84">
      <c r="A82" s="406"/>
      <c r="B82" s="406"/>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7"/>
      <c r="BL82" s="407"/>
      <c r="BM82" s="407"/>
      <c r="BN82" s="407"/>
      <c r="BO82" s="407"/>
      <c r="BP82" s="407"/>
      <c r="BQ82" s="407"/>
      <c r="BR82" s="407"/>
      <c r="BS82" s="407"/>
      <c r="BT82" s="407"/>
      <c r="BU82" s="407"/>
      <c r="BV82" s="407"/>
      <c r="BW82" s="407"/>
      <c r="BX82" s="407"/>
      <c r="BY82" s="407"/>
      <c r="BZ82" s="407"/>
      <c r="CA82" s="407"/>
      <c r="CB82" s="407"/>
      <c r="CC82" s="407"/>
      <c r="CD82" s="407"/>
      <c r="CE82" s="407"/>
      <c r="CF82" s="407"/>
    </row>
    <row r="83" spans="1:84">
      <c r="A83" s="406"/>
      <c r="B83" s="406"/>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7"/>
      <c r="BL83" s="407"/>
      <c r="BM83" s="407"/>
      <c r="BN83" s="407"/>
      <c r="BO83" s="407"/>
      <c r="BP83" s="407"/>
      <c r="BQ83" s="407"/>
      <c r="BR83" s="407"/>
      <c r="BS83" s="407"/>
      <c r="BT83" s="407"/>
      <c r="BU83" s="407"/>
      <c r="BV83" s="407"/>
      <c r="BW83" s="407"/>
      <c r="BX83" s="407"/>
      <c r="BY83" s="407"/>
      <c r="BZ83" s="407"/>
      <c r="CA83" s="407"/>
      <c r="CB83" s="407"/>
      <c r="CC83" s="407"/>
      <c r="CD83" s="407"/>
      <c r="CE83" s="407"/>
      <c r="CF83" s="407"/>
    </row>
    <row r="84" spans="1:84">
      <c r="A84" s="406"/>
      <c r="B84" s="406"/>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7"/>
      <c r="BL84" s="407"/>
      <c r="BM84" s="407"/>
      <c r="BN84" s="407"/>
      <c r="BO84" s="407"/>
      <c r="BP84" s="407"/>
      <c r="BQ84" s="407"/>
      <c r="BR84" s="407"/>
      <c r="BS84" s="407"/>
      <c r="BT84" s="407"/>
      <c r="BU84" s="407"/>
      <c r="BV84" s="407"/>
      <c r="BW84" s="407"/>
      <c r="BX84" s="407"/>
      <c r="BY84" s="407"/>
      <c r="BZ84" s="407"/>
      <c r="CA84" s="407"/>
      <c r="CB84" s="407"/>
      <c r="CC84" s="407"/>
      <c r="CD84" s="407"/>
      <c r="CE84" s="407"/>
      <c r="CF84" s="407"/>
    </row>
    <row r="85" spans="1:84">
      <c r="A85" s="406"/>
      <c r="B85" s="406"/>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7"/>
      <c r="BL85" s="407"/>
      <c r="BM85" s="407"/>
      <c r="BN85" s="407"/>
      <c r="BO85" s="407"/>
      <c r="BP85" s="407"/>
      <c r="BQ85" s="407"/>
      <c r="BR85" s="407"/>
      <c r="BS85" s="407"/>
      <c r="BT85" s="407"/>
      <c r="BU85" s="407"/>
      <c r="BV85" s="407"/>
      <c r="BW85" s="407"/>
      <c r="BX85" s="407"/>
      <c r="BY85" s="407"/>
      <c r="BZ85" s="407"/>
      <c r="CA85" s="407"/>
      <c r="CB85" s="407"/>
      <c r="CC85" s="407"/>
      <c r="CD85" s="407"/>
      <c r="CE85" s="407"/>
      <c r="CF85" s="407"/>
    </row>
    <row r="86" spans="1:84">
      <c r="A86" s="406"/>
      <c r="B86" s="406"/>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row>
    <row r="87" spans="1:84">
      <c r="A87" s="406"/>
      <c r="B87" s="406"/>
      <c r="C87" s="406"/>
      <c r="D87" s="406"/>
      <c r="E87" s="406"/>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6"/>
      <c r="AF87" s="406"/>
      <c r="AG87" s="406"/>
      <c r="AH87" s="406"/>
      <c r="AI87" s="406"/>
      <c r="AJ87" s="406"/>
      <c r="AK87" s="406"/>
      <c r="AL87" s="406"/>
      <c r="AM87" s="406"/>
      <c r="AN87" s="406"/>
      <c r="AO87" s="406"/>
      <c r="AP87" s="406"/>
      <c r="AQ87" s="406"/>
      <c r="AR87" s="406"/>
      <c r="AS87" s="406"/>
      <c r="AT87" s="406"/>
      <c r="AU87" s="406"/>
      <c r="AV87" s="406"/>
      <c r="AW87" s="406"/>
      <c r="AX87" s="406"/>
      <c r="AY87" s="406"/>
      <c r="AZ87" s="406"/>
      <c r="BA87" s="406"/>
      <c r="BB87" s="406"/>
      <c r="BC87" s="406"/>
      <c r="BD87" s="406"/>
      <c r="BE87" s="406"/>
      <c r="BF87" s="406"/>
      <c r="BG87" s="406"/>
      <c r="BH87" s="406"/>
      <c r="BI87" s="406"/>
      <c r="BJ87" s="406"/>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row>
    <row r="88" spans="1:84">
      <c r="A88" s="406"/>
      <c r="B88" s="406"/>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row>
    <row r="89" spans="1:84">
      <c r="A89" s="406"/>
      <c r="B89" s="406"/>
      <c r="C89" s="406"/>
      <c r="D89" s="406"/>
      <c r="E89" s="406"/>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406"/>
      <c r="BG89" s="406"/>
      <c r="BH89" s="406"/>
      <c r="BI89" s="406"/>
      <c r="BJ89" s="406"/>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row>
    <row r="90" spans="1:84">
      <c r="A90" s="406"/>
      <c r="B90" s="406"/>
      <c r="C90" s="406"/>
      <c r="D90" s="406"/>
      <c r="E90" s="406"/>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6"/>
      <c r="AF90" s="406"/>
      <c r="AG90" s="406"/>
      <c r="AH90" s="406"/>
      <c r="AI90" s="406"/>
      <c r="AJ90" s="406"/>
      <c r="AK90" s="406"/>
      <c r="AL90" s="406"/>
      <c r="AM90" s="406"/>
      <c r="AN90" s="406"/>
      <c r="AO90" s="406"/>
      <c r="AP90" s="406"/>
      <c r="AQ90" s="406"/>
      <c r="AR90" s="406"/>
      <c r="AS90" s="406"/>
      <c r="AT90" s="406"/>
      <c r="AU90" s="406"/>
      <c r="AV90" s="406"/>
      <c r="AW90" s="406"/>
      <c r="AX90" s="406"/>
      <c r="AY90" s="406"/>
      <c r="AZ90" s="406"/>
      <c r="BA90" s="406"/>
      <c r="BB90" s="406"/>
      <c r="BC90" s="406"/>
      <c r="BD90" s="406"/>
      <c r="BE90" s="406"/>
      <c r="BF90" s="406"/>
      <c r="BG90" s="406"/>
      <c r="BH90" s="406"/>
      <c r="BI90" s="406"/>
      <c r="BJ90" s="406"/>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row>
    <row r="91" spans="1:84">
      <c r="A91" s="406"/>
      <c r="B91" s="406"/>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row>
    <row r="92" spans="1:84">
      <c r="A92" s="406"/>
      <c r="B92" s="406"/>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406"/>
      <c r="BG92" s="406"/>
      <c r="BH92" s="406"/>
      <c r="BI92" s="406"/>
      <c r="BJ92" s="406"/>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row>
    <row r="93" spans="1:84">
      <c r="A93" s="406"/>
      <c r="B93" s="406"/>
      <c r="C93" s="406"/>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row>
    <row r="94" spans="1:84">
      <c r="A94" s="406"/>
      <c r="B94" s="406"/>
      <c r="C94" s="406"/>
      <c r="D94" s="406"/>
      <c r="E94" s="406"/>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406"/>
      <c r="BG94" s="406"/>
      <c r="BH94" s="406"/>
      <c r="BI94" s="406"/>
      <c r="BJ94" s="406"/>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row>
    <row r="95" spans="1:84">
      <c r="A95" s="406"/>
      <c r="B95" s="406"/>
      <c r="C95" s="406"/>
      <c r="D95" s="406"/>
      <c r="E95" s="406"/>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row>
    <row r="96" spans="1:84">
      <c r="A96" s="406"/>
      <c r="B96" s="406"/>
      <c r="C96" s="406"/>
      <c r="D96" s="406"/>
      <c r="E96" s="406"/>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6"/>
      <c r="AF96" s="406"/>
      <c r="AG96" s="406"/>
      <c r="AH96" s="406"/>
      <c r="AI96" s="406"/>
      <c r="AJ96" s="406"/>
      <c r="AK96" s="406"/>
      <c r="AL96" s="406"/>
      <c r="AM96" s="406"/>
      <c r="AN96" s="406"/>
      <c r="AO96" s="406"/>
      <c r="AP96" s="406"/>
      <c r="AQ96" s="406"/>
      <c r="AR96" s="406"/>
      <c r="AS96" s="406"/>
      <c r="AT96" s="406"/>
      <c r="AU96" s="406"/>
      <c r="AV96" s="406"/>
      <c r="AW96" s="406"/>
      <c r="AX96" s="406"/>
      <c r="AY96" s="406"/>
      <c r="AZ96" s="406"/>
      <c r="BA96" s="406"/>
      <c r="BB96" s="406"/>
      <c r="BC96" s="406"/>
      <c r="BD96" s="406"/>
      <c r="BE96" s="406"/>
      <c r="BF96" s="406"/>
      <c r="BG96" s="406"/>
      <c r="BH96" s="406"/>
      <c r="BI96" s="406"/>
      <c r="BJ96" s="406"/>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row>
    <row r="97" spans="1:84">
      <c r="A97" s="406"/>
      <c r="B97" s="406"/>
      <c r="C97" s="406"/>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406"/>
      <c r="BG97" s="406"/>
      <c r="BH97" s="406"/>
      <c r="BI97" s="406"/>
      <c r="BJ97" s="406"/>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row>
    <row r="98" spans="1:84">
      <c r="A98" s="406"/>
      <c r="B98" s="406"/>
      <c r="C98" s="406"/>
      <c r="D98" s="406"/>
      <c r="E98" s="406"/>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row>
    <row r="99" spans="1:84">
      <c r="A99" s="406"/>
      <c r="B99" s="406"/>
      <c r="C99" s="406"/>
      <c r="D99" s="406"/>
      <c r="E99" s="406"/>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row>
    <row r="100" spans="1:84">
      <c r="A100" s="406"/>
      <c r="B100" s="406"/>
      <c r="C100" s="406"/>
      <c r="D100" s="406"/>
      <c r="E100" s="406"/>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406"/>
      <c r="BG100" s="406"/>
      <c r="BH100" s="406"/>
      <c r="BI100" s="406"/>
      <c r="BJ100" s="406"/>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row>
    <row r="101" spans="1:84">
      <c r="A101" s="406"/>
      <c r="B101" s="406"/>
      <c r="C101" s="406"/>
      <c r="D101" s="406"/>
      <c r="E101" s="406"/>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c r="AN101" s="406"/>
      <c r="AO101" s="406"/>
      <c r="AP101" s="406"/>
      <c r="AQ101" s="406"/>
      <c r="AR101" s="406"/>
      <c r="AS101" s="406"/>
      <c r="AT101" s="406"/>
      <c r="AU101" s="406"/>
      <c r="AV101" s="406"/>
      <c r="AW101" s="406"/>
      <c r="AX101" s="406"/>
      <c r="AY101" s="406"/>
      <c r="AZ101" s="406"/>
      <c r="BA101" s="406"/>
      <c r="BB101" s="406"/>
      <c r="BC101" s="406"/>
      <c r="BD101" s="406"/>
      <c r="BE101" s="406"/>
      <c r="BF101" s="406"/>
      <c r="BG101" s="406"/>
      <c r="BH101" s="406"/>
      <c r="BI101" s="406"/>
      <c r="BJ101" s="406"/>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row>
    <row r="102" spans="1:84">
      <c r="A102" s="406"/>
      <c r="B102" s="406"/>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406"/>
      <c r="BB102" s="406"/>
      <c r="BC102" s="406"/>
      <c r="BD102" s="406"/>
      <c r="BE102" s="406"/>
      <c r="BF102" s="406"/>
      <c r="BG102" s="406"/>
      <c r="BH102" s="406"/>
      <c r="BI102" s="406"/>
      <c r="BJ102" s="406"/>
      <c r="BK102" s="407"/>
      <c r="BL102" s="407"/>
      <c r="BM102" s="407"/>
      <c r="BN102" s="407"/>
      <c r="BO102" s="407"/>
      <c r="BP102" s="407"/>
      <c r="BQ102" s="407"/>
      <c r="BR102" s="407"/>
      <c r="BS102" s="407"/>
      <c r="BT102" s="407"/>
      <c r="BU102" s="407"/>
      <c r="BV102" s="407"/>
      <c r="BW102" s="407"/>
      <c r="BX102" s="407"/>
      <c r="BY102" s="407"/>
      <c r="BZ102" s="407"/>
      <c r="CA102" s="407"/>
      <c r="CB102" s="407"/>
      <c r="CC102" s="407"/>
      <c r="CD102" s="407"/>
      <c r="CE102" s="407"/>
      <c r="CF102" s="407"/>
    </row>
    <row r="103" spans="1:84">
      <c r="A103" s="406"/>
      <c r="B103" s="406"/>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406"/>
      <c r="BB103" s="406"/>
      <c r="BC103" s="406"/>
      <c r="BD103" s="406"/>
      <c r="BE103" s="406"/>
      <c r="BF103" s="406"/>
      <c r="BG103" s="406"/>
      <c r="BH103" s="406"/>
      <c r="BI103" s="406"/>
      <c r="BJ103" s="406"/>
      <c r="BK103" s="407"/>
      <c r="BL103" s="407"/>
      <c r="BM103" s="407"/>
      <c r="BN103" s="407"/>
      <c r="BO103" s="407"/>
      <c r="BP103" s="407"/>
      <c r="BQ103" s="407"/>
      <c r="BR103" s="407"/>
      <c r="BS103" s="407"/>
      <c r="BT103" s="407"/>
      <c r="BU103" s="407"/>
      <c r="BV103" s="407"/>
      <c r="BW103" s="407"/>
      <c r="BX103" s="407"/>
      <c r="BY103" s="407"/>
      <c r="BZ103" s="407"/>
      <c r="CA103" s="407"/>
      <c r="CB103" s="407"/>
      <c r="CC103" s="407"/>
      <c r="CD103" s="407"/>
      <c r="CE103" s="407"/>
      <c r="CF103" s="407"/>
    </row>
    <row r="104" spans="1:84">
      <c r="A104" s="406"/>
      <c r="B104" s="406"/>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7"/>
      <c r="BL104" s="407"/>
      <c r="BM104" s="407"/>
      <c r="BN104" s="407"/>
      <c r="BO104" s="407"/>
      <c r="BP104" s="407"/>
      <c r="BQ104" s="407"/>
      <c r="BR104" s="407"/>
      <c r="BS104" s="407"/>
      <c r="BT104" s="407"/>
      <c r="BU104" s="407"/>
      <c r="BV104" s="407"/>
      <c r="BW104" s="407"/>
      <c r="BX104" s="407"/>
      <c r="BY104" s="407"/>
      <c r="BZ104" s="407"/>
      <c r="CA104" s="407"/>
      <c r="CB104" s="407"/>
      <c r="CC104" s="407"/>
      <c r="CD104" s="407"/>
      <c r="CE104" s="407"/>
      <c r="CF104" s="407"/>
    </row>
    <row r="105" spans="1:84">
      <c r="A105" s="406"/>
      <c r="B105" s="406"/>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06"/>
      <c r="BK105" s="407"/>
      <c r="BL105" s="407"/>
      <c r="BM105" s="407"/>
      <c r="BN105" s="407"/>
      <c r="BO105" s="407"/>
      <c r="BP105" s="407"/>
      <c r="BQ105" s="407"/>
      <c r="BR105" s="407"/>
      <c r="BS105" s="407"/>
      <c r="BT105" s="407"/>
      <c r="BU105" s="407"/>
      <c r="BV105" s="407"/>
      <c r="BW105" s="407"/>
      <c r="BX105" s="407"/>
      <c r="BY105" s="407"/>
      <c r="BZ105" s="407"/>
      <c r="CA105" s="407"/>
      <c r="CB105" s="407"/>
      <c r="CC105" s="407"/>
      <c r="CD105" s="407"/>
      <c r="CE105" s="407"/>
      <c r="CF105" s="407"/>
    </row>
    <row r="106" spans="1:84">
      <c r="A106" s="406"/>
      <c r="B106" s="406"/>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06"/>
      <c r="BK106" s="407"/>
      <c r="BL106" s="407"/>
      <c r="BM106" s="407"/>
      <c r="BN106" s="407"/>
      <c r="BO106" s="407"/>
      <c r="BP106" s="407"/>
      <c r="BQ106" s="407"/>
      <c r="BR106" s="407"/>
      <c r="BS106" s="407"/>
      <c r="BT106" s="407"/>
      <c r="BU106" s="407"/>
      <c r="BV106" s="407"/>
      <c r="BW106" s="407"/>
      <c r="BX106" s="407"/>
      <c r="BY106" s="407"/>
      <c r="BZ106" s="407"/>
      <c r="CA106" s="407"/>
      <c r="CB106" s="407"/>
      <c r="CC106" s="407"/>
      <c r="CD106" s="407"/>
      <c r="CE106" s="407"/>
      <c r="CF106" s="407"/>
    </row>
    <row r="107" spans="1:84">
      <c r="A107" s="406"/>
      <c r="B107" s="406"/>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06"/>
      <c r="BK107" s="407"/>
      <c r="BL107" s="407"/>
      <c r="BM107" s="407"/>
      <c r="BN107" s="407"/>
      <c r="BO107" s="407"/>
      <c r="BP107" s="407"/>
      <c r="BQ107" s="407"/>
      <c r="BR107" s="407"/>
      <c r="BS107" s="407"/>
      <c r="BT107" s="407"/>
      <c r="BU107" s="407"/>
      <c r="BV107" s="407"/>
      <c r="BW107" s="407"/>
      <c r="BX107" s="407"/>
      <c r="BY107" s="407"/>
      <c r="BZ107" s="407"/>
      <c r="CA107" s="407"/>
      <c r="CB107" s="407"/>
      <c r="CC107" s="407"/>
      <c r="CD107" s="407"/>
      <c r="CE107" s="407"/>
      <c r="CF107" s="407"/>
    </row>
    <row r="108" spans="1:84">
      <c r="A108" s="406"/>
      <c r="B108" s="406"/>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406"/>
      <c r="BI108" s="406"/>
      <c r="BJ108" s="406"/>
      <c r="BK108" s="407"/>
      <c r="BL108" s="407"/>
      <c r="BM108" s="407"/>
      <c r="BN108" s="407"/>
      <c r="BO108" s="407"/>
      <c r="BP108" s="407"/>
      <c r="BQ108" s="407"/>
      <c r="BR108" s="407"/>
      <c r="BS108" s="407"/>
      <c r="BT108" s="407"/>
      <c r="BU108" s="407"/>
      <c r="BV108" s="407"/>
      <c r="BW108" s="407"/>
      <c r="BX108" s="407"/>
      <c r="BY108" s="407"/>
      <c r="BZ108" s="407"/>
      <c r="CA108" s="407"/>
      <c r="CB108" s="407"/>
      <c r="CC108" s="407"/>
      <c r="CD108" s="407"/>
      <c r="CE108" s="407"/>
      <c r="CF108" s="407"/>
    </row>
    <row r="109" spans="1:84">
      <c r="A109" s="406"/>
      <c r="B109" s="406"/>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7"/>
      <c r="BL109" s="407"/>
      <c r="BM109" s="407"/>
      <c r="BN109" s="407"/>
      <c r="BO109" s="407"/>
      <c r="BP109" s="407"/>
      <c r="BQ109" s="407"/>
      <c r="BR109" s="407"/>
      <c r="BS109" s="407"/>
      <c r="BT109" s="407"/>
      <c r="BU109" s="407"/>
      <c r="BV109" s="407"/>
      <c r="BW109" s="407"/>
      <c r="BX109" s="407"/>
      <c r="BY109" s="407"/>
      <c r="BZ109" s="407"/>
      <c r="CA109" s="407"/>
      <c r="CB109" s="407"/>
      <c r="CC109" s="407"/>
      <c r="CD109" s="407"/>
      <c r="CE109" s="407"/>
      <c r="CF109" s="407"/>
    </row>
    <row r="110" spans="1:84">
      <c r="A110" s="406"/>
      <c r="B110" s="406"/>
      <c r="C110" s="406"/>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c r="AO110" s="406"/>
      <c r="AP110" s="406"/>
      <c r="AQ110" s="406"/>
      <c r="AR110" s="406"/>
      <c r="AS110" s="406"/>
      <c r="AT110" s="406"/>
      <c r="AU110" s="406"/>
      <c r="AV110" s="406"/>
      <c r="AW110" s="406"/>
      <c r="AX110" s="406"/>
      <c r="AY110" s="406"/>
      <c r="AZ110" s="406"/>
      <c r="BA110" s="406"/>
      <c r="BB110" s="406"/>
      <c r="BC110" s="406"/>
      <c r="BD110" s="406"/>
      <c r="BE110" s="406"/>
      <c r="BF110" s="406"/>
      <c r="BG110" s="406"/>
      <c r="BH110" s="406"/>
      <c r="BI110" s="406"/>
      <c r="BJ110" s="406"/>
      <c r="BK110" s="407"/>
      <c r="BL110" s="407"/>
      <c r="BM110" s="407"/>
      <c r="BN110" s="407"/>
      <c r="BO110" s="407"/>
      <c r="BP110" s="407"/>
      <c r="BQ110" s="407"/>
      <c r="BR110" s="407"/>
      <c r="BS110" s="407"/>
      <c r="BT110" s="407"/>
      <c r="BU110" s="407"/>
      <c r="BV110" s="407"/>
      <c r="BW110" s="407"/>
      <c r="BX110" s="407"/>
      <c r="BY110" s="407"/>
      <c r="BZ110" s="407"/>
      <c r="CA110" s="407"/>
      <c r="CB110" s="407"/>
      <c r="CC110" s="407"/>
      <c r="CD110" s="407"/>
      <c r="CE110" s="407"/>
      <c r="CF110" s="407"/>
    </row>
    <row r="111" spans="1:84">
      <c r="A111" s="406"/>
      <c r="B111" s="406"/>
      <c r="C111" s="406"/>
      <c r="D111" s="406"/>
      <c r="E111" s="406"/>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406"/>
      <c r="BI111" s="406"/>
      <c r="BJ111" s="406"/>
      <c r="BK111" s="407"/>
      <c r="BL111" s="407"/>
      <c r="BM111" s="407"/>
      <c r="BN111" s="407"/>
      <c r="BO111" s="407"/>
      <c r="BP111" s="407"/>
      <c r="BQ111" s="407"/>
      <c r="BR111" s="407"/>
      <c r="BS111" s="407"/>
      <c r="BT111" s="407"/>
      <c r="BU111" s="407"/>
      <c r="BV111" s="407"/>
      <c r="BW111" s="407"/>
      <c r="BX111" s="407"/>
      <c r="BY111" s="407"/>
      <c r="BZ111" s="407"/>
      <c r="CA111" s="407"/>
      <c r="CB111" s="407"/>
      <c r="CC111" s="407"/>
      <c r="CD111" s="407"/>
      <c r="CE111" s="407"/>
      <c r="CF111" s="407"/>
    </row>
    <row r="112" spans="1:84">
      <c r="A112" s="406"/>
      <c r="B112" s="406"/>
      <c r="C112" s="406"/>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c r="AN112" s="406"/>
      <c r="AO112" s="406"/>
      <c r="AP112" s="406"/>
      <c r="AQ112" s="40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7"/>
      <c r="BL112" s="407"/>
      <c r="BM112" s="407"/>
      <c r="BN112" s="407"/>
      <c r="BO112" s="407"/>
      <c r="BP112" s="407"/>
      <c r="BQ112" s="407"/>
      <c r="BR112" s="407"/>
      <c r="BS112" s="407"/>
      <c r="BT112" s="407"/>
      <c r="BU112" s="407"/>
      <c r="BV112" s="407"/>
      <c r="BW112" s="407"/>
      <c r="BX112" s="407"/>
      <c r="BY112" s="407"/>
      <c r="BZ112" s="407"/>
      <c r="CA112" s="407"/>
      <c r="CB112" s="407"/>
      <c r="CC112" s="407"/>
      <c r="CD112" s="407"/>
      <c r="CE112" s="407"/>
      <c r="CF112" s="407"/>
    </row>
    <row r="113" spans="1:84">
      <c r="A113" s="406"/>
      <c r="B113" s="406"/>
      <c r="C113" s="406"/>
      <c r="D113" s="406"/>
      <c r="E113" s="406"/>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06"/>
      <c r="AX113" s="406"/>
      <c r="AY113" s="406"/>
      <c r="AZ113" s="406"/>
      <c r="BA113" s="406"/>
      <c r="BB113" s="406"/>
      <c r="BC113" s="406"/>
      <c r="BD113" s="406"/>
      <c r="BE113" s="406"/>
      <c r="BF113" s="406"/>
      <c r="BG113" s="406"/>
      <c r="BH113" s="406"/>
      <c r="BI113" s="406"/>
      <c r="BJ113" s="406"/>
      <c r="BK113" s="407"/>
      <c r="BL113" s="407"/>
      <c r="BM113" s="407"/>
      <c r="BN113" s="407"/>
      <c r="BO113" s="407"/>
      <c r="BP113" s="407"/>
      <c r="BQ113" s="407"/>
      <c r="BR113" s="407"/>
      <c r="BS113" s="407"/>
      <c r="BT113" s="407"/>
      <c r="BU113" s="407"/>
      <c r="BV113" s="407"/>
      <c r="BW113" s="407"/>
      <c r="BX113" s="407"/>
      <c r="BY113" s="407"/>
      <c r="BZ113" s="407"/>
      <c r="CA113" s="407"/>
      <c r="CB113" s="407"/>
      <c r="CC113" s="407"/>
      <c r="CD113" s="407"/>
      <c r="CE113" s="407"/>
      <c r="CF113" s="407"/>
    </row>
    <row r="114" spans="1:84">
      <c r="A114" s="406"/>
      <c r="B114" s="406"/>
      <c r="C114" s="406"/>
      <c r="D114" s="406"/>
      <c r="E114" s="406"/>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406"/>
      <c r="BI114" s="406"/>
      <c r="BJ114" s="406"/>
      <c r="BK114" s="407"/>
      <c r="BL114" s="407"/>
      <c r="BM114" s="407"/>
      <c r="BN114" s="407"/>
      <c r="BO114" s="407"/>
      <c r="BP114" s="407"/>
      <c r="BQ114" s="407"/>
      <c r="BR114" s="407"/>
      <c r="BS114" s="407"/>
      <c r="BT114" s="407"/>
      <c r="BU114" s="407"/>
      <c r="BV114" s="407"/>
      <c r="BW114" s="407"/>
      <c r="BX114" s="407"/>
      <c r="BY114" s="407"/>
      <c r="BZ114" s="407"/>
      <c r="CA114" s="407"/>
      <c r="CB114" s="407"/>
      <c r="CC114" s="407"/>
      <c r="CD114" s="407"/>
      <c r="CE114" s="407"/>
      <c r="CF114" s="407"/>
    </row>
    <row r="115" spans="1:84">
      <c r="A115" s="406"/>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7"/>
      <c r="BL115" s="407"/>
      <c r="BM115" s="407"/>
      <c r="BN115" s="407"/>
      <c r="BO115" s="407"/>
      <c r="BP115" s="407"/>
      <c r="BQ115" s="407"/>
      <c r="BR115" s="407"/>
      <c r="BS115" s="407"/>
      <c r="BT115" s="407"/>
      <c r="BU115" s="407"/>
      <c r="BV115" s="407"/>
      <c r="BW115" s="407"/>
      <c r="BX115" s="407"/>
      <c r="BY115" s="407"/>
      <c r="BZ115" s="407"/>
      <c r="CA115" s="407"/>
      <c r="CB115" s="407"/>
      <c r="CC115" s="407"/>
      <c r="CD115" s="407"/>
      <c r="CE115" s="407"/>
      <c r="CF115" s="407"/>
    </row>
    <row r="116" spans="1:84">
      <c r="A116" s="406"/>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7"/>
      <c r="BL116" s="407"/>
      <c r="BM116" s="407"/>
      <c r="BN116" s="407"/>
      <c r="BO116" s="407"/>
      <c r="BP116" s="407"/>
      <c r="BQ116" s="407"/>
      <c r="BR116" s="407"/>
      <c r="BS116" s="407"/>
      <c r="BT116" s="407"/>
      <c r="BU116" s="407"/>
      <c r="BV116" s="407"/>
      <c r="BW116" s="407"/>
      <c r="BX116" s="407"/>
      <c r="BY116" s="407"/>
      <c r="BZ116" s="407"/>
      <c r="CA116" s="407"/>
      <c r="CB116" s="407"/>
      <c r="CC116" s="407"/>
      <c r="CD116" s="407"/>
      <c r="CE116" s="407"/>
      <c r="CF116" s="407"/>
    </row>
    <row r="117" spans="1:84">
      <c r="A117" s="406"/>
      <c r="B117" s="406"/>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7"/>
      <c r="BL117" s="407"/>
      <c r="BM117" s="407"/>
      <c r="BN117" s="407"/>
      <c r="BO117" s="407"/>
      <c r="BP117" s="407"/>
      <c r="BQ117" s="407"/>
      <c r="BR117" s="407"/>
      <c r="BS117" s="407"/>
      <c r="BT117" s="407"/>
      <c r="BU117" s="407"/>
      <c r="BV117" s="407"/>
      <c r="BW117" s="407"/>
      <c r="BX117" s="407"/>
      <c r="BY117" s="407"/>
      <c r="BZ117" s="407"/>
      <c r="CA117" s="407"/>
      <c r="CB117" s="407"/>
      <c r="CC117" s="407"/>
      <c r="CD117" s="407"/>
      <c r="CE117" s="407"/>
      <c r="CF117" s="407"/>
    </row>
    <row r="118" spans="1:84">
      <c r="A118" s="406"/>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06"/>
      <c r="AU118" s="406"/>
      <c r="AV118" s="406"/>
      <c r="AW118" s="406"/>
      <c r="AX118" s="406"/>
      <c r="AY118" s="406"/>
      <c r="AZ118" s="406"/>
      <c r="BA118" s="406"/>
      <c r="BB118" s="406"/>
      <c r="BC118" s="406"/>
      <c r="BD118" s="406"/>
      <c r="BE118" s="406"/>
      <c r="BF118" s="406"/>
      <c r="BG118" s="406"/>
      <c r="BH118" s="406"/>
      <c r="BI118" s="406"/>
      <c r="BJ118" s="406"/>
      <c r="BK118" s="407"/>
      <c r="BL118" s="407"/>
      <c r="BM118" s="407"/>
      <c r="BN118" s="407"/>
      <c r="BO118" s="407"/>
      <c r="BP118" s="407"/>
      <c r="BQ118" s="407"/>
      <c r="BR118" s="407"/>
      <c r="BS118" s="407"/>
      <c r="BT118" s="407"/>
      <c r="BU118" s="407"/>
      <c r="BV118" s="407"/>
      <c r="BW118" s="407"/>
      <c r="BX118" s="407"/>
      <c r="BY118" s="407"/>
      <c r="BZ118" s="407"/>
      <c r="CA118" s="407"/>
      <c r="CB118" s="407"/>
      <c r="CC118" s="407"/>
      <c r="CD118" s="407"/>
      <c r="CE118" s="407"/>
      <c r="CF118" s="407"/>
    </row>
    <row r="119" spans="1:84">
      <c r="A119" s="406"/>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c r="AN119" s="406"/>
      <c r="AO119" s="406"/>
      <c r="AP119" s="406"/>
      <c r="AQ119" s="406"/>
      <c r="AR119" s="406"/>
      <c r="AS119" s="406"/>
      <c r="AT119" s="406"/>
      <c r="AU119" s="406"/>
      <c r="AV119" s="406"/>
      <c r="AW119" s="406"/>
      <c r="AX119" s="406"/>
      <c r="AY119" s="406"/>
      <c r="AZ119" s="406"/>
      <c r="BA119" s="406"/>
      <c r="BB119" s="406"/>
      <c r="BC119" s="406"/>
      <c r="BD119" s="406"/>
      <c r="BE119" s="406"/>
      <c r="BF119" s="406"/>
      <c r="BG119" s="406"/>
      <c r="BH119" s="406"/>
      <c r="BI119" s="406"/>
      <c r="BJ119" s="406"/>
      <c r="BK119" s="407"/>
      <c r="BL119" s="407"/>
      <c r="BM119" s="407"/>
      <c r="BN119" s="407"/>
      <c r="BO119" s="407"/>
      <c r="BP119" s="407"/>
      <c r="BQ119" s="407"/>
      <c r="BR119" s="407"/>
      <c r="BS119" s="407"/>
      <c r="BT119" s="407"/>
      <c r="BU119" s="407"/>
      <c r="BV119" s="407"/>
      <c r="BW119" s="407"/>
      <c r="BX119" s="407"/>
      <c r="BY119" s="407"/>
      <c r="BZ119" s="407"/>
      <c r="CA119" s="407"/>
      <c r="CB119" s="407"/>
      <c r="CC119" s="407"/>
      <c r="CD119" s="407"/>
      <c r="CE119" s="407"/>
      <c r="CF119" s="407"/>
    </row>
    <row r="120" spans="1:84">
      <c r="A120" s="406"/>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c r="AN120" s="406"/>
      <c r="AO120" s="406"/>
      <c r="AP120" s="406"/>
      <c r="AQ120" s="406"/>
      <c r="AR120" s="406"/>
      <c r="AS120" s="406"/>
      <c r="AT120" s="406"/>
      <c r="AU120" s="406"/>
      <c r="AV120" s="406"/>
      <c r="AW120" s="406"/>
      <c r="AX120" s="406"/>
      <c r="AY120" s="406"/>
      <c r="AZ120" s="406"/>
      <c r="BA120" s="406"/>
      <c r="BB120" s="406"/>
      <c r="BC120" s="406"/>
      <c r="BD120" s="406"/>
      <c r="BE120" s="406"/>
      <c r="BF120" s="406"/>
      <c r="BG120" s="406"/>
      <c r="BH120" s="406"/>
      <c r="BI120" s="406"/>
      <c r="BJ120" s="406"/>
      <c r="BK120" s="407"/>
      <c r="BL120" s="407"/>
      <c r="BM120" s="407"/>
      <c r="BN120" s="407"/>
      <c r="BO120" s="407"/>
      <c r="BP120" s="407"/>
      <c r="BQ120" s="407"/>
      <c r="BR120" s="407"/>
      <c r="BS120" s="407"/>
      <c r="BT120" s="407"/>
      <c r="BU120" s="407"/>
      <c r="BV120" s="407"/>
      <c r="BW120" s="407"/>
      <c r="BX120" s="407"/>
      <c r="BY120" s="407"/>
      <c r="BZ120" s="407"/>
      <c r="CA120" s="407"/>
      <c r="CB120" s="407"/>
      <c r="CC120" s="407"/>
      <c r="CD120" s="407"/>
      <c r="CE120" s="407"/>
      <c r="CF120" s="407"/>
    </row>
    <row r="121" spans="1:84">
      <c r="A121" s="406"/>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c r="AN121" s="406"/>
      <c r="AO121" s="406"/>
      <c r="AP121" s="406"/>
      <c r="AQ121" s="406"/>
      <c r="AR121" s="406"/>
      <c r="AS121" s="406"/>
      <c r="AT121" s="406"/>
      <c r="AU121" s="406"/>
      <c r="AV121" s="406"/>
      <c r="AW121" s="406"/>
      <c r="AX121" s="406"/>
      <c r="AY121" s="406"/>
      <c r="AZ121" s="406"/>
      <c r="BA121" s="406"/>
      <c r="BB121" s="406"/>
      <c r="BC121" s="406"/>
      <c r="BD121" s="406"/>
      <c r="BE121" s="406"/>
      <c r="BF121" s="406"/>
      <c r="BG121" s="406"/>
      <c r="BH121" s="406"/>
      <c r="BI121" s="406"/>
      <c r="BJ121" s="406"/>
      <c r="BK121" s="407"/>
      <c r="BL121" s="407"/>
      <c r="BM121" s="407"/>
      <c r="BN121" s="407"/>
      <c r="BO121" s="407"/>
      <c r="BP121" s="407"/>
      <c r="BQ121" s="407"/>
      <c r="BR121" s="407"/>
      <c r="BS121" s="407"/>
      <c r="BT121" s="407"/>
      <c r="BU121" s="407"/>
      <c r="BV121" s="407"/>
      <c r="BW121" s="407"/>
      <c r="BX121" s="407"/>
      <c r="BY121" s="407"/>
      <c r="BZ121" s="407"/>
      <c r="CA121" s="407"/>
      <c r="CB121" s="407"/>
      <c r="CC121" s="407"/>
      <c r="CD121" s="407"/>
      <c r="CE121" s="407"/>
      <c r="CF121" s="407"/>
    </row>
    <row r="122" spans="1:84">
      <c r="A122" s="406"/>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7"/>
      <c r="BL122" s="407"/>
      <c r="BM122" s="407"/>
      <c r="BN122" s="407"/>
      <c r="BO122" s="407"/>
      <c r="BP122" s="407"/>
      <c r="BQ122" s="407"/>
      <c r="BR122" s="407"/>
      <c r="BS122" s="407"/>
      <c r="BT122" s="407"/>
      <c r="BU122" s="407"/>
      <c r="BV122" s="407"/>
      <c r="BW122" s="407"/>
      <c r="BX122" s="407"/>
      <c r="BY122" s="407"/>
      <c r="BZ122" s="407"/>
      <c r="CA122" s="407"/>
      <c r="CB122" s="407"/>
      <c r="CC122" s="407"/>
      <c r="CD122" s="407"/>
      <c r="CE122" s="407"/>
      <c r="CF122" s="407"/>
    </row>
    <row r="123" spans="1:84">
      <c r="A123" s="406"/>
      <c r="B123" s="406"/>
      <c r="C123" s="406"/>
      <c r="D123" s="406"/>
      <c r="E123" s="406"/>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6"/>
      <c r="AR123" s="406"/>
      <c r="AS123" s="406"/>
      <c r="AT123" s="406"/>
      <c r="AU123" s="406"/>
      <c r="AV123" s="406"/>
      <c r="AW123" s="406"/>
      <c r="AX123" s="406"/>
      <c r="AY123" s="406"/>
      <c r="AZ123" s="406"/>
      <c r="BA123" s="406"/>
      <c r="BB123" s="406"/>
      <c r="BC123" s="406"/>
      <c r="BD123" s="406"/>
      <c r="BE123" s="406"/>
      <c r="BF123" s="406"/>
      <c r="BG123" s="406"/>
      <c r="BH123" s="406"/>
      <c r="BI123" s="406"/>
      <c r="BJ123" s="406"/>
      <c r="BK123" s="407"/>
      <c r="BL123" s="407"/>
      <c r="BM123" s="407"/>
      <c r="BN123" s="407"/>
      <c r="BO123" s="407"/>
      <c r="BP123" s="407"/>
      <c r="BQ123" s="407"/>
      <c r="BR123" s="407"/>
      <c r="BS123" s="407"/>
      <c r="BT123" s="407"/>
      <c r="BU123" s="407"/>
      <c r="BV123" s="407"/>
      <c r="BW123" s="407"/>
      <c r="BX123" s="407"/>
      <c r="BY123" s="407"/>
      <c r="BZ123" s="407"/>
      <c r="CA123" s="407"/>
      <c r="CB123" s="407"/>
      <c r="CC123" s="407"/>
      <c r="CD123" s="407"/>
      <c r="CE123" s="407"/>
      <c r="CF123" s="407"/>
    </row>
    <row r="124" spans="1:84">
      <c r="A124" s="406"/>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row>
    <row r="125" spans="1:84">
      <c r="A125" s="406"/>
      <c r="B125" s="406"/>
      <c r="C125" s="406"/>
      <c r="D125" s="406"/>
      <c r="E125" s="406"/>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7"/>
      <c r="BL125" s="407"/>
      <c r="BM125" s="407"/>
      <c r="BN125" s="407"/>
      <c r="BO125" s="407"/>
      <c r="BP125" s="407"/>
      <c r="BQ125" s="407"/>
      <c r="BR125" s="407"/>
      <c r="BS125" s="407"/>
      <c r="BT125" s="407"/>
      <c r="BU125" s="407"/>
      <c r="BV125" s="407"/>
      <c r="BW125" s="407"/>
      <c r="BX125" s="407"/>
      <c r="BY125" s="407"/>
      <c r="BZ125" s="407"/>
      <c r="CA125" s="407"/>
      <c r="CB125" s="407"/>
      <c r="CC125" s="407"/>
      <c r="CD125" s="407"/>
      <c r="CE125" s="407"/>
      <c r="CF125" s="407"/>
    </row>
    <row r="126" spans="1:84">
      <c r="A126" s="406"/>
      <c r="B126" s="406"/>
      <c r="C126" s="406"/>
      <c r="D126" s="406"/>
      <c r="E126" s="406"/>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6"/>
      <c r="BB126" s="406"/>
      <c r="BC126" s="406"/>
      <c r="BD126" s="406"/>
      <c r="BE126" s="406"/>
      <c r="BF126" s="406"/>
      <c r="BG126" s="406"/>
      <c r="BH126" s="406"/>
      <c r="BI126" s="406"/>
      <c r="BJ126" s="406"/>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row>
    <row r="127" spans="1:84">
      <c r="A127" s="406"/>
      <c r="B127" s="406"/>
      <c r="C127" s="406"/>
      <c r="D127" s="406"/>
      <c r="E127" s="406"/>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c r="AN127" s="406"/>
      <c r="AO127" s="406"/>
      <c r="AP127" s="406"/>
      <c r="AQ127" s="406"/>
      <c r="AR127" s="406"/>
      <c r="AS127" s="406"/>
      <c r="AT127" s="406"/>
      <c r="AU127" s="406"/>
      <c r="AV127" s="406"/>
      <c r="AW127" s="406"/>
      <c r="AX127" s="406"/>
      <c r="AY127" s="406"/>
      <c r="AZ127" s="406"/>
      <c r="BA127" s="406"/>
      <c r="BB127" s="406"/>
      <c r="BC127" s="406"/>
      <c r="BD127" s="406"/>
      <c r="BE127" s="406"/>
      <c r="BF127" s="406"/>
      <c r="BG127" s="406"/>
      <c r="BH127" s="406"/>
      <c r="BI127" s="406"/>
      <c r="BJ127" s="406"/>
      <c r="BK127" s="407"/>
      <c r="BL127" s="407"/>
      <c r="BM127" s="407"/>
      <c r="BN127" s="407"/>
      <c r="BO127" s="407"/>
      <c r="BP127" s="407"/>
      <c r="BQ127" s="407"/>
      <c r="BR127" s="407"/>
      <c r="BS127" s="407"/>
      <c r="BT127" s="407"/>
      <c r="BU127" s="407"/>
      <c r="BV127" s="407"/>
      <c r="BW127" s="407"/>
      <c r="BX127" s="407"/>
      <c r="BY127" s="407"/>
      <c r="BZ127" s="407"/>
      <c r="CA127" s="407"/>
      <c r="CB127" s="407"/>
      <c r="CC127" s="407"/>
      <c r="CD127" s="407"/>
      <c r="CE127" s="407"/>
      <c r="CF127" s="407"/>
    </row>
    <row r="128" spans="1:84">
      <c r="A128" s="406"/>
      <c r="B128" s="406"/>
      <c r="C128" s="406"/>
      <c r="D128" s="406"/>
      <c r="E128" s="406"/>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c r="AN128" s="406"/>
      <c r="AO128" s="406"/>
      <c r="AP128" s="406"/>
      <c r="AQ128" s="40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7"/>
      <c r="BL128" s="407"/>
      <c r="BM128" s="407"/>
      <c r="BN128" s="407"/>
      <c r="BO128" s="407"/>
      <c r="BP128" s="407"/>
      <c r="BQ128" s="407"/>
      <c r="BR128" s="407"/>
      <c r="BS128" s="407"/>
      <c r="BT128" s="407"/>
      <c r="BU128" s="407"/>
      <c r="BV128" s="407"/>
      <c r="BW128" s="407"/>
      <c r="BX128" s="407"/>
      <c r="BY128" s="407"/>
      <c r="BZ128" s="407"/>
      <c r="CA128" s="407"/>
      <c r="CB128" s="407"/>
      <c r="CC128" s="407"/>
      <c r="CD128" s="407"/>
      <c r="CE128" s="407"/>
      <c r="CF128" s="407"/>
    </row>
    <row r="129" spans="1:84">
      <c r="A129" s="406"/>
      <c r="B129" s="406"/>
      <c r="C129" s="406"/>
      <c r="D129" s="406"/>
      <c r="E129" s="406"/>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406"/>
      <c r="BI129" s="406"/>
      <c r="BJ129" s="406"/>
      <c r="BK129" s="407"/>
      <c r="BL129" s="407"/>
      <c r="BM129" s="407"/>
      <c r="BN129" s="407"/>
      <c r="BO129" s="407"/>
      <c r="BP129" s="407"/>
      <c r="BQ129" s="407"/>
      <c r="BR129" s="407"/>
      <c r="BS129" s="407"/>
      <c r="BT129" s="407"/>
      <c r="BU129" s="407"/>
      <c r="BV129" s="407"/>
      <c r="BW129" s="407"/>
      <c r="BX129" s="407"/>
      <c r="BY129" s="407"/>
      <c r="BZ129" s="407"/>
      <c r="CA129" s="407"/>
      <c r="CB129" s="407"/>
      <c r="CC129" s="407"/>
      <c r="CD129" s="407"/>
      <c r="CE129" s="407"/>
      <c r="CF129" s="407"/>
    </row>
    <row r="130" spans="1:84">
      <c r="A130" s="406"/>
      <c r="B130" s="406"/>
      <c r="C130" s="406"/>
      <c r="D130" s="406"/>
      <c r="E130" s="406"/>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c r="AN130" s="406"/>
      <c r="AO130" s="406"/>
      <c r="AP130" s="406"/>
      <c r="AQ130" s="406"/>
      <c r="AR130" s="406"/>
      <c r="AS130" s="406"/>
      <c r="AT130" s="406"/>
      <c r="AU130" s="406"/>
      <c r="AV130" s="406"/>
      <c r="AW130" s="406"/>
      <c r="AX130" s="406"/>
      <c r="AY130" s="406"/>
      <c r="AZ130" s="406"/>
      <c r="BA130" s="406"/>
      <c r="BB130" s="406"/>
      <c r="BC130" s="406"/>
      <c r="BD130" s="406"/>
      <c r="BE130" s="406"/>
      <c r="BF130" s="406"/>
      <c r="BG130" s="406"/>
      <c r="BH130" s="406"/>
      <c r="BI130" s="406"/>
      <c r="BJ130" s="406"/>
      <c r="BK130" s="407"/>
      <c r="BL130" s="407"/>
      <c r="BM130" s="407"/>
      <c r="BN130" s="407"/>
      <c r="BO130" s="407"/>
      <c r="BP130" s="407"/>
      <c r="BQ130" s="407"/>
      <c r="BR130" s="407"/>
      <c r="BS130" s="407"/>
      <c r="BT130" s="407"/>
      <c r="BU130" s="407"/>
      <c r="BV130" s="407"/>
      <c r="BW130" s="407"/>
      <c r="BX130" s="407"/>
      <c r="BY130" s="407"/>
      <c r="BZ130" s="407"/>
      <c r="CA130" s="407"/>
      <c r="CB130" s="407"/>
      <c r="CC130" s="407"/>
      <c r="CD130" s="407"/>
      <c r="CE130" s="407"/>
      <c r="CF130" s="407"/>
    </row>
    <row r="131" spans="1:84">
      <c r="A131" s="406"/>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c r="AS131" s="406"/>
      <c r="AT131" s="406"/>
      <c r="AU131" s="406"/>
      <c r="AV131" s="406"/>
      <c r="AW131" s="406"/>
      <c r="AX131" s="406"/>
      <c r="AY131" s="406"/>
      <c r="AZ131" s="406"/>
      <c r="BA131" s="406"/>
      <c r="BB131" s="406"/>
      <c r="BC131" s="406"/>
      <c r="BD131" s="406"/>
      <c r="BE131" s="406"/>
      <c r="BF131" s="406"/>
      <c r="BG131" s="406"/>
      <c r="BH131" s="406"/>
      <c r="BI131" s="406"/>
      <c r="BJ131" s="406"/>
      <c r="BK131" s="407"/>
      <c r="BL131" s="407"/>
      <c r="BM131" s="407"/>
      <c r="BN131" s="407"/>
      <c r="BO131" s="407"/>
      <c r="BP131" s="407"/>
      <c r="BQ131" s="407"/>
      <c r="BR131" s="407"/>
      <c r="BS131" s="407"/>
      <c r="BT131" s="407"/>
      <c r="BU131" s="407"/>
      <c r="BV131" s="407"/>
      <c r="BW131" s="407"/>
      <c r="BX131" s="407"/>
      <c r="BY131" s="407"/>
      <c r="BZ131" s="407"/>
      <c r="CA131" s="407"/>
      <c r="CB131" s="407"/>
      <c r="CC131" s="407"/>
      <c r="CD131" s="407"/>
      <c r="CE131" s="407"/>
      <c r="CF131" s="407"/>
    </row>
    <row r="132" spans="1:84">
      <c r="A132" s="406"/>
      <c r="B132" s="406"/>
      <c r="C132" s="406"/>
      <c r="D132" s="406"/>
      <c r="E132" s="406"/>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c r="AN132" s="406"/>
      <c r="AO132" s="406"/>
      <c r="AP132" s="406"/>
      <c r="AQ132" s="40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7"/>
      <c r="BL132" s="407"/>
      <c r="BM132" s="407"/>
      <c r="BN132" s="407"/>
      <c r="BO132" s="407"/>
      <c r="BP132" s="407"/>
      <c r="BQ132" s="407"/>
      <c r="BR132" s="407"/>
      <c r="BS132" s="407"/>
      <c r="BT132" s="407"/>
      <c r="BU132" s="407"/>
      <c r="BV132" s="407"/>
      <c r="BW132" s="407"/>
      <c r="BX132" s="407"/>
      <c r="BY132" s="407"/>
      <c r="BZ132" s="407"/>
      <c r="CA132" s="407"/>
      <c r="CB132" s="407"/>
      <c r="CC132" s="407"/>
      <c r="CD132" s="407"/>
      <c r="CE132" s="407"/>
      <c r="CF132" s="407"/>
    </row>
    <row r="133" spans="1:84">
      <c r="A133" s="406"/>
      <c r="B133" s="406"/>
      <c r="C133" s="406"/>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c r="AN133" s="406"/>
      <c r="AO133" s="406"/>
      <c r="AP133" s="406"/>
      <c r="AQ133" s="406"/>
      <c r="AR133" s="406"/>
      <c r="AS133" s="406"/>
      <c r="AT133" s="406"/>
      <c r="AU133" s="406"/>
      <c r="AV133" s="406"/>
      <c r="AW133" s="406"/>
      <c r="AX133" s="406"/>
      <c r="AY133" s="406"/>
      <c r="AZ133" s="406"/>
      <c r="BA133" s="406"/>
      <c r="BB133" s="406"/>
      <c r="BC133" s="406"/>
      <c r="BD133" s="406"/>
      <c r="BE133" s="406"/>
      <c r="BF133" s="406"/>
      <c r="BG133" s="406"/>
      <c r="BH133" s="406"/>
      <c r="BI133" s="406"/>
      <c r="BJ133" s="406"/>
      <c r="BK133" s="407"/>
      <c r="BL133" s="407"/>
      <c r="BM133" s="407"/>
      <c r="BN133" s="407"/>
      <c r="BO133" s="407"/>
      <c r="BP133" s="407"/>
      <c r="BQ133" s="407"/>
      <c r="BR133" s="407"/>
      <c r="BS133" s="407"/>
      <c r="BT133" s="407"/>
      <c r="BU133" s="407"/>
      <c r="BV133" s="407"/>
      <c r="BW133" s="407"/>
      <c r="BX133" s="407"/>
      <c r="BY133" s="407"/>
      <c r="BZ133" s="407"/>
      <c r="CA133" s="407"/>
      <c r="CB133" s="407"/>
      <c r="CC133" s="407"/>
      <c r="CD133" s="407"/>
      <c r="CE133" s="407"/>
      <c r="CF133" s="407"/>
    </row>
    <row r="134" spans="1:84">
      <c r="A134" s="406"/>
      <c r="B134" s="406"/>
      <c r="C134" s="406"/>
      <c r="D134" s="406"/>
      <c r="E134" s="406"/>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c r="AS134" s="406"/>
      <c r="AT134" s="406"/>
      <c r="AU134" s="406"/>
      <c r="AV134" s="406"/>
      <c r="AW134" s="406"/>
      <c r="AX134" s="406"/>
      <c r="AY134" s="406"/>
      <c r="AZ134" s="406"/>
      <c r="BA134" s="406"/>
      <c r="BB134" s="406"/>
      <c r="BC134" s="406"/>
      <c r="BD134" s="406"/>
      <c r="BE134" s="406"/>
      <c r="BF134" s="406"/>
      <c r="BG134" s="406"/>
      <c r="BH134" s="406"/>
      <c r="BI134" s="406"/>
      <c r="BJ134" s="406"/>
      <c r="BK134" s="407"/>
      <c r="BL134" s="407"/>
      <c r="BM134" s="407"/>
      <c r="BN134" s="407"/>
      <c r="BO134" s="407"/>
      <c r="BP134" s="407"/>
      <c r="BQ134" s="407"/>
      <c r="BR134" s="407"/>
      <c r="BS134" s="407"/>
      <c r="BT134" s="407"/>
      <c r="BU134" s="407"/>
      <c r="BV134" s="407"/>
      <c r="BW134" s="407"/>
      <c r="BX134" s="407"/>
      <c r="BY134" s="407"/>
      <c r="BZ134" s="407"/>
      <c r="CA134" s="407"/>
      <c r="CB134" s="407"/>
      <c r="CC134" s="407"/>
      <c r="CD134" s="407"/>
      <c r="CE134" s="407"/>
      <c r="CF134" s="407"/>
    </row>
    <row r="135" spans="1:84">
      <c r="A135" s="406"/>
      <c r="B135" s="406"/>
      <c r="C135" s="406"/>
      <c r="D135" s="406"/>
      <c r="E135" s="406"/>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7"/>
      <c r="BL135" s="407"/>
      <c r="BM135" s="407"/>
      <c r="BN135" s="407"/>
      <c r="BO135" s="407"/>
      <c r="BP135" s="407"/>
      <c r="BQ135" s="407"/>
      <c r="BR135" s="407"/>
      <c r="BS135" s="407"/>
      <c r="BT135" s="407"/>
      <c r="BU135" s="407"/>
      <c r="BV135" s="407"/>
      <c r="BW135" s="407"/>
      <c r="BX135" s="407"/>
      <c r="BY135" s="407"/>
      <c r="BZ135" s="407"/>
      <c r="CA135" s="407"/>
      <c r="CB135" s="407"/>
      <c r="CC135" s="407"/>
      <c r="CD135" s="407"/>
      <c r="CE135" s="407"/>
      <c r="CF135" s="407"/>
    </row>
    <row r="136" spans="1:84">
      <c r="A136" s="406"/>
      <c r="B136" s="406"/>
      <c r="C136" s="406"/>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7"/>
      <c r="BL136" s="407"/>
      <c r="BM136" s="407"/>
      <c r="BN136" s="407"/>
      <c r="BO136" s="407"/>
      <c r="BP136" s="407"/>
      <c r="BQ136" s="407"/>
      <c r="BR136" s="407"/>
      <c r="BS136" s="407"/>
      <c r="BT136" s="407"/>
      <c r="BU136" s="407"/>
      <c r="BV136" s="407"/>
      <c r="BW136" s="407"/>
      <c r="BX136" s="407"/>
      <c r="BY136" s="407"/>
      <c r="BZ136" s="407"/>
      <c r="CA136" s="407"/>
      <c r="CB136" s="407"/>
      <c r="CC136" s="407"/>
      <c r="CD136" s="407"/>
      <c r="CE136" s="407"/>
      <c r="CF136" s="407"/>
    </row>
    <row r="137" spans="1:84">
      <c r="A137" s="406"/>
      <c r="B137" s="406"/>
      <c r="C137" s="406"/>
      <c r="D137" s="406"/>
      <c r="E137" s="406"/>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c r="AO137" s="406"/>
      <c r="AP137" s="406"/>
      <c r="AQ137" s="406"/>
      <c r="AR137" s="406"/>
      <c r="AS137" s="406"/>
      <c r="AT137" s="406"/>
      <c r="AU137" s="406"/>
      <c r="AV137" s="406"/>
      <c r="AW137" s="406"/>
      <c r="AX137" s="406"/>
      <c r="AY137" s="406"/>
      <c r="AZ137" s="406"/>
      <c r="BA137" s="406"/>
      <c r="BB137" s="406"/>
      <c r="BC137" s="406"/>
      <c r="BD137" s="406"/>
      <c r="BE137" s="406"/>
      <c r="BF137" s="406"/>
      <c r="BG137" s="406"/>
      <c r="BH137" s="406"/>
      <c r="BI137" s="406"/>
      <c r="BJ137" s="406"/>
      <c r="BK137" s="407"/>
      <c r="BL137" s="407"/>
      <c r="BM137" s="407"/>
      <c r="BN137" s="407"/>
      <c r="BO137" s="407"/>
      <c r="BP137" s="407"/>
      <c r="BQ137" s="407"/>
      <c r="BR137" s="407"/>
      <c r="BS137" s="407"/>
      <c r="BT137" s="407"/>
      <c r="BU137" s="407"/>
      <c r="BV137" s="407"/>
      <c r="BW137" s="407"/>
      <c r="BX137" s="407"/>
      <c r="BY137" s="407"/>
      <c r="BZ137" s="407"/>
      <c r="CA137" s="407"/>
      <c r="CB137" s="407"/>
      <c r="CC137" s="407"/>
      <c r="CD137" s="407"/>
      <c r="CE137" s="407"/>
      <c r="CF137" s="407"/>
    </row>
    <row r="138" spans="1:84">
      <c r="A138" s="406"/>
      <c r="B138" s="406"/>
      <c r="C138" s="406"/>
      <c r="D138" s="406"/>
      <c r="E138" s="406"/>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c r="AN138" s="406"/>
      <c r="AO138" s="406"/>
      <c r="AP138" s="406"/>
      <c r="AQ138" s="406"/>
      <c r="AR138" s="406"/>
      <c r="AS138" s="406"/>
      <c r="AT138" s="406"/>
      <c r="AU138" s="406"/>
      <c r="AV138" s="406"/>
      <c r="AW138" s="406"/>
      <c r="AX138" s="406"/>
      <c r="AY138" s="406"/>
      <c r="AZ138" s="406"/>
      <c r="BA138" s="406"/>
      <c r="BB138" s="406"/>
      <c r="BC138" s="406"/>
      <c r="BD138" s="406"/>
      <c r="BE138" s="406"/>
      <c r="BF138" s="406"/>
      <c r="BG138" s="406"/>
      <c r="BH138" s="406"/>
      <c r="BI138" s="406"/>
      <c r="BJ138" s="406"/>
      <c r="BK138" s="407"/>
      <c r="BL138" s="407"/>
      <c r="BM138" s="407"/>
      <c r="BN138" s="407"/>
      <c r="BO138" s="407"/>
      <c r="BP138" s="407"/>
      <c r="BQ138" s="407"/>
      <c r="BR138" s="407"/>
      <c r="BS138" s="407"/>
      <c r="BT138" s="407"/>
      <c r="BU138" s="407"/>
      <c r="BV138" s="407"/>
      <c r="BW138" s="407"/>
      <c r="BX138" s="407"/>
      <c r="BY138" s="407"/>
      <c r="BZ138" s="407"/>
      <c r="CA138" s="407"/>
      <c r="CB138" s="407"/>
      <c r="CC138" s="407"/>
      <c r="CD138" s="407"/>
      <c r="CE138" s="407"/>
      <c r="CF138" s="407"/>
    </row>
    <row r="139" spans="1:84">
      <c r="A139" s="406"/>
      <c r="B139" s="406"/>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c r="AO139" s="406"/>
      <c r="AP139" s="406"/>
      <c r="AQ139" s="406"/>
      <c r="AR139" s="406"/>
      <c r="AS139" s="406"/>
      <c r="AT139" s="406"/>
      <c r="AU139" s="406"/>
      <c r="AV139" s="406"/>
      <c r="AW139" s="406"/>
      <c r="AX139" s="406"/>
      <c r="AY139" s="406"/>
      <c r="AZ139" s="406"/>
      <c r="BA139" s="406"/>
      <c r="BB139" s="406"/>
      <c r="BC139" s="406"/>
      <c r="BD139" s="406"/>
      <c r="BE139" s="406"/>
      <c r="BF139" s="406"/>
      <c r="BG139" s="406"/>
      <c r="BH139" s="406"/>
      <c r="BI139" s="406"/>
      <c r="BJ139" s="406"/>
      <c r="BK139" s="407"/>
      <c r="BL139" s="407"/>
      <c r="BM139" s="407"/>
      <c r="BN139" s="407"/>
      <c r="BO139" s="407"/>
      <c r="BP139" s="407"/>
      <c r="BQ139" s="407"/>
      <c r="BR139" s="407"/>
      <c r="BS139" s="407"/>
      <c r="BT139" s="407"/>
      <c r="BU139" s="407"/>
      <c r="BV139" s="407"/>
      <c r="BW139" s="407"/>
      <c r="BX139" s="407"/>
      <c r="BY139" s="407"/>
      <c r="BZ139" s="407"/>
      <c r="CA139" s="407"/>
      <c r="CB139" s="407"/>
      <c r="CC139" s="407"/>
      <c r="CD139" s="407"/>
      <c r="CE139" s="407"/>
      <c r="CF139" s="407"/>
    </row>
    <row r="140" spans="1:84">
      <c r="A140" s="406"/>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406"/>
      <c r="AO140" s="406"/>
      <c r="AP140" s="406"/>
      <c r="AQ140" s="406"/>
      <c r="AR140" s="406"/>
      <c r="AS140" s="406"/>
      <c r="AT140" s="406"/>
      <c r="AU140" s="406"/>
      <c r="AV140" s="406"/>
      <c r="AW140" s="406"/>
      <c r="AX140" s="406"/>
      <c r="AY140" s="406"/>
      <c r="AZ140" s="406"/>
      <c r="BA140" s="406"/>
      <c r="BB140" s="406"/>
      <c r="BC140" s="406"/>
      <c r="BD140" s="406"/>
      <c r="BE140" s="406"/>
      <c r="BF140" s="406"/>
      <c r="BG140" s="406"/>
      <c r="BH140" s="406"/>
      <c r="BI140" s="406"/>
      <c r="BJ140" s="406"/>
      <c r="BK140" s="407"/>
      <c r="BL140" s="407"/>
      <c r="BM140" s="407"/>
      <c r="BN140" s="407"/>
      <c r="BO140" s="407"/>
      <c r="BP140" s="407"/>
      <c r="BQ140" s="407"/>
      <c r="BR140" s="407"/>
      <c r="BS140" s="407"/>
      <c r="BT140" s="407"/>
      <c r="BU140" s="407"/>
      <c r="BV140" s="407"/>
      <c r="BW140" s="407"/>
      <c r="BX140" s="407"/>
      <c r="BY140" s="407"/>
      <c r="BZ140" s="407"/>
      <c r="CA140" s="407"/>
      <c r="CB140" s="407"/>
      <c r="CC140" s="407"/>
      <c r="CD140" s="407"/>
      <c r="CE140" s="407"/>
      <c r="CF140" s="407"/>
    </row>
    <row r="141" spans="1:84">
      <c r="A141" s="406"/>
      <c r="B141" s="406"/>
      <c r="C141" s="406"/>
      <c r="D141" s="406"/>
      <c r="E141" s="406"/>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406"/>
      <c r="AO141" s="406"/>
      <c r="AP141" s="406"/>
      <c r="AQ141" s="406"/>
      <c r="AR141" s="406"/>
      <c r="AS141" s="406"/>
      <c r="AT141" s="406"/>
      <c r="AU141" s="406"/>
      <c r="AV141" s="406"/>
      <c r="AW141" s="406"/>
      <c r="AX141" s="406"/>
      <c r="AY141" s="406"/>
      <c r="AZ141" s="406"/>
      <c r="BA141" s="406"/>
      <c r="BB141" s="406"/>
      <c r="BC141" s="406"/>
      <c r="BD141" s="406"/>
      <c r="BE141" s="406"/>
      <c r="BF141" s="406"/>
      <c r="BG141" s="406"/>
      <c r="BH141" s="406"/>
      <c r="BI141" s="406"/>
      <c r="BJ141" s="406"/>
      <c r="BK141" s="407"/>
      <c r="BL141" s="407"/>
      <c r="BM141" s="407"/>
      <c r="BN141" s="407"/>
      <c r="BO141" s="407"/>
      <c r="BP141" s="407"/>
      <c r="BQ141" s="407"/>
      <c r="BR141" s="407"/>
      <c r="BS141" s="407"/>
      <c r="BT141" s="407"/>
      <c r="BU141" s="407"/>
      <c r="BV141" s="407"/>
      <c r="BW141" s="407"/>
      <c r="BX141" s="407"/>
      <c r="BY141" s="407"/>
      <c r="BZ141" s="407"/>
      <c r="CA141" s="407"/>
      <c r="CB141" s="407"/>
      <c r="CC141" s="407"/>
      <c r="CD141" s="407"/>
      <c r="CE141" s="407"/>
      <c r="CF141" s="407"/>
    </row>
    <row r="142" spans="1:84">
      <c r="A142" s="406"/>
      <c r="B142" s="406"/>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406"/>
      <c r="AO142" s="406"/>
      <c r="AP142" s="406"/>
      <c r="AQ142" s="406"/>
      <c r="AR142" s="406"/>
      <c r="AS142" s="406"/>
      <c r="AT142" s="406"/>
      <c r="AU142" s="406"/>
      <c r="AV142" s="406"/>
      <c r="AW142" s="406"/>
      <c r="AX142" s="406"/>
      <c r="AY142" s="406"/>
      <c r="AZ142" s="406"/>
      <c r="BA142" s="406"/>
      <c r="BB142" s="406"/>
      <c r="BC142" s="406"/>
      <c r="BD142" s="406"/>
      <c r="BE142" s="406"/>
      <c r="BF142" s="406"/>
      <c r="BG142" s="406"/>
      <c r="BH142" s="406"/>
      <c r="BI142" s="406"/>
      <c r="BJ142" s="406"/>
      <c r="BK142" s="407"/>
      <c r="BL142" s="407"/>
      <c r="BM142" s="407"/>
      <c r="BN142" s="407"/>
      <c r="BO142" s="407"/>
      <c r="BP142" s="407"/>
      <c r="BQ142" s="407"/>
      <c r="BR142" s="407"/>
      <c r="BS142" s="407"/>
      <c r="BT142" s="407"/>
      <c r="BU142" s="407"/>
      <c r="BV142" s="407"/>
      <c r="BW142" s="407"/>
      <c r="BX142" s="407"/>
      <c r="BY142" s="407"/>
      <c r="BZ142" s="407"/>
      <c r="CA142" s="407"/>
      <c r="CB142" s="407"/>
      <c r="CC142" s="407"/>
      <c r="CD142" s="407"/>
      <c r="CE142" s="407"/>
      <c r="CF142" s="407"/>
    </row>
    <row r="143" spans="1:84">
      <c r="A143" s="406"/>
      <c r="B143" s="406"/>
      <c r="C143" s="406"/>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6"/>
      <c r="AR143" s="406"/>
      <c r="AS143" s="406"/>
      <c r="AT143" s="406"/>
      <c r="AU143" s="406"/>
      <c r="AV143" s="406"/>
      <c r="AW143" s="406"/>
      <c r="AX143" s="406"/>
      <c r="AY143" s="406"/>
      <c r="AZ143" s="406"/>
      <c r="BA143" s="406"/>
      <c r="BB143" s="406"/>
      <c r="BC143" s="406"/>
      <c r="BD143" s="406"/>
      <c r="BE143" s="406"/>
      <c r="BF143" s="406"/>
      <c r="BG143" s="406"/>
      <c r="BH143" s="406"/>
      <c r="BI143" s="406"/>
      <c r="BJ143" s="406"/>
      <c r="BK143" s="407"/>
      <c r="BL143" s="407"/>
      <c r="BM143" s="407"/>
      <c r="BN143" s="407"/>
      <c r="BO143" s="407"/>
      <c r="BP143" s="407"/>
      <c r="BQ143" s="407"/>
      <c r="BR143" s="407"/>
      <c r="BS143" s="407"/>
      <c r="BT143" s="407"/>
      <c r="BU143" s="407"/>
      <c r="BV143" s="407"/>
      <c r="BW143" s="407"/>
      <c r="BX143" s="407"/>
      <c r="BY143" s="407"/>
      <c r="BZ143" s="407"/>
      <c r="CA143" s="407"/>
      <c r="CB143" s="407"/>
      <c r="CC143" s="407"/>
      <c r="CD143" s="407"/>
      <c r="CE143" s="407"/>
      <c r="CF143" s="407"/>
    </row>
    <row r="144" spans="1:84">
      <c r="A144" s="406"/>
      <c r="B144" s="406"/>
      <c r="C144" s="406"/>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7"/>
      <c r="BL144" s="407"/>
      <c r="BM144" s="407"/>
      <c r="BN144" s="407"/>
      <c r="BO144" s="407"/>
      <c r="BP144" s="407"/>
      <c r="BQ144" s="407"/>
      <c r="BR144" s="407"/>
      <c r="BS144" s="407"/>
      <c r="BT144" s="407"/>
      <c r="BU144" s="407"/>
      <c r="BV144" s="407"/>
      <c r="BW144" s="407"/>
      <c r="BX144" s="407"/>
      <c r="BY144" s="407"/>
      <c r="BZ144" s="407"/>
      <c r="CA144" s="407"/>
      <c r="CB144" s="407"/>
      <c r="CC144" s="407"/>
      <c r="CD144" s="407"/>
      <c r="CE144" s="407"/>
      <c r="CF144" s="407"/>
    </row>
    <row r="145" spans="1:84">
      <c r="A145" s="406"/>
      <c r="B145" s="406"/>
      <c r="C145" s="406"/>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c r="AN145" s="406"/>
      <c r="AO145" s="406"/>
      <c r="AP145" s="406"/>
      <c r="AQ145" s="406"/>
      <c r="AR145" s="406"/>
      <c r="AS145" s="406"/>
      <c r="AT145" s="406"/>
      <c r="AU145" s="406"/>
      <c r="AV145" s="406"/>
      <c r="AW145" s="406"/>
      <c r="AX145" s="406"/>
      <c r="AY145" s="406"/>
      <c r="AZ145" s="406"/>
      <c r="BA145" s="406"/>
      <c r="BB145" s="406"/>
      <c r="BC145" s="406"/>
      <c r="BD145" s="406"/>
      <c r="BE145" s="406"/>
      <c r="BF145" s="406"/>
      <c r="BG145" s="406"/>
      <c r="BH145" s="406"/>
      <c r="BI145" s="406"/>
      <c r="BJ145" s="406"/>
      <c r="BK145" s="407"/>
      <c r="BL145" s="407"/>
      <c r="BM145" s="407"/>
      <c r="BN145" s="407"/>
      <c r="BO145" s="407"/>
      <c r="BP145" s="407"/>
      <c r="BQ145" s="407"/>
      <c r="BR145" s="407"/>
      <c r="BS145" s="407"/>
      <c r="BT145" s="407"/>
      <c r="BU145" s="407"/>
      <c r="BV145" s="407"/>
      <c r="BW145" s="407"/>
      <c r="BX145" s="407"/>
      <c r="BY145" s="407"/>
      <c r="BZ145" s="407"/>
      <c r="CA145" s="407"/>
      <c r="CB145" s="407"/>
      <c r="CC145" s="407"/>
      <c r="CD145" s="407"/>
      <c r="CE145" s="407"/>
      <c r="CF145" s="407"/>
    </row>
    <row r="146" spans="1:84">
      <c r="A146" s="406"/>
      <c r="B146" s="406"/>
      <c r="C146" s="406"/>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406"/>
      <c r="AO146" s="406"/>
      <c r="AP146" s="406"/>
      <c r="AQ146" s="406"/>
      <c r="AR146" s="406"/>
      <c r="AS146" s="406"/>
      <c r="AT146" s="406"/>
      <c r="AU146" s="406"/>
      <c r="AV146" s="406"/>
      <c r="AW146" s="406"/>
      <c r="AX146" s="406"/>
      <c r="AY146" s="406"/>
      <c r="AZ146" s="406"/>
      <c r="BA146" s="406"/>
      <c r="BB146" s="406"/>
      <c r="BC146" s="406"/>
      <c r="BD146" s="406"/>
      <c r="BE146" s="406"/>
      <c r="BF146" s="406"/>
      <c r="BG146" s="406"/>
      <c r="BH146" s="406"/>
      <c r="BI146" s="406"/>
      <c r="BJ146" s="406"/>
      <c r="BK146" s="407"/>
      <c r="BL146" s="407"/>
      <c r="BM146" s="407"/>
      <c r="BN146" s="407"/>
      <c r="BO146" s="407"/>
      <c r="BP146" s="407"/>
      <c r="BQ146" s="407"/>
      <c r="BR146" s="407"/>
      <c r="BS146" s="407"/>
      <c r="BT146" s="407"/>
      <c r="BU146" s="407"/>
      <c r="BV146" s="407"/>
      <c r="BW146" s="407"/>
      <c r="BX146" s="407"/>
      <c r="BY146" s="407"/>
      <c r="BZ146" s="407"/>
      <c r="CA146" s="407"/>
      <c r="CB146" s="407"/>
      <c r="CC146" s="407"/>
      <c r="CD146" s="407"/>
      <c r="CE146" s="407"/>
      <c r="CF146" s="407"/>
    </row>
    <row r="147" spans="1:84">
      <c r="A147" s="406"/>
      <c r="B147" s="406"/>
      <c r="C147" s="406"/>
      <c r="D147" s="406"/>
      <c r="E147" s="406"/>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c r="AN147" s="406"/>
      <c r="AO147" s="406"/>
      <c r="AP147" s="406"/>
      <c r="AQ147" s="406"/>
      <c r="AR147" s="406"/>
      <c r="AS147" s="406"/>
      <c r="AT147" s="406"/>
      <c r="AU147" s="406"/>
      <c r="AV147" s="406"/>
      <c r="AW147" s="406"/>
      <c r="AX147" s="406"/>
      <c r="AY147" s="406"/>
      <c r="AZ147" s="406"/>
      <c r="BA147" s="406"/>
      <c r="BB147" s="406"/>
      <c r="BC147" s="406"/>
      <c r="BD147" s="406"/>
      <c r="BE147" s="406"/>
      <c r="BF147" s="406"/>
      <c r="BG147" s="406"/>
      <c r="BH147" s="406"/>
      <c r="BI147" s="406"/>
      <c r="BJ147" s="406"/>
      <c r="BK147" s="407"/>
      <c r="BL147" s="407"/>
      <c r="BM147" s="407"/>
      <c r="BN147" s="407"/>
      <c r="BO147" s="407"/>
      <c r="BP147" s="407"/>
      <c r="BQ147" s="407"/>
      <c r="BR147" s="407"/>
      <c r="BS147" s="407"/>
      <c r="BT147" s="407"/>
      <c r="BU147" s="407"/>
      <c r="BV147" s="407"/>
      <c r="BW147" s="407"/>
      <c r="BX147" s="407"/>
      <c r="BY147" s="407"/>
      <c r="BZ147" s="407"/>
      <c r="CA147" s="407"/>
      <c r="CB147" s="407"/>
      <c r="CC147" s="407"/>
      <c r="CD147" s="407"/>
      <c r="CE147" s="407"/>
      <c r="CF147" s="407"/>
    </row>
    <row r="148" spans="1:84">
      <c r="A148" s="406"/>
      <c r="B148" s="406"/>
      <c r="C148" s="406"/>
      <c r="D148" s="406"/>
      <c r="E148" s="406"/>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406"/>
      <c r="AO148" s="406"/>
      <c r="AP148" s="406"/>
      <c r="AQ148" s="406"/>
      <c r="AR148" s="406"/>
      <c r="AS148" s="406"/>
      <c r="AT148" s="406"/>
      <c r="AU148" s="406"/>
      <c r="AV148" s="406"/>
      <c r="AW148" s="406"/>
      <c r="AX148" s="406"/>
      <c r="AY148" s="406"/>
      <c r="AZ148" s="406"/>
      <c r="BA148" s="406"/>
      <c r="BB148" s="406"/>
      <c r="BC148" s="406"/>
      <c r="BD148" s="406"/>
      <c r="BE148" s="406"/>
      <c r="BF148" s="406"/>
      <c r="BG148" s="406"/>
      <c r="BH148" s="406"/>
      <c r="BI148" s="406"/>
      <c r="BJ148" s="406"/>
      <c r="BK148" s="407"/>
      <c r="BL148" s="407"/>
      <c r="BM148" s="407"/>
      <c r="BN148" s="407"/>
      <c r="BO148" s="407"/>
      <c r="BP148" s="407"/>
      <c r="BQ148" s="407"/>
      <c r="BR148" s="407"/>
      <c r="BS148" s="407"/>
      <c r="BT148" s="407"/>
      <c r="BU148" s="407"/>
      <c r="BV148" s="407"/>
      <c r="BW148" s="407"/>
      <c r="BX148" s="407"/>
      <c r="BY148" s="407"/>
      <c r="BZ148" s="407"/>
      <c r="CA148" s="407"/>
      <c r="CB148" s="407"/>
      <c r="CC148" s="407"/>
      <c r="CD148" s="407"/>
      <c r="CE148" s="407"/>
      <c r="CF148" s="407"/>
    </row>
    <row r="149" spans="1:84">
      <c r="A149" s="406"/>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406"/>
      <c r="AO149" s="406"/>
      <c r="AP149" s="406"/>
      <c r="AQ149" s="406"/>
      <c r="AR149" s="406"/>
      <c r="AS149" s="406"/>
      <c r="AT149" s="406"/>
      <c r="AU149" s="406"/>
      <c r="AV149" s="406"/>
      <c r="AW149" s="406"/>
      <c r="AX149" s="406"/>
      <c r="AY149" s="406"/>
      <c r="AZ149" s="406"/>
      <c r="BA149" s="406"/>
      <c r="BB149" s="406"/>
      <c r="BC149" s="406"/>
      <c r="BD149" s="406"/>
      <c r="BE149" s="406"/>
      <c r="BF149" s="406"/>
      <c r="BG149" s="406"/>
      <c r="BH149" s="406"/>
      <c r="BI149" s="406"/>
      <c r="BJ149" s="406"/>
      <c r="BK149" s="407"/>
      <c r="BL149" s="407"/>
      <c r="BM149" s="407"/>
      <c r="BN149" s="407"/>
      <c r="BO149" s="407"/>
      <c r="BP149" s="407"/>
      <c r="BQ149" s="407"/>
      <c r="BR149" s="407"/>
      <c r="BS149" s="407"/>
      <c r="BT149" s="407"/>
      <c r="BU149" s="407"/>
      <c r="BV149" s="407"/>
      <c r="BW149" s="407"/>
      <c r="BX149" s="407"/>
      <c r="BY149" s="407"/>
      <c r="BZ149" s="407"/>
      <c r="CA149" s="407"/>
      <c r="CB149" s="407"/>
      <c r="CC149" s="407"/>
      <c r="CD149" s="407"/>
      <c r="CE149" s="407"/>
      <c r="CF149" s="407"/>
    </row>
    <row r="150" spans="1:84">
      <c r="A150" s="406"/>
      <c r="B150" s="406"/>
      <c r="C150" s="406"/>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7"/>
      <c r="BL150" s="407"/>
      <c r="BM150" s="407"/>
      <c r="BN150" s="407"/>
      <c r="BO150" s="407"/>
      <c r="BP150" s="407"/>
      <c r="BQ150" s="407"/>
      <c r="BR150" s="407"/>
      <c r="BS150" s="407"/>
      <c r="BT150" s="407"/>
      <c r="BU150" s="407"/>
      <c r="BV150" s="407"/>
      <c r="BW150" s="407"/>
      <c r="BX150" s="407"/>
      <c r="BY150" s="407"/>
      <c r="BZ150" s="407"/>
      <c r="CA150" s="407"/>
      <c r="CB150" s="407"/>
      <c r="CC150" s="407"/>
      <c r="CD150" s="407"/>
      <c r="CE150" s="407"/>
      <c r="CF150" s="407"/>
    </row>
    <row r="151" spans="1:84">
      <c r="A151" s="406"/>
      <c r="B151" s="406"/>
      <c r="C151" s="406"/>
      <c r="D151" s="406"/>
      <c r="E151" s="406"/>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7"/>
      <c r="BL151" s="407"/>
      <c r="BM151" s="407"/>
      <c r="BN151" s="407"/>
      <c r="BO151" s="407"/>
      <c r="BP151" s="407"/>
      <c r="BQ151" s="407"/>
      <c r="BR151" s="407"/>
      <c r="BS151" s="407"/>
      <c r="BT151" s="407"/>
      <c r="BU151" s="407"/>
      <c r="BV151" s="407"/>
      <c r="BW151" s="407"/>
      <c r="BX151" s="407"/>
      <c r="BY151" s="407"/>
      <c r="BZ151" s="407"/>
      <c r="CA151" s="407"/>
      <c r="CB151" s="407"/>
      <c r="CC151" s="407"/>
      <c r="CD151" s="407"/>
      <c r="CE151" s="407"/>
      <c r="CF151" s="407"/>
    </row>
    <row r="152" spans="1:84">
      <c r="A152" s="406"/>
      <c r="B152" s="406"/>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7"/>
      <c r="BL152" s="407"/>
      <c r="BM152" s="407"/>
      <c r="BN152" s="407"/>
      <c r="BO152" s="407"/>
      <c r="BP152" s="407"/>
      <c r="BQ152" s="407"/>
      <c r="BR152" s="407"/>
      <c r="BS152" s="407"/>
      <c r="BT152" s="407"/>
      <c r="BU152" s="407"/>
      <c r="BV152" s="407"/>
      <c r="BW152" s="407"/>
      <c r="BX152" s="407"/>
      <c r="BY152" s="407"/>
      <c r="BZ152" s="407"/>
      <c r="CA152" s="407"/>
      <c r="CB152" s="407"/>
      <c r="CC152" s="407"/>
      <c r="CD152" s="407"/>
      <c r="CE152" s="407"/>
      <c r="CF152" s="407"/>
    </row>
    <row r="153" spans="1:84">
      <c r="A153" s="406"/>
      <c r="B153" s="406"/>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406"/>
      <c r="AO153" s="406"/>
      <c r="AP153" s="406"/>
      <c r="AQ153" s="406"/>
      <c r="AR153" s="406"/>
      <c r="AS153" s="406"/>
      <c r="AT153" s="406"/>
      <c r="AU153" s="406"/>
      <c r="AV153" s="406"/>
      <c r="AW153" s="406"/>
      <c r="AX153" s="406"/>
      <c r="AY153" s="406"/>
      <c r="AZ153" s="406"/>
      <c r="BA153" s="406"/>
      <c r="BB153" s="406"/>
      <c r="BC153" s="406"/>
      <c r="BD153" s="406"/>
      <c r="BE153" s="406"/>
      <c r="BF153" s="406"/>
      <c r="BG153" s="406"/>
      <c r="BH153" s="406"/>
      <c r="BI153" s="406"/>
      <c r="BJ153" s="406"/>
      <c r="BK153" s="407"/>
      <c r="BL153" s="407"/>
      <c r="BM153" s="407"/>
      <c r="BN153" s="407"/>
      <c r="BO153" s="407"/>
      <c r="BP153" s="407"/>
      <c r="BQ153" s="407"/>
      <c r="BR153" s="407"/>
      <c r="BS153" s="407"/>
      <c r="BT153" s="407"/>
      <c r="BU153" s="407"/>
      <c r="BV153" s="407"/>
      <c r="BW153" s="407"/>
      <c r="BX153" s="407"/>
      <c r="BY153" s="407"/>
      <c r="BZ153" s="407"/>
      <c r="CA153" s="407"/>
      <c r="CB153" s="407"/>
      <c r="CC153" s="407"/>
      <c r="CD153" s="407"/>
      <c r="CE153" s="407"/>
      <c r="CF153" s="407"/>
    </row>
    <row r="154" spans="1:84">
      <c r="A154" s="406"/>
      <c r="B154" s="406"/>
      <c r="C154" s="406"/>
      <c r="D154" s="406"/>
      <c r="E154" s="406"/>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7"/>
      <c r="BL154" s="407"/>
      <c r="BM154" s="407"/>
      <c r="BN154" s="407"/>
      <c r="BO154" s="407"/>
      <c r="BP154" s="407"/>
      <c r="BQ154" s="407"/>
      <c r="BR154" s="407"/>
      <c r="BS154" s="407"/>
      <c r="BT154" s="407"/>
      <c r="BU154" s="407"/>
      <c r="BV154" s="407"/>
      <c r="BW154" s="407"/>
      <c r="BX154" s="407"/>
      <c r="BY154" s="407"/>
      <c r="BZ154" s="407"/>
      <c r="CA154" s="407"/>
      <c r="CB154" s="407"/>
      <c r="CC154" s="407"/>
      <c r="CD154" s="407"/>
      <c r="CE154" s="407"/>
      <c r="CF154" s="407"/>
    </row>
    <row r="155" spans="1:84">
      <c r="A155" s="406"/>
      <c r="B155" s="406"/>
      <c r="C155" s="406"/>
      <c r="D155" s="406"/>
      <c r="E155" s="406"/>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c r="AS155" s="406"/>
      <c r="AT155" s="406"/>
      <c r="AU155" s="406"/>
      <c r="AV155" s="406"/>
      <c r="AW155" s="406"/>
      <c r="AX155" s="406"/>
      <c r="AY155" s="406"/>
      <c r="AZ155" s="406"/>
      <c r="BA155" s="406"/>
      <c r="BB155" s="406"/>
      <c r="BC155" s="406"/>
      <c r="BD155" s="406"/>
      <c r="BE155" s="406"/>
      <c r="BF155" s="406"/>
      <c r="BG155" s="406"/>
      <c r="BH155" s="406"/>
      <c r="BI155" s="406"/>
      <c r="BJ155" s="406"/>
      <c r="BK155" s="407"/>
      <c r="BL155" s="407"/>
      <c r="BM155" s="407"/>
      <c r="BN155" s="407"/>
      <c r="BO155" s="407"/>
      <c r="BP155" s="407"/>
      <c r="BQ155" s="407"/>
      <c r="BR155" s="407"/>
      <c r="BS155" s="407"/>
      <c r="BT155" s="407"/>
      <c r="BU155" s="407"/>
      <c r="BV155" s="407"/>
      <c r="BW155" s="407"/>
      <c r="BX155" s="407"/>
      <c r="BY155" s="407"/>
      <c r="BZ155" s="407"/>
      <c r="CA155" s="407"/>
      <c r="CB155" s="407"/>
      <c r="CC155" s="407"/>
      <c r="CD155" s="407"/>
      <c r="CE155" s="407"/>
      <c r="CF155" s="407"/>
    </row>
    <row r="156" spans="1:84">
      <c r="A156" s="406"/>
      <c r="B156" s="406"/>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7"/>
      <c r="BL156" s="407"/>
      <c r="BM156" s="407"/>
      <c r="BN156" s="407"/>
      <c r="BO156" s="407"/>
      <c r="BP156" s="407"/>
      <c r="BQ156" s="407"/>
      <c r="BR156" s="407"/>
      <c r="BS156" s="407"/>
      <c r="BT156" s="407"/>
      <c r="BU156" s="407"/>
      <c r="BV156" s="407"/>
      <c r="BW156" s="407"/>
      <c r="BX156" s="407"/>
      <c r="BY156" s="407"/>
      <c r="BZ156" s="407"/>
      <c r="CA156" s="407"/>
      <c r="CB156" s="407"/>
      <c r="CC156" s="407"/>
      <c r="CD156" s="407"/>
      <c r="CE156" s="407"/>
      <c r="CF156" s="407"/>
    </row>
    <row r="157" spans="1:84">
      <c r="A157" s="406"/>
      <c r="B157" s="406"/>
      <c r="C157" s="406"/>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7"/>
      <c r="BL157" s="407"/>
      <c r="BM157" s="407"/>
      <c r="BN157" s="407"/>
      <c r="BO157" s="407"/>
      <c r="BP157" s="407"/>
      <c r="BQ157" s="407"/>
      <c r="BR157" s="407"/>
      <c r="BS157" s="407"/>
      <c r="BT157" s="407"/>
      <c r="BU157" s="407"/>
      <c r="BV157" s="407"/>
      <c r="BW157" s="407"/>
      <c r="BX157" s="407"/>
      <c r="BY157" s="407"/>
      <c r="BZ157" s="407"/>
      <c r="CA157" s="407"/>
      <c r="CB157" s="407"/>
      <c r="CC157" s="407"/>
      <c r="CD157" s="407"/>
      <c r="CE157" s="407"/>
      <c r="CF157" s="407"/>
    </row>
    <row r="158" spans="1:84">
      <c r="A158" s="406"/>
      <c r="B158" s="406"/>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7"/>
      <c r="BL158" s="407"/>
      <c r="BM158" s="407"/>
      <c r="BN158" s="407"/>
      <c r="BO158" s="407"/>
      <c r="BP158" s="407"/>
      <c r="BQ158" s="407"/>
      <c r="BR158" s="407"/>
      <c r="BS158" s="407"/>
      <c r="BT158" s="407"/>
      <c r="BU158" s="407"/>
      <c r="BV158" s="407"/>
      <c r="BW158" s="407"/>
      <c r="BX158" s="407"/>
      <c r="BY158" s="407"/>
      <c r="BZ158" s="407"/>
      <c r="CA158" s="407"/>
      <c r="CB158" s="407"/>
      <c r="CC158" s="407"/>
      <c r="CD158" s="407"/>
      <c r="CE158" s="407"/>
      <c r="CF158" s="407"/>
    </row>
    <row r="159" spans="1:84">
      <c r="A159" s="406"/>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6"/>
      <c r="BB159" s="406"/>
      <c r="BC159" s="406"/>
      <c r="BD159" s="406"/>
      <c r="BE159" s="406"/>
      <c r="BF159" s="406"/>
      <c r="BG159" s="406"/>
      <c r="BH159" s="406"/>
      <c r="BI159" s="406"/>
      <c r="BJ159" s="406"/>
      <c r="BK159" s="407"/>
      <c r="BL159" s="407"/>
      <c r="BM159" s="407"/>
      <c r="BN159" s="407"/>
      <c r="BO159" s="407"/>
      <c r="BP159" s="407"/>
      <c r="BQ159" s="407"/>
      <c r="BR159" s="407"/>
      <c r="BS159" s="407"/>
      <c r="BT159" s="407"/>
      <c r="BU159" s="407"/>
      <c r="BV159" s="407"/>
      <c r="BW159" s="407"/>
      <c r="BX159" s="407"/>
      <c r="BY159" s="407"/>
      <c r="BZ159" s="407"/>
      <c r="CA159" s="407"/>
      <c r="CB159" s="407"/>
      <c r="CC159" s="407"/>
      <c r="CD159" s="407"/>
      <c r="CE159" s="407"/>
      <c r="CF159" s="407"/>
    </row>
    <row r="160" spans="1:84">
      <c r="A160" s="406"/>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6"/>
      <c r="AR160" s="406"/>
      <c r="AS160" s="406"/>
      <c r="AT160" s="406"/>
      <c r="AU160" s="406"/>
      <c r="AV160" s="406"/>
      <c r="AW160" s="406"/>
      <c r="AX160" s="406"/>
      <c r="AY160" s="406"/>
      <c r="AZ160" s="406"/>
      <c r="BA160" s="406"/>
      <c r="BB160" s="406"/>
      <c r="BC160" s="406"/>
      <c r="BD160" s="406"/>
      <c r="BE160" s="406"/>
      <c r="BF160" s="406"/>
      <c r="BG160" s="406"/>
      <c r="BH160" s="406"/>
      <c r="BI160" s="406"/>
      <c r="BJ160" s="406"/>
      <c r="BK160" s="407"/>
      <c r="BL160" s="407"/>
      <c r="BM160" s="407"/>
      <c r="BN160" s="407"/>
      <c r="BO160" s="407"/>
      <c r="BP160" s="407"/>
      <c r="BQ160" s="407"/>
      <c r="BR160" s="407"/>
      <c r="BS160" s="407"/>
      <c r="BT160" s="407"/>
      <c r="BU160" s="407"/>
      <c r="BV160" s="407"/>
      <c r="BW160" s="407"/>
      <c r="BX160" s="407"/>
      <c r="BY160" s="407"/>
      <c r="BZ160" s="407"/>
      <c r="CA160" s="407"/>
      <c r="CB160" s="407"/>
      <c r="CC160" s="407"/>
      <c r="CD160" s="407"/>
      <c r="CE160" s="407"/>
      <c r="CF160" s="407"/>
    </row>
    <row r="161" spans="1:84">
      <c r="A161" s="406"/>
      <c r="B161" s="406"/>
      <c r="C161" s="406"/>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7"/>
      <c r="BL161" s="407"/>
      <c r="BM161" s="407"/>
      <c r="BN161" s="407"/>
      <c r="BO161" s="407"/>
      <c r="BP161" s="407"/>
      <c r="BQ161" s="407"/>
      <c r="BR161" s="407"/>
      <c r="BS161" s="407"/>
      <c r="BT161" s="407"/>
      <c r="BU161" s="407"/>
      <c r="BV161" s="407"/>
      <c r="BW161" s="407"/>
      <c r="BX161" s="407"/>
      <c r="BY161" s="407"/>
      <c r="BZ161" s="407"/>
      <c r="CA161" s="407"/>
      <c r="CB161" s="407"/>
      <c r="CC161" s="407"/>
      <c r="CD161" s="407"/>
      <c r="CE161" s="407"/>
      <c r="CF161" s="407"/>
    </row>
    <row r="162" spans="1:84">
      <c r="A162" s="406"/>
      <c r="B162" s="406"/>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406"/>
      <c r="AO162" s="406"/>
      <c r="AP162" s="406"/>
      <c r="AQ162" s="406"/>
      <c r="AR162" s="406"/>
      <c r="AS162" s="406"/>
      <c r="AT162" s="406"/>
      <c r="AU162" s="406"/>
      <c r="AV162" s="406"/>
      <c r="AW162" s="406"/>
      <c r="AX162" s="406"/>
      <c r="AY162" s="406"/>
      <c r="AZ162" s="406"/>
      <c r="BA162" s="406"/>
      <c r="BB162" s="406"/>
      <c r="BC162" s="406"/>
      <c r="BD162" s="406"/>
      <c r="BE162" s="406"/>
      <c r="BF162" s="406"/>
      <c r="BG162" s="406"/>
      <c r="BH162" s="406"/>
      <c r="BI162" s="406"/>
      <c r="BJ162" s="406"/>
      <c r="BK162" s="407"/>
      <c r="BL162" s="407"/>
      <c r="BM162" s="407"/>
      <c r="BN162" s="407"/>
      <c r="BO162" s="407"/>
      <c r="BP162" s="407"/>
      <c r="BQ162" s="407"/>
      <c r="BR162" s="407"/>
      <c r="BS162" s="407"/>
      <c r="BT162" s="407"/>
      <c r="BU162" s="407"/>
      <c r="BV162" s="407"/>
      <c r="BW162" s="407"/>
      <c r="BX162" s="407"/>
      <c r="BY162" s="407"/>
      <c r="BZ162" s="407"/>
      <c r="CA162" s="407"/>
      <c r="CB162" s="407"/>
      <c r="CC162" s="407"/>
      <c r="CD162" s="407"/>
      <c r="CE162" s="407"/>
      <c r="CF162" s="407"/>
    </row>
    <row r="163" spans="1:84">
      <c r="A163" s="406"/>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406"/>
      <c r="BI163" s="406"/>
      <c r="BJ163" s="406"/>
      <c r="BK163" s="407"/>
      <c r="BL163" s="407"/>
      <c r="BM163" s="407"/>
      <c r="BN163" s="407"/>
      <c r="BO163" s="407"/>
      <c r="BP163" s="407"/>
      <c r="BQ163" s="407"/>
      <c r="BR163" s="407"/>
      <c r="BS163" s="407"/>
      <c r="BT163" s="407"/>
      <c r="BU163" s="407"/>
      <c r="BV163" s="407"/>
      <c r="BW163" s="407"/>
      <c r="BX163" s="407"/>
      <c r="BY163" s="407"/>
      <c r="BZ163" s="407"/>
      <c r="CA163" s="407"/>
      <c r="CB163" s="407"/>
      <c r="CC163" s="407"/>
      <c r="CD163" s="407"/>
      <c r="CE163" s="407"/>
      <c r="CF163" s="407"/>
    </row>
    <row r="164" spans="1:84">
      <c r="A164" s="406"/>
      <c r="B164" s="406"/>
      <c r="C164" s="406"/>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7"/>
      <c r="BL164" s="407"/>
      <c r="BM164" s="407"/>
      <c r="BN164" s="407"/>
      <c r="BO164" s="407"/>
      <c r="BP164" s="407"/>
      <c r="BQ164" s="407"/>
      <c r="BR164" s="407"/>
      <c r="BS164" s="407"/>
      <c r="BT164" s="407"/>
      <c r="BU164" s="407"/>
      <c r="BV164" s="407"/>
      <c r="BW164" s="407"/>
      <c r="BX164" s="407"/>
      <c r="BY164" s="407"/>
      <c r="BZ164" s="407"/>
      <c r="CA164" s="407"/>
      <c r="CB164" s="407"/>
      <c r="CC164" s="407"/>
      <c r="CD164" s="407"/>
      <c r="CE164" s="407"/>
      <c r="CF164" s="407"/>
    </row>
    <row r="165" spans="1:84">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406"/>
      <c r="AO165" s="406"/>
      <c r="AP165" s="406"/>
      <c r="AQ165" s="406"/>
      <c r="AR165" s="406"/>
      <c r="AS165" s="406"/>
      <c r="AT165" s="406"/>
      <c r="AU165" s="406"/>
      <c r="AV165" s="406"/>
      <c r="AW165" s="406"/>
      <c r="AX165" s="406"/>
      <c r="AY165" s="406"/>
      <c r="AZ165" s="406"/>
      <c r="BA165" s="406"/>
      <c r="BB165" s="406"/>
      <c r="BC165" s="406"/>
      <c r="BD165" s="406"/>
      <c r="BE165" s="406"/>
      <c r="BF165" s="406"/>
      <c r="BG165" s="406"/>
      <c r="BH165" s="406"/>
      <c r="BI165" s="406"/>
      <c r="BJ165" s="406"/>
      <c r="BK165" s="407"/>
      <c r="BL165" s="407"/>
      <c r="BM165" s="407"/>
      <c r="BN165" s="407"/>
      <c r="BO165" s="407"/>
      <c r="BP165" s="407"/>
      <c r="BQ165" s="407"/>
      <c r="BR165" s="407"/>
      <c r="BS165" s="407"/>
      <c r="BT165" s="407"/>
      <c r="BU165" s="407"/>
      <c r="BV165" s="407"/>
      <c r="BW165" s="407"/>
      <c r="BX165" s="407"/>
      <c r="BY165" s="407"/>
      <c r="BZ165" s="407"/>
      <c r="CA165" s="407"/>
      <c r="CB165" s="407"/>
      <c r="CC165" s="407"/>
      <c r="CD165" s="407"/>
      <c r="CE165" s="407"/>
      <c r="CF165" s="407"/>
    </row>
    <row r="166" spans="1:84">
      <c r="A166" s="406"/>
      <c r="B166" s="406"/>
      <c r="C166" s="406"/>
      <c r="D166" s="406"/>
      <c r="E166" s="406"/>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406"/>
      <c r="AO166" s="406"/>
      <c r="AP166" s="406"/>
      <c r="AQ166" s="406"/>
      <c r="AR166" s="406"/>
      <c r="AS166" s="406"/>
      <c r="AT166" s="406"/>
      <c r="AU166" s="406"/>
      <c r="AV166" s="406"/>
      <c r="AW166" s="406"/>
      <c r="AX166" s="406"/>
      <c r="AY166" s="406"/>
      <c r="AZ166" s="406"/>
      <c r="BA166" s="406"/>
      <c r="BB166" s="406"/>
      <c r="BC166" s="406"/>
      <c r="BD166" s="406"/>
      <c r="BE166" s="406"/>
      <c r="BF166" s="406"/>
      <c r="BG166" s="406"/>
      <c r="BH166" s="406"/>
      <c r="BI166" s="406"/>
      <c r="BJ166" s="406"/>
      <c r="BK166" s="407"/>
      <c r="BL166" s="407"/>
      <c r="BM166" s="407"/>
      <c r="BN166" s="407"/>
      <c r="BO166" s="407"/>
      <c r="BP166" s="407"/>
      <c r="BQ166" s="407"/>
      <c r="BR166" s="407"/>
      <c r="BS166" s="407"/>
      <c r="BT166" s="407"/>
      <c r="BU166" s="407"/>
      <c r="BV166" s="407"/>
      <c r="BW166" s="407"/>
      <c r="BX166" s="407"/>
      <c r="BY166" s="407"/>
      <c r="BZ166" s="407"/>
      <c r="CA166" s="407"/>
      <c r="CB166" s="407"/>
      <c r="CC166" s="407"/>
      <c r="CD166" s="407"/>
      <c r="CE166" s="407"/>
      <c r="CF166" s="407"/>
    </row>
    <row r="167" spans="1:84">
      <c r="A167" s="406"/>
      <c r="B167" s="406"/>
      <c r="C167" s="406"/>
      <c r="D167" s="406"/>
      <c r="E167" s="406"/>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406"/>
      <c r="AO167" s="406"/>
      <c r="AP167" s="406"/>
      <c r="AQ167" s="406"/>
      <c r="AR167" s="406"/>
      <c r="AS167" s="406"/>
      <c r="AT167" s="406"/>
      <c r="AU167" s="406"/>
      <c r="AV167" s="406"/>
      <c r="AW167" s="406"/>
      <c r="AX167" s="406"/>
      <c r="AY167" s="406"/>
      <c r="AZ167" s="406"/>
      <c r="BA167" s="406"/>
      <c r="BB167" s="406"/>
      <c r="BC167" s="406"/>
      <c r="BD167" s="406"/>
      <c r="BE167" s="406"/>
      <c r="BF167" s="406"/>
      <c r="BG167" s="406"/>
      <c r="BH167" s="406"/>
      <c r="BI167" s="406"/>
      <c r="BJ167" s="406"/>
      <c r="BK167" s="407"/>
      <c r="BL167" s="407"/>
      <c r="BM167" s="407"/>
      <c r="BN167" s="407"/>
      <c r="BO167" s="407"/>
      <c r="BP167" s="407"/>
      <c r="BQ167" s="407"/>
      <c r="BR167" s="407"/>
      <c r="BS167" s="407"/>
      <c r="BT167" s="407"/>
      <c r="BU167" s="407"/>
      <c r="BV167" s="407"/>
      <c r="BW167" s="407"/>
      <c r="BX167" s="407"/>
      <c r="BY167" s="407"/>
      <c r="BZ167" s="407"/>
      <c r="CA167" s="407"/>
      <c r="CB167" s="407"/>
      <c r="CC167" s="407"/>
      <c r="CD167" s="407"/>
      <c r="CE167" s="407"/>
      <c r="CF167" s="407"/>
    </row>
    <row r="168" spans="1:84">
      <c r="A168" s="406"/>
      <c r="B168" s="406"/>
      <c r="C168" s="406"/>
      <c r="D168" s="406"/>
      <c r="E168" s="406"/>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c r="AN168" s="406"/>
      <c r="AO168" s="406"/>
      <c r="AP168" s="406"/>
      <c r="AQ168" s="406"/>
      <c r="AR168" s="406"/>
      <c r="AS168" s="406"/>
      <c r="AT168" s="406"/>
      <c r="AU168" s="406"/>
      <c r="AV168" s="406"/>
      <c r="AW168" s="406"/>
      <c r="AX168" s="406"/>
      <c r="AY168" s="406"/>
      <c r="AZ168" s="406"/>
      <c r="BA168" s="406"/>
      <c r="BB168" s="406"/>
      <c r="BC168" s="406"/>
      <c r="BD168" s="406"/>
      <c r="BE168" s="406"/>
      <c r="BF168" s="406"/>
      <c r="BG168" s="406"/>
      <c r="BH168" s="406"/>
      <c r="BI168" s="406"/>
      <c r="BJ168" s="406"/>
      <c r="BK168" s="407"/>
      <c r="BL168" s="407"/>
      <c r="BM168" s="407"/>
      <c r="BN168" s="407"/>
      <c r="BO168" s="407"/>
      <c r="BP168" s="407"/>
      <c r="BQ168" s="407"/>
      <c r="BR168" s="407"/>
      <c r="BS168" s="407"/>
      <c r="BT168" s="407"/>
      <c r="BU168" s="407"/>
      <c r="BV168" s="407"/>
      <c r="BW168" s="407"/>
      <c r="BX168" s="407"/>
      <c r="BY168" s="407"/>
      <c r="BZ168" s="407"/>
      <c r="CA168" s="407"/>
      <c r="CB168" s="407"/>
      <c r="CC168" s="407"/>
      <c r="CD168" s="407"/>
      <c r="CE168" s="407"/>
      <c r="CF168" s="407"/>
    </row>
    <row r="169" spans="1:84">
      <c r="A169" s="406"/>
      <c r="B169" s="406"/>
      <c r="C169" s="406"/>
      <c r="D169" s="406"/>
      <c r="E169" s="406"/>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c r="AN169" s="406"/>
      <c r="AO169" s="406"/>
      <c r="AP169" s="406"/>
      <c r="AQ169" s="406"/>
      <c r="AR169" s="406"/>
      <c r="AS169" s="406"/>
      <c r="AT169" s="406"/>
      <c r="AU169" s="406"/>
      <c r="AV169" s="406"/>
      <c r="AW169" s="406"/>
      <c r="AX169" s="406"/>
      <c r="AY169" s="406"/>
      <c r="AZ169" s="406"/>
      <c r="BA169" s="406"/>
      <c r="BB169" s="406"/>
      <c r="BC169" s="406"/>
      <c r="BD169" s="406"/>
      <c r="BE169" s="406"/>
      <c r="BF169" s="406"/>
      <c r="BG169" s="406"/>
      <c r="BH169" s="406"/>
      <c r="BI169" s="406"/>
      <c r="BJ169" s="406"/>
      <c r="BK169" s="407"/>
      <c r="BL169" s="407"/>
      <c r="BM169" s="407"/>
      <c r="BN169" s="407"/>
      <c r="BO169" s="407"/>
      <c r="BP169" s="407"/>
      <c r="BQ169" s="407"/>
      <c r="BR169" s="407"/>
      <c r="BS169" s="407"/>
      <c r="BT169" s="407"/>
      <c r="BU169" s="407"/>
      <c r="BV169" s="407"/>
      <c r="BW169" s="407"/>
      <c r="BX169" s="407"/>
      <c r="BY169" s="407"/>
      <c r="BZ169" s="407"/>
      <c r="CA169" s="407"/>
      <c r="CB169" s="407"/>
      <c r="CC169" s="407"/>
      <c r="CD169" s="407"/>
      <c r="CE169" s="407"/>
      <c r="CF169" s="407"/>
    </row>
    <row r="170" spans="1:84">
      <c r="A170" s="406"/>
      <c r="B170" s="406"/>
      <c r="C170" s="406"/>
      <c r="D170" s="406"/>
      <c r="E170" s="406"/>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c r="AN170" s="406"/>
      <c r="AO170" s="406"/>
      <c r="AP170" s="406"/>
      <c r="AQ170" s="406"/>
      <c r="AR170" s="406"/>
      <c r="AS170" s="406"/>
      <c r="AT170" s="406"/>
      <c r="AU170" s="406"/>
      <c r="AV170" s="406"/>
      <c r="AW170" s="406"/>
      <c r="AX170" s="406"/>
      <c r="AY170" s="406"/>
      <c r="AZ170" s="406"/>
      <c r="BA170" s="406"/>
      <c r="BB170" s="406"/>
      <c r="BC170" s="406"/>
      <c r="BD170" s="406"/>
      <c r="BE170" s="406"/>
      <c r="BF170" s="406"/>
      <c r="BG170" s="406"/>
      <c r="BH170" s="406"/>
      <c r="BI170" s="406"/>
      <c r="BJ170" s="406"/>
      <c r="BK170" s="407"/>
      <c r="BL170" s="407"/>
      <c r="BM170" s="407"/>
      <c r="BN170" s="407"/>
      <c r="BO170" s="407"/>
      <c r="BP170" s="407"/>
      <c r="BQ170" s="407"/>
      <c r="BR170" s="407"/>
      <c r="BS170" s="407"/>
      <c r="BT170" s="407"/>
      <c r="BU170" s="407"/>
      <c r="BV170" s="407"/>
      <c r="BW170" s="407"/>
      <c r="BX170" s="407"/>
      <c r="BY170" s="407"/>
      <c r="BZ170" s="407"/>
      <c r="CA170" s="407"/>
      <c r="CB170" s="407"/>
      <c r="CC170" s="407"/>
      <c r="CD170" s="407"/>
      <c r="CE170" s="407"/>
      <c r="CF170" s="407"/>
    </row>
    <row r="171" spans="1:84">
      <c r="A171" s="406"/>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406"/>
      <c r="AO171" s="406"/>
      <c r="AP171" s="406"/>
      <c r="AQ171" s="406"/>
      <c r="AR171" s="406"/>
      <c r="AS171" s="406"/>
      <c r="AT171" s="406"/>
      <c r="AU171" s="406"/>
      <c r="AV171" s="406"/>
      <c r="AW171" s="406"/>
      <c r="AX171" s="406"/>
      <c r="AY171" s="406"/>
      <c r="AZ171" s="406"/>
      <c r="BA171" s="406"/>
      <c r="BB171" s="406"/>
      <c r="BC171" s="406"/>
      <c r="BD171" s="406"/>
      <c r="BE171" s="406"/>
      <c r="BF171" s="406"/>
      <c r="BG171" s="406"/>
      <c r="BH171" s="406"/>
      <c r="BI171" s="406"/>
      <c r="BJ171" s="406"/>
      <c r="BK171" s="407"/>
      <c r="BL171" s="407"/>
      <c r="BM171" s="407"/>
      <c r="BN171" s="407"/>
      <c r="BO171" s="407"/>
      <c r="BP171" s="407"/>
      <c r="BQ171" s="407"/>
      <c r="BR171" s="407"/>
      <c r="BS171" s="407"/>
      <c r="BT171" s="407"/>
      <c r="BU171" s="407"/>
      <c r="BV171" s="407"/>
      <c r="BW171" s="407"/>
      <c r="BX171" s="407"/>
      <c r="BY171" s="407"/>
      <c r="BZ171" s="407"/>
      <c r="CA171" s="407"/>
      <c r="CB171" s="407"/>
      <c r="CC171" s="407"/>
      <c r="CD171" s="407"/>
      <c r="CE171" s="407"/>
      <c r="CF171" s="407"/>
    </row>
    <row r="172" spans="1:84">
      <c r="A172" s="406"/>
      <c r="B172" s="406"/>
      <c r="C172" s="406"/>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7"/>
      <c r="BL172" s="407"/>
      <c r="BM172" s="407"/>
      <c r="BN172" s="407"/>
      <c r="BO172" s="407"/>
      <c r="BP172" s="407"/>
      <c r="BQ172" s="407"/>
      <c r="BR172" s="407"/>
      <c r="BS172" s="407"/>
      <c r="BT172" s="407"/>
      <c r="BU172" s="407"/>
      <c r="BV172" s="407"/>
      <c r="BW172" s="407"/>
      <c r="BX172" s="407"/>
      <c r="BY172" s="407"/>
      <c r="BZ172" s="407"/>
      <c r="CA172" s="407"/>
      <c r="CB172" s="407"/>
      <c r="CC172" s="407"/>
      <c r="CD172" s="407"/>
      <c r="CE172" s="407"/>
      <c r="CF172" s="407"/>
    </row>
    <row r="173" spans="1:84">
      <c r="A173" s="406"/>
      <c r="B173" s="406"/>
      <c r="C173" s="406"/>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7"/>
      <c r="BL173" s="407"/>
      <c r="BM173" s="407"/>
      <c r="BN173" s="407"/>
      <c r="BO173" s="407"/>
      <c r="BP173" s="407"/>
      <c r="BQ173" s="407"/>
      <c r="BR173" s="407"/>
      <c r="BS173" s="407"/>
      <c r="BT173" s="407"/>
      <c r="BU173" s="407"/>
      <c r="BV173" s="407"/>
      <c r="BW173" s="407"/>
      <c r="BX173" s="407"/>
      <c r="BY173" s="407"/>
      <c r="BZ173" s="407"/>
      <c r="CA173" s="407"/>
      <c r="CB173" s="407"/>
      <c r="CC173" s="407"/>
      <c r="CD173" s="407"/>
      <c r="CE173" s="407"/>
      <c r="CF173" s="407"/>
    </row>
    <row r="174" spans="1:84">
      <c r="A174" s="406"/>
      <c r="B174" s="406"/>
      <c r="C174" s="406"/>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7"/>
      <c r="BL174" s="407"/>
      <c r="BM174" s="407"/>
      <c r="BN174" s="407"/>
      <c r="BO174" s="407"/>
      <c r="BP174" s="407"/>
      <c r="BQ174" s="407"/>
      <c r="BR174" s="407"/>
      <c r="BS174" s="407"/>
      <c r="BT174" s="407"/>
      <c r="BU174" s="407"/>
      <c r="BV174" s="407"/>
      <c r="BW174" s="407"/>
      <c r="BX174" s="407"/>
      <c r="BY174" s="407"/>
      <c r="BZ174" s="407"/>
      <c r="CA174" s="407"/>
      <c r="CB174" s="407"/>
      <c r="CC174" s="407"/>
      <c r="CD174" s="407"/>
      <c r="CE174" s="407"/>
      <c r="CF174" s="407"/>
    </row>
    <row r="175" spans="1:84">
      <c r="A175" s="406"/>
      <c r="B175" s="406"/>
      <c r="C175" s="406"/>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7"/>
      <c r="BL175" s="407"/>
      <c r="BM175" s="407"/>
      <c r="BN175" s="407"/>
      <c r="BO175" s="407"/>
      <c r="BP175" s="407"/>
      <c r="BQ175" s="407"/>
      <c r="BR175" s="407"/>
      <c r="BS175" s="407"/>
      <c r="BT175" s="407"/>
      <c r="BU175" s="407"/>
      <c r="BV175" s="407"/>
      <c r="BW175" s="407"/>
      <c r="BX175" s="407"/>
      <c r="BY175" s="407"/>
      <c r="BZ175" s="407"/>
      <c r="CA175" s="407"/>
      <c r="CB175" s="407"/>
      <c r="CC175" s="407"/>
      <c r="CD175" s="407"/>
      <c r="CE175" s="407"/>
      <c r="CF175" s="407"/>
    </row>
    <row r="176" spans="1:84">
      <c r="A176" s="406"/>
      <c r="B176" s="406"/>
      <c r="C176" s="406"/>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7"/>
      <c r="BL176" s="407"/>
      <c r="BM176" s="407"/>
      <c r="BN176" s="407"/>
      <c r="BO176" s="407"/>
      <c r="BP176" s="407"/>
      <c r="BQ176" s="407"/>
      <c r="BR176" s="407"/>
      <c r="BS176" s="407"/>
      <c r="BT176" s="407"/>
      <c r="BU176" s="407"/>
      <c r="BV176" s="407"/>
      <c r="BW176" s="407"/>
      <c r="BX176" s="407"/>
      <c r="BY176" s="407"/>
      <c r="BZ176" s="407"/>
      <c r="CA176" s="407"/>
      <c r="CB176" s="407"/>
      <c r="CC176" s="407"/>
      <c r="CD176" s="407"/>
      <c r="CE176" s="407"/>
      <c r="CF176" s="407"/>
    </row>
    <row r="177" spans="1:84">
      <c r="A177" s="406"/>
      <c r="B177" s="406"/>
      <c r="C177" s="406"/>
      <c r="D177" s="406"/>
      <c r="E177" s="406"/>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c r="AN177" s="406"/>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7"/>
      <c r="BL177" s="407"/>
      <c r="BM177" s="407"/>
      <c r="BN177" s="407"/>
      <c r="BO177" s="407"/>
      <c r="BP177" s="407"/>
      <c r="BQ177" s="407"/>
      <c r="BR177" s="407"/>
      <c r="BS177" s="407"/>
      <c r="BT177" s="407"/>
      <c r="BU177" s="407"/>
      <c r="BV177" s="407"/>
      <c r="BW177" s="407"/>
      <c r="BX177" s="407"/>
      <c r="BY177" s="407"/>
      <c r="BZ177" s="407"/>
      <c r="CA177" s="407"/>
      <c r="CB177" s="407"/>
      <c r="CC177" s="407"/>
      <c r="CD177" s="407"/>
      <c r="CE177" s="407"/>
      <c r="CF177" s="407"/>
    </row>
    <row r="178" spans="1:84">
      <c r="A178" s="406"/>
      <c r="B178" s="406"/>
      <c r="C178" s="406"/>
      <c r="D178" s="406"/>
      <c r="E178" s="406"/>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7"/>
      <c r="BL178" s="407"/>
      <c r="BM178" s="407"/>
      <c r="BN178" s="407"/>
      <c r="BO178" s="407"/>
      <c r="BP178" s="407"/>
      <c r="BQ178" s="407"/>
      <c r="BR178" s="407"/>
      <c r="BS178" s="407"/>
      <c r="BT178" s="407"/>
      <c r="BU178" s="407"/>
      <c r="BV178" s="407"/>
      <c r="BW178" s="407"/>
      <c r="BX178" s="407"/>
      <c r="BY178" s="407"/>
      <c r="BZ178" s="407"/>
      <c r="CA178" s="407"/>
      <c r="CB178" s="407"/>
      <c r="CC178" s="407"/>
      <c r="CD178" s="407"/>
      <c r="CE178" s="407"/>
      <c r="CF178" s="407"/>
    </row>
    <row r="179" spans="1:84">
      <c r="A179" s="406"/>
      <c r="B179" s="406"/>
      <c r="C179" s="406"/>
      <c r="D179" s="406"/>
      <c r="E179" s="406"/>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406"/>
      <c r="BI179" s="406"/>
      <c r="BJ179" s="406"/>
      <c r="BK179" s="407"/>
      <c r="BL179" s="407"/>
      <c r="BM179" s="407"/>
      <c r="BN179" s="407"/>
      <c r="BO179" s="407"/>
      <c r="BP179" s="407"/>
      <c r="BQ179" s="407"/>
      <c r="BR179" s="407"/>
      <c r="BS179" s="407"/>
      <c r="BT179" s="407"/>
      <c r="BU179" s="407"/>
      <c r="BV179" s="407"/>
      <c r="BW179" s="407"/>
      <c r="BX179" s="407"/>
      <c r="BY179" s="407"/>
      <c r="BZ179" s="407"/>
      <c r="CA179" s="407"/>
      <c r="CB179" s="407"/>
      <c r="CC179" s="407"/>
      <c r="CD179" s="407"/>
      <c r="CE179" s="407"/>
      <c r="CF179" s="407"/>
    </row>
    <row r="180" spans="1:84">
      <c r="A180" s="406"/>
      <c r="B180" s="406"/>
      <c r="C180" s="406"/>
      <c r="D180" s="406"/>
      <c r="E180" s="406"/>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c r="AN180" s="406"/>
      <c r="AO180" s="406"/>
      <c r="AP180" s="406"/>
      <c r="AQ180" s="406"/>
      <c r="AR180" s="406"/>
      <c r="AS180" s="406"/>
      <c r="AT180" s="406"/>
      <c r="AU180" s="406"/>
      <c r="AV180" s="406"/>
      <c r="AW180" s="406"/>
      <c r="AX180" s="406"/>
      <c r="AY180" s="406"/>
      <c r="AZ180" s="406"/>
      <c r="BA180" s="406"/>
      <c r="BB180" s="406"/>
      <c r="BC180" s="406"/>
      <c r="BD180" s="406"/>
      <c r="BE180" s="406"/>
      <c r="BF180" s="406"/>
      <c r="BG180" s="406"/>
      <c r="BH180" s="406"/>
      <c r="BI180" s="406"/>
      <c r="BJ180" s="406"/>
      <c r="BK180" s="407"/>
      <c r="BL180" s="407"/>
      <c r="BM180" s="407"/>
      <c r="BN180" s="407"/>
      <c r="BO180" s="407"/>
      <c r="BP180" s="407"/>
      <c r="BQ180" s="407"/>
      <c r="BR180" s="407"/>
      <c r="BS180" s="407"/>
      <c r="BT180" s="407"/>
      <c r="BU180" s="407"/>
      <c r="BV180" s="407"/>
      <c r="BW180" s="407"/>
      <c r="BX180" s="407"/>
      <c r="BY180" s="407"/>
      <c r="BZ180" s="407"/>
      <c r="CA180" s="407"/>
      <c r="CB180" s="407"/>
      <c r="CC180" s="407"/>
      <c r="CD180" s="407"/>
      <c r="CE180" s="407"/>
      <c r="CF180" s="407"/>
    </row>
    <row r="181" spans="1:84">
      <c r="A181" s="406"/>
      <c r="B181" s="406"/>
      <c r="C181" s="406"/>
      <c r="D181" s="406"/>
      <c r="E181" s="406"/>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c r="AN181" s="406"/>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7"/>
      <c r="BL181" s="407"/>
      <c r="BM181" s="407"/>
      <c r="BN181" s="407"/>
      <c r="BO181" s="407"/>
      <c r="BP181" s="407"/>
      <c r="BQ181" s="407"/>
      <c r="BR181" s="407"/>
      <c r="BS181" s="407"/>
      <c r="BT181" s="407"/>
      <c r="BU181" s="407"/>
      <c r="BV181" s="407"/>
      <c r="BW181" s="407"/>
      <c r="BX181" s="407"/>
      <c r="BY181" s="407"/>
      <c r="BZ181" s="407"/>
      <c r="CA181" s="407"/>
      <c r="CB181" s="407"/>
      <c r="CC181" s="407"/>
      <c r="CD181" s="407"/>
      <c r="CE181" s="407"/>
      <c r="CF181" s="407"/>
    </row>
    <row r="182" spans="1:84">
      <c r="A182" s="406"/>
      <c r="B182" s="406"/>
      <c r="C182" s="406"/>
      <c r="D182" s="406"/>
      <c r="E182" s="406"/>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406"/>
      <c r="AO182" s="406"/>
      <c r="AP182" s="406"/>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7"/>
      <c r="BL182" s="407"/>
      <c r="BM182" s="407"/>
      <c r="BN182" s="407"/>
      <c r="BO182" s="407"/>
      <c r="BP182" s="407"/>
      <c r="BQ182" s="407"/>
      <c r="BR182" s="407"/>
      <c r="BS182" s="407"/>
      <c r="BT182" s="407"/>
      <c r="BU182" s="407"/>
      <c r="BV182" s="407"/>
      <c r="BW182" s="407"/>
      <c r="BX182" s="407"/>
      <c r="BY182" s="407"/>
      <c r="BZ182" s="407"/>
      <c r="CA182" s="407"/>
      <c r="CB182" s="407"/>
      <c r="CC182" s="407"/>
      <c r="CD182" s="407"/>
      <c r="CE182" s="407"/>
      <c r="CF182" s="407"/>
    </row>
    <row r="183" spans="1:84">
      <c r="A183" s="406"/>
      <c r="B183" s="406"/>
      <c r="C183" s="406"/>
      <c r="D183" s="406"/>
      <c r="E183" s="406"/>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7"/>
      <c r="BL183" s="407"/>
      <c r="BM183" s="407"/>
      <c r="BN183" s="407"/>
      <c r="BO183" s="407"/>
      <c r="BP183" s="407"/>
      <c r="BQ183" s="407"/>
      <c r="BR183" s="407"/>
      <c r="BS183" s="407"/>
      <c r="BT183" s="407"/>
      <c r="BU183" s="407"/>
      <c r="BV183" s="407"/>
      <c r="BW183" s="407"/>
      <c r="BX183" s="407"/>
      <c r="BY183" s="407"/>
      <c r="BZ183" s="407"/>
      <c r="CA183" s="407"/>
      <c r="CB183" s="407"/>
      <c r="CC183" s="407"/>
      <c r="CD183" s="407"/>
      <c r="CE183" s="407"/>
      <c r="CF183" s="407"/>
    </row>
    <row r="184" spans="1:84">
      <c r="A184" s="406"/>
      <c r="B184" s="406"/>
      <c r="C184" s="406"/>
      <c r="D184" s="406"/>
      <c r="E184" s="406"/>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406"/>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7"/>
      <c r="BL184" s="407"/>
      <c r="BM184" s="407"/>
      <c r="BN184" s="407"/>
      <c r="BO184" s="407"/>
      <c r="BP184" s="407"/>
      <c r="BQ184" s="407"/>
      <c r="BR184" s="407"/>
      <c r="BS184" s="407"/>
      <c r="BT184" s="407"/>
      <c r="BU184" s="407"/>
      <c r="BV184" s="407"/>
      <c r="BW184" s="407"/>
      <c r="BX184" s="407"/>
      <c r="BY184" s="407"/>
      <c r="BZ184" s="407"/>
      <c r="CA184" s="407"/>
      <c r="CB184" s="407"/>
      <c r="CC184" s="407"/>
      <c r="CD184" s="407"/>
      <c r="CE184" s="407"/>
      <c r="CF184" s="407"/>
    </row>
    <row r="185" spans="1:84">
      <c r="A185" s="406"/>
      <c r="B185" s="406"/>
      <c r="C185" s="406"/>
      <c r="D185" s="406"/>
      <c r="E185" s="406"/>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7"/>
      <c r="BL185" s="407"/>
      <c r="BM185" s="407"/>
      <c r="BN185" s="407"/>
      <c r="BO185" s="407"/>
      <c r="BP185" s="407"/>
      <c r="BQ185" s="407"/>
      <c r="BR185" s="407"/>
      <c r="BS185" s="407"/>
      <c r="BT185" s="407"/>
      <c r="BU185" s="407"/>
      <c r="BV185" s="407"/>
      <c r="BW185" s="407"/>
      <c r="BX185" s="407"/>
      <c r="BY185" s="407"/>
      <c r="BZ185" s="407"/>
      <c r="CA185" s="407"/>
      <c r="CB185" s="407"/>
      <c r="CC185" s="407"/>
      <c r="CD185" s="407"/>
      <c r="CE185" s="407"/>
      <c r="CF185" s="407"/>
    </row>
    <row r="186" spans="1:84">
      <c r="A186" s="406"/>
      <c r="B186" s="406"/>
      <c r="C186" s="406"/>
      <c r="D186" s="406"/>
      <c r="E186" s="406"/>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40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7"/>
      <c r="BL186" s="407"/>
      <c r="BM186" s="407"/>
      <c r="BN186" s="407"/>
      <c r="BO186" s="407"/>
      <c r="BP186" s="407"/>
      <c r="BQ186" s="407"/>
      <c r="BR186" s="407"/>
      <c r="BS186" s="407"/>
      <c r="BT186" s="407"/>
      <c r="BU186" s="407"/>
      <c r="BV186" s="407"/>
      <c r="BW186" s="407"/>
      <c r="BX186" s="407"/>
      <c r="BY186" s="407"/>
      <c r="BZ186" s="407"/>
      <c r="CA186" s="407"/>
      <c r="CB186" s="407"/>
      <c r="CC186" s="407"/>
      <c r="CD186" s="407"/>
      <c r="CE186" s="407"/>
      <c r="CF186" s="407"/>
    </row>
    <row r="187" spans="1:84">
      <c r="A187" s="406"/>
      <c r="B187" s="406"/>
      <c r="C187" s="406"/>
      <c r="D187" s="406"/>
      <c r="E187" s="406"/>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7"/>
      <c r="BL187" s="407"/>
      <c r="BM187" s="407"/>
      <c r="BN187" s="407"/>
      <c r="BO187" s="407"/>
      <c r="BP187" s="407"/>
      <c r="BQ187" s="407"/>
      <c r="BR187" s="407"/>
      <c r="BS187" s="407"/>
      <c r="BT187" s="407"/>
      <c r="BU187" s="407"/>
      <c r="BV187" s="407"/>
      <c r="BW187" s="407"/>
      <c r="BX187" s="407"/>
      <c r="BY187" s="407"/>
      <c r="BZ187" s="407"/>
      <c r="CA187" s="407"/>
      <c r="CB187" s="407"/>
      <c r="CC187" s="407"/>
      <c r="CD187" s="407"/>
      <c r="CE187" s="407"/>
      <c r="CF187" s="407"/>
    </row>
    <row r="188" spans="1:84">
      <c r="A188" s="406"/>
      <c r="B188" s="406"/>
      <c r="C188" s="406"/>
      <c r="D188" s="406"/>
      <c r="E188" s="406"/>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7"/>
      <c r="BL188" s="407"/>
      <c r="BM188" s="407"/>
      <c r="BN188" s="407"/>
      <c r="BO188" s="407"/>
      <c r="BP188" s="407"/>
      <c r="BQ188" s="407"/>
      <c r="BR188" s="407"/>
      <c r="BS188" s="407"/>
      <c r="BT188" s="407"/>
      <c r="BU188" s="407"/>
      <c r="BV188" s="407"/>
      <c r="BW188" s="407"/>
      <c r="BX188" s="407"/>
      <c r="BY188" s="407"/>
      <c r="BZ188" s="407"/>
      <c r="CA188" s="407"/>
      <c r="CB188" s="407"/>
      <c r="CC188" s="407"/>
      <c r="CD188" s="407"/>
      <c r="CE188" s="407"/>
      <c r="CF188" s="407"/>
    </row>
    <row r="189" spans="1:84">
      <c r="A189" s="406"/>
      <c r="B189" s="406"/>
      <c r="C189" s="406"/>
      <c r="D189" s="406"/>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7"/>
      <c r="BL189" s="407"/>
      <c r="BM189" s="407"/>
      <c r="BN189" s="407"/>
      <c r="BO189" s="407"/>
      <c r="BP189" s="407"/>
      <c r="BQ189" s="407"/>
      <c r="BR189" s="407"/>
      <c r="BS189" s="407"/>
      <c r="BT189" s="407"/>
      <c r="BU189" s="407"/>
      <c r="BV189" s="407"/>
      <c r="BW189" s="407"/>
      <c r="BX189" s="407"/>
      <c r="BY189" s="407"/>
      <c r="BZ189" s="407"/>
      <c r="CA189" s="407"/>
      <c r="CB189" s="407"/>
      <c r="CC189" s="407"/>
      <c r="CD189" s="407"/>
      <c r="CE189" s="407"/>
      <c r="CF189" s="407"/>
    </row>
    <row r="190" spans="1:84">
      <c r="A190" s="406"/>
      <c r="B190" s="406"/>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7"/>
      <c r="BL190" s="407"/>
      <c r="BM190" s="407"/>
      <c r="BN190" s="407"/>
      <c r="BO190" s="407"/>
      <c r="BP190" s="407"/>
      <c r="BQ190" s="407"/>
      <c r="BR190" s="407"/>
      <c r="BS190" s="407"/>
      <c r="BT190" s="407"/>
      <c r="BU190" s="407"/>
      <c r="BV190" s="407"/>
      <c r="BW190" s="407"/>
      <c r="BX190" s="407"/>
      <c r="BY190" s="407"/>
      <c r="BZ190" s="407"/>
      <c r="CA190" s="407"/>
      <c r="CB190" s="407"/>
      <c r="CC190" s="407"/>
      <c r="CD190" s="407"/>
      <c r="CE190" s="407"/>
      <c r="CF190" s="407"/>
    </row>
    <row r="191" spans="1:84">
      <c r="A191" s="406"/>
      <c r="B191" s="406"/>
      <c r="C191" s="406"/>
      <c r="D191" s="406"/>
      <c r="E191" s="406"/>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7"/>
      <c r="BL191" s="407"/>
      <c r="BM191" s="407"/>
      <c r="BN191" s="407"/>
      <c r="BO191" s="407"/>
      <c r="BP191" s="407"/>
      <c r="BQ191" s="407"/>
      <c r="BR191" s="407"/>
      <c r="BS191" s="407"/>
      <c r="BT191" s="407"/>
      <c r="BU191" s="407"/>
      <c r="BV191" s="407"/>
      <c r="BW191" s="407"/>
      <c r="BX191" s="407"/>
      <c r="BY191" s="407"/>
      <c r="BZ191" s="407"/>
      <c r="CA191" s="407"/>
      <c r="CB191" s="407"/>
      <c r="CC191" s="407"/>
      <c r="CD191" s="407"/>
      <c r="CE191" s="407"/>
      <c r="CF191" s="407"/>
    </row>
    <row r="192" spans="1:84">
      <c r="A192" s="406"/>
      <c r="B192" s="406"/>
      <c r="C192" s="406"/>
      <c r="D192" s="406"/>
      <c r="E192" s="406"/>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7"/>
      <c r="BL192" s="407"/>
      <c r="BM192" s="407"/>
      <c r="BN192" s="407"/>
      <c r="BO192" s="407"/>
      <c r="BP192" s="407"/>
      <c r="BQ192" s="407"/>
      <c r="BR192" s="407"/>
      <c r="BS192" s="407"/>
      <c r="BT192" s="407"/>
      <c r="BU192" s="407"/>
      <c r="BV192" s="407"/>
      <c r="BW192" s="407"/>
      <c r="BX192" s="407"/>
      <c r="BY192" s="407"/>
      <c r="BZ192" s="407"/>
      <c r="CA192" s="407"/>
      <c r="CB192" s="407"/>
      <c r="CC192" s="407"/>
      <c r="CD192" s="407"/>
      <c r="CE192" s="407"/>
      <c r="CF192" s="407"/>
    </row>
    <row r="193" spans="1:84">
      <c r="A193" s="406"/>
      <c r="B193" s="406"/>
      <c r="C193" s="406"/>
      <c r="D193" s="406"/>
      <c r="E193" s="406"/>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c r="AN193" s="406"/>
      <c r="AO193" s="406"/>
      <c r="AP193" s="406"/>
      <c r="AQ193" s="406"/>
      <c r="AR193" s="406"/>
      <c r="AS193" s="406"/>
      <c r="AT193" s="406"/>
      <c r="AU193" s="406"/>
      <c r="AV193" s="406"/>
      <c r="AW193" s="406"/>
      <c r="AX193" s="406"/>
      <c r="AY193" s="406"/>
      <c r="AZ193" s="406"/>
      <c r="BA193" s="406"/>
      <c r="BB193" s="406"/>
      <c r="BC193" s="406"/>
      <c r="BD193" s="406"/>
      <c r="BE193" s="406"/>
      <c r="BF193" s="406"/>
      <c r="BG193" s="406"/>
      <c r="BH193" s="406"/>
      <c r="BI193" s="406"/>
      <c r="BJ193" s="406"/>
      <c r="BK193" s="407"/>
      <c r="BL193" s="407"/>
      <c r="BM193" s="407"/>
      <c r="BN193" s="407"/>
      <c r="BO193" s="407"/>
      <c r="BP193" s="407"/>
      <c r="BQ193" s="407"/>
      <c r="BR193" s="407"/>
      <c r="BS193" s="407"/>
      <c r="BT193" s="407"/>
      <c r="BU193" s="407"/>
      <c r="BV193" s="407"/>
      <c r="BW193" s="407"/>
      <c r="BX193" s="407"/>
      <c r="BY193" s="407"/>
      <c r="BZ193" s="407"/>
      <c r="CA193" s="407"/>
      <c r="CB193" s="407"/>
      <c r="CC193" s="407"/>
      <c r="CD193" s="407"/>
      <c r="CE193" s="407"/>
      <c r="CF193" s="407"/>
    </row>
    <row r="194" spans="1:84">
      <c r="A194" s="406"/>
      <c r="B194" s="406"/>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7"/>
      <c r="BL194" s="407"/>
      <c r="BM194" s="407"/>
      <c r="BN194" s="407"/>
      <c r="BO194" s="407"/>
      <c r="BP194" s="407"/>
      <c r="BQ194" s="407"/>
      <c r="BR194" s="407"/>
      <c r="BS194" s="407"/>
      <c r="BT194" s="407"/>
      <c r="BU194" s="407"/>
      <c r="BV194" s="407"/>
      <c r="BW194" s="407"/>
      <c r="BX194" s="407"/>
      <c r="BY194" s="407"/>
      <c r="BZ194" s="407"/>
      <c r="CA194" s="407"/>
      <c r="CB194" s="407"/>
      <c r="CC194" s="407"/>
      <c r="CD194" s="407"/>
      <c r="CE194" s="407"/>
      <c r="CF194" s="407"/>
    </row>
    <row r="195" spans="1:84">
      <c r="A195" s="406"/>
      <c r="B195" s="406"/>
      <c r="C195" s="406"/>
      <c r="D195" s="406"/>
      <c r="E195" s="406"/>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c r="AN195" s="406"/>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7"/>
      <c r="BL195" s="407"/>
      <c r="BM195" s="407"/>
      <c r="BN195" s="407"/>
      <c r="BO195" s="407"/>
      <c r="BP195" s="407"/>
      <c r="BQ195" s="407"/>
      <c r="BR195" s="407"/>
      <c r="BS195" s="407"/>
      <c r="BT195" s="407"/>
      <c r="BU195" s="407"/>
      <c r="BV195" s="407"/>
      <c r="BW195" s="407"/>
      <c r="BX195" s="407"/>
      <c r="BY195" s="407"/>
      <c r="BZ195" s="407"/>
      <c r="CA195" s="407"/>
      <c r="CB195" s="407"/>
      <c r="CC195" s="407"/>
      <c r="CD195" s="407"/>
      <c r="CE195" s="407"/>
      <c r="CF195" s="407"/>
    </row>
    <row r="196" spans="1:84">
      <c r="A196" s="406"/>
      <c r="B196" s="406"/>
      <c r="C196" s="406"/>
      <c r="D196" s="406"/>
      <c r="E196" s="406"/>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c r="AN196" s="40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7"/>
      <c r="BL196" s="407"/>
      <c r="BM196" s="407"/>
      <c r="BN196" s="407"/>
      <c r="BO196" s="407"/>
      <c r="BP196" s="407"/>
      <c r="BQ196" s="407"/>
      <c r="BR196" s="407"/>
      <c r="BS196" s="407"/>
      <c r="BT196" s="407"/>
      <c r="BU196" s="407"/>
      <c r="BV196" s="407"/>
      <c r="BW196" s="407"/>
      <c r="BX196" s="407"/>
      <c r="BY196" s="407"/>
      <c r="BZ196" s="407"/>
      <c r="CA196" s="407"/>
      <c r="CB196" s="407"/>
      <c r="CC196" s="407"/>
      <c r="CD196" s="407"/>
      <c r="CE196" s="407"/>
      <c r="CF196" s="407"/>
    </row>
    <row r="197" spans="1:84">
      <c r="A197" s="406"/>
      <c r="B197" s="406"/>
      <c r="C197" s="406"/>
      <c r="D197" s="406"/>
      <c r="E197" s="406"/>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406"/>
      <c r="AO197" s="406"/>
      <c r="AP197" s="406"/>
      <c r="AQ197" s="406"/>
      <c r="AR197" s="406"/>
      <c r="AS197" s="406"/>
      <c r="AT197" s="406"/>
      <c r="AU197" s="406"/>
      <c r="AV197" s="406"/>
      <c r="AW197" s="406"/>
      <c r="AX197" s="406"/>
      <c r="AY197" s="406"/>
      <c r="AZ197" s="406"/>
      <c r="BA197" s="406"/>
      <c r="BB197" s="406"/>
      <c r="BC197" s="406"/>
      <c r="BD197" s="406"/>
      <c r="BE197" s="406"/>
      <c r="BF197" s="406"/>
      <c r="BG197" s="406"/>
      <c r="BH197" s="406"/>
      <c r="BI197" s="406"/>
      <c r="BJ197" s="406"/>
      <c r="BK197" s="407"/>
      <c r="BL197" s="407"/>
      <c r="BM197" s="407"/>
      <c r="BN197" s="407"/>
      <c r="BO197" s="407"/>
      <c r="BP197" s="407"/>
      <c r="BQ197" s="407"/>
      <c r="BR197" s="407"/>
      <c r="BS197" s="407"/>
      <c r="BT197" s="407"/>
      <c r="BU197" s="407"/>
      <c r="BV197" s="407"/>
      <c r="BW197" s="407"/>
      <c r="BX197" s="407"/>
      <c r="BY197" s="407"/>
      <c r="BZ197" s="407"/>
      <c r="CA197" s="407"/>
      <c r="CB197" s="407"/>
      <c r="CC197" s="407"/>
      <c r="CD197" s="407"/>
      <c r="CE197" s="407"/>
      <c r="CF197" s="407"/>
    </row>
    <row r="198" spans="1:84">
      <c r="A198" s="406"/>
      <c r="B198" s="406"/>
      <c r="C198" s="406"/>
      <c r="D198" s="406"/>
      <c r="E198" s="406"/>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406"/>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7"/>
      <c r="BL198" s="407"/>
      <c r="BM198" s="407"/>
      <c r="BN198" s="407"/>
      <c r="BO198" s="407"/>
      <c r="BP198" s="407"/>
      <c r="BQ198" s="407"/>
      <c r="BR198" s="407"/>
      <c r="BS198" s="407"/>
      <c r="BT198" s="407"/>
      <c r="BU198" s="407"/>
      <c r="BV198" s="407"/>
      <c r="BW198" s="407"/>
      <c r="BX198" s="407"/>
      <c r="BY198" s="407"/>
      <c r="BZ198" s="407"/>
      <c r="CA198" s="407"/>
      <c r="CB198" s="407"/>
      <c r="CC198" s="407"/>
      <c r="CD198" s="407"/>
      <c r="CE198" s="407"/>
      <c r="CF198" s="407"/>
    </row>
    <row r="199" spans="1:84">
      <c r="A199" s="406"/>
      <c r="B199" s="406"/>
      <c r="C199" s="406"/>
      <c r="D199" s="406"/>
      <c r="E199" s="406"/>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7"/>
      <c r="BL199" s="407"/>
      <c r="BM199" s="407"/>
      <c r="BN199" s="407"/>
      <c r="BO199" s="407"/>
      <c r="BP199" s="407"/>
      <c r="BQ199" s="407"/>
      <c r="BR199" s="407"/>
      <c r="BS199" s="407"/>
      <c r="BT199" s="407"/>
      <c r="BU199" s="407"/>
      <c r="BV199" s="407"/>
      <c r="BW199" s="407"/>
      <c r="BX199" s="407"/>
      <c r="BY199" s="407"/>
      <c r="BZ199" s="407"/>
      <c r="CA199" s="407"/>
      <c r="CB199" s="407"/>
      <c r="CC199" s="407"/>
      <c r="CD199" s="407"/>
      <c r="CE199" s="407"/>
      <c r="CF199" s="407"/>
    </row>
    <row r="200" spans="1:84">
      <c r="A200" s="406"/>
      <c r="B200" s="406"/>
      <c r="C200" s="406"/>
      <c r="D200" s="406"/>
      <c r="E200" s="406"/>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7"/>
      <c r="BL200" s="407"/>
      <c r="BM200" s="407"/>
      <c r="BN200" s="407"/>
      <c r="BO200" s="407"/>
      <c r="BP200" s="407"/>
      <c r="BQ200" s="407"/>
      <c r="BR200" s="407"/>
      <c r="BS200" s="407"/>
      <c r="BT200" s="407"/>
      <c r="BU200" s="407"/>
      <c r="BV200" s="407"/>
      <c r="BW200" s="407"/>
      <c r="BX200" s="407"/>
      <c r="BY200" s="407"/>
      <c r="BZ200" s="407"/>
      <c r="CA200" s="407"/>
      <c r="CB200" s="407"/>
      <c r="CC200" s="407"/>
      <c r="CD200" s="407"/>
      <c r="CE200" s="407"/>
      <c r="CF200" s="407"/>
    </row>
    <row r="201" spans="1:84">
      <c r="A201" s="406"/>
      <c r="B201" s="406"/>
      <c r="C201" s="406"/>
      <c r="D201" s="406"/>
      <c r="E201" s="406"/>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7"/>
      <c r="BL201" s="407"/>
      <c r="BM201" s="407"/>
      <c r="BN201" s="407"/>
      <c r="BO201" s="407"/>
      <c r="BP201" s="407"/>
      <c r="BQ201" s="407"/>
      <c r="BR201" s="407"/>
      <c r="BS201" s="407"/>
      <c r="BT201" s="407"/>
      <c r="BU201" s="407"/>
      <c r="BV201" s="407"/>
      <c r="BW201" s="407"/>
      <c r="BX201" s="407"/>
      <c r="BY201" s="407"/>
      <c r="BZ201" s="407"/>
      <c r="CA201" s="407"/>
      <c r="CB201" s="407"/>
      <c r="CC201" s="407"/>
      <c r="CD201" s="407"/>
      <c r="CE201" s="407"/>
      <c r="CF201" s="407"/>
    </row>
    <row r="202" spans="1:84">
      <c r="A202" s="406"/>
      <c r="B202" s="406"/>
      <c r="C202" s="406"/>
      <c r="D202" s="406"/>
      <c r="E202" s="406"/>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7"/>
      <c r="BL202" s="407"/>
      <c r="BM202" s="407"/>
      <c r="BN202" s="407"/>
      <c r="BO202" s="407"/>
      <c r="BP202" s="407"/>
      <c r="BQ202" s="407"/>
      <c r="BR202" s="407"/>
      <c r="BS202" s="407"/>
      <c r="BT202" s="407"/>
      <c r="BU202" s="407"/>
      <c r="BV202" s="407"/>
      <c r="BW202" s="407"/>
      <c r="BX202" s="407"/>
      <c r="BY202" s="407"/>
      <c r="BZ202" s="407"/>
      <c r="CA202" s="407"/>
      <c r="CB202" s="407"/>
      <c r="CC202" s="407"/>
      <c r="CD202" s="407"/>
      <c r="CE202" s="407"/>
      <c r="CF202" s="407"/>
    </row>
    <row r="203" spans="1:84">
      <c r="A203" s="406"/>
      <c r="B203" s="406"/>
      <c r="C203" s="406"/>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7"/>
      <c r="BL203" s="407"/>
      <c r="BM203" s="407"/>
      <c r="BN203" s="407"/>
      <c r="BO203" s="407"/>
      <c r="BP203" s="407"/>
      <c r="BQ203" s="407"/>
      <c r="BR203" s="407"/>
      <c r="BS203" s="407"/>
      <c r="BT203" s="407"/>
      <c r="BU203" s="407"/>
      <c r="BV203" s="407"/>
      <c r="BW203" s="407"/>
      <c r="BX203" s="407"/>
      <c r="BY203" s="407"/>
      <c r="BZ203" s="407"/>
      <c r="CA203" s="407"/>
      <c r="CB203" s="407"/>
      <c r="CC203" s="407"/>
      <c r="CD203" s="407"/>
      <c r="CE203" s="407"/>
      <c r="CF203" s="407"/>
    </row>
    <row r="204" spans="1:84">
      <c r="A204" s="406"/>
      <c r="B204" s="406"/>
      <c r="C204" s="406"/>
      <c r="D204" s="406"/>
      <c r="E204" s="406"/>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7"/>
      <c r="BL204" s="407"/>
      <c r="BM204" s="407"/>
      <c r="BN204" s="407"/>
      <c r="BO204" s="407"/>
      <c r="BP204" s="407"/>
      <c r="BQ204" s="407"/>
      <c r="BR204" s="407"/>
      <c r="BS204" s="407"/>
      <c r="BT204" s="407"/>
      <c r="BU204" s="407"/>
      <c r="BV204" s="407"/>
      <c r="BW204" s="407"/>
      <c r="BX204" s="407"/>
      <c r="BY204" s="407"/>
      <c r="BZ204" s="407"/>
      <c r="CA204" s="407"/>
      <c r="CB204" s="407"/>
      <c r="CC204" s="407"/>
      <c r="CD204" s="407"/>
      <c r="CE204" s="407"/>
      <c r="CF204" s="407"/>
    </row>
    <row r="205" spans="1:84">
      <c r="A205" s="406"/>
      <c r="B205" s="406"/>
      <c r="C205" s="406"/>
      <c r="D205" s="406"/>
      <c r="E205" s="406"/>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7"/>
      <c r="BL205" s="407"/>
      <c r="BM205" s="407"/>
      <c r="BN205" s="407"/>
      <c r="BO205" s="407"/>
      <c r="BP205" s="407"/>
      <c r="BQ205" s="407"/>
      <c r="BR205" s="407"/>
      <c r="BS205" s="407"/>
      <c r="BT205" s="407"/>
      <c r="BU205" s="407"/>
      <c r="BV205" s="407"/>
      <c r="BW205" s="407"/>
      <c r="BX205" s="407"/>
      <c r="BY205" s="407"/>
      <c r="BZ205" s="407"/>
      <c r="CA205" s="407"/>
      <c r="CB205" s="407"/>
      <c r="CC205" s="407"/>
      <c r="CD205" s="407"/>
      <c r="CE205" s="407"/>
      <c r="CF205" s="407"/>
    </row>
    <row r="206" spans="1:84">
      <c r="A206" s="406"/>
      <c r="B206" s="406"/>
      <c r="C206" s="406"/>
      <c r="D206" s="406"/>
      <c r="E206" s="406"/>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7"/>
      <c r="BL206" s="407"/>
      <c r="BM206" s="407"/>
      <c r="BN206" s="407"/>
      <c r="BO206" s="407"/>
      <c r="BP206" s="407"/>
      <c r="BQ206" s="407"/>
      <c r="BR206" s="407"/>
      <c r="BS206" s="407"/>
      <c r="BT206" s="407"/>
      <c r="BU206" s="407"/>
      <c r="BV206" s="407"/>
      <c r="BW206" s="407"/>
      <c r="BX206" s="407"/>
      <c r="BY206" s="407"/>
      <c r="BZ206" s="407"/>
      <c r="CA206" s="407"/>
      <c r="CB206" s="407"/>
      <c r="CC206" s="407"/>
      <c r="CD206" s="407"/>
      <c r="CE206" s="407"/>
      <c r="CF206" s="407"/>
    </row>
    <row r="207" spans="1:84">
      <c r="A207" s="406"/>
      <c r="B207" s="406"/>
      <c r="C207" s="406"/>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7"/>
      <c r="BL207" s="407"/>
      <c r="BM207" s="407"/>
      <c r="BN207" s="407"/>
      <c r="BO207" s="407"/>
      <c r="BP207" s="407"/>
      <c r="BQ207" s="407"/>
      <c r="BR207" s="407"/>
      <c r="BS207" s="407"/>
      <c r="BT207" s="407"/>
      <c r="BU207" s="407"/>
      <c r="BV207" s="407"/>
      <c r="BW207" s="407"/>
      <c r="BX207" s="407"/>
      <c r="BY207" s="407"/>
      <c r="BZ207" s="407"/>
      <c r="CA207" s="407"/>
      <c r="CB207" s="407"/>
      <c r="CC207" s="407"/>
      <c r="CD207" s="407"/>
      <c r="CE207" s="407"/>
      <c r="CF207" s="407"/>
    </row>
    <row r="208" spans="1:84">
      <c r="A208" s="406"/>
      <c r="B208" s="406"/>
      <c r="C208" s="406"/>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7"/>
      <c r="BL208" s="407"/>
      <c r="BM208" s="407"/>
      <c r="BN208" s="407"/>
      <c r="BO208" s="407"/>
      <c r="BP208" s="407"/>
      <c r="BQ208" s="407"/>
      <c r="BR208" s="407"/>
      <c r="BS208" s="407"/>
      <c r="BT208" s="407"/>
      <c r="BU208" s="407"/>
      <c r="BV208" s="407"/>
      <c r="BW208" s="407"/>
      <c r="BX208" s="407"/>
      <c r="BY208" s="407"/>
      <c r="BZ208" s="407"/>
      <c r="CA208" s="407"/>
      <c r="CB208" s="407"/>
      <c r="CC208" s="407"/>
      <c r="CD208" s="407"/>
      <c r="CE208" s="407"/>
      <c r="CF208" s="407"/>
    </row>
    <row r="209" spans="1:84">
      <c r="A209" s="406"/>
      <c r="B209" s="406"/>
      <c r="C209" s="406"/>
      <c r="D209" s="406"/>
      <c r="E209" s="406"/>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406"/>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7"/>
      <c r="BL209" s="407"/>
      <c r="BM209" s="407"/>
      <c r="BN209" s="407"/>
      <c r="BO209" s="407"/>
      <c r="BP209" s="407"/>
      <c r="BQ209" s="407"/>
      <c r="BR209" s="407"/>
      <c r="BS209" s="407"/>
      <c r="BT209" s="407"/>
      <c r="BU209" s="407"/>
      <c r="BV209" s="407"/>
      <c r="BW209" s="407"/>
      <c r="BX209" s="407"/>
      <c r="BY209" s="407"/>
      <c r="BZ209" s="407"/>
      <c r="CA209" s="407"/>
      <c r="CB209" s="407"/>
      <c r="CC209" s="407"/>
      <c r="CD209" s="407"/>
      <c r="CE209" s="407"/>
      <c r="CF209" s="407"/>
    </row>
    <row r="210" spans="1:84">
      <c r="A210" s="406"/>
      <c r="B210" s="406"/>
      <c r="C210" s="406"/>
      <c r="D210" s="406"/>
      <c r="E210" s="406"/>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c r="AN210" s="406"/>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7"/>
      <c r="BL210" s="407"/>
      <c r="BM210" s="407"/>
      <c r="BN210" s="407"/>
      <c r="BO210" s="407"/>
      <c r="BP210" s="407"/>
      <c r="BQ210" s="407"/>
      <c r="BR210" s="407"/>
      <c r="BS210" s="407"/>
      <c r="BT210" s="407"/>
      <c r="BU210" s="407"/>
      <c r="BV210" s="407"/>
      <c r="BW210" s="407"/>
      <c r="BX210" s="407"/>
      <c r="BY210" s="407"/>
      <c r="BZ210" s="407"/>
      <c r="CA210" s="407"/>
      <c r="CB210" s="407"/>
      <c r="CC210" s="407"/>
      <c r="CD210" s="407"/>
      <c r="CE210" s="407"/>
      <c r="CF210" s="407"/>
    </row>
    <row r="211" spans="1:84">
      <c r="A211" s="406"/>
      <c r="B211" s="406"/>
      <c r="C211" s="406"/>
      <c r="D211" s="406"/>
      <c r="E211" s="406"/>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7"/>
      <c r="BL211" s="407"/>
      <c r="BM211" s="407"/>
      <c r="BN211" s="407"/>
      <c r="BO211" s="407"/>
      <c r="BP211" s="407"/>
      <c r="BQ211" s="407"/>
      <c r="BR211" s="407"/>
      <c r="BS211" s="407"/>
      <c r="BT211" s="407"/>
      <c r="BU211" s="407"/>
      <c r="BV211" s="407"/>
      <c r="BW211" s="407"/>
      <c r="BX211" s="407"/>
      <c r="BY211" s="407"/>
      <c r="BZ211" s="407"/>
      <c r="CA211" s="407"/>
      <c r="CB211" s="407"/>
      <c r="CC211" s="407"/>
      <c r="CD211" s="407"/>
      <c r="CE211" s="407"/>
      <c r="CF211" s="407"/>
    </row>
    <row r="212" spans="1:84">
      <c r="A212" s="406"/>
      <c r="B212" s="406"/>
      <c r="C212" s="406"/>
      <c r="D212" s="406"/>
      <c r="E212" s="406"/>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7"/>
      <c r="BL212" s="407"/>
      <c r="BM212" s="407"/>
      <c r="BN212" s="407"/>
      <c r="BO212" s="407"/>
      <c r="BP212" s="407"/>
      <c r="BQ212" s="407"/>
      <c r="BR212" s="407"/>
      <c r="BS212" s="407"/>
      <c r="BT212" s="407"/>
      <c r="BU212" s="407"/>
      <c r="BV212" s="407"/>
      <c r="BW212" s="407"/>
      <c r="BX212" s="407"/>
      <c r="BY212" s="407"/>
      <c r="BZ212" s="407"/>
      <c r="CA212" s="407"/>
      <c r="CB212" s="407"/>
      <c r="CC212" s="407"/>
      <c r="CD212" s="407"/>
      <c r="CE212" s="407"/>
      <c r="CF212" s="407"/>
    </row>
    <row r="213" spans="1:84">
      <c r="A213" s="406"/>
      <c r="B213" s="406"/>
      <c r="C213" s="406"/>
      <c r="D213" s="406"/>
      <c r="E213" s="406"/>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406"/>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7"/>
      <c r="BL213" s="407"/>
      <c r="BM213" s="407"/>
      <c r="BN213" s="407"/>
      <c r="BO213" s="407"/>
      <c r="BP213" s="407"/>
      <c r="BQ213" s="407"/>
      <c r="BR213" s="407"/>
      <c r="BS213" s="407"/>
      <c r="BT213" s="407"/>
      <c r="BU213" s="407"/>
      <c r="BV213" s="407"/>
      <c r="BW213" s="407"/>
      <c r="BX213" s="407"/>
      <c r="BY213" s="407"/>
      <c r="BZ213" s="407"/>
      <c r="CA213" s="407"/>
      <c r="CB213" s="407"/>
      <c r="CC213" s="407"/>
      <c r="CD213" s="407"/>
      <c r="CE213" s="407"/>
      <c r="CF213" s="407"/>
    </row>
    <row r="214" spans="1:84">
      <c r="A214" s="406"/>
      <c r="B214" s="406"/>
      <c r="C214" s="406"/>
      <c r="D214" s="406"/>
      <c r="E214" s="406"/>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7"/>
      <c r="BL214" s="407"/>
      <c r="BM214" s="407"/>
      <c r="BN214" s="407"/>
      <c r="BO214" s="407"/>
      <c r="BP214" s="407"/>
      <c r="BQ214" s="407"/>
      <c r="BR214" s="407"/>
      <c r="BS214" s="407"/>
      <c r="BT214" s="407"/>
      <c r="BU214" s="407"/>
      <c r="BV214" s="407"/>
      <c r="BW214" s="407"/>
      <c r="BX214" s="407"/>
      <c r="BY214" s="407"/>
      <c r="BZ214" s="407"/>
      <c r="CA214" s="407"/>
      <c r="CB214" s="407"/>
      <c r="CC214" s="407"/>
      <c r="CD214" s="407"/>
      <c r="CE214" s="407"/>
      <c r="CF214" s="407"/>
    </row>
    <row r="215" spans="1:84">
      <c r="A215" s="406"/>
      <c r="B215" s="406"/>
      <c r="C215" s="406"/>
      <c r="D215" s="406"/>
      <c r="E215" s="406"/>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406"/>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7"/>
      <c r="BL215" s="407"/>
      <c r="BM215" s="407"/>
      <c r="BN215" s="407"/>
      <c r="BO215" s="407"/>
      <c r="BP215" s="407"/>
      <c r="BQ215" s="407"/>
      <c r="BR215" s="407"/>
      <c r="BS215" s="407"/>
      <c r="BT215" s="407"/>
      <c r="BU215" s="407"/>
      <c r="BV215" s="407"/>
      <c r="BW215" s="407"/>
      <c r="BX215" s="407"/>
      <c r="BY215" s="407"/>
      <c r="BZ215" s="407"/>
      <c r="CA215" s="407"/>
      <c r="CB215" s="407"/>
      <c r="CC215" s="407"/>
      <c r="CD215" s="407"/>
      <c r="CE215" s="407"/>
      <c r="CF215" s="407"/>
    </row>
    <row r="216" spans="1:84">
      <c r="A216" s="406"/>
      <c r="B216" s="406"/>
      <c r="C216" s="406"/>
      <c r="D216" s="406"/>
      <c r="E216" s="406"/>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c r="AN216" s="406"/>
      <c r="AO216" s="406"/>
      <c r="AP216" s="406"/>
      <c r="AQ216" s="406"/>
      <c r="AR216" s="406"/>
      <c r="AS216" s="406"/>
      <c r="AT216" s="406"/>
      <c r="AU216" s="406"/>
      <c r="AV216" s="406"/>
      <c r="AW216" s="406"/>
      <c r="AX216" s="406"/>
      <c r="AY216" s="406"/>
      <c r="AZ216" s="406"/>
      <c r="BA216" s="406"/>
      <c r="BB216" s="406"/>
      <c r="BC216" s="406"/>
      <c r="BD216" s="406"/>
      <c r="BE216" s="406"/>
      <c r="BF216" s="406"/>
      <c r="BG216" s="406"/>
      <c r="BH216" s="406"/>
      <c r="BI216" s="406"/>
      <c r="BJ216" s="406"/>
      <c r="BK216" s="407"/>
      <c r="BL216" s="407"/>
      <c r="BM216" s="407"/>
      <c r="BN216" s="407"/>
      <c r="BO216" s="407"/>
      <c r="BP216" s="407"/>
      <c r="BQ216" s="407"/>
      <c r="BR216" s="407"/>
      <c r="BS216" s="407"/>
      <c r="BT216" s="407"/>
      <c r="BU216" s="407"/>
      <c r="BV216" s="407"/>
      <c r="BW216" s="407"/>
      <c r="BX216" s="407"/>
      <c r="BY216" s="407"/>
      <c r="BZ216" s="407"/>
      <c r="CA216" s="407"/>
      <c r="CB216" s="407"/>
      <c r="CC216" s="407"/>
      <c r="CD216" s="407"/>
      <c r="CE216" s="407"/>
      <c r="CF216" s="407"/>
    </row>
    <row r="217" spans="1:84">
      <c r="A217" s="406"/>
      <c r="B217" s="406"/>
      <c r="C217" s="406"/>
      <c r="D217" s="406"/>
      <c r="E217" s="406"/>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c r="AN217" s="406"/>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7"/>
      <c r="BL217" s="407"/>
      <c r="BM217" s="407"/>
      <c r="BN217" s="407"/>
      <c r="BO217" s="407"/>
      <c r="BP217" s="407"/>
      <c r="BQ217" s="407"/>
      <c r="BR217" s="407"/>
      <c r="BS217" s="407"/>
      <c r="BT217" s="407"/>
      <c r="BU217" s="407"/>
      <c r="BV217" s="407"/>
      <c r="BW217" s="407"/>
      <c r="BX217" s="407"/>
      <c r="BY217" s="407"/>
      <c r="BZ217" s="407"/>
      <c r="CA217" s="407"/>
      <c r="CB217" s="407"/>
      <c r="CC217" s="407"/>
      <c r="CD217" s="407"/>
      <c r="CE217" s="407"/>
      <c r="CF217" s="407"/>
    </row>
    <row r="218" spans="1:84">
      <c r="A218" s="406"/>
      <c r="B218" s="406"/>
      <c r="C218" s="406"/>
      <c r="D218" s="406"/>
      <c r="E218" s="406"/>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7"/>
      <c r="BL218" s="407"/>
      <c r="BM218" s="407"/>
      <c r="BN218" s="407"/>
      <c r="BO218" s="407"/>
      <c r="BP218" s="407"/>
      <c r="BQ218" s="407"/>
      <c r="BR218" s="407"/>
      <c r="BS218" s="407"/>
      <c r="BT218" s="407"/>
      <c r="BU218" s="407"/>
      <c r="BV218" s="407"/>
      <c r="BW218" s="407"/>
      <c r="BX218" s="407"/>
      <c r="BY218" s="407"/>
      <c r="BZ218" s="407"/>
      <c r="CA218" s="407"/>
      <c r="CB218" s="407"/>
      <c r="CC218" s="407"/>
      <c r="CD218" s="407"/>
      <c r="CE218" s="407"/>
      <c r="CF218" s="407"/>
    </row>
    <row r="219" spans="1:84">
      <c r="A219" s="406"/>
      <c r="B219" s="406"/>
      <c r="C219" s="406"/>
      <c r="D219" s="406"/>
      <c r="E219" s="406"/>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7"/>
      <c r="BL219" s="407"/>
      <c r="BM219" s="407"/>
      <c r="BN219" s="407"/>
      <c r="BO219" s="407"/>
      <c r="BP219" s="407"/>
      <c r="BQ219" s="407"/>
      <c r="BR219" s="407"/>
      <c r="BS219" s="407"/>
      <c r="BT219" s="407"/>
      <c r="BU219" s="407"/>
      <c r="BV219" s="407"/>
      <c r="BW219" s="407"/>
      <c r="BX219" s="407"/>
      <c r="BY219" s="407"/>
      <c r="BZ219" s="407"/>
      <c r="CA219" s="407"/>
      <c r="CB219" s="407"/>
      <c r="CC219" s="407"/>
      <c r="CD219" s="407"/>
      <c r="CE219" s="407"/>
      <c r="CF219" s="407"/>
    </row>
    <row r="220" spans="1:84">
      <c r="A220" s="406"/>
      <c r="B220" s="406"/>
      <c r="C220" s="406"/>
      <c r="D220" s="406"/>
      <c r="E220" s="406"/>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c r="AN220" s="406"/>
      <c r="AO220" s="406"/>
      <c r="AP220" s="406"/>
      <c r="AQ220" s="406"/>
      <c r="AR220" s="406"/>
      <c r="AS220" s="406"/>
      <c r="AT220" s="406"/>
      <c r="AU220" s="406"/>
      <c r="AV220" s="406"/>
      <c r="AW220" s="406"/>
      <c r="AX220" s="406"/>
      <c r="AY220" s="406"/>
      <c r="AZ220" s="406"/>
      <c r="BA220" s="406"/>
      <c r="BB220" s="406"/>
      <c r="BC220" s="406"/>
      <c r="BD220" s="406"/>
      <c r="BE220" s="406"/>
      <c r="BF220" s="406"/>
      <c r="BG220" s="406"/>
      <c r="BH220" s="406"/>
      <c r="BI220" s="406"/>
      <c r="BJ220" s="406"/>
      <c r="BK220" s="407"/>
      <c r="BL220" s="407"/>
      <c r="BM220" s="407"/>
      <c r="BN220" s="407"/>
      <c r="BO220" s="407"/>
      <c r="BP220" s="407"/>
      <c r="BQ220" s="407"/>
      <c r="BR220" s="407"/>
      <c r="BS220" s="407"/>
      <c r="BT220" s="407"/>
      <c r="BU220" s="407"/>
      <c r="BV220" s="407"/>
      <c r="BW220" s="407"/>
      <c r="BX220" s="407"/>
      <c r="BY220" s="407"/>
      <c r="BZ220" s="407"/>
      <c r="CA220" s="407"/>
      <c r="CB220" s="407"/>
      <c r="CC220" s="407"/>
      <c r="CD220" s="407"/>
      <c r="CE220" s="407"/>
      <c r="CF220" s="407"/>
    </row>
    <row r="221" spans="1:84">
      <c r="A221" s="406"/>
      <c r="B221" s="406"/>
      <c r="C221" s="406"/>
      <c r="D221" s="406"/>
      <c r="E221" s="406"/>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7"/>
      <c r="BL221" s="407"/>
      <c r="BM221" s="407"/>
      <c r="BN221" s="407"/>
      <c r="BO221" s="407"/>
      <c r="BP221" s="407"/>
      <c r="BQ221" s="407"/>
      <c r="BR221" s="407"/>
      <c r="BS221" s="407"/>
      <c r="BT221" s="407"/>
      <c r="BU221" s="407"/>
      <c r="BV221" s="407"/>
      <c r="BW221" s="407"/>
      <c r="BX221" s="407"/>
      <c r="BY221" s="407"/>
      <c r="BZ221" s="407"/>
      <c r="CA221" s="407"/>
      <c r="CB221" s="407"/>
      <c r="CC221" s="407"/>
      <c r="CD221" s="407"/>
      <c r="CE221" s="407"/>
      <c r="CF221" s="407"/>
    </row>
    <row r="222" spans="1:84">
      <c r="A222" s="406"/>
      <c r="B222" s="406"/>
      <c r="C222" s="406"/>
      <c r="D222" s="406"/>
      <c r="E222" s="406"/>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c r="AN222" s="406"/>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7"/>
      <c r="BL222" s="407"/>
      <c r="BM222" s="407"/>
      <c r="BN222" s="407"/>
      <c r="BO222" s="407"/>
      <c r="BP222" s="407"/>
      <c r="BQ222" s="407"/>
      <c r="BR222" s="407"/>
      <c r="BS222" s="407"/>
      <c r="BT222" s="407"/>
      <c r="BU222" s="407"/>
      <c r="BV222" s="407"/>
      <c r="BW222" s="407"/>
      <c r="BX222" s="407"/>
      <c r="BY222" s="407"/>
      <c r="BZ222" s="407"/>
      <c r="CA222" s="407"/>
      <c r="CB222" s="407"/>
      <c r="CC222" s="407"/>
      <c r="CD222" s="407"/>
      <c r="CE222" s="407"/>
      <c r="CF222" s="407"/>
    </row>
    <row r="223" spans="1:84">
      <c r="A223" s="406"/>
      <c r="B223" s="406"/>
      <c r="C223" s="406"/>
      <c r="D223" s="406"/>
      <c r="E223" s="406"/>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406"/>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7"/>
      <c r="BL223" s="407"/>
      <c r="BM223" s="407"/>
      <c r="BN223" s="407"/>
      <c r="BO223" s="407"/>
      <c r="BP223" s="407"/>
      <c r="BQ223" s="407"/>
      <c r="BR223" s="407"/>
      <c r="BS223" s="407"/>
      <c r="BT223" s="407"/>
      <c r="BU223" s="407"/>
      <c r="BV223" s="407"/>
      <c r="BW223" s="407"/>
      <c r="BX223" s="407"/>
      <c r="BY223" s="407"/>
      <c r="BZ223" s="407"/>
      <c r="CA223" s="407"/>
      <c r="CB223" s="407"/>
      <c r="CC223" s="407"/>
      <c r="CD223" s="407"/>
      <c r="CE223" s="407"/>
      <c r="CF223" s="407"/>
    </row>
    <row r="224" spans="1:84">
      <c r="A224" s="406"/>
      <c r="B224" s="406"/>
      <c r="C224" s="406"/>
      <c r="D224" s="406"/>
      <c r="E224" s="406"/>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c r="AN224" s="406"/>
      <c r="AO224" s="406"/>
      <c r="AP224" s="406"/>
      <c r="AQ224" s="406"/>
      <c r="AR224" s="406"/>
      <c r="AS224" s="406"/>
      <c r="AT224" s="406"/>
      <c r="AU224" s="406"/>
      <c r="AV224" s="406"/>
      <c r="AW224" s="406"/>
      <c r="AX224" s="406"/>
      <c r="AY224" s="406"/>
      <c r="AZ224" s="406"/>
      <c r="BA224" s="406"/>
      <c r="BB224" s="406"/>
      <c r="BC224" s="406"/>
      <c r="BD224" s="406"/>
      <c r="BE224" s="406"/>
      <c r="BF224" s="406"/>
      <c r="BG224" s="406"/>
      <c r="BH224" s="406"/>
      <c r="BI224" s="406"/>
      <c r="BJ224" s="406"/>
      <c r="BK224" s="407"/>
      <c r="BL224" s="407"/>
      <c r="BM224" s="407"/>
      <c r="BN224" s="407"/>
      <c r="BO224" s="407"/>
      <c r="BP224" s="407"/>
      <c r="BQ224" s="407"/>
      <c r="BR224" s="407"/>
      <c r="BS224" s="407"/>
      <c r="BT224" s="407"/>
      <c r="BU224" s="407"/>
      <c r="BV224" s="407"/>
      <c r="BW224" s="407"/>
      <c r="BX224" s="407"/>
      <c r="BY224" s="407"/>
      <c r="BZ224" s="407"/>
      <c r="CA224" s="407"/>
      <c r="CB224" s="407"/>
      <c r="CC224" s="407"/>
      <c r="CD224" s="407"/>
      <c r="CE224" s="407"/>
      <c r="CF224" s="407"/>
    </row>
    <row r="225" spans="1:84">
      <c r="A225" s="406"/>
      <c r="B225" s="406"/>
      <c r="C225" s="406"/>
      <c r="D225" s="406"/>
      <c r="E225" s="406"/>
      <c r="F225" s="406"/>
      <c r="G225" s="406"/>
      <c r="H225" s="406"/>
      <c r="I225" s="406"/>
      <c r="J225" s="406"/>
      <c r="K225" s="406"/>
      <c r="L225" s="406"/>
      <c r="M225" s="406"/>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7"/>
      <c r="BL225" s="407"/>
      <c r="BM225" s="407"/>
      <c r="BN225" s="407"/>
      <c r="BO225" s="407"/>
      <c r="BP225" s="407"/>
      <c r="BQ225" s="407"/>
      <c r="BR225" s="407"/>
      <c r="BS225" s="407"/>
      <c r="BT225" s="407"/>
      <c r="BU225" s="407"/>
      <c r="BV225" s="407"/>
      <c r="BW225" s="407"/>
      <c r="BX225" s="407"/>
      <c r="BY225" s="407"/>
      <c r="BZ225" s="407"/>
      <c r="CA225" s="407"/>
      <c r="CB225" s="407"/>
      <c r="CC225" s="407"/>
      <c r="CD225" s="407"/>
      <c r="CE225" s="407"/>
      <c r="CF225" s="407"/>
    </row>
    <row r="226" spans="1:84">
      <c r="A226" s="406"/>
      <c r="B226" s="406"/>
      <c r="C226" s="406"/>
      <c r="D226" s="406"/>
      <c r="E226" s="406"/>
      <c r="F226" s="406"/>
      <c r="G226" s="406"/>
      <c r="H226" s="406"/>
      <c r="I226" s="406"/>
      <c r="J226" s="406"/>
      <c r="K226" s="406"/>
      <c r="L226" s="406"/>
      <c r="M226" s="406"/>
      <c r="N226" s="406"/>
      <c r="O226" s="406"/>
      <c r="P226" s="406"/>
      <c r="Q226" s="406"/>
      <c r="R226" s="406"/>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c r="AN226" s="406"/>
      <c r="AO226" s="406"/>
      <c r="AP226" s="406"/>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7"/>
      <c r="BL226" s="407"/>
      <c r="BM226" s="407"/>
      <c r="BN226" s="407"/>
      <c r="BO226" s="407"/>
      <c r="BP226" s="407"/>
      <c r="BQ226" s="407"/>
      <c r="BR226" s="407"/>
      <c r="BS226" s="407"/>
      <c r="BT226" s="407"/>
      <c r="BU226" s="407"/>
      <c r="BV226" s="407"/>
      <c r="BW226" s="407"/>
      <c r="BX226" s="407"/>
      <c r="BY226" s="407"/>
      <c r="BZ226" s="407"/>
      <c r="CA226" s="407"/>
      <c r="CB226" s="407"/>
      <c r="CC226" s="407"/>
      <c r="CD226" s="407"/>
      <c r="CE226" s="407"/>
      <c r="CF226" s="407"/>
    </row>
    <row r="227" spans="1:84">
      <c r="A227" s="406"/>
      <c r="B227" s="406"/>
      <c r="C227" s="406"/>
      <c r="D227" s="406"/>
      <c r="E227" s="406"/>
      <c r="F227" s="406"/>
      <c r="G227" s="406"/>
      <c r="H227" s="406"/>
      <c r="I227" s="406"/>
      <c r="J227" s="406"/>
      <c r="K227" s="406"/>
      <c r="L227" s="406"/>
      <c r="M227" s="406"/>
      <c r="N227" s="406"/>
      <c r="O227" s="406"/>
      <c r="P227" s="406"/>
      <c r="Q227" s="406"/>
      <c r="R227" s="406"/>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c r="AN227" s="406"/>
      <c r="AO227" s="406"/>
      <c r="AP227" s="406"/>
      <c r="AQ227" s="406"/>
      <c r="AR227" s="406"/>
      <c r="AS227" s="406"/>
      <c r="AT227" s="406"/>
      <c r="AU227" s="406"/>
      <c r="AV227" s="406"/>
      <c r="AW227" s="406"/>
      <c r="AX227" s="406"/>
      <c r="AY227" s="406"/>
      <c r="AZ227" s="406"/>
      <c r="BA227" s="406"/>
      <c r="BB227" s="406"/>
      <c r="BC227" s="406"/>
      <c r="BD227" s="406"/>
      <c r="BE227" s="406"/>
      <c r="BF227" s="406"/>
      <c r="BG227" s="406"/>
      <c r="BH227" s="406"/>
      <c r="BI227" s="406"/>
      <c r="BJ227" s="406"/>
      <c r="BK227" s="407"/>
      <c r="BL227" s="407"/>
      <c r="BM227" s="407"/>
      <c r="BN227" s="407"/>
      <c r="BO227" s="407"/>
      <c r="BP227" s="407"/>
      <c r="BQ227" s="407"/>
      <c r="BR227" s="407"/>
      <c r="BS227" s="407"/>
      <c r="BT227" s="407"/>
      <c r="BU227" s="407"/>
      <c r="BV227" s="407"/>
      <c r="BW227" s="407"/>
      <c r="BX227" s="407"/>
      <c r="BY227" s="407"/>
      <c r="BZ227" s="407"/>
      <c r="CA227" s="407"/>
      <c r="CB227" s="407"/>
      <c r="CC227" s="407"/>
      <c r="CD227" s="407"/>
      <c r="CE227" s="407"/>
      <c r="CF227" s="407"/>
    </row>
    <row r="228" spans="1:84">
      <c r="A228" s="406"/>
      <c r="B228" s="406"/>
      <c r="C228" s="406"/>
      <c r="D228" s="406"/>
      <c r="E228" s="406"/>
      <c r="F228" s="406"/>
      <c r="G228" s="406"/>
      <c r="H228" s="406"/>
      <c r="I228" s="406"/>
      <c r="J228" s="406"/>
      <c r="K228" s="406"/>
      <c r="L228" s="406"/>
      <c r="M228" s="406"/>
      <c r="N228" s="406"/>
      <c r="O228" s="406"/>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7"/>
      <c r="BL228" s="407"/>
      <c r="BM228" s="407"/>
      <c r="BN228" s="407"/>
      <c r="BO228" s="407"/>
      <c r="BP228" s="407"/>
      <c r="BQ228" s="407"/>
      <c r="BR228" s="407"/>
      <c r="BS228" s="407"/>
      <c r="BT228" s="407"/>
      <c r="BU228" s="407"/>
      <c r="BV228" s="407"/>
      <c r="BW228" s="407"/>
      <c r="BX228" s="407"/>
      <c r="BY228" s="407"/>
      <c r="BZ228" s="407"/>
      <c r="CA228" s="407"/>
      <c r="CB228" s="407"/>
      <c r="CC228" s="407"/>
      <c r="CD228" s="407"/>
      <c r="CE228" s="407"/>
      <c r="CF228" s="407"/>
    </row>
    <row r="229" spans="1:84">
      <c r="A229" s="406"/>
      <c r="B229" s="406"/>
      <c r="C229" s="406"/>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c r="AN229" s="406"/>
      <c r="AO229" s="406"/>
      <c r="AP229" s="406"/>
      <c r="AQ229" s="40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7"/>
      <c r="BL229" s="407"/>
      <c r="BM229" s="407"/>
      <c r="BN229" s="407"/>
      <c r="BO229" s="407"/>
      <c r="BP229" s="407"/>
      <c r="BQ229" s="407"/>
      <c r="BR229" s="407"/>
      <c r="BS229" s="407"/>
      <c r="BT229" s="407"/>
      <c r="BU229" s="407"/>
      <c r="BV229" s="407"/>
      <c r="BW229" s="407"/>
      <c r="BX229" s="407"/>
      <c r="BY229" s="407"/>
      <c r="BZ229" s="407"/>
      <c r="CA229" s="407"/>
      <c r="CB229" s="407"/>
      <c r="CC229" s="407"/>
      <c r="CD229" s="407"/>
      <c r="CE229" s="407"/>
      <c r="CF229" s="407"/>
    </row>
    <row r="230" spans="1:84">
      <c r="A230" s="406"/>
      <c r="B230" s="406"/>
      <c r="C230" s="406"/>
      <c r="D230" s="406"/>
      <c r="E230" s="406"/>
      <c r="F230" s="406"/>
      <c r="G230" s="406"/>
      <c r="H230" s="406"/>
      <c r="I230" s="406"/>
      <c r="J230" s="406"/>
      <c r="K230" s="406"/>
      <c r="L230" s="406"/>
      <c r="M230" s="406"/>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7"/>
      <c r="BL230" s="407"/>
      <c r="BM230" s="407"/>
      <c r="BN230" s="407"/>
      <c r="BO230" s="407"/>
      <c r="BP230" s="407"/>
      <c r="BQ230" s="407"/>
      <c r="BR230" s="407"/>
      <c r="BS230" s="407"/>
      <c r="BT230" s="407"/>
      <c r="BU230" s="407"/>
      <c r="BV230" s="407"/>
      <c r="BW230" s="407"/>
      <c r="BX230" s="407"/>
      <c r="BY230" s="407"/>
      <c r="BZ230" s="407"/>
      <c r="CA230" s="407"/>
      <c r="CB230" s="407"/>
      <c r="CC230" s="407"/>
      <c r="CD230" s="407"/>
      <c r="CE230" s="407"/>
      <c r="CF230" s="407"/>
    </row>
    <row r="231" spans="1:84">
      <c r="A231" s="406"/>
      <c r="B231" s="406"/>
      <c r="C231" s="406"/>
      <c r="D231" s="406"/>
      <c r="E231" s="406"/>
      <c r="F231" s="406"/>
      <c r="G231" s="406"/>
      <c r="H231" s="406"/>
      <c r="I231" s="406"/>
      <c r="J231" s="406"/>
      <c r="K231" s="406"/>
      <c r="L231" s="406"/>
      <c r="M231" s="406"/>
      <c r="N231" s="406"/>
      <c r="O231" s="406"/>
      <c r="P231" s="406"/>
      <c r="Q231" s="406"/>
      <c r="R231" s="406"/>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c r="AN231" s="406"/>
      <c r="AO231" s="406"/>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7"/>
      <c r="BL231" s="407"/>
      <c r="BM231" s="407"/>
      <c r="BN231" s="407"/>
      <c r="BO231" s="407"/>
      <c r="BP231" s="407"/>
      <c r="BQ231" s="407"/>
      <c r="BR231" s="407"/>
      <c r="BS231" s="407"/>
      <c r="BT231" s="407"/>
      <c r="BU231" s="407"/>
      <c r="BV231" s="407"/>
      <c r="BW231" s="407"/>
      <c r="BX231" s="407"/>
      <c r="BY231" s="407"/>
      <c r="BZ231" s="407"/>
      <c r="CA231" s="407"/>
      <c r="CB231" s="407"/>
      <c r="CC231" s="407"/>
      <c r="CD231" s="407"/>
      <c r="CE231" s="407"/>
      <c r="CF231" s="407"/>
    </row>
    <row r="232" spans="1:84">
      <c r="A232" s="406"/>
      <c r="B232" s="406"/>
      <c r="C232" s="406"/>
      <c r="D232" s="406"/>
      <c r="E232" s="406"/>
      <c r="F232" s="406"/>
      <c r="G232" s="406"/>
      <c r="H232" s="406"/>
      <c r="I232" s="406"/>
      <c r="J232" s="406"/>
      <c r="K232" s="406"/>
      <c r="L232" s="406"/>
      <c r="M232" s="406"/>
      <c r="N232" s="406"/>
      <c r="O232" s="406"/>
      <c r="P232" s="406"/>
      <c r="Q232" s="406"/>
      <c r="R232" s="406"/>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7"/>
      <c r="BL232" s="407"/>
      <c r="BM232" s="407"/>
      <c r="BN232" s="407"/>
      <c r="BO232" s="407"/>
      <c r="BP232" s="407"/>
      <c r="BQ232" s="407"/>
      <c r="BR232" s="407"/>
      <c r="BS232" s="407"/>
      <c r="BT232" s="407"/>
      <c r="BU232" s="407"/>
      <c r="BV232" s="407"/>
      <c r="BW232" s="407"/>
      <c r="BX232" s="407"/>
      <c r="BY232" s="407"/>
      <c r="BZ232" s="407"/>
      <c r="CA232" s="407"/>
      <c r="CB232" s="407"/>
      <c r="CC232" s="407"/>
      <c r="CD232" s="407"/>
      <c r="CE232" s="407"/>
      <c r="CF232" s="407"/>
    </row>
    <row r="233" spans="1:84">
      <c r="A233" s="406"/>
      <c r="B233" s="406"/>
      <c r="C233" s="406"/>
      <c r="D233" s="406"/>
      <c r="E233" s="406"/>
      <c r="F233" s="406"/>
      <c r="G233" s="406"/>
      <c r="H233" s="406"/>
      <c r="I233" s="406"/>
      <c r="J233" s="406"/>
      <c r="K233" s="406"/>
      <c r="L233" s="406"/>
      <c r="M233" s="406"/>
      <c r="N233" s="406"/>
      <c r="O233" s="406"/>
      <c r="P233" s="406"/>
      <c r="Q233" s="406"/>
      <c r="R233" s="406"/>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7"/>
      <c r="BL233" s="407"/>
      <c r="BM233" s="407"/>
      <c r="BN233" s="407"/>
      <c r="BO233" s="407"/>
      <c r="BP233" s="407"/>
      <c r="BQ233" s="407"/>
      <c r="BR233" s="407"/>
      <c r="BS233" s="407"/>
      <c r="BT233" s="407"/>
      <c r="BU233" s="407"/>
      <c r="BV233" s="407"/>
      <c r="BW233" s="407"/>
      <c r="BX233" s="407"/>
      <c r="BY233" s="407"/>
      <c r="BZ233" s="407"/>
      <c r="CA233" s="407"/>
      <c r="CB233" s="407"/>
      <c r="CC233" s="407"/>
      <c r="CD233" s="407"/>
      <c r="CE233" s="407"/>
      <c r="CF233" s="407"/>
    </row>
    <row r="234" spans="1:84">
      <c r="A234" s="406"/>
      <c r="B234" s="406"/>
      <c r="C234" s="406"/>
      <c r="D234" s="406"/>
      <c r="E234" s="406"/>
      <c r="F234" s="406"/>
      <c r="G234" s="406"/>
      <c r="H234" s="406"/>
      <c r="I234" s="406"/>
      <c r="J234" s="406"/>
      <c r="K234" s="406"/>
      <c r="L234" s="406"/>
      <c r="M234" s="406"/>
      <c r="N234" s="406"/>
      <c r="O234" s="406"/>
      <c r="P234" s="406"/>
      <c r="Q234" s="406"/>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7"/>
      <c r="BL234" s="407"/>
      <c r="BM234" s="407"/>
      <c r="BN234" s="407"/>
      <c r="BO234" s="407"/>
      <c r="BP234" s="407"/>
      <c r="BQ234" s="407"/>
      <c r="BR234" s="407"/>
      <c r="BS234" s="407"/>
      <c r="BT234" s="407"/>
      <c r="BU234" s="407"/>
      <c r="BV234" s="407"/>
      <c r="BW234" s="407"/>
      <c r="BX234" s="407"/>
      <c r="BY234" s="407"/>
      <c r="BZ234" s="407"/>
      <c r="CA234" s="407"/>
      <c r="CB234" s="407"/>
      <c r="CC234" s="407"/>
      <c r="CD234" s="407"/>
      <c r="CE234" s="407"/>
      <c r="CF234" s="407"/>
    </row>
    <row r="235" spans="1:84">
      <c r="A235" s="406"/>
      <c r="B235" s="406"/>
      <c r="C235" s="406"/>
      <c r="D235" s="406"/>
      <c r="E235" s="406"/>
      <c r="F235" s="406"/>
      <c r="G235" s="406"/>
      <c r="H235" s="406"/>
      <c r="I235" s="406"/>
      <c r="J235" s="406"/>
      <c r="K235" s="406"/>
      <c r="L235" s="406"/>
      <c r="M235" s="406"/>
      <c r="N235" s="406"/>
      <c r="O235" s="406"/>
      <c r="P235" s="406"/>
      <c r="Q235" s="406"/>
      <c r="R235" s="406"/>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7"/>
      <c r="BL235" s="407"/>
      <c r="BM235" s="407"/>
      <c r="BN235" s="407"/>
      <c r="BO235" s="407"/>
      <c r="BP235" s="407"/>
      <c r="BQ235" s="407"/>
      <c r="BR235" s="407"/>
      <c r="BS235" s="407"/>
      <c r="BT235" s="407"/>
      <c r="BU235" s="407"/>
      <c r="BV235" s="407"/>
      <c r="BW235" s="407"/>
      <c r="BX235" s="407"/>
      <c r="BY235" s="407"/>
      <c r="BZ235" s="407"/>
      <c r="CA235" s="407"/>
      <c r="CB235" s="407"/>
      <c r="CC235" s="407"/>
      <c r="CD235" s="407"/>
      <c r="CE235" s="407"/>
      <c r="CF235" s="407"/>
    </row>
    <row r="236" spans="1:84">
      <c r="A236" s="406"/>
      <c r="B236" s="406"/>
      <c r="C236" s="406"/>
      <c r="D236" s="406"/>
      <c r="E236" s="406"/>
      <c r="F236" s="406"/>
      <c r="G236" s="406"/>
      <c r="H236" s="406"/>
      <c r="I236" s="406"/>
      <c r="J236" s="406"/>
      <c r="K236" s="406"/>
      <c r="L236" s="406"/>
      <c r="M236" s="406"/>
      <c r="N236" s="406"/>
      <c r="O236" s="406"/>
      <c r="P236" s="406"/>
      <c r="Q236" s="406"/>
      <c r="R236" s="406"/>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c r="AN236" s="406"/>
      <c r="AO236" s="406"/>
      <c r="AP236" s="406"/>
      <c r="AQ236" s="406"/>
      <c r="AR236" s="406"/>
      <c r="AS236" s="406"/>
      <c r="AT236" s="406"/>
      <c r="AU236" s="406"/>
      <c r="AV236" s="406"/>
      <c r="AW236" s="406"/>
      <c r="AX236" s="406"/>
      <c r="AY236" s="406"/>
      <c r="AZ236" s="406"/>
      <c r="BA236" s="406"/>
      <c r="BB236" s="406"/>
      <c r="BC236" s="406"/>
      <c r="BD236" s="406"/>
      <c r="BE236" s="406"/>
      <c r="BF236" s="406"/>
      <c r="BG236" s="406"/>
      <c r="BH236" s="406"/>
      <c r="BI236" s="406"/>
      <c r="BJ236" s="406"/>
      <c r="BK236" s="407"/>
      <c r="BL236" s="407"/>
      <c r="BM236" s="407"/>
      <c r="BN236" s="407"/>
      <c r="BO236" s="407"/>
      <c r="BP236" s="407"/>
      <c r="BQ236" s="407"/>
      <c r="BR236" s="407"/>
      <c r="BS236" s="407"/>
      <c r="BT236" s="407"/>
      <c r="BU236" s="407"/>
      <c r="BV236" s="407"/>
      <c r="BW236" s="407"/>
      <c r="BX236" s="407"/>
      <c r="BY236" s="407"/>
      <c r="BZ236" s="407"/>
      <c r="CA236" s="407"/>
      <c r="CB236" s="407"/>
      <c r="CC236" s="407"/>
      <c r="CD236" s="407"/>
      <c r="CE236" s="407"/>
      <c r="CF236" s="407"/>
    </row>
    <row r="237" spans="1:84">
      <c r="A237" s="406"/>
      <c r="B237" s="406"/>
      <c r="C237" s="406"/>
      <c r="D237" s="406"/>
      <c r="E237" s="406"/>
      <c r="F237" s="406"/>
      <c r="G237" s="406"/>
      <c r="H237" s="406"/>
      <c r="I237" s="406"/>
      <c r="J237" s="406"/>
      <c r="K237" s="406"/>
      <c r="L237" s="406"/>
      <c r="M237" s="406"/>
      <c r="N237" s="406"/>
      <c r="O237" s="406"/>
      <c r="P237" s="406"/>
      <c r="Q237" s="406"/>
      <c r="R237" s="406"/>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7"/>
      <c r="BL237" s="407"/>
      <c r="BM237" s="407"/>
      <c r="BN237" s="407"/>
      <c r="BO237" s="407"/>
      <c r="BP237" s="407"/>
      <c r="BQ237" s="407"/>
      <c r="BR237" s="407"/>
      <c r="BS237" s="407"/>
      <c r="BT237" s="407"/>
      <c r="BU237" s="407"/>
      <c r="BV237" s="407"/>
      <c r="BW237" s="407"/>
      <c r="BX237" s="407"/>
      <c r="BY237" s="407"/>
      <c r="BZ237" s="407"/>
      <c r="CA237" s="407"/>
      <c r="CB237" s="407"/>
      <c r="CC237" s="407"/>
      <c r="CD237" s="407"/>
      <c r="CE237" s="407"/>
      <c r="CF237" s="407"/>
    </row>
    <row r="238" spans="1:84">
      <c r="A238" s="406"/>
      <c r="B238" s="406"/>
      <c r="C238" s="406"/>
      <c r="D238" s="406"/>
      <c r="E238" s="406"/>
      <c r="F238" s="406"/>
      <c r="G238" s="406"/>
      <c r="H238" s="406"/>
      <c r="I238" s="406"/>
      <c r="J238" s="406"/>
      <c r="K238" s="406"/>
      <c r="L238" s="406"/>
      <c r="M238" s="406"/>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7"/>
      <c r="BL238" s="407"/>
      <c r="BM238" s="407"/>
      <c r="BN238" s="407"/>
      <c r="BO238" s="407"/>
      <c r="BP238" s="407"/>
      <c r="BQ238" s="407"/>
      <c r="BR238" s="407"/>
      <c r="BS238" s="407"/>
      <c r="BT238" s="407"/>
      <c r="BU238" s="407"/>
      <c r="BV238" s="407"/>
      <c r="BW238" s="407"/>
      <c r="BX238" s="407"/>
      <c r="BY238" s="407"/>
      <c r="BZ238" s="407"/>
      <c r="CA238" s="407"/>
      <c r="CB238" s="407"/>
      <c r="CC238" s="407"/>
      <c r="CD238" s="407"/>
      <c r="CE238" s="407"/>
      <c r="CF238" s="407"/>
    </row>
    <row r="239" spans="1:84">
      <c r="A239" s="406"/>
      <c r="B239" s="406"/>
      <c r="C239" s="406"/>
      <c r="D239" s="406"/>
      <c r="E239" s="406"/>
      <c r="F239" s="406"/>
      <c r="G239" s="406"/>
      <c r="H239" s="406"/>
      <c r="I239" s="406"/>
      <c r="J239" s="406"/>
      <c r="K239" s="406"/>
      <c r="L239" s="406"/>
      <c r="M239" s="406"/>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7"/>
      <c r="BL239" s="407"/>
      <c r="BM239" s="407"/>
      <c r="BN239" s="407"/>
      <c r="BO239" s="407"/>
      <c r="BP239" s="407"/>
      <c r="BQ239" s="407"/>
      <c r="BR239" s="407"/>
      <c r="BS239" s="407"/>
      <c r="BT239" s="407"/>
      <c r="BU239" s="407"/>
      <c r="BV239" s="407"/>
      <c r="BW239" s="407"/>
      <c r="BX239" s="407"/>
      <c r="BY239" s="407"/>
      <c r="BZ239" s="407"/>
      <c r="CA239" s="407"/>
      <c r="CB239" s="407"/>
      <c r="CC239" s="407"/>
      <c r="CD239" s="407"/>
      <c r="CE239" s="407"/>
      <c r="CF239" s="407"/>
    </row>
    <row r="240" spans="1:84">
      <c r="A240" s="406"/>
      <c r="B240" s="406"/>
      <c r="C240" s="406"/>
      <c r="D240" s="406"/>
      <c r="E240" s="406"/>
      <c r="F240" s="406"/>
      <c r="G240" s="406"/>
      <c r="H240" s="406"/>
      <c r="I240" s="406"/>
      <c r="J240" s="406"/>
      <c r="K240" s="406"/>
      <c r="L240" s="406"/>
      <c r="M240" s="406"/>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7"/>
      <c r="BL240" s="407"/>
      <c r="BM240" s="407"/>
      <c r="BN240" s="407"/>
      <c r="BO240" s="407"/>
      <c r="BP240" s="407"/>
      <c r="BQ240" s="407"/>
      <c r="BR240" s="407"/>
      <c r="BS240" s="407"/>
      <c r="BT240" s="407"/>
      <c r="BU240" s="407"/>
      <c r="BV240" s="407"/>
      <c r="BW240" s="407"/>
      <c r="BX240" s="407"/>
      <c r="BY240" s="407"/>
      <c r="BZ240" s="407"/>
      <c r="CA240" s="407"/>
      <c r="CB240" s="407"/>
      <c r="CC240" s="407"/>
      <c r="CD240" s="407"/>
      <c r="CE240" s="407"/>
      <c r="CF240" s="407"/>
    </row>
    <row r="241" spans="1:84">
      <c r="A241" s="406"/>
      <c r="B241" s="406"/>
      <c r="C241" s="406"/>
      <c r="D241" s="406"/>
      <c r="E241" s="406"/>
      <c r="F241" s="406"/>
      <c r="G241" s="406"/>
      <c r="H241" s="406"/>
      <c r="I241" s="406"/>
      <c r="J241" s="406"/>
      <c r="K241" s="406"/>
      <c r="L241" s="406"/>
      <c r="M241" s="406"/>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7"/>
      <c r="BL241" s="407"/>
      <c r="BM241" s="407"/>
      <c r="BN241" s="407"/>
      <c r="BO241" s="407"/>
      <c r="BP241" s="407"/>
      <c r="BQ241" s="407"/>
      <c r="BR241" s="407"/>
      <c r="BS241" s="407"/>
      <c r="BT241" s="407"/>
      <c r="BU241" s="407"/>
      <c r="BV241" s="407"/>
      <c r="BW241" s="407"/>
      <c r="BX241" s="407"/>
      <c r="BY241" s="407"/>
      <c r="BZ241" s="407"/>
      <c r="CA241" s="407"/>
      <c r="CB241" s="407"/>
      <c r="CC241" s="407"/>
      <c r="CD241" s="407"/>
      <c r="CE241" s="407"/>
      <c r="CF241" s="407"/>
    </row>
    <row r="242" spans="1:84">
      <c r="A242" s="406"/>
      <c r="B242" s="406"/>
      <c r="C242" s="406"/>
      <c r="D242" s="406"/>
      <c r="E242" s="406"/>
      <c r="F242" s="406"/>
      <c r="G242" s="406"/>
      <c r="H242" s="406"/>
      <c r="I242" s="406"/>
      <c r="J242" s="406"/>
      <c r="K242" s="406"/>
      <c r="L242" s="406"/>
      <c r="M242" s="406"/>
      <c r="N242" s="406"/>
      <c r="O242" s="406"/>
      <c r="P242" s="406"/>
      <c r="Q242" s="406"/>
      <c r="R242" s="406"/>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c r="AN242" s="406"/>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7"/>
      <c r="BL242" s="407"/>
      <c r="BM242" s="407"/>
      <c r="BN242" s="407"/>
      <c r="BO242" s="407"/>
      <c r="BP242" s="407"/>
      <c r="BQ242" s="407"/>
      <c r="BR242" s="407"/>
      <c r="BS242" s="407"/>
      <c r="BT242" s="407"/>
      <c r="BU242" s="407"/>
      <c r="BV242" s="407"/>
      <c r="BW242" s="407"/>
      <c r="BX242" s="407"/>
      <c r="BY242" s="407"/>
      <c r="BZ242" s="407"/>
      <c r="CA242" s="407"/>
      <c r="CB242" s="407"/>
      <c r="CC242" s="407"/>
      <c r="CD242" s="407"/>
      <c r="CE242" s="407"/>
      <c r="CF242" s="407"/>
    </row>
    <row r="243" spans="1:84">
      <c r="A243" s="406"/>
      <c r="B243" s="406"/>
      <c r="C243" s="406"/>
      <c r="D243" s="406"/>
      <c r="E243" s="406"/>
      <c r="F243" s="406"/>
      <c r="G243" s="406"/>
      <c r="H243" s="406"/>
      <c r="I243" s="406"/>
      <c r="J243" s="406"/>
      <c r="K243" s="406"/>
      <c r="L243" s="406"/>
      <c r="M243" s="406"/>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7"/>
      <c r="BL243" s="407"/>
      <c r="BM243" s="407"/>
      <c r="BN243" s="407"/>
      <c r="BO243" s="407"/>
      <c r="BP243" s="407"/>
      <c r="BQ243" s="407"/>
      <c r="BR243" s="407"/>
      <c r="BS243" s="407"/>
      <c r="BT243" s="407"/>
      <c r="BU243" s="407"/>
      <c r="BV243" s="407"/>
      <c r="BW243" s="407"/>
      <c r="BX243" s="407"/>
      <c r="BY243" s="407"/>
      <c r="BZ243" s="407"/>
      <c r="CA243" s="407"/>
      <c r="CB243" s="407"/>
      <c r="CC243" s="407"/>
      <c r="CD243" s="407"/>
      <c r="CE243" s="407"/>
      <c r="CF243" s="407"/>
    </row>
    <row r="244" spans="1:84">
      <c r="A244" s="406"/>
      <c r="B244" s="406"/>
      <c r="C244" s="406"/>
      <c r="D244" s="406"/>
      <c r="E244" s="406"/>
      <c r="F244" s="406"/>
      <c r="G244" s="406"/>
      <c r="H244" s="406"/>
      <c r="I244" s="406"/>
      <c r="J244" s="406"/>
      <c r="K244" s="406"/>
      <c r="L244" s="406"/>
      <c r="M244" s="406"/>
      <c r="N244" s="406"/>
      <c r="O244" s="406"/>
      <c r="P244" s="406"/>
      <c r="Q244" s="406"/>
      <c r="R244" s="406"/>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7"/>
      <c r="BL244" s="407"/>
      <c r="BM244" s="407"/>
      <c r="BN244" s="407"/>
      <c r="BO244" s="407"/>
      <c r="BP244" s="407"/>
      <c r="BQ244" s="407"/>
      <c r="BR244" s="407"/>
      <c r="BS244" s="407"/>
      <c r="BT244" s="407"/>
      <c r="BU244" s="407"/>
      <c r="BV244" s="407"/>
      <c r="BW244" s="407"/>
      <c r="BX244" s="407"/>
      <c r="BY244" s="407"/>
      <c r="BZ244" s="407"/>
      <c r="CA244" s="407"/>
      <c r="CB244" s="407"/>
      <c r="CC244" s="407"/>
      <c r="CD244" s="407"/>
      <c r="CE244" s="407"/>
      <c r="CF244" s="407"/>
    </row>
    <row r="245" spans="1:84">
      <c r="A245" s="406"/>
      <c r="B245" s="406"/>
      <c r="C245" s="406"/>
      <c r="D245" s="406"/>
      <c r="E245" s="406"/>
      <c r="F245" s="406"/>
      <c r="G245" s="406"/>
      <c r="H245" s="406"/>
      <c r="I245" s="406"/>
      <c r="J245" s="406"/>
      <c r="K245" s="406"/>
      <c r="L245" s="406"/>
      <c r="M245" s="406"/>
      <c r="N245" s="406"/>
      <c r="O245" s="406"/>
      <c r="P245" s="406"/>
      <c r="Q245" s="406"/>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7"/>
      <c r="BL245" s="407"/>
      <c r="BM245" s="407"/>
      <c r="BN245" s="407"/>
      <c r="BO245" s="407"/>
      <c r="BP245" s="407"/>
      <c r="BQ245" s="407"/>
      <c r="BR245" s="407"/>
      <c r="BS245" s="407"/>
      <c r="BT245" s="407"/>
      <c r="BU245" s="407"/>
      <c r="BV245" s="407"/>
      <c r="BW245" s="407"/>
      <c r="BX245" s="407"/>
      <c r="BY245" s="407"/>
      <c r="BZ245" s="407"/>
      <c r="CA245" s="407"/>
      <c r="CB245" s="407"/>
      <c r="CC245" s="407"/>
      <c r="CD245" s="407"/>
      <c r="CE245" s="407"/>
      <c r="CF245" s="407"/>
    </row>
    <row r="246" spans="1:84">
      <c r="A246" s="406"/>
      <c r="B246" s="406"/>
      <c r="C246" s="406"/>
      <c r="D246" s="406"/>
      <c r="E246" s="406"/>
      <c r="F246" s="406"/>
      <c r="G246" s="406"/>
      <c r="H246" s="406"/>
      <c r="I246" s="406"/>
      <c r="J246" s="406"/>
      <c r="K246" s="406"/>
      <c r="L246" s="406"/>
      <c r="M246" s="406"/>
      <c r="N246" s="406"/>
      <c r="O246" s="406"/>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7"/>
      <c r="BL246" s="407"/>
      <c r="BM246" s="407"/>
      <c r="BN246" s="407"/>
      <c r="BO246" s="407"/>
      <c r="BP246" s="407"/>
      <c r="BQ246" s="407"/>
      <c r="BR246" s="407"/>
      <c r="BS246" s="407"/>
      <c r="BT246" s="407"/>
      <c r="BU246" s="407"/>
      <c r="BV246" s="407"/>
      <c r="BW246" s="407"/>
      <c r="BX246" s="407"/>
      <c r="BY246" s="407"/>
      <c r="BZ246" s="407"/>
      <c r="CA246" s="407"/>
      <c r="CB246" s="407"/>
      <c r="CC246" s="407"/>
      <c r="CD246" s="407"/>
      <c r="CE246" s="407"/>
      <c r="CF246" s="407"/>
    </row>
    <row r="247" spans="1:84">
      <c r="A247" s="406"/>
      <c r="B247" s="406"/>
      <c r="C247" s="406"/>
      <c r="D247" s="406"/>
      <c r="E247" s="406"/>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7"/>
      <c r="BL247" s="407"/>
      <c r="BM247" s="407"/>
      <c r="BN247" s="407"/>
      <c r="BO247" s="407"/>
      <c r="BP247" s="407"/>
      <c r="BQ247" s="407"/>
      <c r="BR247" s="407"/>
      <c r="BS247" s="407"/>
      <c r="BT247" s="407"/>
      <c r="BU247" s="407"/>
      <c r="BV247" s="407"/>
      <c r="BW247" s="407"/>
      <c r="BX247" s="407"/>
      <c r="BY247" s="407"/>
      <c r="BZ247" s="407"/>
      <c r="CA247" s="407"/>
      <c r="CB247" s="407"/>
      <c r="CC247" s="407"/>
      <c r="CD247" s="407"/>
      <c r="CE247" s="407"/>
      <c r="CF247" s="407"/>
    </row>
    <row r="248" spans="1:84">
      <c r="A248" s="406"/>
      <c r="B248" s="406"/>
      <c r="C248" s="406"/>
      <c r="D248" s="406"/>
      <c r="E248" s="406"/>
      <c r="F248" s="406"/>
      <c r="G248" s="406"/>
      <c r="H248" s="406"/>
      <c r="I248" s="406"/>
      <c r="J248" s="406"/>
      <c r="K248" s="406"/>
      <c r="L248" s="406"/>
      <c r="M248" s="406"/>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7"/>
      <c r="BL248" s="407"/>
      <c r="BM248" s="407"/>
      <c r="BN248" s="407"/>
      <c r="BO248" s="407"/>
      <c r="BP248" s="407"/>
      <c r="BQ248" s="407"/>
      <c r="BR248" s="407"/>
      <c r="BS248" s="407"/>
      <c r="BT248" s="407"/>
      <c r="BU248" s="407"/>
      <c r="BV248" s="407"/>
      <c r="BW248" s="407"/>
      <c r="BX248" s="407"/>
      <c r="BY248" s="407"/>
      <c r="BZ248" s="407"/>
      <c r="CA248" s="407"/>
      <c r="CB248" s="407"/>
      <c r="CC248" s="407"/>
      <c r="CD248" s="407"/>
      <c r="CE248" s="407"/>
      <c r="CF248" s="407"/>
    </row>
    <row r="249" spans="1:84">
      <c r="A249" s="406"/>
      <c r="B249" s="406"/>
      <c r="C249" s="406"/>
      <c r="D249" s="406"/>
      <c r="E249" s="406"/>
      <c r="F249" s="406"/>
      <c r="G249" s="406"/>
      <c r="H249" s="406"/>
      <c r="I249" s="406"/>
      <c r="J249" s="406"/>
      <c r="K249" s="406"/>
      <c r="L249" s="406"/>
      <c r="M249" s="406"/>
      <c r="N249" s="406"/>
      <c r="O249" s="406"/>
      <c r="P249" s="406"/>
      <c r="Q249" s="406"/>
      <c r="R249" s="406"/>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7"/>
      <c r="BL249" s="407"/>
      <c r="BM249" s="407"/>
      <c r="BN249" s="407"/>
      <c r="BO249" s="407"/>
      <c r="BP249" s="407"/>
      <c r="BQ249" s="407"/>
      <c r="BR249" s="407"/>
      <c r="BS249" s="407"/>
      <c r="BT249" s="407"/>
      <c r="BU249" s="407"/>
      <c r="BV249" s="407"/>
      <c r="BW249" s="407"/>
      <c r="BX249" s="407"/>
      <c r="BY249" s="407"/>
      <c r="BZ249" s="407"/>
      <c r="CA249" s="407"/>
      <c r="CB249" s="407"/>
      <c r="CC249" s="407"/>
      <c r="CD249" s="407"/>
      <c r="CE249" s="407"/>
      <c r="CF249" s="407"/>
    </row>
    <row r="250" spans="1:84">
      <c r="A250" s="406"/>
      <c r="B250" s="406"/>
      <c r="C250" s="406"/>
      <c r="D250" s="406"/>
      <c r="E250" s="406"/>
      <c r="F250" s="406"/>
      <c r="G250" s="406"/>
      <c r="H250" s="406"/>
      <c r="I250" s="406"/>
      <c r="J250" s="406"/>
      <c r="K250" s="406"/>
      <c r="L250" s="406"/>
      <c r="M250" s="406"/>
      <c r="N250" s="406"/>
      <c r="O250" s="406"/>
      <c r="P250" s="406"/>
      <c r="Q250" s="406"/>
      <c r="R250" s="406"/>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7"/>
      <c r="BL250" s="407"/>
      <c r="BM250" s="407"/>
      <c r="BN250" s="407"/>
      <c r="BO250" s="407"/>
      <c r="BP250" s="407"/>
      <c r="BQ250" s="407"/>
      <c r="BR250" s="407"/>
      <c r="BS250" s="407"/>
      <c r="BT250" s="407"/>
      <c r="BU250" s="407"/>
      <c r="BV250" s="407"/>
      <c r="BW250" s="407"/>
      <c r="BX250" s="407"/>
      <c r="BY250" s="407"/>
      <c r="BZ250" s="407"/>
      <c r="CA250" s="407"/>
      <c r="CB250" s="407"/>
      <c r="CC250" s="407"/>
      <c r="CD250" s="407"/>
      <c r="CE250" s="407"/>
      <c r="CF250" s="407"/>
    </row>
    <row r="251" spans="1:84">
      <c r="A251" s="406"/>
      <c r="B251" s="406"/>
      <c r="C251" s="406"/>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7"/>
      <c r="BL251" s="407"/>
      <c r="BM251" s="407"/>
      <c r="BN251" s="407"/>
      <c r="BO251" s="407"/>
      <c r="BP251" s="407"/>
      <c r="BQ251" s="407"/>
      <c r="BR251" s="407"/>
      <c r="BS251" s="407"/>
      <c r="BT251" s="407"/>
      <c r="BU251" s="407"/>
      <c r="BV251" s="407"/>
      <c r="BW251" s="407"/>
      <c r="BX251" s="407"/>
      <c r="BY251" s="407"/>
      <c r="BZ251" s="407"/>
      <c r="CA251" s="407"/>
      <c r="CB251" s="407"/>
      <c r="CC251" s="407"/>
      <c r="CD251" s="407"/>
      <c r="CE251" s="407"/>
      <c r="CF251" s="407"/>
    </row>
    <row r="252" spans="1:84">
      <c r="A252" s="406"/>
      <c r="B252" s="406"/>
      <c r="C252" s="406"/>
      <c r="D252" s="406"/>
      <c r="E252" s="406"/>
      <c r="F252" s="406"/>
      <c r="G252" s="406"/>
      <c r="H252" s="406"/>
      <c r="I252" s="406"/>
      <c r="J252" s="406"/>
      <c r="K252" s="406"/>
      <c r="L252" s="406"/>
      <c r="M252" s="406"/>
      <c r="N252" s="406"/>
      <c r="O252" s="406"/>
      <c r="P252" s="406"/>
      <c r="Q252" s="406"/>
      <c r="R252" s="406"/>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7"/>
      <c r="BL252" s="407"/>
      <c r="BM252" s="407"/>
      <c r="BN252" s="407"/>
      <c r="BO252" s="407"/>
      <c r="BP252" s="407"/>
      <c r="BQ252" s="407"/>
      <c r="BR252" s="407"/>
      <c r="BS252" s="407"/>
      <c r="BT252" s="407"/>
      <c r="BU252" s="407"/>
      <c r="BV252" s="407"/>
      <c r="BW252" s="407"/>
      <c r="BX252" s="407"/>
      <c r="BY252" s="407"/>
      <c r="BZ252" s="407"/>
      <c r="CA252" s="407"/>
      <c r="CB252" s="407"/>
      <c r="CC252" s="407"/>
      <c r="CD252" s="407"/>
      <c r="CE252" s="407"/>
      <c r="CF252" s="407"/>
    </row>
    <row r="253" spans="1:84">
      <c r="A253" s="406"/>
      <c r="B253" s="406"/>
      <c r="C253" s="406"/>
      <c r="D253" s="406"/>
      <c r="E253" s="406"/>
      <c r="F253" s="406"/>
      <c r="G253" s="406"/>
      <c r="H253" s="406"/>
      <c r="I253" s="406"/>
      <c r="J253" s="406"/>
      <c r="K253" s="406"/>
      <c r="L253" s="406"/>
      <c r="M253" s="406"/>
      <c r="N253" s="406"/>
      <c r="O253" s="406"/>
      <c r="P253" s="406"/>
      <c r="Q253" s="406"/>
      <c r="R253" s="406"/>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7"/>
      <c r="BL253" s="407"/>
      <c r="BM253" s="407"/>
      <c r="BN253" s="407"/>
      <c r="BO253" s="407"/>
      <c r="BP253" s="407"/>
      <c r="BQ253" s="407"/>
      <c r="BR253" s="407"/>
      <c r="BS253" s="407"/>
      <c r="BT253" s="407"/>
      <c r="BU253" s="407"/>
      <c r="BV253" s="407"/>
      <c r="BW253" s="407"/>
      <c r="BX253" s="407"/>
      <c r="BY253" s="407"/>
      <c r="BZ253" s="407"/>
      <c r="CA253" s="407"/>
      <c r="CB253" s="407"/>
      <c r="CC253" s="407"/>
      <c r="CD253" s="407"/>
      <c r="CE253" s="407"/>
      <c r="CF253" s="407"/>
    </row>
    <row r="254" spans="1:84">
      <c r="A254" s="406"/>
      <c r="B254" s="406"/>
      <c r="C254" s="406"/>
      <c r="D254" s="406"/>
      <c r="E254" s="406"/>
      <c r="F254" s="406"/>
      <c r="G254" s="406"/>
      <c r="H254" s="406"/>
      <c r="I254" s="406"/>
      <c r="J254" s="406"/>
      <c r="K254" s="406"/>
      <c r="L254" s="406"/>
      <c r="M254" s="406"/>
      <c r="N254" s="406"/>
      <c r="O254" s="406"/>
      <c r="P254" s="406"/>
      <c r="Q254" s="406"/>
      <c r="R254" s="406"/>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c r="AN254" s="406"/>
      <c r="AO254" s="406"/>
      <c r="AP254" s="406"/>
      <c r="AQ254" s="406"/>
      <c r="AR254" s="406"/>
      <c r="AS254" s="406"/>
      <c r="AT254" s="406"/>
      <c r="AU254" s="406"/>
      <c r="AV254" s="406"/>
      <c r="AW254" s="406"/>
      <c r="AX254" s="406"/>
      <c r="AY254" s="406"/>
      <c r="AZ254" s="406"/>
      <c r="BA254" s="406"/>
      <c r="BB254" s="406"/>
      <c r="BC254" s="406"/>
      <c r="BD254" s="406"/>
      <c r="BE254" s="406"/>
      <c r="BF254" s="406"/>
      <c r="BG254" s="406"/>
      <c r="BH254" s="406"/>
      <c r="BI254" s="406"/>
      <c r="BJ254" s="406"/>
      <c r="BK254" s="407"/>
      <c r="BL254" s="407"/>
      <c r="BM254" s="407"/>
      <c r="BN254" s="407"/>
      <c r="BO254" s="407"/>
      <c r="BP254" s="407"/>
      <c r="BQ254" s="407"/>
      <c r="BR254" s="407"/>
      <c r="BS254" s="407"/>
      <c r="BT254" s="407"/>
      <c r="BU254" s="407"/>
      <c r="BV254" s="407"/>
      <c r="BW254" s="407"/>
      <c r="BX254" s="407"/>
      <c r="BY254" s="407"/>
      <c r="BZ254" s="407"/>
      <c r="CA254" s="407"/>
      <c r="CB254" s="407"/>
      <c r="CC254" s="407"/>
      <c r="CD254" s="407"/>
      <c r="CE254" s="407"/>
      <c r="CF254" s="407"/>
    </row>
    <row r="255" spans="1:84">
      <c r="A255" s="406"/>
      <c r="B255" s="406"/>
      <c r="C255" s="406"/>
      <c r="D255" s="406"/>
      <c r="E255" s="406"/>
      <c r="F255" s="406"/>
      <c r="G255" s="406"/>
      <c r="H255" s="406"/>
      <c r="I255" s="406"/>
      <c r="J255" s="406"/>
      <c r="K255" s="406"/>
      <c r="L255" s="406"/>
      <c r="M255" s="406"/>
      <c r="N255" s="406"/>
      <c r="O255" s="406"/>
      <c r="P255" s="406"/>
      <c r="Q255" s="406"/>
      <c r="R255" s="406"/>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c r="AN255" s="406"/>
      <c r="AO255" s="406"/>
      <c r="AP255" s="406"/>
      <c r="AQ255" s="406"/>
      <c r="AR255" s="406"/>
      <c r="AS255" s="406"/>
      <c r="AT255" s="406"/>
      <c r="AU255" s="406"/>
      <c r="AV255" s="406"/>
      <c r="AW255" s="406"/>
      <c r="AX255" s="406"/>
      <c r="AY255" s="406"/>
      <c r="AZ255" s="406"/>
      <c r="BA255" s="406"/>
      <c r="BB255" s="406"/>
      <c r="BC255" s="406"/>
      <c r="BD255" s="406"/>
      <c r="BE255" s="406"/>
      <c r="BF255" s="406"/>
      <c r="BG255" s="406"/>
      <c r="BH255" s="406"/>
      <c r="BI255" s="406"/>
      <c r="BJ255" s="406"/>
      <c r="BK255" s="407"/>
      <c r="BL255" s="407"/>
      <c r="BM255" s="407"/>
      <c r="BN255" s="407"/>
      <c r="BO255" s="407"/>
      <c r="BP255" s="407"/>
      <c r="BQ255" s="407"/>
      <c r="BR255" s="407"/>
      <c r="BS255" s="407"/>
      <c r="BT255" s="407"/>
      <c r="BU255" s="407"/>
      <c r="BV255" s="407"/>
      <c r="BW255" s="407"/>
      <c r="BX255" s="407"/>
      <c r="BY255" s="407"/>
      <c r="BZ255" s="407"/>
      <c r="CA255" s="407"/>
      <c r="CB255" s="407"/>
      <c r="CC255" s="407"/>
      <c r="CD255" s="407"/>
      <c r="CE255" s="407"/>
      <c r="CF255" s="407"/>
    </row>
    <row r="256" spans="1:84">
      <c r="A256" s="406"/>
      <c r="B256" s="406"/>
      <c r="C256" s="406"/>
      <c r="D256" s="406"/>
      <c r="E256" s="406"/>
      <c r="F256" s="406"/>
      <c r="G256" s="406"/>
      <c r="H256" s="406"/>
      <c r="I256" s="406"/>
      <c r="J256" s="406"/>
      <c r="K256" s="406"/>
      <c r="L256" s="406"/>
      <c r="M256" s="406"/>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c r="AN256" s="406"/>
      <c r="AO256" s="406"/>
      <c r="AP256" s="406"/>
      <c r="AQ256" s="406"/>
      <c r="AR256" s="406"/>
      <c r="AS256" s="406"/>
      <c r="AT256" s="406"/>
      <c r="AU256" s="406"/>
      <c r="AV256" s="406"/>
      <c r="AW256" s="406"/>
      <c r="AX256" s="406"/>
      <c r="AY256" s="406"/>
      <c r="AZ256" s="406"/>
      <c r="BA256" s="406"/>
      <c r="BB256" s="406"/>
      <c r="BC256" s="406"/>
      <c r="BD256" s="406"/>
      <c r="BE256" s="406"/>
      <c r="BF256" s="406"/>
      <c r="BG256" s="406"/>
      <c r="BH256" s="406"/>
      <c r="BI256" s="406"/>
      <c r="BJ256" s="406"/>
      <c r="BK256" s="407"/>
      <c r="BL256" s="407"/>
      <c r="BM256" s="407"/>
      <c r="BN256" s="407"/>
      <c r="BO256" s="407"/>
      <c r="BP256" s="407"/>
      <c r="BQ256" s="407"/>
      <c r="BR256" s="407"/>
      <c r="BS256" s="407"/>
      <c r="BT256" s="407"/>
      <c r="BU256" s="407"/>
      <c r="BV256" s="407"/>
      <c r="BW256" s="407"/>
      <c r="BX256" s="407"/>
      <c r="BY256" s="407"/>
      <c r="BZ256" s="407"/>
      <c r="CA256" s="407"/>
      <c r="CB256" s="407"/>
      <c r="CC256" s="407"/>
      <c r="CD256" s="407"/>
      <c r="CE256" s="407"/>
      <c r="CF256" s="407"/>
    </row>
    <row r="257" spans="1:84">
      <c r="A257" s="406"/>
      <c r="B257" s="406"/>
      <c r="C257" s="406"/>
      <c r="D257" s="406"/>
      <c r="E257" s="406"/>
      <c r="F257" s="406"/>
      <c r="G257" s="406"/>
      <c r="H257" s="406"/>
      <c r="I257" s="406"/>
      <c r="J257" s="406"/>
      <c r="K257" s="406"/>
      <c r="L257" s="406"/>
      <c r="M257" s="406"/>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7"/>
      <c r="BL257" s="407"/>
      <c r="BM257" s="407"/>
      <c r="BN257" s="407"/>
      <c r="BO257" s="407"/>
      <c r="BP257" s="407"/>
      <c r="BQ257" s="407"/>
      <c r="BR257" s="407"/>
      <c r="BS257" s="407"/>
      <c r="BT257" s="407"/>
      <c r="BU257" s="407"/>
      <c r="BV257" s="407"/>
      <c r="BW257" s="407"/>
      <c r="BX257" s="407"/>
      <c r="BY257" s="407"/>
      <c r="BZ257" s="407"/>
      <c r="CA257" s="407"/>
      <c r="CB257" s="407"/>
      <c r="CC257" s="407"/>
      <c r="CD257" s="407"/>
      <c r="CE257" s="407"/>
      <c r="CF257" s="407"/>
    </row>
    <row r="258" spans="1:84">
      <c r="A258" s="406"/>
      <c r="B258" s="406"/>
      <c r="C258" s="406"/>
      <c r="D258" s="406"/>
      <c r="E258" s="406"/>
      <c r="F258" s="406"/>
      <c r="G258" s="406"/>
      <c r="H258" s="406"/>
      <c r="I258" s="406"/>
      <c r="J258" s="406"/>
      <c r="K258" s="406"/>
      <c r="L258" s="406"/>
      <c r="M258" s="406"/>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06"/>
      <c r="BG258" s="406"/>
      <c r="BH258" s="406"/>
      <c r="BI258" s="406"/>
      <c r="BJ258" s="406"/>
      <c r="BK258" s="407"/>
      <c r="BL258" s="407"/>
      <c r="BM258" s="407"/>
      <c r="BN258" s="407"/>
      <c r="BO258" s="407"/>
      <c r="BP258" s="407"/>
      <c r="BQ258" s="407"/>
      <c r="BR258" s="407"/>
      <c r="BS258" s="407"/>
      <c r="BT258" s="407"/>
      <c r="BU258" s="407"/>
      <c r="BV258" s="407"/>
      <c r="BW258" s="407"/>
      <c r="BX258" s="407"/>
      <c r="BY258" s="407"/>
      <c r="BZ258" s="407"/>
      <c r="CA258" s="407"/>
      <c r="CB258" s="407"/>
      <c r="CC258" s="407"/>
      <c r="CD258" s="407"/>
      <c r="CE258" s="407"/>
      <c r="CF258" s="407"/>
    </row>
    <row r="259" spans="1:84">
      <c r="A259" s="406"/>
      <c r="B259" s="406"/>
      <c r="C259" s="406"/>
      <c r="D259" s="406"/>
      <c r="E259" s="406"/>
      <c r="F259" s="406"/>
      <c r="G259" s="406"/>
      <c r="H259" s="406"/>
      <c r="I259" s="406"/>
      <c r="J259" s="406"/>
      <c r="K259" s="406"/>
      <c r="L259" s="406"/>
      <c r="M259" s="406"/>
      <c r="N259" s="406"/>
      <c r="O259" s="406"/>
      <c r="P259" s="406"/>
      <c r="Q259" s="406"/>
      <c r="R259" s="406"/>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c r="AN259" s="406"/>
      <c r="AO259" s="406"/>
      <c r="AP259" s="406"/>
      <c r="AQ259" s="406"/>
      <c r="AR259" s="406"/>
      <c r="AS259" s="406"/>
      <c r="AT259" s="406"/>
      <c r="AU259" s="406"/>
      <c r="AV259" s="406"/>
      <c r="AW259" s="406"/>
      <c r="AX259" s="406"/>
      <c r="AY259" s="406"/>
      <c r="AZ259" s="406"/>
      <c r="BA259" s="406"/>
      <c r="BB259" s="406"/>
      <c r="BC259" s="406"/>
      <c r="BD259" s="406"/>
      <c r="BE259" s="406"/>
      <c r="BF259" s="406"/>
      <c r="BG259" s="406"/>
      <c r="BH259" s="406"/>
      <c r="BI259" s="406"/>
      <c r="BJ259" s="406"/>
      <c r="BK259" s="407"/>
      <c r="BL259" s="407"/>
      <c r="BM259" s="407"/>
      <c r="BN259" s="407"/>
      <c r="BO259" s="407"/>
      <c r="BP259" s="407"/>
      <c r="BQ259" s="407"/>
      <c r="BR259" s="407"/>
      <c r="BS259" s="407"/>
      <c r="BT259" s="407"/>
      <c r="BU259" s="407"/>
      <c r="BV259" s="407"/>
      <c r="BW259" s="407"/>
      <c r="BX259" s="407"/>
      <c r="BY259" s="407"/>
      <c r="BZ259" s="407"/>
      <c r="CA259" s="407"/>
      <c r="CB259" s="407"/>
      <c r="CC259" s="407"/>
      <c r="CD259" s="407"/>
      <c r="CE259" s="407"/>
      <c r="CF259" s="407"/>
    </row>
    <row r="260" spans="1:84">
      <c r="A260" s="407"/>
      <c r="B260" s="407"/>
      <c r="C260" s="407"/>
      <c r="D260" s="407"/>
      <c r="E260" s="407"/>
      <c r="F260" s="407"/>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407"/>
      <c r="AE260" s="407"/>
      <c r="AF260" s="407"/>
      <c r="AG260" s="407"/>
      <c r="AH260" s="407"/>
      <c r="AI260" s="407"/>
      <c r="AJ260" s="407"/>
      <c r="AK260" s="407"/>
      <c r="AL260" s="407"/>
      <c r="AM260" s="407"/>
      <c r="AN260" s="407"/>
      <c r="AO260" s="407"/>
      <c r="AP260" s="407"/>
      <c r="AQ260" s="407"/>
      <c r="AR260" s="407"/>
      <c r="AS260" s="407"/>
      <c r="AT260" s="407"/>
      <c r="AU260" s="407"/>
      <c r="AV260" s="407"/>
      <c r="AW260" s="407"/>
      <c r="AX260" s="407"/>
      <c r="AY260" s="407"/>
      <c r="AZ260" s="407"/>
      <c r="BA260" s="407"/>
      <c r="BB260" s="407"/>
      <c r="BC260" s="407"/>
      <c r="BD260" s="407"/>
      <c r="BE260" s="407"/>
      <c r="BF260" s="407"/>
      <c r="BG260" s="407"/>
      <c r="BH260" s="407"/>
      <c r="BI260" s="407"/>
      <c r="BJ260" s="407"/>
      <c r="BK260" s="407"/>
      <c r="BL260" s="407"/>
      <c r="BM260" s="407"/>
      <c r="BN260" s="407"/>
      <c r="BO260" s="407"/>
      <c r="BP260" s="407"/>
      <c r="BQ260" s="407"/>
      <c r="BR260" s="407"/>
      <c r="BS260" s="407"/>
      <c r="BT260" s="407"/>
      <c r="BU260" s="407"/>
      <c r="BV260" s="407"/>
      <c r="BW260" s="407"/>
      <c r="BX260" s="407"/>
      <c r="BY260" s="407"/>
      <c r="BZ260" s="407"/>
      <c r="CA260" s="407"/>
      <c r="CB260" s="407"/>
      <c r="CC260" s="407"/>
      <c r="CD260" s="407"/>
      <c r="CE260" s="407"/>
      <c r="CF260" s="407"/>
    </row>
    <row r="261" spans="1:84">
      <c r="A261" s="407"/>
      <c r="B261" s="407"/>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407"/>
      <c r="AC261" s="407"/>
      <c r="AD261" s="407"/>
      <c r="AE261" s="407"/>
      <c r="AF261" s="407"/>
      <c r="AG261" s="407"/>
      <c r="AH261" s="407"/>
      <c r="AI261" s="407"/>
      <c r="AJ261" s="407"/>
      <c r="AK261" s="407"/>
      <c r="AL261" s="407"/>
      <c r="AM261" s="407"/>
      <c r="AN261" s="407"/>
      <c r="AO261" s="407"/>
      <c r="AP261" s="407"/>
      <c r="AQ261" s="407"/>
      <c r="AR261" s="407"/>
      <c r="AS261" s="407"/>
      <c r="AT261" s="407"/>
      <c r="AU261" s="407"/>
      <c r="AV261" s="407"/>
      <c r="AW261" s="407"/>
      <c r="AX261" s="407"/>
      <c r="AY261" s="407"/>
      <c r="AZ261" s="407"/>
      <c r="BA261" s="407"/>
      <c r="BB261" s="407"/>
      <c r="BC261" s="407"/>
      <c r="BD261" s="407"/>
      <c r="BE261" s="407"/>
      <c r="BF261" s="407"/>
      <c r="BG261" s="407"/>
      <c r="BH261" s="407"/>
      <c r="BI261" s="407"/>
      <c r="BJ261" s="407"/>
      <c r="BK261" s="407"/>
      <c r="BL261" s="407"/>
      <c r="BM261" s="407"/>
      <c r="BN261" s="407"/>
      <c r="BO261" s="407"/>
      <c r="BP261" s="407"/>
      <c r="BQ261" s="407"/>
      <c r="BR261" s="407"/>
      <c r="BS261" s="407"/>
      <c r="BT261" s="407"/>
      <c r="BU261" s="407"/>
      <c r="BV261" s="407"/>
      <c r="BW261" s="407"/>
      <c r="BX261" s="407"/>
      <c r="BY261" s="407"/>
      <c r="BZ261" s="407"/>
      <c r="CA261" s="407"/>
      <c r="CB261" s="407"/>
      <c r="CC261" s="407"/>
      <c r="CD261" s="407"/>
      <c r="CE261" s="407"/>
      <c r="CF261" s="407"/>
    </row>
    <row r="262" spans="1:84">
      <c r="A262" s="407"/>
      <c r="B262" s="407"/>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K262" s="407"/>
      <c r="AL262" s="407"/>
      <c r="AM262" s="407"/>
      <c r="AN262" s="407"/>
      <c r="AO262" s="407"/>
      <c r="AP262" s="407"/>
      <c r="AQ262" s="407"/>
      <c r="AR262" s="407"/>
      <c r="AS262" s="407"/>
      <c r="AT262" s="407"/>
      <c r="AU262" s="407"/>
      <c r="AV262" s="407"/>
      <c r="AW262" s="407"/>
      <c r="AX262" s="407"/>
      <c r="AY262" s="407"/>
      <c r="AZ262" s="407"/>
      <c r="BA262" s="407"/>
      <c r="BB262" s="407"/>
      <c r="BC262" s="407"/>
      <c r="BD262" s="407"/>
      <c r="BE262" s="407"/>
      <c r="BF262" s="407"/>
      <c r="BG262" s="407"/>
      <c r="BH262" s="407"/>
      <c r="BI262" s="407"/>
      <c r="BJ262" s="407"/>
      <c r="BK262" s="407"/>
      <c r="BL262" s="407"/>
      <c r="BM262" s="407"/>
      <c r="BN262" s="407"/>
      <c r="BO262" s="407"/>
      <c r="BP262" s="407"/>
      <c r="BQ262" s="407"/>
      <c r="BR262" s="407"/>
      <c r="BS262" s="407"/>
      <c r="BT262" s="407"/>
      <c r="BU262" s="407"/>
      <c r="BV262" s="407"/>
      <c r="BW262" s="407"/>
      <c r="BX262" s="407"/>
      <c r="BY262" s="407"/>
      <c r="BZ262" s="407"/>
      <c r="CA262" s="407"/>
      <c r="CB262" s="407"/>
      <c r="CC262" s="407"/>
      <c r="CD262" s="407"/>
      <c r="CE262" s="407"/>
      <c r="CF262" s="407"/>
    </row>
    <row r="263" spans="1:84">
      <c r="A263" s="407"/>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407"/>
      <c r="AO263" s="407"/>
      <c r="AP263" s="407"/>
      <c r="AQ263" s="407"/>
      <c r="AR263" s="407"/>
      <c r="AS263" s="407"/>
      <c r="AT263" s="407"/>
      <c r="AU263" s="407"/>
      <c r="AV263" s="407"/>
      <c r="AW263" s="407"/>
      <c r="AX263" s="407"/>
      <c r="AY263" s="407"/>
      <c r="AZ263" s="407"/>
      <c r="BA263" s="407"/>
      <c r="BB263" s="407"/>
      <c r="BC263" s="407"/>
      <c r="BD263" s="407"/>
      <c r="BE263" s="407"/>
      <c r="BF263" s="407"/>
      <c r="BG263" s="407"/>
      <c r="BH263" s="407"/>
      <c r="BI263" s="407"/>
      <c r="BJ263" s="407"/>
      <c r="BK263" s="407"/>
      <c r="BL263" s="407"/>
      <c r="BM263" s="407"/>
      <c r="BN263" s="407"/>
      <c r="BO263" s="407"/>
      <c r="BP263" s="407"/>
      <c r="BQ263" s="407"/>
      <c r="BR263" s="407"/>
      <c r="BS263" s="407"/>
      <c r="BT263" s="407"/>
      <c r="BU263" s="407"/>
      <c r="BV263" s="407"/>
      <c r="BW263" s="407"/>
      <c r="BX263" s="407"/>
      <c r="BY263" s="407"/>
      <c r="BZ263" s="407"/>
      <c r="CA263" s="407"/>
      <c r="CB263" s="407"/>
      <c r="CC263" s="407"/>
      <c r="CD263" s="407"/>
      <c r="CE263" s="407"/>
      <c r="CF263" s="407"/>
    </row>
    <row r="264" spans="1:84">
      <c r="A264" s="407"/>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407"/>
      <c r="AE264" s="407"/>
      <c r="AF264" s="407"/>
      <c r="AG264" s="407"/>
      <c r="AH264" s="407"/>
      <c r="AI264" s="407"/>
      <c r="AJ264" s="407"/>
      <c r="AK264" s="407"/>
      <c r="AL264" s="407"/>
      <c r="AM264" s="407"/>
      <c r="AN264" s="407"/>
      <c r="AO264" s="407"/>
      <c r="AP264" s="407"/>
      <c r="AQ264" s="407"/>
      <c r="AR264" s="407"/>
      <c r="AS264" s="407"/>
      <c r="AT264" s="407"/>
      <c r="AU264" s="407"/>
      <c r="AV264" s="407"/>
      <c r="AW264" s="407"/>
      <c r="AX264" s="407"/>
      <c r="AY264" s="407"/>
      <c r="AZ264" s="407"/>
      <c r="BA264" s="407"/>
      <c r="BB264" s="407"/>
      <c r="BC264" s="407"/>
      <c r="BD264" s="407"/>
      <c r="BE264" s="407"/>
      <c r="BF264" s="407"/>
      <c r="BG264" s="407"/>
      <c r="BH264" s="407"/>
      <c r="BI264" s="407"/>
      <c r="BJ264" s="407"/>
      <c r="BK264" s="407"/>
      <c r="BL264" s="407"/>
      <c r="BM264" s="407"/>
      <c r="BN264" s="407"/>
      <c r="BO264" s="407"/>
      <c r="BP264" s="407"/>
      <c r="BQ264" s="407"/>
      <c r="BR264" s="407"/>
      <c r="BS264" s="407"/>
      <c r="BT264" s="407"/>
      <c r="BU264" s="407"/>
      <c r="BV264" s="407"/>
      <c r="BW264" s="407"/>
      <c r="BX264" s="407"/>
      <c r="BY264" s="407"/>
      <c r="BZ264" s="407"/>
      <c r="CA264" s="407"/>
      <c r="CB264" s="407"/>
      <c r="CC264" s="407"/>
      <c r="CD264" s="407"/>
      <c r="CE264" s="407"/>
      <c r="CF264" s="407"/>
    </row>
    <row r="265" spans="1:84">
      <c r="A265" s="407"/>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407"/>
      <c r="AR265" s="407"/>
      <c r="AS265" s="407"/>
      <c r="AT265" s="407"/>
      <c r="AU265" s="407"/>
      <c r="AV265" s="407"/>
      <c r="AW265" s="407"/>
      <c r="AX265" s="407"/>
      <c r="AY265" s="407"/>
      <c r="AZ265" s="407"/>
      <c r="BA265" s="407"/>
      <c r="BB265" s="407"/>
      <c r="BC265" s="407"/>
      <c r="BD265" s="407"/>
      <c r="BE265" s="407"/>
      <c r="BF265" s="407"/>
      <c r="BG265" s="407"/>
      <c r="BH265" s="407"/>
      <c r="BI265" s="407"/>
      <c r="BJ265" s="407"/>
      <c r="BK265" s="407"/>
      <c r="BL265" s="407"/>
      <c r="BM265" s="407"/>
      <c r="BN265" s="407"/>
      <c r="BO265" s="407"/>
      <c r="BP265" s="407"/>
      <c r="BQ265" s="407"/>
      <c r="BR265" s="407"/>
      <c r="BS265" s="407"/>
      <c r="BT265" s="407"/>
      <c r="BU265" s="407"/>
      <c r="BV265" s="407"/>
      <c r="BW265" s="407"/>
      <c r="BX265" s="407"/>
      <c r="BY265" s="407"/>
      <c r="BZ265" s="407"/>
      <c r="CA265" s="407"/>
      <c r="CB265" s="407"/>
      <c r="CC265" s="407"/>
      <c r="CD265" s="407"/>
      <c r="CE265" s="407"/>
      <c r="CF265" s="407"/>
    </row>
    <row r="266" spans="1:84">
      <c r="A266" s="407"/>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407"/>
      <c r="AE266" s="407"/>
      <c r="AF266" s="407"/>
      <c r="AG266" s="407"/>
      <c r="AH266" s="407"/>
      <c r="AI266" s="407"/>
      <c r="AJ266" s="407"/>
      <c r="AK266" s="407"/>
      <c r="AL266" s="407"/>
      <c r="AM266" s="407"/>
      <c r="AN266" s="407"/>
      <c r="AO266" s="407"/>
      <c r="AP266" s="407"/>
      <c r="AQ266" s="407"/>
      <c r="AR266" s="407"/>
      <c r="AS266" s="407"/>
      <c r="AT266" s="407"/>
      <c r="AU266" s="407"/>
      <c r="AV266" s="407"/>
      <c r="AW266" s="407"/>
      <c r="AX266" s="407"/>
      <c r="AY266" s="407"/>
      <c r="AZ266" s="407"/>
      <c r="BA266" s="407"/>
      <c r="BB266" s="407"/>
      <c r="BC266" s="407"/>
      <c r="BD266" s="407"/>
      <c r="BE266" s="407"/>
      <c r="BF266" s="407"/>
      <c r="BG266" s="407"/>
      <c r="BH266" s="407"/>
      <c r="BI266" s="407"/>
      <c r="BJ266" s="407"/>
      <c r="BK266" s="407"/>
      <c r="BL266" s="407"/>
      <c r="BM266" s="407"/>
      <c r="BN266" s="407"/>
      <c r="BO266" s="407"/>
      <c r="BP266" s="407"/>
      <c r="BQ266" s="407"/>
      <c r="BR266" s="407"/>
      <c r="BS266" s="407"/>
      <c r="BT266" s="407"/>
      <c r="BU266" s="407"/>
      <c r="BV266" s="407"/>
      <c r="BW266" s="407"/>
      <c r="BX266" s="407"/>
      <c r="BY266" s="407"/>
      <c r="BZ266" s="407"/>
      <c r="CA266" s="407"/>
      <c r="CB266" s="407"/>
      <c r="CC266" s="407"/>
      <c r="CD266" s="407"/>
      <c r="CE266" s="407"/>
      <c r="CF266" s="407"/>
    </row>
    <row r="267" spans="1:84">
      <c r="A267" s="407"/>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407"/>
      <c r="AE267" s="407"/>
      <c r="AF267" s="407"/>
      <c r="AG267" s="407"/>
      <c r="AH267" s="407"/>
      <c r="AI267" s="407"/>
      <c r="AJ267" s="407"/>
      <c r="AK267" s="407"/>
      <c r="AL267" s="407"/>
      <c r="AM267" s="407"/>
      <c r="AN267" s="407"/>
      <c r="AO267" s="407"/>
      <c r="AP267" s="407"/>
      <c r="AQ267" s="407"/>
      <c r="AR267" s="407"/>
      <c r="AS267" s="407"/>
      <c r="AT267" s="407"/>
      <c r="AU267" s="407"/>
      <c r="AV267" s="407"/>
      <c r="AW267" s="407"/>
      <c r="AX267" s="407"/>
      <c r="AY267" s="407"/>
      <c r="AZ267" s="407"/>
      <c r="BA267" s="407"/>
      <c r="BB267" s="407"/>
      <c r="BC267" s="407"/>
      <c r="BD267" s="407"/>
      <c r="BE267" s="407"/>
      <c r="BF267" s="407"/>
      <c r="BG267" s="407"/>
      <c r="BH267" s="407"/>
      <c r="BI267" s="407"/>
      <c r="BJ267" s="407"/>
      <c r="BK267" s="407"/>
      <c r="BL267" s="407"/>
      <c r="BM267" s="407"/>
      <c r="BN267" s="407"/>
      <c r="BO267" s="407"/>
      <c r="BP267" s="407"/>
      <c r="BQ267" s="407"/>
      <c r="BR267" s="407"/>
      <c r="BS267" s="407"/>
      <c r="BT267" s="407"/>
      <c r="BU267" s="407"/>
      <c r="BV267" s="407"/>
      <c r="BW267" s="407"/>
      <c r="BX267" s="407"/>
      <c r="BY267" s="407"/>
      <c r="BZ267" s="407"/>
      <c r="CA267" s="407"/>
      <c r="CB267" s="407"/>
      <c r="CC267" s="407"/>
      <c r="CD267" s="407"/>
      <c r="CE267" s="407"/>
      <c r="CF267" s="407"/>
    </row>
    <row r="268" spans="1:84">
      <c r="A268" s="407"/>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407"/>
      <c r="AE268" s="407"/>
      <c r="AF268" s="407"/>
      <c r="AG268" s="407"/>
      <c r="AH268" s="407"/>
      <c r="AI268" s="407"/>
      <c r="AJ268" s="407"/>
      <c r="AK268" s="407"/>
      <c r="AL268" s="407"/>
      <c r="AM268" s="407"/>
      <c r="AN268" s="407"/>
      <c r="AO268" s="407"/>
      <c r="AP268" s="407"/>
      <c r="AQ268" s="407"/>
      <c r="AR268" s="407"/>
      <c r="AS268" s="407"/>
      <c r="AT268" s="407"/>
      <c r="AU268" s="407"/>
      <c r="AV268" s="407"/>
      <c r="AW268" s="407"/>
      <c r="AX268" s="407"/>
      <c r="AY268" s="407"/>
      <c r="AZ268" s="407"/>
      <c r="BA268" s="407"/>
      <c r="BB268" s="407"/>
      <c r="BC268" s="407"/>
      <c r="BD268" s="407"/>
      <c r="BE268" s="407"/>
      <c r="BF268" s="407"/>
      <c r="BG268" s="407"/>
      <c r="BH268" s="407"/>
      <c r="BI268" s="407"/>
      <c r="BJ268" s="407"/>
      <c r="BK268" s="407"/>
      <c r="BL268" s="407"/>
      <c r="BM268" s="407"/>
      <c r="BN268" s="407"/>
      <c r="BO268" s="407"/>
      <c r="BP268" s="407"/>
      <c r="BQ268" s="407"/>
      <c r="BR268" s="407"/>
      <c r="BS268" s="407"/>
      <c r="BT268" s="407"/>
      <c r="BU268" s="407"/>
      <c r="BV268" s="407"/>
      <c r="BW268" s="407"/>
      <c r="BX268" s="407"/>
      <c r="BY268" s="407"/>
      <c r="BZ268" s="407"/>
      <c r="CA268" s="407"/>
      <c r="CB268" s="407"/>
      <c r="CC268" s="407"/>
      <c r="CD268" s="407"/>
      <c r="CE268" s="407"/>
      <c r="CF268" s="407"/>
    </row>
    <row r="269" spans="1:84">
      <c r="A269" s="407"/>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407"/>
      <c r="AC269" s="407"/>
      <c r="AD269" s="407"/>
      <c r="AE269" s="407"/>
      <c r="AF269" s="407"/>
      <c r="AG269" s="407"/>
      <c r="AH269" s="407"/>
      <c r="AI269" s="407"/>
      <c r="AJ269" s="407"/>
      <c r="AK269" s="407"/>
      <c r="AL269" s="407"/>
      <c r="AM269" s="407"/>
      <c r="AN269" s="407"/>
      <c r="AO269" s="407"/>
      <c r="AP269" s="407"/>
      <c r="AQ269" s="407"/>
      <c r="AR269" s="407"/>
      <c r="AS269" s="407"/>
      <c r="AT269" s="407"/>
      <c r="AU269" s="407"/>
      <c r="AV269" s="407"/>
      <c r="AW269" s="407"/>
      <c r="AX269" s="407"/>
      <c r="AY269" s="407"/>
      <c r="AZ269" s="407"/>
      <c r="BA269" s="407"/>
      <c r="BB269" s="407"/>
      <c r="BC269" s="407"/>
      <c r="BD269" s="407"/>
      <c r="BE269" s="407"/>
      <c r="BF269" s="407"/>
      <c r="BG269" s="407"/>
      <c r="BH269" s="407"/>
      <c r="BI269" s="407"/>
      <c r="BJ269" s="407"/>
      <c r="BK269" s="407"/>
      <c r="BL269" s="407"/>
      <c r="BM269" s="407"/>
      <c r="BN269" s="407"/>
      <c r="BO269" s="407"/>
      <c r="BP269" s="407"/>
      <c r="BQ269" s="407"/>
      <c r="BR269" s="407"/>
      <c r="BS269" s="407"/>
      <c r="BT269" s="407"/>
      <c r="BU269" s="407"/>
      <c r="BV269" s="407"/>
      <c r="BW269" s="407"/>
      <c r="BX269" s="407"/>
      <c r="BY269" s="407"/>
      <c r="BZ269" s="407"/>
      <c r="CA269" s="407"/>
      <c r="CB269" s="407"/>
      <c r="CC269" s="407"/>
      <c r="CD269" s="407"/>
      <c r="CE269" s="407"/>
      <c r="CF269" s="407"/>
    </row>
    <row r="270" spans="1:84">
      <c r="A270" s="407"/>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407"/>
      <c r="AE270" s="407"/>
      <c r="AF270" s="407"/>
      <c r="AG270" s="407"/>
      <c r="AH270" s="407"/>
      <c r="AI270" s="407"/>
      <c r="AJ270" s="407"/>
      <c r="AK270" s="407"/>
      <c r="AL270" s="407"/>
      <c r="AM270" s="407"/>
      <c r="AN270" s="407"/>
      <c r="AO270" s="407"/>
      <c r="AP270" s="407"/>
      <c r="AQ270" s="407"/>
      <c r="AR270" s="407"/>
      <c r="AS270" s="407"/>
      <c r="AT270" s="407"/>
      <c r="AU270" s="407"/>
      <c r="AV270" s="407"/>
      <c r="AW270" s="407"/>
      <c r="AX270" s="407"/>
      <c r="AY270" s="407"/>
      <c r="AZ270" s="407"/>
      <c r="BA270" s="407"/>
      <c r="BB270" s="407"/>
      <c r="BC270" s="407"/>
      <c r="BD270" s="407"/>
      <c r="BE270" s="407"/>
      <c r="BF270" s="407"/>
      <c r="BG270" s="407"/>
      <c r="BH270" s="407"/>
      <c r="BI270" s="407"/>
      <c r="BJ270" s="407"/>
      <c r="BK270" s="407"/>
      <c r="BL270" s="407"/>
      <c r="BM270" s="407"/>
      <c r="BN270" s="407"/>
      <c r="BO270" s="407"/>
      <c r="BP270" s="407"/>
      <c r="BQ270" s="407"/>
      <c r="BR270" s="407"/>
      <c r="BS270" s="407"/>
      <c r="BT270" s="407"/>
      <c r="BU270" s="407"/>
      <c r="BV270" s="407"/>
      <c r="BW270" s="407"/>
      <c r="BX270" s="407"/>
      <c r="BY270" s="407"/>
      <c r="BZ270" s="407"/>
      <c r="CA270" s="407"/>
      <c r="CB270" s="407"/>
      <c r="CC270" s="407"/>
      <c r="CD270" s="407"/>
      <c r="CE270" s="407"/>
      <c r="CF270" s="407"/>
    </row>
    <row r="271" spans="1:84">
      <c r="A271" s="407"/>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407"/>
      <c r="AE271" s="407"/>
      <c r="AF271" s="407"/>
      <c r="AG271" s="407"/>
      <c r="AH271" s="407"/>
      <c r="AI271" s="407"/>
      <c r="AJ271" s="407"/>
      <c r="AK271" s="407"/>
      <c r="AL271" s="407"/>
      <c r="AM271" s="407"/>
      <c r="AN271" s="407"/>
      <c r="AO271" s="407"/>
      <c r="AP271" s="407"/>
      <c r="AQ271" s="407"/>
      <c r="AR271" s="407"/>
      <c r="AS271" s="407"/>
      <c r="AT271" s="407"/>
      <c r="AU271" s="407"/>
      <c r="AV271" s="407"/>
      <c r="AW271" s="407"/>
      <c r="AX271" s="407"/>
      <c r="AY271" s="407"/>
      <c r="AZ271" s="407"/>
      <c r="BA271" s="407"/>
      <c r="BB271" s="407"/>
      <c r="BC271" s="407"/>
      <c r="BD271" s="407"/>
      <c r="BE271" s="407"/>
      <c r="BF271" s="407"/>
      <c r="BG271" s="407"/>
      <c r="BH271" s="407"/>
      <c r="BI271" s="407"/>
      <c r="BJ271" s="407"/>
      <c r="BK271" s="407"/>
      <c r="BL271" s="407"/>
      <c r="BM271" s="407"/>
      <c r="BN271" s="407"/>
      <c r="BO271" s="407"/>
      <c r="BP271" s="407"/>
      <c r="BQ271" s="407"/>
      <c r="BR271" s="407"/>
      <c r="BS271" s="407"/>
      <c r="BT271" s="407"/>
      <c r="BU271" s="407"/>
      <c r="BV271" s="407"/>
      <c r="BW271" s="407"/>
      <c r="BX271" s="407"/>
      <c r="BY271" s="407"/>
      <c r="BZ271" s="407"/>
      <c r="CA271" s="407"/>
      <c r="CB271" s="407"/>
      <c r="CC271" s="407"/>
      <c r="CD271" s="407"/>
      <c r="CE271" s="407"/>
      <c r="CF271" s="407"/>
    </row>
    <row r="272" spans="1:84">
      <c r="A272" s="407"/>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c r="AA272" s="407"/>
      <c r="AB272" s="407"/>
      <c r="AC272" s="407"/>
      <c r="AD272" s="407"/>
      <c r="AE272" s="407"/>
      <c r="AF272" s="407"/>
      <c r="AG272" s="407"/>
      <c r="AH272" s="407"/>
      <c r="AI272" s="407"/>
      <c r="AJ272" s="407"/>
      <c r="AK272" s="407"/>
      <c r="AL272" s="407"/>
      <c r="AM272" s="407"/>
      <c r="AN272" s="407"/>
      <c r="AO272" s="407"/>
      <c r="AP272" s="407"/>
      <c r="AQ272" s="407"/>
      <c r="AR272" s="407"/>
      <c r="AS272" s="407"/>
      <c r="AT272" s="407"/>
      <c r="AU272" s="407"/>
      <c r="AV272" s="407"/>
      <c r="AW272" s="407"/>
      <c r="AX272" s="407"/>
      <c r="AY272" s="407"/>
      <c r="AZ272" s="407"/>
      <c r="BA272" s="407"/>
      <c r="BB272" s="407"/>
      <c r="BC272" s="407"/>
      <c r="BD272" s="407"/>
      <c r="BE272" s="407"/>
      <c r="BF272" s="407"/>
      <c r="BG272" s="407"/>
      <c r="BH272" s="407"/>
      <c r="BI272" s="407"/>
      <c r="BJ272" s="407"/>
      <c r="BK272" s="407"/>
      <c r="BL272" s="407"/>
      <c r="BM272" s="407"/>
      <c r="BN272" s="407"/>
      <c r="BO272" s="407"/>
      <c r="BP272" s="407"/>
      <c r="BQ272" s="407"/>
      <c r="BR272" s="407"/>
      <c r="BS272" s="407"/>
      <c r="BT272" s="407"/>
      <c r="BU272" s="407"/>
      <c r="BV272" s="407"/>
      <c r="BW272" s="407"/>
      <c r="BX272" s="407"/>
      <c r="BY272" s="407"/>
      <c r="BZ272" s="407"/>
      <c r="CA272" s="407"/>
      <c r="CB272" s="407"/>
      <c r="CC272" s="407"/>
      <c r="CD272" s="407"/>
      <c r="CE272" s="407"/>
      <c r="CF272" s="407"/>
    </row>
    <row r="273" spans="1:84">
      <c r="A273" s="407"/>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407"/>
      <c r="AE273" s="407"/>
      <c r="AF273" s="407"/>
      <c r="AG273" s="407"/>
      <c r="AH273" s="407"/>
      <c r="AI273" s="407"/>
      <c r="AJ273" s="407"/>
      <c r="AK273" s="407"/>
      <c r="AL273" s="407"/>
      <c r="AM273" s="407"/>
      <c r="AN273" s="407"/>
      <c r="AO273" s="407"/>
      <c r="AP273" s="407"/>
      <c r="AQ273" s="407"/>
      <c r="AR273" s="407"/>
      <c r="AS273" s="407"/>
      <c r="AT273" s="407"/>
      <c r="AU273" s="407"/>
      <c r="AV273" s="407"/>
      <c r="AW273" s="407"/>
      <c r="AX273" s="407"/>
      <c r="AY273" s="407"/>
      <c r="AZ273" s="407"/>
      <c r="BA273" s="407"/>
      <c r="BB273" s="407"/>
      <c r="BC273" s="407"/>
      <c r="BD273" s="407"/>
      <c r="BE273" s="407"/>
      <c r="BF273" s="407"/>
      <c r="BG273" s="407"/>
      <c r="BH273" s="407"/>
      <c r="BI273" s="407"/>
      <c r="BJ273" s="407"/>
      <c r="BK273" s="407"/>
      <c r="BL273" s="407"/>
      <c r="BM273" s="407"/>
      <c r="BN273" s="407"/>
      <c r="BO273" s="407"/>
      <c r="BP273" s="407"/>
      <c r="BQ273" s="407"/>
      <c r="BR273" s="407"/>
      <c r="BS273" s="407"/>
      <c r="BT273" s="407"/>
      <c r="BU273" s="407"/>
      <c r="BV273" s="407"/>
      <c r="BW273" s="407"/>
      <c r="BX273" s="407"/>
      <c r="BY273" s="407"/>
      <c r="BZ273" s="407"/>
      <c r="CA273" s="407"/>
      <c r="CB273" s="407"/>
      <c r="CC273" s="407"/>
      <c r="CD273" s="407"/>
      <c r="CE273" s="407"/>
      <c r="CF273" s="407"/>
    </row>
    <row r="274" spans="1:84">
      <c r="A274" s="407"/>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c r="AA274" s="407"/>
      <c r="AB274" s="407"/>
      <c r="AC274" s="407"/>
      <c r="AD274" s="407"/>
      <c r="AE274" s="407"/>
      <c r="AF274" s="407"/>
      <c r="AG274" s="407"/>
      <c r="AH274" s="407"/>
      <c r="AI274" s="407"/>
      <c r="AJ274" s="407"/>
      <c r="AK274" s="407"/>
      <c r="AL274" s="407"/>
      <c r="AM274" s="407"/>
      <c r="AN274" s="407"/>
      <c r="AO274" s="407"/>
      <c r="AP274" s="407"/>
      <c r="AQ274" s="407"/>
      <c r="AR274" s="407"/>
      <c r="AS274" s="407"/>
      <c r="AT274" s="407"/>
      <c r="AU274" s="407"/>
      <c r="AV274" s="407"/>
      <c r="AW274" s="407"/>
      <c r="AX274" s="407"/>
      <c r="AY274" s="407"/>
      <c r="AZ274" s="407"/>
      <c r="BA274" s="407"/>
      <c r="BB274" s="407"/>
      <c r="BC274" s="407"/>
      <c r="BD274" s="407"/>
      <c r="BE274" s="407"/>
      <c r="BF274" s="407"/>
      <c r="BG274" s="407"/>
      <c r="BH274" s="407"/>
      <c r="BI274" s="407"/>
      <c r="BJ274" s="407"/>
      <c r="BK274" s="407"/>
      <c r="BL274" s="407"/>
      <c r="BM274" s="407"/>
      <c r="BN274" s="407"/>
      <c r="BO274" s="407"/>
      <c r="BP274" s="407"/>
      <c r="BQ274" s="407"/>
      <c r="BR274" s="407"/>
      <c r="BS274" s="407"/>
      <c r="BT274" s="407"/>
      <c r="BU274" s="407"/>
      <c r="BV274" s="407"/>
      <c r="BW274" s="407"/>
      <c r="BX274" s="407"/>
      <c r="BY274" s="407"/>
      <c r="BZ274" s="407"/>
      <c r="CA274" s="407"/>
      <c r="CB274" s="407"/>
      <c r="CC274" s="407"/>
      <c r="CD274" s="407"/>
      <c r="CE274" s="407"/>
      <c r="CF274" s="407"/>
    </row>
    <row r="275" spans="1:84">
      <c r="A275" s="407"/>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c r="AA275" s="407"/>
      <c r="AB275" s="407"/>
      <c r="AC275" s="407"/>
      <c r="AD275" s="407"/>
      <c r="AE275" s="407"/>
      <c r="AF275" s="407"/>
      <c r="AG275" s="407"/>
      <c r="AH275" s="407"/>
      <c r="AI275" s="407"/>
      <c r="AJ275" s="407"/>
      <c r="AK275" s="407"/>
      <c r="AL275" s="407"/>
      <c r="AM275" s="407"/>
      <c r="AN275" s="407"/>
      <c r="AO275" s="407"/>
      <c r="AP275" s="407"/>
      <c r="AQ275" s="407"/>
      <c r="AR275" s="407"/>
      <c r="AS275" s="407"/>
      <c r="AT275" s="407"/>
      <c r="AU275" s="407"/>
      <c r="AV275" s="407"/>
      <c r="AW275" s="407"/>
      <c r="AX275" s="407"/>
      <c r="AY275" s="407"/>
      <c r="AZ275" s="407"/>
      <c r="BA275" s="407"/>
      <c r="BB275" s="407"/>
      <c r="BC275" s="407"/>
      <c r="BD275" s="407"/>
      <c r="BE275" s="407"/>
      <c r="BF275" s="407"/>
      <c r="BG275" s="407"/>
      <c r="BH275" s="407"/>
      <c r="BI275" s="407"/>
      <c r="BJ275" s="407"/>
      <c r="BK275" s="407"/>
      <c r="BL275" s="407"/>
      <c r="BM275" s="407"/>
      <c r="BN275" s="407"/>
      <c r="BO275" s="407"/>
      <c r="BP275" s="407"/>
      <c r="BQ275" s="407"/>
      <c r="BR275" s="407"/>
      <c r="BS275" s="407"/>
      <c r="BT275" s="407"/>
      <c r="BU275" s="407"/>
      <c r="BV275" s="407"/>
      <c r="BW275" s="407"/>
      <c r="BX275" s="407"/>
      <c r="BY275" s="407"/>
      <c r="BZ275" s="407"/>
      <c r="CA275" s="407"/>
      <c r="CB275" s="407"/>
      <c r="CC275" s="407"/>
      <c r="CD275" s="407"/>
      <c r="CE275" s="407"/>
      <c r="CF275" s="407"/>
    </row>
    <row r="276" spans="1:84">
      <c r="A276" s="407"/>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407"/>
      <c r="AB276" s="407"/>
      <c r="AC276" s="407"/>
      <c r="AD276" s="407"/>
      <c r="AE276" s="407"/>
      <c r="AF276" s="407"/>
      <c r="AG276" s="407"/>
      <c r="AH276" s="407"/>
      <c r="AI276" s="407"/>
      <c r="AJ276" s="407"/>
      <c r="AK276" s="407"/>
      <c r="AL276" s="407"/>
      <c r="AM276" s="407"/>
      <c r="AN276" s="407"/>
      <c r="AO276" s="407"/>
      <c r="AP276" s="407"/>
      <c r="AQ276" s="407"/>
      <c r="AR276" s="407"/>
      <c r="AS276" s="407"/>
      <c r="AT276" s="407"/>
      <c r="AU276" s="407"/>
      <c r="AV276" s="407"/>
      <c r="AW276" s="407"/>
      <c r="AX276" s="407"/>
      <c r="AY276" s="407"/>
      <c r="AZ276" s="407"/>
      <c r="BA276" s="407"/>
      <c r="BB276" s="407"/>
      <c r="BC276" s="407"/>
      <c r="BD276" s="407"/>
      <c r="BE276" s="407"/>
      <c r="BF276" s="407"/>
      <c r="BG276" s="407"/>
      <c r="BH276" s="407"/>
      <c r="BI276" s="407"/>
      <c r="BJ276" s="407"/>
      <c r="BK276" s="407"/>
      <c r="BL276" s="407"/>
      <c r="BM276" s="407"/>
      <c r="BN276" s="407"/>
      <c r="BO276" s="407"/>
      <c r="BP276" s="407"/>
      <c r="BQ276" s="407"/>
      <c r="BR276" s="407"/>
      <c r="BS276" s="407"/>
      <c r="BT276" s="407"/>
      <c r="BU276" s="407"/>
      <c r="BV276" s="407"/>
      <c r="BW276" s="407"/>
      <c r="BX276" s="407"/>
      <c r="BY276" s="407"/>
      <c r="BZ276" s="407"/>
      <c r="CA276" s="407"/>
      <c r="CB276" s="407"/>
      <c r="CC276" s="407"/>
      <c r="CD276" s="407"/>
      <c r="CE276" s="407"/>
      <c r="CF276" s="407"/>
    </row>
    <row r="277" spans="1:84">
      <c r="A277" s="407"/>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c r="AA277" s="407"/>
      <c r="AB277" s="407"/>
      <c r="AC277" s="407"/>
      <c r="AD277" s="407"/>
      <c r="AE277" s="407"/>
      <c r="AF277" s="407"/>
      <c r="AG277" s="407"/>
      <c r="AH277" s="407"/>
      <c r="AI277" s="407"/>
      <c r="AJ277" s="407"/>
      <c r="AK277" s="407"/>
      <c r="AL277" s="407"/>
      <c r="AM277" s="407"/>
      <c r="AN277" s="407"/>
      <c r="AO277" s="407"/>
      <c r="AP277" s="407"/>
      <c r="AQ277" s="407"/>
      <c r="AR277" s="407"/>
      <c r="AS277" s="407"/>
      <c r="AT277" s="407"/>
      <c r="AU277" s="407"/>
      <c r="AV277" s="407"/>
      <c r="AW277" s="407"/>
      <c r="AX277" s="407"/>
      <c r="AY277" s="407"/>
      <c r="AZ277" s="407"/>
      <c r="BA277" s="407"/>
      <c r="BB277" s="407"/>
      <c r="BC277" s="407"/>
      <c r="BD277" s="407"/>
      <c r="BE277" s="407"/>
      <c r="BF277" s="407"/>
      <c r="BG277" s="407"/>
      <c r="BH277" s="407"/>
      <c r="BI277" s="407"/>
      <c r="BJ277" s="407"/>
      <c r="BK277" s="407"/>
      <c r="BL277" s="407"/>
      <c r="BM277" s="407"/>
      <c r="BN277" s="407"/>
      <c r="BO277" s="407"/>
      <c r="BP277" s="407"/>
      <c r="BQ277" s="407"/>
      <c r="BR277" s="407"/>
      <c r="BS277" s="407"/>
      <c r="BT277" s="407"/>
      <c r="BU277" s="407"/>
      <c r="BV277" s="407"/>
      <c r="BW277" s="407"/>
      <c r="BX277" s="407"/>
      <c r="BY277" s="407"/>
      <c r="BZ277" s="407"/>
      <c r="CA277" s="407"/>
      <c r="CB277" s="407"/>
      <c r="CC277" s="407"/>
      <c r="CD277" s="407"/>
      <c r="CE277" s="407"/>
      <c r="CF277" s="407"/>
    </row>
    <row r="278" spans="1:84">
      <c r="A278" s="407"/>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407"/>
      <c r="AE278" s="407"/>
      <c r="AF278" s="407"/>
      <c r="AG278" s="407"/>
      <c r="AH278" s="407"/>
      <c r="AI278" s="407"/>
      <c r="AJ278" s="407"/>
      <c r="AK278" s="407"/>
      <c r="AL278" s="407"/>
      <c r="AM278" s="407"/>
      <c r="AN278" s="407"/>
      <c r="AO278" s="407"/>
      <c r="AP278" s="407"/>
      <c r="AQ278" s="407"/>
      <c r="AR278" s="407"/>
      <c r="AS278" s="407"/>
      <c r="AT278" s="407"/>
      <c r="AU278" s="407"/>
      <c r="AV278" s="407"/>
      <c r="AW278" s="407"/>
      <c r="AX278" s="407"/>
      <c r="AY278" s="407"/>
      <c r="AZ278" s="407"/>
      <c r="BA278" s="407"/>
      <c r="BB278" s="407"/>
      <c r="BC278" s="407"/>
      <c r="BD278" s="407"/>
      <c r="BE278" s="407"/>
      <c r="BF278" s="407"/>
      <c r="BG278" s="407"/>
      <c r="BH278" s="407"/>
      <c r="BI278" s="407"/>
      <c r="BJ278" s="407"/>
      <c r="BK278" s="407"/>
      <c r="BL278" s="407"/>
      <c r="BM278" s="407"/>
      <c r="BN278" s="407"/>
      <c r="BO278" s="407"/>
      <c r="BP278" s="407"/>
      <c r="BQ278" s="407"/>
      <c r="BR278" s="407"/>
      <c r="BS278" s="407"/>
      <c r="BT278" s="407"/>
      <c r="BU278" s="407"/>
      <c r="BV278" s="407"/>
      <c r="BW278" s="407"/>
      <c r="BX278" s="407"/>
      <c r="BY278" s="407"/>
      <c r="BZ278" s="407"/>
      <c r="CA278" s="407"/>
      <c r="CB278" s="407"/>
      <c r="CC278" s="407"/>
      <c r="CD278" s="407"/>
      <c r="CE278" s="407"/>
      <c r="CF278" s="407"/>
    </row>
    <row r="279" spans="1:84">
      <c r="A279" s="407"/>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407"/>
      <c r="AB279" s="407"/>
      <c r="AC279" s="407"/>
      <c r="AD279" s="407"/>
      <c r="AE279" s="407"/>
      <c r="AF279" s="407"/>
      <c r="AG279" s="407"/>
      <c r="AH279" s="407"/>
      <c r="AI279" s="407"/>
      <c r="AJ279" s="407"/>
      <c r="AK279" s="407"/>
      <c r="AL279" s="407"/>
      <c r="AM279" s="407"/>
      <c r="AN279" s="407"/>
      <c r="AO279" s="407"/>
      <c r="AP279" s="407"/>
      <c r="AQ279" s="407"/>
      <c r="AR279" s="407"/>
      <c r="AS279" s="407"/>
      <c r="AT279" s="407"/>
      <c r="AU279" s="407"/>
      <c r="AV279" s="407"/>
      <c r="AW279" s="407"/>
      <c r="AX279" s="407"/>
      <c r="AY279" s="407"/>
      <c r="AZ279" s="407"/>
      <c r="BA279" s="407"/>
      <c r="BB279" s="407"/>
      <c r="BC279" s="407"/>
      <c r="BD279" s="407"/>
      <c r="BE279" s="407"/>
      <c r="BF279" s="407"/>
      <c r="BG279" s="407"/>
      <c r="BH279" s="407"/>
      <c r="BI279" s="407"/>
      <c r="BJ279" s="407"/>
      <c r="BK279" s="407"/>
      <c r="BL279" s="407"/>
      <c r="BM279" s="407"/>
      <c r="BN279" s="407"/>
      <c r="BO279" s="407"/>
      <c r="BP279" s="407"/>
      <c r="BQ279" s="407"/>
      <c r="BR279" s="407"/>
      <c r="BS279" s="407"/>
      <c r="BT279" s="407"/>
      <c r="BU279" s="407"/>
      <c r="BV279" s="407"/>
      <c r="BW279" s="407"/>
      <c r="BX279" s="407"/>
      <c r="BY279" s="407"/>
      <c r="BZ279" s="407"/>
      <c r="CA279" s="407"/>
      <c r="CB279" s="407"/>
      <c r="CC279" s="407"/>
      <c r="CD279" s="407"/>
      <c r="CE279" s="407"/>
      <c r="CF279" s="407"/>
    </row>
    <row r="280" spans="1:84">
      <c r="A280" s="407"/>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c r="AA280" s="407"/>
      <c r="AB280" s="407"/>
      <c r="AC280" s="407"/>
      <c r="AD280" s="407"/>
      <c r="AE280" s="407"/>
      <c r="AF280" s="407"/>
      <c r="AG280" s="407"/>
      <c r="AH280" s="407"/>
      <c r="AI280" s="407"/>
      <c r="AJ280" s="407"/>
      <c r="AK280" s="407"/>
      <c r="AL280" s="407"/>
      <c r="AM280" s="407"/>
      <c r="AN280" s="407"/>
      <c r="AO280" s="407"/>
      <c r="AP280" s="407"/>
      <c r="AQ280" s="407"/>
      <c r="AR280" s="407"/>
      <c r="AS280" s="407"/>
      <c r="AT280" s="407"/>
      <c r="AU280" s="407"/>
      <c r="AV280" s="407"/>
      <c r="AW280" s="407"/>
      <c r="AX280" s="407"/>
      <c r="AY280" s="407"/>
      <c r="AZ280" s="407"/>
      <c r="BA280" s="407"/>
      <c r="BB280" s="407"/>
      <c r="BC280" s="407"/>
      <c r="BD280" s="407"/>
      <c r="BE280" s="407"/>
      <c r="BF280" s="407"/>
      <c r="BG280" s="407"/>
      <c r="BH280" s="407"/>
      <c r="BI280" s="407"/>
      <c r="BJ280" s="407"/>
      <c r="BK280" s="407"/>
      <c r="BL280" s="407"/>
      <c r="BM280" s="407"/>
      <c r="BN280" s="407"/>
      <c r="BO280" s="407"/>
      <c r="BP280" s="407"/>
      <c r="BQ280" s="407"/>
      <c r="BR280" s="407"/>
      <c r="BS280" s="407"/>
      <c r="BT280" s="407"/>
      <c r="BU280" s="407"/>
      <c r="BV280" s="407"/>
      <c r="BW280" s="407"/>
      <c r="BX280" s="407"/>
      <c r="BY280" s="407"/>
      <c r="BZ280" s="407"/>
      <c r="CA280" s="407"/>
      <c r="CB280" s="407"/>
      <c r="CC280" s="407"/>
      <c r="CD280" s="407"/>
      <c r="CE280" s="407"/>
      <c r="CF280" s="407"/>
    </row>
    <row r="281" spans="1:84">
      <c r="A281" s="407"/>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c r="AA281" s="407"/>
      <c r="AB281" s="407"/>
      <c r="AC281" s="407"/>
      <c r="AD281" s="407"/>
      <c r="AE281" s="407"/>
      <c r="AF281" s="407"/>
      <c r="AG281" s="407"/>
      <c r="AH281" s="407"/>
      <c r="AI281" s="407"/>
      <c r="AJ281" s="407"/>
      <c r="AK281" s="407"/>
      <c r="AL281" s="407"/>
      <c r="AM281" s="407"/>
      <c r="AN281" s="407"/>
      <c r="AO281" s="407"/>
      <c r="AP281" s="407"/>
      <c r="AQ281" s="407"/>
      <c r="AR281" s="407"/>
      <c r="AS281" s="407"/>
      <c r="AT281" s="407"/>
      <c r="AU281" s="407"/>
      <c r="AV281" s="407"/>
      <c r="AW281" s="407"/>
      <c r="AX281" s="407"/>
      <c r="AY281" s="407"/>
      <c r="AZ281" s="407"/>
      <c r="BA281" s="407"/>
      <c r="BB281" s="407"/>
      <c r="BC281" s="407"/>
      <c r="BD281" s="407"/>
      <c r="BE281" s="407"/>
      <c r="BF281" s="407"/>
      <c r="BG281" s="407"/>
      <c r="BH281" s="407"/>
      <c r="BI281" s="407"/>
      <c r="BJ281" s="407"/>
      <c r="BK281" s="407"/>
      <c r="BL281" s="407"/>
      <c r="BM281" s="407"/>
      <c r="BN281" s="407"/>
      <c r="BO281" s="407"/>
      <c r="BP281" s="407"/>
      <c r="BQ281" s="407"/>
      <c r="BR281" s="407"/>
      <c r="BS281" s="407"/>
      <c r="BT281" s="407"/>
      <c r="BU281" s="407"/>
      <c r="BV281" s="407"/>
      <c r="BW281" s="407"/>
      <c r="BX281" s="407"/>
      <c r="BY281" s="407"/>
      <c r="BZ281" s="407"/>
      <c r="CA281" s="407"/>
      <c r="CB281" s="407"/>
      <c r="CC281" s="407"/>
      <c r="CD281" s="407"/>
      <c r="CE281" s="407"/>
      <c r="CF281" s="407"/>
    </row>
    <row r="282" spans="1:84">
      <c r="A282" s="407"/>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c r="AA282" s="407"/>
      <c r="AB282" s="407"/>
      <c r="AC282" s="407"/>
      <c r="AD282" s="407"/>
      <c r="AE282" s="407"/>
      <c r="AF282" s="407"/>
      <c r="AG282" s="407"/>
      <c r="AH282" s="407"/>
      <c r="AI282" s="407"/>
      <c r="AJ282" s="407"/>
      <c r="AK282" s="407"/>
      <c r="AL282" s="407"/>
      <c r="AM282" s="407"/>
      <c r="AN282" s="407"/>
      <c r="AO282" s="407"/>
      <c r="AP282" s="407"/>
      <c r="AQ282" s="407"/>
      <c r="AR282" s="407"/>
      <c r="AS282" s="407"/>
      <c r="AT282" s="407"/>
      <c r="AU282" s="407"/>
      <c r="AV282" s="407"/>
      <c r="AW282" s="407"/>
      <c r="AX282" s="407"/>
      <c r="AY282" s="407"/>
      <c r="AZ282" s="407"/>
      <c r="BA282" s="407"/>
      <c r="BB282" s="407"/>
      <c r="BC282" s="407"/>
      <c r="BD282" s="407"/>
      <c r="BE282" s="407"/>
      <c r="BF282" s="407"/>
      <c r="BG282" s="407"/>
      <c r="BH282" s="407"/>
      <c r="BI282" s="407"/>
      <c r="BJ282" s="407"/>
      <c r="BK282" s="407"/>
      <c r="BL282" s="407"/>
      <c r="BM282" s="407"/>
      <c r="BN282" s="407"/>
      <c r="BO282" s="407"/>
      <c r="BP282" s="407"/>
      <c r="BQ282" s="407"/>
      <c r="BR282" s="407"/>
      <c r="BS282" s="407"/>
      <c r="BT282" s="407"/>
      <c r="BU282" s="407"/>
      <c r="BV282" s="407"/>
      <c r="BW282" s="407"/>
      <c r="BX282" s="407"/>
      <c r="BY282" s="407"/>
      <c r="BZ282" s="407"/>
      <c r="CA282" s="407"/>
      <c r="CB282" s="407"/>
      <c r="CC282" s="407"/>
      <c r="CD282" s="407"/>
      <c r="CE282" s="407"/>
      <c r="CF282" s="407"/>
    </row>
    <row r="283" spans="1:84">
      <c r="A283" s="407"/>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c r="AA283" s="407"/>
      <c r="AB283" s="407"/>
      <c r="AC283" s="407"/>
      <c r="AD283" s="407"/>
      <c r="AE283" s="407"/>
      <c r="AF283" s="407"/>
      <c r="AG283" s="407"/>
      <c r="AH283" s="407"/>
      <c r="AI283" s="407"/>
      <c r="AJ283" s="407"/>
      <c r="AK283" s="407"/>
      <c r="AL283" s="407"/>
      <c r="AM283" s="407"/>
      <c r="AN283" s="407"/>
      <c r="AO283" s="407"/>
      <c r="AP283" s="407"/>
      <c r="AQ283" s="407"/>
      <c r="AR283" s="407"/>
      <c r="AS283" s="407"/>
      <c r="AT283" s="407"/>
      <c r="AU283" s="407"/>
      <c r="AV283" s="407"/>
      <c r="AW283" s="407"/>
      <c r="AX283" s="407"/>
      <c r="AY283" s="407"/>
      <c r="AZ283" s="407"/>
      <c r="BA283" s="407"/>
      <c r="BB283" s="407"/>
      <c r="BC283" s="407"/>
      <c r="BD283" s="407"/>
      <c r="BE283" s="407"/>
      <c r="BF283" s="407"/>
      <c r="BG283" s="407"/>
      <c r="BH283" s="407"/>
      <c r="BI283" s="407"/>
      <c r="BJ283" s="407"/>
      <c r="BK283" s="407"/>
      <c r="BL283" s="407"/>
      <c r="BM283" s="407"/>
      <c r="BN283" s="407"/>
      <c r="BO283" s="407"/>
      <c r="BP283" s="407"/>
      <c r="BQ283" s="407"/>
      <c r="BR283" s="407"/>
      <c r="BS283" s="407"/>
      <c r="BT283" s="407"/>
      <c r="BU283" s="407"/>
      <c r="BV283" s="407"/>
      <c r="BW283" s="407"/>
      <c r="BX283" s="407"/>
      <c r="BY283" s="407"/>
      <c r="BZ283" s="407"/>
      <c r="CA283" s="407"/>
      <c r="CB283" s="407"/>
      <c r="CC283" s="407"/>
      <c r="CD283" s="407"/>
      <c r="CE283" s="407"/>
      <c r="CF283" s="407"/>
    </row>
    <row r="284" spans="1:84">
      <c r="A284" s="407"/>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c r="AA284" s="407"/>
      <c r="AB284" s="407"/>
      <c r="AC284" s="407"/>
      <c r="AD284" s="407"/>
      <c r="AE284" s="407"/>
      <c r="AF284" s="407"/>
      <c r="AG284" s="407"/>
      <c r="AH284" s="407"/>
      <c r="AI284" s="407"/>
      <c r="AJ284" s="407"/>
      <c r="AK284" s="407"/>
      <c r="AL284" s="407"/>
      <c r="AM284" s="407"/>
      <c r="AN284" s="407"/>
      <c r="AO284" s="407"/>
      <c r="AP284" s="407"/>
      <c r="AQ284" s="407"/>
      <c r="AR284" s="407"/>
      <c r="AS284" s="407"/>
      <c r="AT284" s="407"/>
      <c r="AU284" s="407"/>
      <c r="AV284" s="407"/>
      <c r="AW284" s="407"/>
      <c r="AX284" s="407"/>
      <c r="AY284" s="407"/>
      <c r="AZ284" s="407"/>
      <c r="BA284" s="407"/>
      <c r="BB284" s="407"/>
      <c r="BC284" s="407"/>
      <c r="BD284" s="407"/>
      <c r="BE284" s="407"/>
      <c r="BF284" s="407"/>
      <c r="BG284" s="407"/>
      <c r="BH284" s="407"/>
      <c r="BI284" s="407"/>
      <c r="BJ284" s="407"/>
      <c r="BK284" s="407"/>
      <c r="BL284" s="407"/>
      <c r="BM284" s="407"/>
      <c r="BN284" s="407"/>
      <c r="BO284" s="407"/>
      <c r="BP284" s="407"/>
      <c r="BQ284" s="407"/>
      <c r="BR284" s="407"/>
      <c r="BS284" s="407"/>
      <c r="BT284" s="407"/>
      <c r="BU284" s="407"/>
      <c r="BV284" s="407"/>
      <c r="BW284" s="407"/>
      <c r="BX284" s="407"/>
      <c r="BY284" s="407"/>
      <c r="BZ284" s="407"/>
      <c r="CA284" s="407"/>
      <c r="CB284" s="407"/>
      <c r="CC284" s="407"/>
      <c r="CD284" s="407"/>
      <c r="CE284" s="407"/>
      <c r="CF284" s="407"/>
    </row>
    <row r="285" spans="1:84">
      <c r="A285" s="407"/>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c r="AA285" s="407"/>
      <c r="AB285" s="407"/>
      <c r="AC285" s="407"/>
      <c r="AD285" s="407"/>
      <c r="AE285" s="407"/>
      <c r="AF285" s="407"/>
      <c r="AG285" s="407"/>
      <c r="AH285" s="407"/>
      <c r="AI285" s="407"/>
      <c r="AJ285" s="407"/>
      <c r="AK285" s="407"/>
      <c r="AL285" s="407"/>
      <c r="AM285" s="407"/>
      <c r="AN285" s="407"/>
      <c r="AO285" s="407"/>
      <c r="AP285" s="407"/>
      <c r="AQ285" s="407"/>
      <c r="AR285" s="407"/>
      <c r="AS285" s="407"/>
      <c r="AT285" s="407"/>
      <c r="AU285" s="407"/>
      <c r="AV285" s="407"/>
      <c r="AW285" s="407"/>
      <c r="AX285" s="407"/>
      <c r="AY285" s="407"/>
      <c r="AZ285" s="407"/>
      <c r="BA285" s="407"/>
      <c r="BB285" s="407"/>
      <c r="BC285" s="407"/>
      <c r="BD285" s="407"/>
      <c r="BE285" s="407"/>
      <c r="BF285" s="407"/>
      <c r="BG285" s="407"/>
      <c r="BH285" s="407"/>
      <c r="BI285" s="407"/>
      <c r="BJ285" s="407"/>
      <c r="BK285" s="407"/>
      <c r="BL285" s="407"/>
      <c r="BM285" s="407"/>
      <c r="BN285" s="407"/>
      <c r="BO285" s="407"/>
      <c r="BP285" s="407"/>
      <c r="BQ285" s="407"/>
      <c r="BR285" s="407"/>
      <c r="BS285" s="407"/>
      <c r="BT285" s="407"/>
      <c r="BU285" s="407"/>
      <c r="BV285" s="407"/>
      <c r="BW285" s="407"/>
      <c r="BX285" s="407"/>
      <c r="BY285" s="407"/>
      <c r="BZ285" s="407"/>
      <c r="CA285" s="407"/>
      <c r="CB285" s="407"/>
      <c r="CC285" s="407"/>
      <c r="CD285" s="407"/>
      <c r="CE285" s="407"/>
      <c r="CF285" s="407"/>
    </row>
    <row r="286" spans="1:84">
      <c r="A286" s="407"/>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407"/>
      <c r="AE286" s="407"/>
      <c r="AF286" s="407"/>
      <c r="AG286" s="407"/>
      <c r="AH286" s="407"/>
      <c r="AI286" s="407"/>
      <c r="AJ286" s="407"/>
      <c r="AK286" s="407"/>
      <c r="AL286" s="407"/>
      <c r="AM286" s="407"/>
      <c r="AN286" s="407"/>
      <c r="AO286" s="407"/>
      <c r="AP286" s="407"/>
      <c r="AQ286" s="407"/>
      <c r="AR286" s="407"/>
      <c r="AS286" s="407"/>
      <c r="AT286" s="407"/>
      <c r="AU286" s="407"/>
      <c r="AV286" s="407"/>
      <c r="AW286" s="407"/>
      <c r="AX286" s="407"/>
      <c r="AY286" s="407"/>
      <c r="AZ286" s="407"/>
      <c r="BA286" s="407"/>
      <c r="BB286" s="407"/>
      <c r="BC286" s="407"/>
      <c r="BD286" s="407"/>
      <c r="BE286" s="407"/>
      <c r="BF286" s="407"/>
      <c r="BG286" s="407"/>
      <c r="BH286" s="407"/>
      <c r="BI286" s="407"/>
      <c r="BJ286" s="407"/>
      <c r="BK286" s="407"/>
      <c r="BL286" s="407"/>
      <c r="BM286" s="407"/>
      <c r="BN286" s="407"/>
      <c r="BO286" s="407"/>
      <c r="BP286" s="407"/>
      <c r="BQ286" s="407"/>
      <c r="BR286" s="407"/>
      <c r="BS286" s="407"/>
      <c r="BT286" s="407"/>
      <c r="BU286" s="407"/>
      <c r="BV286" s="407"/>
      <c r="BW286" s="407"/>
      <c r="BX286" s="407"/>
      <c r="BY286" s="407"/>
      <c r="BZ286" s="407"/>
      <c r="CA286" s="407"/>
      <c r="CB286" s="407"/>
      <c r="CC286" s="407"/>
      <c r="CD286" s="407"/>
      <c r="CE286" s="407"/>
      <c r="CF286" s="407"/>
    </row>
    <row r="287" spans="1:84">
      <c r="A287" s="407"/>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c r="AA287" s="407"/>
      <c r="AB287" s="407"/>
      <c r="AC287" s="407"/>
      <c r="AD287" s="407"/>
      <c r="AE287" s="407"/>
      <c r="AF287" s="407"/>
      <c r="AG287" s="407"/>
      <c r="AH287" s="407"/>
      <c r="AI287" s="407"/>
      <c r="AJ287" s="407"/>
      <c r="AK287" s="407"/>
      <c r="AL287" s="407"/>
      <c r="AM287" s="407"/>
      <c r="AN287" s="407"/>
      <c r="AO287" s="407"/>
      <c r="AP287" s="407"/>
      <c r="AQ287" s="407"/>
      <c r="AR287" s="407"/>
      <c r="AS287" s="407"/>
      <c r="AT287" s="407"/>
      <c r="AU287" s="407"/>
      <c r="AV287" s="407"/>
      <c r="AW287" s="407"/>
      <c r="AX287" s="407"/>
      <c r="AY287" s="407"/>
      <c r="AZ287" s="407"/>
      <c r="BA287" s="407"/>
      <c r="BB287" s="407"/>
      <c r="BC287" s="407"/>
      <c r="BD287" s="407"/>
      <c r="BE287" s="407"/>
      <c r="BF287" s="407"/>
      <c r="BG287" s="407"/>
      <c r="BH287" s="407"/>
      <c r="BI287" s="407"/>
      <c r="BJ287" s="407"/>
      <c r="BK287" s="407"/>
      <c r="BL287" s="407"/>
      <c r="BM287" s="407"/>
      <c r="BN287" s="407"/>
      <c r="BO287" s="407"/>
      <c r="BP287" s="407"/>
      <c r="BQ287" s="407"/>
      <c r="BR287" s="407"/>
      <c r="BS287" s="407"/>
      <c r="BT287" s="407"/>
      <c r="BU287" s="407"/>
      <c r="BV287" s="407"/>
      <c r="BW287" s="407"/>
      <c r="BX287" s="407"/>
      <c r="BY287" s="407"/>
      <c r="BZ287" s="407"/>
      <c r="CA287" s="407"/>
      <c r="CB287" s="407"/>
      <c r="CC287" s="407"/>
      <c r="CD287" s="407"/>
      <c r="CE287" s="407"/>
      <c r="CF287" s="407"/>
    </row>
    <row r="288" spans="1:84">
      <c r="A288" s="407"/>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c r="AA288" s="407"/>
      <c r="AB288" s="407"/>
      <c r="AC288" s="407"/>
      <c r="AD288" s="407"/>
      <c r="AE288" s="407"/>
      <c r="AF288" s="407"/>
      <c r="AG288" s="407"/>
      <c r="AH288" s="407"/>
      <c r="AI288" s="407"/>
      <c r="AJ288" s="407"/>
      <c r="AK288" s="407"/>
      <c r="AL288" s="407"/>
      <c r="AM288" s="407"/>
      <c r="AN288" s="407"/>
      <c r="AO288" s="407"/>
      <c r="AP288" s="407"/>
      <c r="AQ288" s="407"/>
      <c r="AR288" s="407"/>
      <c r="AS288" s="407"/>
      <c r="AT288" s="407"/>
      <c r="AU288" s="407"/>
      <c r="AV288" s="407"/>
      <c r="AW288" s="407"/>
      <c r="AX288" s="407"/>
      <c r="AY288" s="407"/>
      <c r="AZ288" s="407"/>
      <c r="BA288" s="407"/>
      <c r="BB288" s="407"/>
      <c r="BC288" s="407"/>
      <c r="BD288" s="407"/>
      <c r="BE288" s="407"/>
      <c r="BF288" s="407"/>
      <c r="BG288" s="407"/>
      <c r="BH288" s="407"/>
      <c r="BI288" s="407"/>
      <c r="BJ288" s="407"/>
      <c r="BK288" s="407"/>
      <c r="BL288" s="407"/>
      <c r="BM288" s="407"/>
      <c r="BN288" s="407"/>
      <c r="BO288" s="407"/>
      <c r="BP288" s="407"/>
      <c r="BQ288" s="407"/>
      <c r="BR288" s="407"/>
      <c r="BS288" s="407"/>
      <c r="BT288" s="407"/>
      <c r="BU288" s="407"/>
      <c r="BV288" s="407"/>
      <c r="BW288" s="407"/>
      <c r="BX288" s="407"/>
      <c r="BY288" s="407"/>
      <c r="BZ288" s="407"/>
      <c r="CA288" s="407"/>
      <c r="CB288" s="407"/>
      <c r="CC288" s="407"/>
      <c r="CD288" s="407"/>
      <c r="CE288" s="407"/>
      <c r="CF288" s="407"/>
    </row>
    <row r="289" spans="1:84">
      <c r="A289" s="407"/>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c r="AA289" s="407"/>
      <c r="AB289" s="407"/>
      <c r="AC289" s="407"/>
      <c r="AD289" s="407"/>
      <c r="AE289" s="407"/>
      <c r="AF289" s="407"/>
      <c r="AG289" s="407"/>
      <c r="AH289" s="407"/>
      <c r="AI289" s="407"/>
      <c r="AJ289" s="407"/>
      <c r="AK289" s="407"/>
      <c r="AL289" s="407"/>
      <c r="AM289" s="407"/>
      <c r="AN289" s="407"/>
      <c r="AO289" s="407"/>
      <c r="AP289" s="407"/>
      <c r="AQ289" s="407"/>
      <c r="AR289" s="407"/>
      <c r="AS289" s="407"/>
      <c r="AT289" s="407"/>
      <c r="AU289" s="407"/>
      <c r="AV289" s="407"/>
      <c r="AW289" s="407"/>
      <c r="AX289" s="407"/>
      <c r="AY289" s="407"/>
      <c r="AZ289" s="407"/>
      <c r="BA289" s="407"/>
      <c r="BB289" s="407"/>
      <c r="BC289" s="407"/>
      <c r="BD289" s="407"/>
      <c r="BE289" s="407"/>
      <c r="BF289" s="407"/>
      <c r="BG289" s="407"/>
      <c r="BH289" s="407"/>
      <c r="BI289" s="407"/>
      <c r="BJ289" s="407"/>
      <c r="BK289" s="407"/>
      <c r="BL289" s="407"/>
      <c r="BM289" s="407"/>
      <c r="BN289" s="407"/>
      <c r="BO289" s="407"/>
      <c r="BP289" s="407"/>
      <c r="BQ289" s="407"/>
      <c r="BR289" s="407"/>
      <c r="BS289" s="407"/>
      <c r="BT289" s="407"/>
      <c r="BU289" s="407"/>
      <c r="BV289" s="407"/>
      <c r="BW289" s="407"/>
      <c r="BX289" s="407"/>
      <c r="BY289" s="407"/>
      <c r="BZ289" s="407"/>
      <c r="CA289" s="407"/>
      <c r="CB289" s="407"/>
      <c r="CC289" s="407"/>
      <c r="CD289" s="407"/>
      <c r="CE289" s="407"/>
      <c r="CF289" s="407"/>
    </row>
    <row r="290" spans="1:84">
      <c r="A290" s="407"/>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c r="AA290" s="407"/>
      <c r="AB290" s="407"/>
      <c r="AC290" s="407"/>
      <c r="AD290" s="407"/>
      <c r="AE290" s="407"/>
      <c r="AF290" s="407"/>
      <c r="AG290" s="407"/>
      <c r="AH290" s="407"/>
      <c r="AI290" s="407"/>
      <c r="AJ290" s="407"/>
      <c r="AK290" s="407"/>
      <c r="AL290" s="407"/>
      <c r="AM290" s="407"/>
      <c r="AN290" s="407"/>
      <c r="AO290" s="407"/>
      <c r="AP290" s="407"/>
      <c r="AQ290" s="407"/>
      <c r="AR290" s="407"/>
      <c r="AS290" s="407"/>
      <c r="AT290" s="407"/>
      <c r="AU290" s="407"/>
      <c r="AV290" s="407"/>
      <c r="AW290" s="407"/>
      <c r="AX290" s="407"/>
      <c r="AY290" s="407"/>
      <c r="AZ290" s="407"/>
      <c r="BA290" s="407"/>
      <c r="BB290" s="407"/>
      <c r="BC290" s="407"/>
      <c r="BD290" s="407"/>
      <c r="BE290" s="407"/>
      <c r="BF290" s="407"/>
      <c r="BG290" s="407"/>
      <c r="BH290" s="407"/>
      <c r="BI290" s="407"/>
      <c r="BJ290" s="407"/>
      <c r="BK290" s="407"/>
      <c r="BL290" s="407"/>
      <c r="BM290" s="407"/>
      <c r="BN290" s="407"/>
      <c r="BO290" s="407"/>
      <c r="BP290" s="407"/>
      <c r="BQ290" s="407"/>
      <c r="BR290" s="407"/>
      <c r="BS290" s="407"/>
      <c r="BT290" s="407"/>
      <c r="BU290" s="407"/>
      <c r="BV290" s="407"/>
      <c r="BW290" s="407"/>
      <c r="BX290" s="407"/>
      <c r="BY290" s="407"/>
      <c r="BZ290" s="407"/>
      <c r="CA290" s="407"/>
      <c r="CB290" s="407"/>
      <c r="CC290" s="407"/>
      <c r="CD290" s="407"/>
      <c r="CE290" s="407"/>
      <c r="CF290" s="407"/>
    </row>
    <row r="291" spans="1:84">
      <c r="A291" s="407"/>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c r="AA291" s="407"/>
      <c r="AB291" s="407"/>
      <c r="AC291" s="407"/>
      <c r="AD291" s="407"/>
      <c r="AE291" s="407"/>
      <c r="AF291" s="407"/>
      <c r="AG291" s="407"/>
      <c r="AH291" s="407"/>
      <c r="AI291" s="407"/>
      <c r="AJ291" s="407"/>
      <c r="AK291" s="407"/>
      <c r="AL291" s="407"/>
      <c r="AM291" s="407"/>
      <c r="AN291" s="407"/>
      <c r="AO291" s="407"/>
      <c r="AP291" s="407"/>
      <c r="AQ291" s="407"/>
      <c r="AR291" s="407"/>
      <c r="AS291" s="407"/>
      <c r="AT291" s="407"/>
      <c r="AU291" s="407"/>
      <c r="AV291" s="407"/>
      <c r="AW291" s="407"/>
      <c r="AX291" s="407"/>
      <c r="AY291" s="407"/>
      <c r="AZ291" s="407"/>
      <c r="BA291" s="407"/>
      <c r="BB291" s="407"/>
      <c r="BC291" s="407"/>
      <c r="BD291" s="407"/>
      <c r="BE291" s="407"/>
      <c r="BF291" s="407"/>
      <c r="BG291" s="407"/>
      <c r="BH291" s="407"/>
      <c r="BI291" s="407"/>
      <c r="BJ291" s="407"/>
      <c r="BK291" s="407"/>
      <c r="BL291" s="407"/>
      <c r="BM291" s="407"/>
      <c r="BN291" s="407"/>
      <c r="BO291" s="407"/>
      <c r="BP291" s="407"/>
      <c r="BQ291" s="407"/>
      <c r="BR291" s="407"/>
      <c r="BS291" s="407"/>
      <c r="BT291" s="407"/>
      <c r="BU291" s="407"/>
      <c r="BV291" s="407"/>
      <c r="BW291" s="407"/>
      <c r="BX291" s="407"/>
      <c r="BY291" s="407"/>
      <c r="BZ291" s="407"/>
      <c r="CA291" s="407"/>
      <c r="CB291" s="407"/>
      <c r="CC291" s="407"/>
      <c r="CD291" s="407"/>
      <c r="CE291" s="407"/>
      <c r="CF291" s="407"/>
    </row>
    <row r="292" spans="1:84">
      <c r="A292" s="407"/>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c r="AA292" s="407"/>
      <c r="AB292" s="407"/>
      <c r="AC292" s="407"/>
      <c r="AD292" s="407"/>
      <c r="AE292" s="407"/>
      <c r="AF292" s="407"/>
      <c r="AG292" s="407"/>
      <c r="AH292" s="407"/>
      <c r="AI292" s="407"/>
      <c r="AJ292" s="407"/>
      <c r="AK292" s="407"/>
      <c r="AL292" s="407"/>
      <c r="AM292" s="407"/>
      <c r="AN292" s="407"/>
      <c r="AO292" s="407"/>
      <c r="AP292" s="407"/>
      <c r="AQ292" s="407"/>
      <c r="AR292" s="407"/>
      <c r="AS292" s="407"/>
      <c r="AT292" s="407"/>
      <c r="AU292" s="407"/>
      <c r="AV292" s="407"/>
      <c r="AW292" s="407"/>
      <c r="AX292" s="407"/>
      <c r="AY292" s="407"/>
      <c r="AZ292" s="407"/>
      <c r="BA292" s="407"/>
      <c r="BB292" s="407"/>
      <c r="BC292" s="407"/>
      <c r="BD292" s="407"/>
      <c r="BE292" s="407"/>
      <c r="BF292" s="407"/>
      <c r="BG292" s="407"/>
      <c r="BH292" s="407"/>
      <c r="BI292" s="407"/>
      <c r="BJ292" s="407"/>
      <c r="BK292" s="407"/>
      <c r="BL292" s="407"/>
      <c r="BM292" s="407"/>
      <c r="BN292" s="407"/>
      <c r="BO292" s="407"/>
      <c r="BP292" s="407"/>
      <c r="BQ292" s="407"/>
      <c r="BR292" s="407"/>
      <c r="BS292" s="407"/>
      <c r="BT292" s="407"/>
      <c r="BU292" s="407"/>
      <c r="BV292" s="407"/>
      <c r="BW292" s="407"/>
      <c r="BX292" s="407"/>
      <c r="BY292" s="407"/>
      <c r="BZ292" s="407"/>
      <c r="CA292" s="407"/>
      <c r="CB292" s="407"/>
      <c r="CC292" s="407"/>
      <c r="CD292" s="407"/>
      <c r="CE292" s="407"/>
      <c r="CF292" s="407"/>
    </row>
    <row r="293" spans="1:84">
      <c r="A293" s="407"/>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c r="AA293" s="407"/>
      <c r="AB293" s="407"/>
      <c r="AC293" s="407"/>
      <c r="AD293" s="407"/>
      <c r="AE293" s="407"/>
      <c r="AF293" s="407"/>
      <c r="AG293" s="407"/>
      <c r="AH293" s="407"/>
      <c r="AI293" s="407"/>
      <c r="AJ293" s="407"/>
      <c r="AK293" s="407"/>
      <c r="AL293" s="407"/>
      <c r="AM293" s="407"/>
      <c r="AN293" s="407"/>
      <c r="AO293" s="407"/>
      <c r="AP293" s="407"/>
      <c r="AQ293" s="407"/>
      <c r="AR293" s="407"/>
      <c r="AS293" s="407"/>
      <c r="AT293" s="407"/>
      <c r="AU293" s="407"/>
      <c r="AV293" s="407"/>
      <c r="AW293" s="407"/>
      <c r="AX293" s="407"/>
      <c r="AY293" s="407"/>
      <c r="AZ293" s="407"/>
      <c r="BA293" s="407"/>
      <c r="BB293" s="407"/>
      <c r="BC293" s="407"/>
      <c r="BD293" s="407"/>
      <c r="BE293" s="407"/>
      <c r="BF293" s="407"/>
      <c r="BG293" s="407"/>
      <c r="BH293" s="407"/>
      <c r="BI293" s="407"/>
      <c r="BJ293" s="407"/>
      <c r="BK293" s="407"/>
      <c r="BL293" s="407"/>
      <c r="BM293" s="407"/>
      <c r="BN293" s="407"/>
      <c r="BO293" s="407"/>
      <c r="BP293" s="407"/>
      <c r="BQ293" s="407"/>
      <c r="BR293" s="407"/>
      <c r="BS293" s="407"/>
      <c r="BT293" s="407"/>
      <c r="BU293" s="407"/>
      <c r="BV293" s="407"/>
      <c r="BW293" s="407"/>
      <c r="BX293" s="407"/>
      <c r="BY293" s="407"/>
      <c r="BZ293" s="407"/>
      <c r="CA293" s="407"/>
      <c r="CB293" s="407"/>
      <c r="CC293" s="407"/>
      <c r="CD293" s="407"/>
      <c r="CE293" s="407"/>
      <c r="CF293" s="407"/>
    </row>
    <row r="294" spans="1:84">
      <c r="A294" s="407"/>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407"/>
      <c r="AE294" s="407"/>
      <c r="AF294" s="407"/>
      <c r="AG294" s="407"/>
      <c r="AH294" s="407"/>
      <c r="AI294" s="407"/>
      <c r="AJ294" s="407"/>
      <c r="AK294" s="407"/>
      <c r="AL294" s="407"/>
      <c r="AM294" s="407"/>
      <c r="AN294" s="407"/>
      <c r="AO294" s="407"/>
      <c r="AP294" s="407"/>
      <c r="AQ294" s="407"/>
      <c r="AR294" s="407"/>
      <c r="AS294" s="407"/>
      <c r="AT294" s="407"/>
      <c r="AU294" s="407"/>
      <c r="AV294" s="407"/>
      <c r="AW294" s="407"/>
      <c r="AX294" s="407"/>
      <c r="AY294" s="407"/>
      <c r="AZ294" s="407"/>
      <c r="BA294" s="407"/>
      <c r="BB294" s="407"/>
      <c r="BC294" s="407"/>
      <c r="BD294" s="407"/>
      <c r="BE294" s="407"/>
      <c r="BF294" s="407"/>
      <c r="BG294" s="407"/>
      <c r="BH294" s="407"/>
      <c r="BI294" s="407"/>
      <c r="BJ294" s="407"/>
      <c r="BK294" s="407"/>
      <c r="BL294" s="407"/>
      <c r="BM294" s="407"/>
      <c r="BN294" s="407"/>
      <c r="BO294" s="407"/>
      <c r="BP294" s="407"/>
      <c r="BQ294" s="407"/>
      <c r="BR294" s="407"/>
      <c r="BS294" s="407"/>
      <c r="BT294" s="407"/>
      <c r="BU294" s="407"/>
      <c r="BV294" s="407"/>
      <c r="BW294" s="407"/>
      <c r="BX294" s="407"/>
      <c r="BY294" s="407"/>
      <c r="BZ294" s="407"/>
      <c r="CA294" s="407"/>
      <c r="CB294" s="407"/>
      <c r="CC294" s="407"/>
      <c r="CD294" s="407"/>
      <c r="CE294" s="407"/>
      <c r="CF294" s="407"/>
    </row>
    <row r="295" spans="1:84">
      <c r="A295" s="407"/>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407"/>
      <c r="AE295" s="407"/>
      <c r="AF295" s="407"/>
      <c r="AG295" s="407"/>
      <c r="AH295" s="407"/>
      <c r="AI295" s="407"/>
      <c r="AJ295" s="407"/>
      <c r="AK295" s="407"/>
      <c r="AL295" s="407"/>
      <c r="AM295" s="407"/>
      <c r="AN295" s="407"/>
      <c r="AO295" s="407"/>
      <c r="AP295" s="407"/>
      <c r="AQ295" s="407"/>
      <c r="AR295" s="407"/>
      <c r="AS295" s="407"/>
      <c r="AT295" s="407"/>
      <c r="AU295" s="407"/>
      <c r="AV295" s="407"/>
      <c r="AW295" s="407"/>
      <c r="AX295" s="407"/>
      <c r="AY295" s="407"/>
      <c r="AZ295" s="407"/>
      <c r="BA295" s="407"/>
      <c r="BB295" s="407"/>
      <c r="BC295" s="407"/>
      <c r="BD295" s="407"/>
      <c r="BE295" s="407"/>
      <c r="BF295" s="407"/>
      <c r="BG295" s="407"/>
      <c r="BH295" s="407"/>
      <c r="BI295" s="407"/>
      <c r="BJ295" s="407"/>
      <c r="BK295" s="407"/>
      <c r="BL295" s="407"/>
      <c r="BM295" s="407"/>
      <c r="BN295" s="407"/>
      <c r="BO295" s="407"/>
      <c r="BP295" s="407"/>
      <c r="BQ295" s="407"/>
      <c r="BR295" s="407"/>
      <c r="BS295" s="407"/>
      <c r="BT295" s="407"/>
      <c r="BU295" s="407"/>
      <c r="BV295" s="407"/>
      <c r="BW295" s="407"/>
      <c r="BX295" s="407"/>
      <c r="BY295" s="407"/>
      <c r="BZ295" s="407"/>
      <c r="CA295" s="407"/>
      <c r="CB295" s="407"/>
      <c r="CC295" s="407"/>
      <c r="CD295" s="407"/>
      <c r="CE295" s="407"/>
      <c r="CF295" s="407"/>
    </row>
    <row r="296" spans="1:84">
      <c r="A296" s="407"/>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c r="AA296" s="407"/>
      <c r="AB296" s="407"/>
      <c r="AC296" s="407"/>
      <c r="AD296" s="407"/>
      <c r="AE296" s="407"/>
      <c r="AF296" s="407"/>
      <c r="AG296" s="407"/>
      <c r="AH296" s="407"/>
      <c r="AI296" s="407"/>
      <c r="AJ296" s="407"/>
      <c r="AK296" s="407"/>
      <c r="AL296" s="407"/>
      <c r="AM296" s="407"/>
      <c r="AN296" s="407"/>
      <c r="AO296" s="407"/>
      <c r="AP296" s="407"/>
      <c r="AQ296" s="407"/>
      <c r="AR296" s="407"/>
      <c r="AS296" s="407"/>
      <c r="AT296" s="407"/>
      <c r="AU296" s="407"/>
      <c r="AV296" s="407"/>
      <c r="AW296" s="407"/>
      <c r="AX296" s="407"/>
      <c r="AY296" s="407"/>
      <c r="AZ296" s="407"/>
      <c r="BA296" s="407"/>
      <c r="BB296" s="407"/>
      <c r="BC296" s="407"/>
      <c r="BD296" s="407"/>
      <c r="BE296" s="407"/>
      <c r="BF296" s="407"/>
      <c r="BG296" s="407"/>
      <c r="BH296" s="407"/>
      <c r="BI296" s="407"/>
      <c r="BJ296" s="407"/>
      <c r="BK296" s="407"/>
      <c r="BL296" s="407"/>
      <c r="BM296" s="407"/>
      <c r="BN296" s="407"/>
      <c r="BO296" s="407"/>
      <c r="BP296" s="407"/>
      <c r="BQ296" s="407"/>
      <c r="BR296" s="407"/>
      <c r="BS296" s="407"/>
      <c r="BT296" s="407"/>
      <c r="BU296" s="407"/>
      <c r="BV296" s="407"/>
      <c r="BW296" s="407"/>
      <c r="BX296" s="407"/>
      <c r="BY296" s="407"/>
      <c r="BZ296" s="407"/>
      <c r="CA296" s="407"/>
      <c r="CB296" s="407"/>
      <c r="CC296" s="407"/>
      <c r="CD296" s="407"/>
      <c r="CE296" s="407"/>
      <c r="CF296" s="407"/>
    </row>
    <row r="297" spans="1:84">
      <c r="A297" s="407"/>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c r="AA297" s="407"/>
      <c r="AB297" s="407"/>
      <c r="AC297" s="407"/>
      <c r="AD297" s="407"/>
      <c r="AE297" s="407"/>
      <c r="AF297" s="407"/>
      <c r="AG297" s="407"/>
      <c r="AH297" s="407"/>
      <c r="AI297" s="407"/>
      <c r="AJ297" s="407"/>
      <c r="AK297" s="407"/>
      <c r="AL297" s="407"/>
      <c r="AM297" s="407"/>
      <c r="AN297" s="407"/>
      <c r="AO297" s="407"/>
      <c r="AP297" s="407"/>
      <c r="AQ297" s="407"/>
      <c r="AR297" s="407"/>
      <c r="AS297" s="407"/>
      <c r="AT297" s="407"/>
      <c r="AU297" s="407"/>
      <c r="AV297" s="407"/>
      <c r="AW297" s="407"/>
      <c r="AX297" s="407"/>
      <c r="AY297" s="407"/>
      <c r="AZ297" s="407"/>
      <c r="BA297" s="407"/>
      <c r="BB297" s="407"/>
      <c r="BC297" s="407"/>
      <c r="BD297" s="407"/>
      <c r="BE297" s="407"/>
      <c r="BF297" s="407"/>
      <c r="BG297" s="407"/>
      <c r="BH297" s="407"/>
      <c r="BI297" s="407"/>
      <c r="BJ297" s="407"/>
      <c r="BK297" s="407"/>
      <c r="BL297" s="407"/>
      <c r="BM297" s="407"/>
      <c r="BN297" s="407"/>
      <c r="BO297" s="407"/>
      <c r="BP297" s="407"/>
      <c r="BQ297" s="407"/>
      <c r="BR297" s="407"/>
      <c r="BS297" s="407"/>
      <c r="BT297" s="407"/>
      <c r="BU297" s="407"/>
      <c r="BV297" s="407"/>
      <c r="BW297" s="407"/>
      <c r="BX297" s="407"/>
      <c r="BY297" s="407"/>
      <c r="BZ297" s="407"/>
      <c r="CA297" s="407"/>
      <c r="CB297" s="407"/>
      <c r="CC297" s="407"/>
      <c r="CD297" s="407"/>
      <c r="CE297" s="407"/>
      <c r="CF297" s="407"/>
    </row>
    <row r="298" spans="1:84">
      <c r="A298" s="407"/>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407"/>
      <c r="AE298" s="407"/>
      <c r="AF298" s="407"/>
      <c r="AG298" s="407"/>
      <c r="AH298" s="407"/>
      <c r="AI298" s="407"/>
      <c r="AJ298" s="407"/>
      <c r="AK298" s="407"/>
      <c r="AL298" s="407"/>
      <c r="AM298" s="407"/>
      <c r="AN298" s="407"/>
      <c r="AO298" s="407"/>
      <c r="AP298" s="407"/>
      <c r="AQ298" s="407"/>
      <c r="AR298" s="407"/>
      <c r="AS298" s="407"/>
      <c r="AT298" s="407"/>
      <c r="AU298" s="407"/>
      <c r="AV298" s="407"/>
      <c r="AW298" s="407"/>
      <c r="AX298" s="407"/>
      <c r="AY298" s="407"/>
      <c r="AZ298" s="407"/>
      <c r="BA298" s="407"/>
      <c r="BB298" s="407"/>
      <c r="BC298" s="407"/>
      <c r="BD298" s="407"/>
      <c r="BE298" s="407"/>
      <c r="BF298" s="407"/>
      <c r="BG298" s="407"/>
      <c r="BH298" s="407"/>
      <c r="BI298" s="407"/>
      <c r="BJ298" s="407"/>
      <c r="BK298" s="407"/>
      <c r="BL298" s="407"/>
      <c r="BM298" s="407"/>
      <c r="BN298" s="407"/>
      <c r="BO298" s="407"/>
      <c r="BP298" s="407"/>
      <c r="BQ298" s="407"/>
      <c r="BR298" s="407"/>
      <c r="BS298" s="407"/>
      <c r="BT298" s="407"/>
      <c r="BU298" s="407"/>
      <c r="BV298" s="407"/>
      <c r="BW298" s="407"/>
      <c r="BX298" s="407"/>
      <c r="BY298" s="407"/>
      <c r="BZ298" s="407"/>
      <c r="CA298" s="407"/>
      <c r="CB298" s="407"/>
      <c r="CC298" s="407"/>
      <c r="CD298" s="407"/>
      <c r="CE298" s="407"/>
      <c r="CF298" s="407"/>
    </row>
    <row r="299" spans="1:84">
      <c r="A299" s="407"/>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407"/>
      <c r="AE299" s="407"/>
      <c r="AF299" s="407"/>
      <c r="AG299" s="407"/>
      <c r="AH299" s="407"/>
      <c r="AI299" s="407"/>
      <c r="AJ299" s="407"/>
      <c r="AK299" s="407"/>
      <c r="AL299" s="407"/>
      <c r="AM299" s="407"/>
      <c r="AN299" s="407"/>
      <c r="AO299" s="407"/>
      <c r="AP299" s="407"/>
      <c r="AQ299" s="407"/>
      <c r="AR299" s="407"/>
      <c r="AS299" s="407"/>
      <c r="AT299" s="407"/>
      <c r="AU299" s="407"/>
      <c r="AV299" s="407"/>
      <c r="AW299" s="407"/>
      <c r="AX299" s="407"/>
      <c r="AY299" s="407"/>
      <c r="AZ299" s="407"/>
      <c r="BA299" s="407"/>
      <c r="BB299" s="407"/>
      <c r="BC299" s="407"/>
      <c r="BD299" s="407"/>
      <c r="BE299" s="407"/>
      <c r="BF299" s="407"/>
      <c r="BG299" s="407"/>
      <c r="BH299" s="407"/>
      <c r="BI299" s="407"/>
      <c r="BJ299" s="407"/>
      <c r="BK299" s="407"/>
      <c r="BL299" s="407"/>
      <c r="BM299" s="407"/>
      <c r="BN299" s="407"/>
      <c r="BO299" s="407"/>
      <c r="BP299" s="407"/>
      <c r="BQ299" s="407"/>
      <c r="BR299" s="407"/>
      <c r="BS299" s="407"/>
      <c r="BT299" s="407"/>
      <c r="BU299" s="407"/>
      <c r="BV299" s="407"/>
      <c r="BW299" s="407"/>
      <c r="BX299" s="407"/>
      <c r="BY299" s="407"/>
      <c r="BZ299" s="407"/>
      <c r="CA299" s="407"/>
      <c r="CB299" s="407"/>
      <c r="CC299" s="407"/>
      <c r="CD299" s="407"/>
      <c r="CE299" s="407"/>
      <c r="CF299" s="407"/>
    </row>
    <row r="300" spans="1:84">
      <c r="A300" s="407"/>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c r="AA300" s="407"/>
      <c r="AB300" s="407"/>
      <c r="AC300" s="407"/>
      <c r="AD300" s="407"/>
      <c r="AE300" s="407"/>
      <c r="AF300" s="407"/>
      <c r="AG300" s="407"/>
      <c r="AH300" s="407"/>
      <c r="AI300" s="407"/>
      <c r="AJ300" s="407"/>
      <c r="AK300" s="407"/>
      <c r="AL300" s="407"/>
      <c r="AM300" s="407"/>
      <c r="AN300" s="407"/>
      <c r="AO300" s="407"/>
      <c r="AP300" s="407"/>
      <c r="AQ300" s="407"/>
      <c r="AR300" s="407"/>
      <c r="AS300" s="407"/>
      <c r="AT300" s="407"/>
      <c r="AU300" s="407"/>
      <c r="AV300" s="407"/>
      <c r="AW300" s="407"/>
      <c r="AX300" s="407"/>
      <c r="AY300" s="407"/>
      <c r="AZ300" s="407"/>
      <c r="BA300" s="407"/>
      <c r="BB300" s="407"/>
      <c r="BC300" s="407"/>
      <c r="BD300" s="407"/>
      <c r="BE300" s="407"/>
      <c r="BF300" s="407"/>
      <c r="BG300" s="407"/>
      <c r="BH300" s="407"/>
      <c r="BI300" s="407"/>
      <c r="BJ300" s="407"/>
      <c r="BK300" s="407"/>
      <c r="BL300" s="407"/>
      <c r="BM300" s="407"/>
      <c r="BN300" s="407"/>
      <c r="BO300" s="407"/>
      <c r="BP300" s="407"/>
      <c r="BQ300" s="407"/>
      <c r="BR300" s="407"/>
      <c r="BS300" s="407"/>
      <c r="BT300" s="407"/>
      <c r="BU300" s="407"/>
      <c r="BV300" s="407"/>
      <c r="BW300" s="407"/>
      <c r="BX300" s="407"/>
      <c r="BY300" s="407"/>
      <c r="BZ300" s="407"/>
      <c r="CA300" s="407"/>
      <c r="CB300" s="407"/>
      <c r="CC300" s="407"/>
      <c r="CD300" s="407"/>
      <c r="CE300" s="407"/>
      <c r="CF300" s="407"/>
    </row>
    <row r="301" spans="1:84">
      <c r="A301" s="407"/>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c r="AA301" s="407"/>
      <c r="AB301" s="407"/>
      <c r="AC301" s="407"/>
      <c r="AD301" s="407"/>
      <c r="AE301" s="407"/>
      <c r="AF301" s="407"/>
      <c r="AG301" s="407"/>
      <c r="AH301" s="407"/>
      <c r="AI301" s="407"/>
      <c r="AJ301" s="407"/>
      <c r="AK301" s="407"/>
      <c r="AL301" s="407"/>
      <c r="AM301" s="407"/>
      <c r="AN301" s="407"/>
      <c r="AO301" s="407"/>
      <c r="AP301" s="407"/>
      <c r="AQ301" s="407"/>
      <c r="AR301" s="407"/>
      <c r="AS301" s="407"/>
      <c r="AT301" s="407"/>
      <c r="AU301" s="407"/>
      <c r="AV301" s="407"/>
      <c r="AW301" s="407"/>
      <c r="AX301" s="407"/>
      <c r="AY301" s="407"/>
      <c r="AZ301" s="407"/>
      <c r="BA301" s="407"/>
      <c r="BB301" s="407"/>
      <c r="BC301" s="407"/>
      <c r="BD301" s="407"/>
      <c r="BE301" s="407"/>
      <c r="BF301" s="407"/>
      <c r="BG301" s="407"/>
      <c r="BH301" s="407"/>
      <c r="BI301" s="407"/>
      <c r="BJ301" s="407"/>
      <c r="BK301" s="407"/>
      <c r="BL301" s="407"/>
      <c r="BM301" s="407"/>
      <c r="BN301" s="407"/>
      <c r="BO301" s="407"/>
      <c r="BP301" s="407"/>
      <c r="BQ301" s="407"/>
      <c r="BR301" s="407"/>
      <c r="BS301" s="407"/>
      <c r="BT301" s="407"/>
      <c r="BU301" s="407"/>
      <c r="BV301" s="407"/>
      <c r="BW301" s="407"/>
      <c r="BX301" s="407"/>
      <c r="BY301" s="407"/>
      <c r="BZ301" s="407"/>
      <c r="CA301" s="407"/>
      <c r="CB301" s="407"/>
      <c r="CC301" s="407"/>
      <c r="CD301" s="407"/>
      <c r="CE301" s="407"/>
      <c r="CF301" s="407"/>
    </row>
    <row r="302" spans="1:84">
      <c r="A302" s="407"/>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407"/>
      <c r="AE302" s="407"/>
      <c r="AF302" s="407"/>
      <c r="AG302" s="407"/>
      <c r="AH302" s="407"/>
      <c r="AI302" s="407"/>
      <c r="AJ302" s="407"/>
      <c r="AK302" s="407"/>
      <c r="AL302" s="407"/>
      <c r="AM302" s="407"/>
      <c r="AN302" s="407"/>
      <c r="AO302" s="407"/>
      <c r="AP302" s="407"/>
      <c r="AQ302" s="407"/>
      <c r="AR302" s="407"/>
      <c r="AS302" s="407"/>
      <c r="AT302" s="407"/>
      <c r="AU302" s="407"/>
      <c r="AV302" s="407"/>
      <c r="AW302" s="407"/>
      <c r="AX302" s="407"/>
      <c r="AY302" s="407"/>
      <c r="AZ302" s="407"/>
      <c r="BA302" s="407"/>
      <c r="BB302" s="407"/>
      <c r="BC302" s="407"/>
      <c r="BD302" s="407"/>
      <c r="BE302" s="407"/>
      <c r="BF302" s="407"/>
      <c r="BG302" s="407"/>
      <c r="BH302" s="407"/>
      <c r="BI302" s="407"/>
      <c r="BJ302" s="407"/>
      <c r="BK302" s="407"/>
      <c r="BL302" s="407"/>
      <c r="BM302" s="407"/>
      <c r="BN302" s="407"/>
      <c r="BO302" s="407"/>
      <c r="BP302" s="407"/>
      <c r="BQ302" s="407"/>
      <c r="BR302" s="407"/>
      <c r="BS302" s="407"/>
      <c r="BT302" s="407"/>
      <c r="BU302" s="407"/>
      <c r="BV302" s="407"/>
      <c r="BW302" s="407"/>
      <c r="BX302" s="407"/>
      <c r="BY302" s="407"/>
      <c r="BZ302" s="407"/>
      <c r="CA302" s="407"/>
      <c r="CB302" s="407"/>
      <c r="CC302" s="407"/>
      <c r="CD302" s="407"/>
      <c r="CE302" s="407"/>
      <c r="CF302" s="407"/>
    </row>
    <row r="303" spans="1:84">
      <c r="A303" s="407"/>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c r="AA303" s="407"/>
      <c r="AB303" s="407"/>
      <c r="AC303" s="407"/>
      <c r="AD303" s="407"/>
      <c r="AE303" s="407"/>
      <c r="AF303" s="407"/>
      <c r="AG303" s="407"/>
      <c r="AH303" s="407"/>
      <c r="AI303" s="407"/>
      <c r="AJ303" s="407"/>
      <c r="AK303" s="407"/>
      <c r="AL303" s="407"/>
      <c r="AM303" s="407"/>
      <c r="AN303" s="407"/>
      <c r="AO303" s="407"/>
      <c r="AP303" s="407"/>
      <c r="AQ303" s="407"/>
      <c r="AR303" s="407"/>
      <c r="AS303" s="407"/>
      <c r="AT303" s="407"/>
      <c r="AU303" s="407"/>
      <c r="AV303" s="407"/>
      <c r="AW303" s="407"/>
      <c r="AX303" s="407"/>
      <c r="AY303" s="407"/>
      <c r="AZ303" s="407"/>
      <c r="BA303" s="407"/>
      <c r="BB303" s="407"/>
      <c r="BC303" s="407"/>
      <c r="BD303" s="407"/>
      <c r="BE303" s="407"/>
      <c r="BF303" s="407"/>
      <c r="BG303" s="407"/>
      <c r="BH303" s="407"/>
      <c r="BI303" s="407"/>
      <c r="BJ303" s="407"/>
      <c r="BK303" s="407"/>
      <c r="BL303" s="407"/>
      <c r="BM303" s="407"/>
      <c r="BN303" s="407"/>
      <c r="BO303" s="407"/>
      <c r="BP303" s="407"/>
      <c r="BQ303" s="407"/>
      <c r="BR303" s="407"/>
      <c r="BS303" s="407"/>
      <c r="BT303" s="407"/>
      <c r="BU303" s="407"/>
      <c r="BV303" s="407"/>
      <c r="BW303" s="407"/>
      <c r="BX303" s="407"/>
      <c r="BY303" s="407"/>
      <c r="BZ303" s="407"/>
      <c r="CA303" s="407"/>
      <c r="CB303" s="407"/>
      <c r="CC303" s="407"/>
      <c r="CD303" s="407"/>
      <c r="CE303" s="407"/>
      <c r="CF303" s="407"/>
    </row>
    <row r="304" spans="1:84">
      <c r="A304" s="407"/>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c r="AA304" s="407"/>
      <c r="AB304" s="407"/>
      <c r="AC304" s="407"/>
      <c r="AD304" s="407"/>
      <c r="AE304" s="407"/>
      <c r="AF304" s="407"/>
      <c r="AG304" s="407"/>
      <c r="AH304" s="407"/>
      <c r="AI304" s="407"/>
      <c r="AJ304" s="407"/>
      <c r="AK304" s="407"/>
      <c r="AL304" s="407"/>
      <c r="AM304" s="407"/>
      <c r="AN304" s="407"/>
      <c r="AO304" s="407"/>
      <c r="AP304" s="407"/>
      <c r="AQ304" s="407"/>
      <c r="AR304" s="407"/>
      <c r="AS304" s="407"/>
      <c r="AT304" s="407"/>
      <c r="AU304" s="407"/>
      <c r="AV304" s="407"/>
      <c r="AW304" s="407"/>
      <c r="AX304" s="407"/>
      <c r="AY304" s="407"/>
      <c r="AZ304" s="407"/>
      <c r="BA304" s="407"/>
      <c r="BB304" s="407"/>
      <c r="BC304" s="407"/>
      <c r="BD304" s="407"/>
      <c r="BE304" s="407"/>
      <c r="BF304" s="407"/>
      <c r="BG304" s="407"/>
      <c r="BH304" s="407"/>
      <c r="BI304" s="407"/>
      <c r="BJ304" s="407"/>
      <c r="BK304" s="407"/>
      <c r="BL304" s="407"/>
      <c r="BM304" s="407"/>
      <c r="BN304" s="407"/>
      <c r="BO304" s="407"/>
      <c r="BP304" s="407"/>
      <c r="BQ304" s="407"/>
      <c r="BR304" s="407"/>
      <c r="BS304" s="407"/>
      <c r="BT304" s="407"/>
      <c r="BU304" s="407"/>
      <c r="BV304" s="407"/>
      <c r="BW304" s="407"/>
      <c r="BX304" s="407"/>
      <c r="BY304" s="407"/>
      <c r="BZ304" s="407"/>
      <c r="CA304" s="407"/>
      <c r="CB304" s="407"/>
      <c r="CC304" s="407"/>
      <c r="CD304" s="407"/>
      <c r="CE304" s="407"/>
      <c r="CF304" s="407"/>
    </row>
    <row r="305" spans="1:84">
      <c r="A305" s="407"/>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c r="AA305" s="407"/>
      <c r="AB305" s="407"/>
      <c r="AC305" s="407"/>
      <c r="AD305" s="407"/>
      <c r="AE305" s="407"/>
      <c r="AF305" s="407"/>
      <c r="AG305" s="407"/>
      <c r="AH305" s="407"/>
      <c r="AI305" s="407"/>
      <c r="AJ305" s="407"/>
      <c r="AK305" s="407"/>
      <c r="AL305" s="407"/>
      <c r="AM305" s="407"/>
      <c r="AN305" s="407"/>
      <c r="AO305" s="407"/>
      <c r="AP305" s="407"/>
      <c r="AQ305" s="407"/>
      <c r="AR305" s="407"/>
      <c r="AS305" s="407"/>
      <c r="AT305" s="407"/>
      <c r="AU305" s="407"/>
      <c r="AV305" s="407"/>
      <c r="AW305" s="407"/>
      <c r="AX305" s="407"/>
      <c r="AY305" s="407"/>
      <c r="AZ305" s="407"/>
      <c r="BA305" s="407"/>
      <c r="BB305" s="407"/>
      <c r="BC305" s="407"/>
      <c r="BD305" s="407"/>
      <c r="BE305" s="407"/>
      <c r="BF305" s="407"/>
      <c r="BG305" s="407"/>
      <c r="BH305" s="407"/>
      <c r="BI305" s="407"/>
      <c r="BJ305" s="407"/>
      <c r="BK305" s="407"/>
      <c r="BL305" s="407"/>
      <c r="BM305" s="407"/>
      <c r="BN305" s="407"/>
      <c r="BO305" s="407"/>
      <c r="BP305" s="407"/>
      <c r="BQ305" s="407"/>
      <c r="BR305" s="407"/>
      <c r="BS305" s="407"/>
      <c r="BT305" s="407"/>
      <c r="BU305" s="407"/>
      <c r="BV305" s="407"/>
      <c r="BW305" s="407"/>
      <c r="BX305" s="407"/>
      <c r="BY305" s="407"/>
      <c r="BZ305" s="407"/>
      <c r="CA305" s="407"/>
      <c r="CB305" s="407"/>
      <c r="CC305" s="407"/>
      <c r="CD305" s="407"/>
      <c r="CE305" s="407"/>
      <c r="CF305" s="407"/>
    </row>
    <row r="306" spans="1:84">
      <c r="A306" s="407"/>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c r="AA306" s="407"/>
      <c r="AB306" s="407"/>
      <c r="AC306" s="407"/>
      <c r="AD306" s="407"/>
      <c r="AE306" s="407"/>
      <c r="AF306" s="407"/>
      <c r="AG306" s="407"/>
      <c r="AH306" s="407"/>
      <c r="AI306" s="407"/>
      <c r="AJ306" s="407"/>
      <c r="AK306" s="407"/>
      <c r="AL306" s="407"/>
      <c r="AM306" s="407"/>
      <c r="AN306" s="407"/>
      <c r="AO306" s="407"/>
      <c r="AP306" s="407"/>
      <c r="AQ306" s="407"/>
      <c r="AR306" s="407"/>
      <c r="AS306" s="407"/>
      <c r="AT306" s="407"/>
      <c r="AU306" s="407"/>
      <c r="AV306" s="407"/>
      <c r="AW306" s="407"/>
      <c r="AX306" s="407"/>
      <c r="AY306" s="407"/>
      <c r="AZ306" s="407"/>
      <c r="BA306" s="407"/>
      <c r="BB306" s="407"/>
      <c r="BC306" s="407"/>
      <c r="BD306" s="407"/>
      <c r="BE306" s="407"/>
      <c r="BF306" s="407"/>
      <c r="BG306" s="407"/>
      <c r="BH306" s="407"/>
      <c r="BI306" s="407"/>
      <c r="BJ306" s="407"/>
      <c r="BK306" s="407"/>
      <c r="BL306" s="407"/>
      <c r="BM306" s="407"/>
      <c r="BN306" s="407"/>
      <c r="BO306" s="407"/>
      <c r="BP306" s="407"/>
      <c r="BQ306" s="407"/>
      <c r="BR306" s="407"/>
      <c r="BS306" s="407"/>
      <c r="BT306" s="407"/>
      <c r="BU306" s="407"/>
      <c r="BV306" s="407"/>
      <c r="BW306" s="407"/>
      <c r="BX306" s="407"/>
      <c r="BY306" s="407"/>
      <c r="BZ306" s="407"/>
      <c r="CA306" s="407"/>
      <c r="CB306" s="407"/>
      <c r="CC306" s="407"/>
      <c r="CD306" s="407"/>
      <c r="CE306" s="407"/>
      <c r="CF306" s="407"/>
    </row>
    <row r="307" spans="1:84">
      <c r="A307" s="407"/>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c r="AA307" s="407"/>
      <c r="AB307" s="407"/>
      <c r="AC307" s="407"/>
      <c r="AD307" s="407"/>
      <c r="AE307" s="407"/>
      <c r="AF307" s="407"/>
      <c r="AG307" s="407"/>
      <c r="AH307" s="407"/>
      <c r="AI307" s="407"/>
      <c r="AJ307" s="407"/>
      <c r="AK307" s="407"/>
      <c r="AL307" s="407"/>
      <c r="AM307" s="407"/>
      <c r="AN307" s="407"/>
      <c r="AO307" s="407"/>
      <c r="AP307" s="407"/>
      <c r="AQ307" s="407"/>
      <c r="AR307" s="407"/>
      <c r="AS307" s="407"/>
      <c r="AT307" s="407"/>
      <c r="AU307" s="407"/>
      <c r="AV307" s="407"/>
      <c r="AW307" s="407"/>
      <c r="AX307" s="407"/>
      <c r="AY307" s="407"/>
      <c r="AZ307" s="407"/>
      <c r="BA307" s="407"/>
      <c r="BB307" s="407"/>
      <c r="BC307" s="407"/>
      <c r="BD307" s="407"/>
      <c r="BE307" s="407"/>
      <c r="BF307" s="407"/>
      <c r="BG307" s="407"/>
      <c r="BH307" s="407"/>
      <c r="BI307" s="407"/>
      <c r="BJ307" s="407"/>
      <c r="BK307" s="407"/>
      <c r="BL307" s="407"/>
      <c r="BM307" s="407"/>
      <c r="BN307" s="407"/>
      <c r="BO307" s="407"/>
      <c r="BP307" s="407"/>
      <c r="BQ307" s="407"/>
      <c r="BR307" s="407"/>
      <c r="BS307" s="407"/>
      <c r="BT307" s="407"/>
      <c r="BU307" s="407"/>
      <c r="BV307" s="407"/>
      <c r="BW307" s="407"/>
      <c r="BX307" s="407"/>
      <c r="BY307" s="407"/>
      <c r="BZ307" s="407"/>
      <c r="CA307" s="407"/>
      <c r="CB307" s="407"/>
      <c r="CC307" s="407"/>
      <c r="CD307" s="407"/>
      <c r="CE307" s="407"/>
      <c r="CF307" s="407"/>
    </row>
    <row r="308" spans="1:84">
      <c r="A308" s="407"/>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407"/>
      <c r="AG308" s="407"/>
      <c r="AH308" s="407"/>
      <c r="AI308" s="407"/>
      <c r="AJ308" s="407"/>
      <c r="AK308" s="407"/>
      <c r="AL308" s="407"/>
      <c r="AM308" s="407"/>
      <c r="AN308" s="407"/>
      <c r="AO308" s="407"/>
      <c r="AP308" s="407"/>
      <c r="AQ308" s="407"/>
      <c r="AR308" s="407"/>
      <c r="AS308" s="407"/>
      <c r="AT308" s="407"/>
      <c r="AU308" s="407"/>
      <c r="AV308" s="407"/>
      <c r="AW308" s="407"/>
      <c r="AX308" s="407"/>
      <c r="AY308" s="407"/>
      <c r="AZ308" s="407"/>
      <c r="BA308" s="407"/>
      <c r="BB308" s="407"/>
      <c r="BC308" s="407"/>
      <c r="BD308" s="407"/>
      <c r="BE308" s="407"/>
      <c r="BF308" s="407"/>
      <c r="BG308" s="407"/>
      <c r="BH308" s="407"/>
      <c r="BI308" s="407"/>
      <c r="BJ308" s="407"/>
      <c r="BK308" s="407"/>
      <c r="BL308" s="407"/>
      <c r="BM308" s="407"/>
      <c r="BN308" s="407"/>
      <c r="BO308" s="407"/>
      <c r="BP308" s="407"/>
      <c r="BQ308" s="407"/>
      <c r="BR308" s="407"/>
      <c r="BS308" s="407"/>
      <c r="BT308" s="407"/>
      <c r="BU308" s="407"/>
      <c r="BV308" s="407"/>
      <c r="BW308" s="407"/>
      <c r="BX308" s="407"/>
      <c r="BY308" s="407"/>
      <c r="BZ308" s="407"/>
      <c r="CA308" s="407"/>
      <c r="CB308" s="407"/>
      <c r="CC308" s="407"/>
      <c r="CD308" s="407"/>
      <c r="CE308" s="407"/>
      <c r="CF308" s="407"/>
    </row>
    <row r="309" spans="1:84">
      <c r="A309" s="407"/>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c r="AA309" s="407"/>
      <c r="AB309" s="407"/>
      <c r="AC309" s="407"/>
      <c r="AD309" s="407"/>
      <c r="AE309" s="407"/>
      <c r="AF309" s="407"/>
      <c r="AG309" s="407"/>
      <c r="AH309" s="407"/>
      <c r="AI309" s="407"/>
      <c r="AJ309" s="407"/>
      <c r="AK309" s="407"/>
      <c r="AL309" s="407"/>
      <c r="AM309" s="407"/>
      <c r="AN309" s="407"/>
      <c r="AO309" s="407"/>
      <c r="AP309" s="407"/>
      <c r="AQ309" s="407"/>
      <c r="AR309" s="407"/>
      <c r="AS309" s="407"/>
      <c r="AT309" s="407"/>
      <c r="AU309" s="407"/>
      <c r="AV309" s="407"/>
      <c r="AW309" s="407"/>
      <c r="AX309" s="407"/>
      <c r="AY309" s="407"/>
      <c r="AZ309" s="407"/>
      <c r="BA309" s="407"/>
      <c r="BB309" s="407"/>
      <c r="BC309" s="407"/>
      <c r="BD309" s="407"/>
      <c r="BE309" s="407"/>
      <c r="BF309" s="407"/>
      <c r="BG309" s="407"/>
      <c r="BH309" s="407"/>
      <c r="BI309" s="407"/>
      <c r="BJ309" s="407"/>
      <c r="BK309" s="407"/>
      <c r="BL309" s="407"/>
      <c r="BM309" s="407"/>
      <c r="BN309" s="407"/>
      <c r="BO309" s="407"/>
      <c r="BP309" s="407"/>
      <c r="BQ309" s="407"/>
      <c r="BR309" s="407"/>
      <c r="BS309" s="407"/>
      <c r="BT309" s="407"/>
      <c r="BU309" s="407"/>
      <c r="BV309" s="407"/>
      <c r="BW309" s="407"/>
      <c r="BX309" s="407"/>
      <c r="BY309" s="407"/>
      <c r="BZ309" s="407"/>
      <c r="CA309" s="407"/>
      <c r="CB309" s="407"/>
      <c r="CC309" s="407"/>
      <c r="CD309" s="407"/>
      <c r="CE309" s="407"/>
      <c r="CF309" s="407"/>
    </row>
    <row r="310" spans="1:84">
      <c r="A310" s="407"/>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c r="AA310" s="407"/>
      <c r="AB310" s="407"/>
      <c r="AC310" s="407"/>
      <c r="AD310" s="407"/>
      <c r="AE310" s="407"/>
      <c r="AF310" s="407"/>
      <c r="AG310" s="407"/>
      <c r="AH310" s="407"/>
      <c r="AI310" s="407"/>
      <c r="AJ310" s="407"/>
      <c r="AK310" s="407"/>
      <c r="AL310" s="407"/>
      <c r="AM310" s="407"/>
      <c r="AN310" s="407"/>
      <c r="AO310" s="407"/>
      <c r="AP310" s="407"/>
      <c r="AQ310" s="407"/>
      <c r="AR310" s="407"/>
      <c r="AS310" s="407"/>
      <c r="AT310" s="407"/>
      <c r="AU310" s="407"/>
      <c r="AV310" s="407"/>
      <c r="AW310" s="407"/>
      <c r="AX310" s="407"/>
      <c r="AY310" s="407"/>
      <c r="AZ310" s="407"/>
      <c r="BA310" s="407"/>
      <c r="BB310" s="407"/>
      <c r="BC310" s="407"/>
      <c r="BD310" s="407"/>
      <c r="BE310" s="407"/>
      <c r="BF310" s="407"/>
      <c r="BG310" s="407"/>
      <c r="BH310" s="407"/>
      <c r="BI310" s="407"/>
      <c r="BJ310" s="407"/>
      <c r="BK310" s="407"/>
      <c r="BL310" s="407"/>
      <c r="BM310" s="407"/>
      <c r="BN310" s="407"/>
      <c r="BO310" s="407"/>
      <c r="BP310" s="407"/>
      <c r="BQ310" s="407"/>
      <c r="BR310" s="407"/>
      <c r="BS310" s="407"/>
      <c r="BT310" s="407"/>
      <c r="BU310" s="407"/>
      <c r="BV310" s="407"/>
      <c r="BW310" s="407"/>
      <c r="BX310" s="407"/>
      <c r="BY310" s="407"/>
      <c r="BZ310" s="407"/>
      <c r="CA310" s="407"/>
      <c r="CB310" s="407"/>
      <c r="CC310" s="407"/>
      <c r="CD310" s="407"/>
      <c r="CE310" s="407"/>
      <c r="CF310" s="407"/>
    </row>
    <row r="311" spans="1:84">
      <c r="A311" s="407"/>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c r="AA311" s="407"/>
      <c r="AB311" s="407"/>
      <c r="AC311" s="407"/>
      <c r="AD311" s="407"/>
      <c r="AE311" s="407"/>
      <c r="AF311" s="407"/>
      <c r="AG311" s="407"/>
      <c r="AH311" s="407"/>
      <c r="AI311" s="407"/>
      <c r="AJ311" s="407"/>
      <c r="AK311" s="407"/>
      <c r="AL311" s="407"/>
      <c r="AM311" s="407"/>
      <c r="AN311" s="407"/>
      <c r="AO311" s="407"/>
      <c r="AP311" s="407"/>
      <c r="AQ311" s="407"/>
      <c r="AR311" s="407"/>
      <c r="AS311" s="407"/>
      <c r="AT311" s="407"/>
      <c r="AU311" s="407"/>
      <c r="AV311" s="407"/>
      <c r="AW311" s="407"/>
      <c r="AX311" s="407"/>
      <c r="AY311" s="407"/>
      <c r="AZ311" s="407"/>
      <c r="BA311" s="407"/>
      <c r="BB311" s="407"/>
      <c r="BC311" s="407"/>
      <c r="BD311" s="407"/>
      <c r="BE311" s="407"/>
      <c r="BF311" s="407"/>
      <c r="BG311" s="407"/>
      <c r="BH311" s="407"/>
      <c r="BI311" s="407"/>
      <c r="BJ311" s="407"/>
      <c r="BK311" s="407"/>
      <c r="BL311" s="407"/>
      <c r="BM311" s="407"/>
      <c r="BN311" s="407"/>
      <c r="BO311" s="407"/>
      <c r="BP311" s="407"/>
      <c r="BQ311" s="407"/>
      <c r="BR311" s="407"/>
      <c r="BS311" s="407"/>
      <c r="BT311" s="407"/>
      <c r="BU311" s="407"/>
      <c r="BV311" s="407"/>
      <c r="BW311" s="407"/>
      <c r="BX311" s="407"/>
      <c r="BY311" s="407"/>
      <c r="BZ311" s="407"/>
      <c r="CA311" s="407"/>
      <c r="CB311" s="407"/>
      <c r="CC311" s="407"/>
      <c r="CD311" s="407"/>
      <c r="CE311" s="407"/>
      <c r="CF311" s="407"/>
    </row>
    <row r="312" spans="1:84">
      <c r="A312" s="407"/>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7"/>
      <c r="AI312" s="407"/>
      <c r="AJ312" s="407"/>
      <c r="AK312" s="407"/>
      <c r="AL312" s="407"/>
      <c r="AM312" s="407"/>
      <c r="AN312" s="407"/>
      <c r="AO312" s="407"/>
      <c r="AP312" s="407"/>
      <c r="AQ312" s="407"/>
      <c r="AR312" s="407"/>
      <c r="AS312" s="407"/>
      <c r="AT312" s="407"/>
      <c r="AU312" s="407"/>
      <c r="AV312" s="407"/>
      <c r="AW312" s="407"/>
      <c r="AX312" s="407"/>
      <c r="AY312" s="407"/>
      <c r="AZ312" s="407"/>
      <c r="BA312" s="407"/>
      <c r="BB312" s="407"/>
      <c r="BC312" s="407"/>
      <c r="BD312" s="407"/>
      <c r="BE312" s="407"/>
      <c r="BF312" s="407"/>
      <c r="BG312" s="407"/>
      <c r="BH312" s="407"/>
      <c r="BI312" s="407"/>
      <c r="BJ312" s="407"/>
      <c r="BK312" s="407"/>
      <c r="BL312" s="407"/>
      <c r="BM312" s="407"/>
      <c r="BN312" s="407"/>
      <c r="BO312" s="407"/>
      <c r="BP312" s="407"/>
      <c r="BQ312" s="407"/>
      <c r="BR312" s="407"/>
      <c r="BS312" s="407"/>
      <c r="BT312" s="407"/>
      <c r="BU312" s="407"/>
      <c r="BV312" s="407"/>
      <c r="BW312" s="407"/>
      <c r="BX312" s="407"/>
      <c r="BY312" s="407"/>
      <c r="BZ312" s="407"/>
      <c r="CA312" s="407"/>
      <c r="CB312" s="407"/>
      <c r="CC312" s="407"/>
      <c r="CD312" s="407"/>
      <c r="CE312" s="407"/>
      <c r="CF312" s="407"/>
    </row>
    <row r="313" spans="1:84">
      <c r="A313" s="407"/>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c r="AA313" s="407"/>
      <c r="AB313" s="407"/>
      <c r="AC313" s="407"/>
      <c r="AD313" s="407"/>
      <c r="AE313" s="407"/>
      <c r="AF313" s="407"/>
      <c r="AG313" s="407"/>
      <c r="AH313" s="407"/>
      <c r="AI313" s="407"/>
      <c r="AJ313" s="407"/>
      <c r="AK313" s="407"/>
      <c r="AL313" s="407"/>
      <c r="AM313" s="407"/>
      <c r="AN313" s="407"/>
      <c r="AO313" s="407"/>
      <c r="AP313" s="407"/>
      <c r="AQ313" s="407"/>
      <c r="AR313" s="407"/>
      <c r="AS313" s="407"/>
      <c r="AT313" s="407"/>
      <c r="AU313" s="407"/>
      <c r="AV313" s="407"/>
      <c r="AW313" s="407"/>
      <c r="AX313" s="407"/>
      <c r="AY313" s="407"/>
      <c r="AZ313" s="407"/>
      <c r="BA313" s="407"/>
      <c r="BB313" s="407"/>
      <c r="BC313" s="407"/>
      <c r="BD313" s="407"/>
      <c r="BE313" s="407"/>
      <c r="BF313" s="407"/>
      <c r="BG313" s="407"/>
      <c r="BH313" s="407"/>
      <c r="BI313" s="407"/>
      <c r="BJ313" s="407"/>
      <c r="BK313" s="407"/>
      <c r="BL313" s="407"/>
      <c r="BM313" s="407"/>
      <c r="BN313" s="407"/>
      <c r="BO313" s="407"/>
      <c r="BP313" s="407"/>
      <c r="BQ313" s="407"/>
      <c r="BR313" s="407"/>
      <c r="BS313" s="407"/>
      <c r="BT313" s="407"/>
      <c r="BU313" s="407"/>
      <c r="BV313" s="407"/>
      <c r="BW313" s="407"/>
      <c r="BX313" s="407"/>
      <c r="BY313" s="407"/>
      <c r="BZ313" s="407"/>
      <c r="CA313" s="407"/>
      <c r="CB313" s="407"/>
      <c r="CC313" s="407"/>
      <c r="CD313" s="407"/>
      <c r="CE313" s="407"/>
      <c r="CF313" s="407"/>
    </row>
    <row r="314" spans="1:84">
      <c r="A314" s="407"/>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c r="AA314" s="407"/>
      <c r="AB314" s="407"/>
      <c r="AC314" s="407"/>
      <c r="AD314" s="407"/>
      <c r="AE314" s="407"/>
      <c r="AF314" s="407"/>
      <c r="AG314" s="407"/>
      <c r="AH314" s="407"/>
      <c r="AI314" s="407"/>
      <c r="AJ314" s="407"/>
      <c r="AK314" s="407"/>
      <c r="AL314" s="407"/>
      <c r="AM314" s="407"/>
      <c r="AN314" s="407"/>
      <c r="AO314" s="407"/>
      <c r="AP314" s="407"/>
      <c r="AQ314" s="407"/>
      <c r="AR314" s="407"/>
      <c r="AS314" s="407"/>
      <c r="AT314" s="407"/>
      <c r="AU314" s="407"/>
      <c r="AV314" s="407"/>
      <c r="AW314" s="407"/>
      <c r="AX314" s="407"/>
      <c r="AY314" s="407"/>
      <c r="AZ314" s="407"/>
      <c r="BA314" s="407"/>
      <c r="BB314" s="407"/>
      <c r="BC314" s="407"/>
      <c r="BD314" s="407"/>
      <c r="BE314" s="407"/>
      <c r="BF314" s="407"/>
      <c r="BG314" s="407"/>
      <c r="BH314" s="407"/>
      <c r="BI314" s="407"/>
      <c r="BJ314" s="407"/>
      <c r="BK314" s="407"/>
      <c r="BL314" s="407"/>
      <c r="BM314" s="407"/>
      <c r="BN314" s="407"/>
      <c r="BO314" s="407"/>
      <c r="BP314" s="407"/>
      <c r="BQ314" s="407"/>
      <c r="BR314" s="407"/>
      <c r="BS314" s="407"/>
      <c r="BT314" s="407"/>
      <c r="BU314" s="407"/>
      <c r="BV314" s="407"/>
      <c r="BW314" s="407"/>
      <c r="BX314" s="407"/>
      <c r="BY314" s="407"/>
      <c r="BZ314" s="407"/>
      <c r="CA314" s="407"/>
      <c r="CB314" s="407"/>
      <c r="CC314" s="407"/>
      <c r="CD314" s="407"/>
      <c r="CE314" s="407"/>
      <c r="CF314" s="407"/>
    </row>
    <row r="315" spans="1:84">
      <c r="A315" s="407"/>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c r="AA315" s="407"/>
      <c r="AB315" s="407"/>
      <c r="AC315" s="407"/>
      <c r="AD315" s="407"/>
      <c r="AE315" s="407"/>
      <c r="AF315" s="407"/>
      <c r="AG315" s="407"/>
      <c r="AH315" s="407"/>
      <c r="AI315" s="407"/>
      <c r="AJ315" s="407"/>
      <c r="AK315" s="407"/>
      <c r="AL315" s="407"/>
      <c r="AM315" s="407"/>
      <c r="AN315" s="407"/>
      <c r="AO315" s="407"/>
      <c r="AP315" s="407"/>
      <c r="AQ315" s="407"/>
      <c r="AR315" s="407"/>
      <c r="AS315" s="407"/>
      <c r="AT315" s="407"/>
      <c r="AU315" s="407"/>
      <c r="AV315" s="407"/>
      <c r="AW315" s="407"/>
      <c r="AX315" s="407"/>
      <c r="AY315" s="407"/>
      <c r="AZ315" s="407"/>
      <c r="BA315" s="407"/>
      <c r="BB315" s="407"/>
      <c r="BC315" s="407"/>
      <c r="BD315" s="407"/>
      <c r="BE315" s="407"/>
      <c r="BF315" s="407"/>
      <c r="BG315" s="407"/>
      <c r="BH315" s="407"/>
      <c r="BI315" s="407"/>
      <c r="BJ315" s="407"/>
      <c r="BK315" s="407"/>
      <c r="BL315" s="407"/>
      <c r="BM315" s="407"/>
      <c r="BN315" s="407"/>
      <c r="BO315" s="407"/>
      <c r="BP315" s="407"/>
      <c r="BQ315" s="407"/>
      <c r="BR315" s="407"/>
      <c r="BS315" s="407"/>
      <c r="BT315" s="407"/>
      <c r="BU315" s="407"/>
      <c r="BV315" s="407"/>
      <c r="BW315" s="407"/>
      <c r="BX315" s="407"/>
      <c r="BY315" s="407"/>
      <c r="BZ315" s="407"/>
      <c r="CA315" s="407"/>
      <c r="CB315" s="407"/>
      <c r="CC315" s="407"/>
      <c r="CD315" s="407"/>
      <c r="CE315" s="407"/>
      <c r="CF315" s="407"/>
    </row>
    <row r="316" spans="1:84">
      <c r="A316" s="407"/>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c r="AA316" s="407"/>
      <c r="AB316" s="407"/>
      <c r="AC316" s="407"/>
      <c r="AD316" s="407"/>
      <c r="AE316" s="407"/>
      <c r="AF316" s="407"/>
      <c r="AG316" s="407"/>
      <c r="AH316" s="407"/>
      <c r="AI316" s="407"/>
      <c r="AJ316" s="407"/>
      <c r="AK316" s="407"/>
      <c r="AL316" s="407"/>
      <c r="AM316" s="407"/>
      <c r="AN316" s="407"/>
      <c r="AO316" s="407"/>
      <c r="AP316" s="407"/>
      <c r="AQ316" s="407"/>
      <c r="AR316" s="407"/>
      <c r="AS316" s="407"/>
      <c r="AT316" s="407"/>
      <c r="AU316" s="407"/>
      <c r="AV316" s="407"/>
      <c r="AW316" s="407"/>
      <c r="AX316" s="407"/>
      <c r="AY316" s="407"/>
      <c r="AZ316" s="407"/>
      <c r="BA316" s="407"/>
      <c r="BB316" s="407"/>
      <c r="BC316" s="407"/>
      <c r="BD316" s="407"/>
      <c r="BE316" s="407"/>
      <c r="BF316" s="407"/>
      <c r="BG316" s="407"/>
      <c r="BH316" s="407"/>
      <c r="BI316" s="407"/>
      <c r="BJ316" s="407"/>
      <c r="BK316" s="407"/>
      <c r="BL316" s="407"/>
      <c r="BM316" s="407"/>
      <c r="BN316" s="407"/>
      <c r="BO316" s="407"/>
      <c r="BP316" s="407"/>
      <c r="BQ316" s="407"/>
      <c r="BR316" s="407"/>
      <c r="BS316" s="407"/>
      <c r="BT316" s="407"/>
      <c r="BU316" s="407"/>
      <c r="BV316" s="407"/>
      <c r="BW316" s="407"/>
      <c r="BX316" s="407"/>
      <c r="BY316" s="407"/>
      <c r="BZ316" s="407"/>
      <c r="CA316" s="407"/>
      <c r="CB316" s="407"/>
      <c r="CC316" s="407"/>
      <c r="CD316" s="407"/>
      <c r="CE316" s="407"/>
      <c r="CF316" s="407"/>
    </row>
    <row r="317" spans="1:84">
      <c r="A317" s="407"/>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c r="AA317" s="407"/>
      <c r="AB317" s="407"/>
      <c r="AC317" s="407"/>
      <c r="AD317" s="407"/>
      <c r="AE317" s="407"/>
      <c r="AF317" s="407"/>
      <c r="AG317" s="407"/>
      <c r="AH317" s="407"/>
      <c r="AI317" s="407"/>
      <c r="AJ317" s="407"/>
      <c r="AK317" s="407"/>
      <c r="AL317" s="407"/>
      <c r="AM317" s="407"/>
      <c r="AN317" s="407"/>
      <c r="AO317" s="407"/>
      <c r="AP317" s="407"/>
      <c r="AQ317" s="407"/>
      <c r="AR317" s="407"/>
      <c r="AS317" s="407"/>
      <c r="AT317" s="407"/>
      <c r="AU317" s="407"/>
      <c r="AV317" s="407"/>
      <c r="AW317" s="407"/>
      <c r="AX317" s="407"/>
      <c r="AY317" s="407"/>
      <c r="AZ317" s="407"/>
      <c r="BA317" s="407"/>
      <c r="BB317" s="407"/>
      <c r="BC317" s="407"/>
      <c r="BD317" s="407"/>
      <c r="BE317" s="407"/>
      <c r="BF317" s="407"/>
      <c r="BG317" s="407"/>
      <c r="BH317" s="407"/>
      <c r="BI317" s="407"/>
      <c r="BJ317" s="407"/>
      <c r="BK317" s="407"/>
      <c r="BL317" s="407"/>
      <c r="BM317" s="407"/>
      <c r="BN317" s="407"/>
      <c r="BO317" s="407"/>
      <c r="BP317" s="407"/>
      <c r="BQ317" s="407"/>
      <c r="BR317" s="407"/>
      <c r="BS317" s="407"/>
      <c r="BT317" s="407"/>
      <c r="BU317" s="407"/>
      <c r="BV317" s="407"/>
      <c r="BW317" s="407"/>
      <c r="BX317" s="407"/>
      <c r="BY317" s="407"/>
      <c r="BZ317" s="407"/>
      <c r="CA317" s="407"/>
      <c r="CB317" s="407"/>
      <c r="CC317" s="407"/>
      <c r="CD317" s="407"/>
      <c r="CE317" s="407"/>
      <c r="CF317" s="407"/>
    </row>
    <row r="318" spans="1:84">
      <c r="A318" s="407"/>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c r="AA318" s="407"/>
      <c r="AB318" s="407"/>
      <c r="AC318" s="407"/>
      <c r="AD318" s="407"/>
      <c r="AE318" s="407"/>
      <c r="AF318" s="407"/>
      <c r="AG318" s="407"/>
      <c r="AH318" s="407"/>
      <c r="AI318" s="407"/>
      <c r="AJ318" s="407"/>
      <c r="AK318" s="407"/>
      <c r="AL318" s="407"/>
      <c r="AM318" s="407"/>
      <c r="AN318" s="407"/>
      <c r="AO318" s="407"/>
      <c r="AP318" s="407"/>
      <c r="AQ318" s="407"/>
      <c r="AR318" s="407"/>
      <c r="AS318" s="407"/>
      <c r="AT318" s="407"/>
      <c r="AU318" s="407"/>
      <c r="AV318" s="407"/>
      <c r="AW318" s="407"/>
      <c r="AX318" s="407"/>
      <c r="AY318" s="407"/>
      <c r="AZ318" s="407"/>
      <c r="BA318" s="407"/>
      <c r="BB318" s="407"/>
      <c r="BC318" s="407"/>
      <c r="BD318" s="407"/>
      <c r="BE318" s="407"/>
      <c r="BF318" s="407"/>
      <c r="BG318" s="407"/>
      <c r="BH318" s="407"/>
      <c r="BI318" s="407"/>
      <c r="BJ318" s="407"/>
      <c r="BK318" s="407"/>
      <c r="BL318" s="407"/>
      <c r="BM318" s="407"/>
      <c r="BN318" s="407"/>
      <c r="BO318" s="407"/>
      <c r="BP318" s="407"/>
      <c r="BQ318" s="407"/>
      <c r="BR318" s="407"/>
      <c r="BS318" s="407"/>
      <c r="BT318" s="407"/>
      <c r="BU318" s="407"/>
      <c r="BV318" s="407"/>
      <c r="BW318" s="407"/>
      <c r="BX318" s="407"/>
      <c r="BY318" s="407"/>
      <c r="BZ318" s="407"/>
      <c r="CA318" s="407"/>
      <c r="CB318" s="407"/>
      <c r="CC318" s="407"/>
      <c r="CD318" s="407"/>
      <c r="CE318" s="407"/>
      <c r="CF318" s="407"/>
    </row>
    <row r="319" spans="1:84">
      <c r="A319" s="407"/>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c r="AA319" s="407"/>
      <c r="AB319" s="407"/>
      <c r="AC319" s="407"/>
      <c r="AD319" s="407"/>
      <c r="AE319" s="407"/>
      <c r="AF319" s="407"/>
      <c r="AG319" s="407"/>
      <c r="AH319" s="407"/>
      <c r="AI319" s="407"/>
      <c r="AJ319" s="407"/>
      <c r="AK319" s="407"/>
      <c r="AL319" s="407"/>
      <c r="AM319" s="407"/>
      <c r="AN319" s="407"/>
      <c r="AO319" s="407"/>
      <c r="AP319" s="407"/>
      <c r="AQ319" s="407"/>
      <c r="AR319" s="407"/>
      <c r="AS319" s="407"/>
      <c r="AT319" s="407"/>
      <c r="AU319" s="407"/>
      <c r="AV319" s="407"/>
      <c r="AW319" s="407"/>
      <c r="AX319" s="407"/>
      <c r="AY319" s="407"/>
      <c r="AZ319" s="407"/>
      <c r="BA319" s="407"/>
      <c r="BB319" s="407"/>
      <c r="BC319" s="407"/>
      <c r="BD319" s="407"/>
      <c r="BE319" s="407"/>
      <c r="BF319" s="407"/>
      <c r="BG319" s="407"/>
      <c r="BH319" s="407"/>
      <c r="BI319" s="407"/>
      <c r="BJ319" s="407"/>
      <c r="BK319" s="407"/>
      <c r="BL319" s="407"/>
      <c r="BM319" s="407"/>
      <c r="BN319" s="407"/>
      <c r="BO319" s="407"/>
      <c r="BP319" s="407"/>
      <c r="BQ319" s="407"/>
      <c r="BR319" s="407"/>
      <c r="BS319" s="407"/>
      <c r="BT319" s="407"/>
      <c r="BU319" s="407"/>
      <c r="BV319" s="407"/>
      <c r="BW319" s="407"/>
      <c r="BX319" s="407"/>
      <c r="BY319" s="407"/>
      <c r="BZ319" s="407"/>
      <c r="CA319" s="407"/>
      <c r="CB319" s="407"/>
      <c r="CC319" s="407"/>
      <c r="CD319" s="407"/>
      <c r="CE319" s="407"/>
      <c r="CF319" s="407"/>
    </row>
    <row r="320" spans="1:84">
      <c r="A320" s="407"/>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c r="AA320" s="407"/>
      <c r="AB320" s="407"/>
      <c r="AC320" s="407"/>
      <c r="AD320" s="407"/>
      <c r="AE320" s="407"/>
      <c r="AF320" s="407"/>
      <c r="AG320" s="407"/>
      <c r="AH320" s="407"/>
      <c r="AI320" s="407"/>
      <c r="AJ320" s="407"/>
      <c r="AK320" s="407"/>
      <c r="AL320" s="407"/>
      <c r="AM320" s="407"/>
      <c r="AN320" s="407"/>
      <c r="AO320" s="407"/>
      <c r="AP320" s="407"/>
      <c r="AQ320" s="407"/>
      <c r="AR320" s="407"/>
      <c r="AS320" s="407"/>
      <c r="AT320" s="407"/>
      <c r="AU320" s="407"/>
      <c r="AV320" s="407"/>
      <c r="AW320" s="407"/>
      <c r="AX320" s="407"/>
      <c r="AY320" s="407"/>
      <c r="AZ320" s="407"/>
      <c r="BA320" s="407"/>
      <c r="BB320" s="407"/>
      <c r="BC320" s="407"/>
      <c r="BD320" s="407"/>
      <c r="BE320" s="407"/>
      <c r="BF320" s="407"/>
      <c r="BG320" s="407"/>
      <c r="BH320" s="407"/>
      <c r="BI320" s="407"/>
      <c r="BJ320" s="407"/>
      <c r="BK320" s="407"/>
      <c r="BL320" s="407"/>
      <c r="BM320" s="407"/>
      <c r="BN320" s="407"/>
      <c r="BO320" s="407"/>
      <c r="BP320" s="407"/>
      <c r="BQ320" s="407"/>
      <c r="BR320" s="407"/>
      <c r="BS320" s="407"/>
      <c r="BT320" s="407"/>
      <c r="BU320" s="407"/>
      <c r="BV320" s="407"/>
      <c r="BW320" s="407"/>
      <c r="BX320" s="407"/>
      <c r="BY320" s="407"/>
      <c r="BZ320" s="407"/>
      <c r="CA320" s="407"/>
      <c r="CB320" s="407"/>
      <c r="CC320" s="407"/>
      <c r="CD320" s="407"/>
      <c r="CE320" s="407"/>
      <c r="CF320" s="407"/>
    </row>
    <row r="321" spans="1:84">
      <c r="A321" s="407"/>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c r="AA321" s="407"/>
      <c r="AB321" s="407"/>
      <c r="AC321" s="407"/>
      <c r="AD321" s="407"/>
      <c r="AE321" s="407"/>
      <c r="AF321" s="407"/>
      <c r="AG321" s="407"/>
      <c r="AH321" s="407"/>
      <c r="AI321" s="407"/>
      <c r="AJ321" s="407"/>
      <c r="AK321" s="407"/>
      <c r="AL321" s="407"/>
      <c r="AM321" s="407"/>
      <c r="AN321" s="407"/>
      <c r="AO321" s="407"/>
      <c r="AP321" s="407"/>
      <c r="AQ321" s="407"/>
      <c r="AR321" s="407"/>
      <c r="AS321" s="407"/>
      <c r="AT321" s="407"/>
      <c r="AU321" s="407"/>
      <c r="AV321" s="407"/>
      <c r="AW321" s="407"/>
      <c r="AX321" s="407"/>
      <c r="AY321" s="407"/>
      <c r="AZ321" s="407"/>
      <c r="BA321" s="407"/>
      <c r="BB321" s="407"/>
      <c r="BC321" s="407"/>
      <c r="BD321" s="407"/>
      <c r="BE321" s="407"/>
      <c r="BF321" s="407"/>
      <c r="BG321" s="407"/>
      <c r="BH321" s="407"/>
      <c r="BI321" s="407"/>
      <c r="BJ321" s="407"/>
      <c r="BK321" s="407"/>
      <c r="BL321" s="407"/>
      <c r="BM321" s="407"/>
      <c r="BN321" s="407"/>
      <c r="BO321" s="407"/>
      <c r="BP321" s="407"/>
      <c r="BQ321" s="407"/>
      <c r="BR321" s="407"/>
      <c r="BS321" s="407"/>
      <c r="BT321" s="407"/>
      <c r="BU321" s="407"/>
      <c r="BV321" s="407"/>
      <c r="BW321" s="407"/>
      <c r="BX321" s="407"/>
      <c r="BY321" s="407"/>
      <c r="BZ321" s="407"/>
      <c r="CA321" s="407"/>
      <c r="CB321" s="407"/>
      <c r="CC321" s="407"/>
      <c r="CD321" s="407"/>
      <c r="CE321" s="407"/>
      <c r="CF321" s="407"/>
    </row>
    <row r="322" spans="1:84">
      <c r="A322" s="407"/>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407"/>
      <c r="AE322" s="407"/>
      <c r="AF322" s="407"/>
      <c r="AG322" s="407"/>
      <c r="AH322" s="407"/>
      <c r="AI322" s="407"/>
      <c r="AJ322" s="407"/>
      <c r="AK322" s="407"/>
      <c r="AL322" s="407"/>
      <c r="AM322" s="407"/>
      <c r="AN322" s="407"/>
      <c r="AO322" s="407"/>
      <c r="AP322" s="407"/>
      <c r="AQ322" s="407"/>
      <c r="AR322" s="407"/>
      <c r="AS322" s="407"/>
      <c r="AT322" s="407"/>
      <c r="AU322" s="407"/>
      <c r="AV322" s="407"/>
      <c r="AW322" s="407"/>
      <c r="AX322" s="407"/>
      <c r="AY322" s="407"/>
      <c r="AZ322" s="407"/>
      <c r="BA322" s="407"/>
      <c r="BB322" s="407"/>
      <c r="BC322" s="407"/>
      <c r="BD322" s="407"/>
      <c r="BE322" s="407"/>
      <c r="BF322" s="407"/>
      <c r="BG322" s="407"/>
      <c r="BH322" s="407"/>
      <c r="BI322" s="407"/>
      <c r="BJ322" s="407"/>
      <c r="BK322" s="407"/>
      <c r="BL322" s="407"/>
      <c r="BM322" s="407"/>
      <c r="BN322" s="407"/>
      <c r="BO322" s="407"/>
      <c r="BP322" s="407"/>
      <c r="BQ322" s="407"/>
      <c r="BR322" s="407"/>
      <c r="BS322" s="407"/>
      <c r="BT322" s="407"/>
      <c r="BU322" s="407"/>
      <c r="BV322" s="407"/>
      <c r="BW322" s="407"/>
      <c r="BX322" s="407"/>
      <c r="BY322" s="407"/>
      <c r="BZ322" s="407"/>
      <c r="CA322" s="407"/>
      <c r="CB322" s="407"/>
      <c r="CC322" s="407"/>
      <c r="CD322" s="407"/>
      <c r="CE322" s="407"/>
      <c r="CF322" s="407"/>
    </row>
    <row r="323" spans="1:84">
      <c r="A323" s="407"/>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c r="AA323" s="407"/>
      <c r="AB323" s="407"/>
      <c r="AC323" s="407"/>
      <c r="AD323" s="407"/>
      <c r="AE323" s="407"/>
      <c r="AF323" s="407"/>
      <c r="AG323" s="407"/>
      <c r="AH323" s="407"/>
      <c r="AI323" s="407"/>
      <c r="AJ323" s="407"/>
      <c r="AK323" s="407"/>
      <c r="AL323" s="407"/>
      <c r="AM323" s="407"/>
      <c r="AN323" s="407"/>
      <c r="AO323" s="407"/>
      <c r="AP323" s="407"/>
      <c r="AQ323" s="407"/>
      <c r="AR323" s="407"/>
      <c r="AS323" s="407"/>
      <c r="AT323" s="407"/>
      <c r="AU323" s="407"/>
      <c r="AV323" s="407"/>
      <c r="AW323" s="407"/>
      <c r="AX323" s="407"/>
      <c r="AY323" s="407"/>
      <c r="AZ323" s="407"/>
      <c r="BA323" s="407"/>
      <c r="BB323" s="407"/>
      <c r="BC323" s="407"/>
      <c r="BD323" s="407"/>
      <c r="BE323" s="407"/>
      <c r="BF323" s="407"/>
      <c r="BG323" s="407"/>
      <c r="BH323" s="407"/>
      <c r="BI323" s="407"/>
      <c r="BJ323" s="407"/>
      <c r="BK323" s="407"/>
      <c r="BL323" s="407"/>
      <c r="BM323" s="407"/>
      <c r="BN323" s="407"/>
      <c r="BO323" s="407"/>
      <c r="BP323" s="407"/>
      <c r="BQ323" s="407"/>
      <c r="BR323" s="407"/>
      <c r="BS323" s="407"/>
      <c r="BT323" s="407"/>
      <c r="BU323" s="407"/>
      <c r="BV323" s="407"/>
      <c r="BW323" s="407"/>
      <c r="BX323" s="407"/>
      <c r="BY323" s="407"/>
      <c r="BZ323" s="407"/>
      <c r="CA323" s="407"/>
      <c r="CB323" s="407"/>
      <c r="CC323" s="407"/>
      <c r="CD323" s="407"/>
      <c r="CE323" s="407"/>
      <c r="CF323" s="407"/>
    </row>
    <row r="324" spans="1:84">
      <c r="A324" s="407"/>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c r="AA324" s="407"/>
      <c r="AB324" s="407"/>
      <c r="AC324" s="407"/>
      <c r="AD324" s="407"/>
      <c r="AE324" s="407"/>
      <c r="AF324" s="407"/>
      <c r="AG324" s="407"/>
      <c r="AH324" s="407"/>
      <c r="AI324" s="407"/>
      <c r="AJ324" s="407"/>
      <c r="AK324" s="407"/>
      <c r="AL324" s="407"/>
      <c r="AM324" s="407"/>
      <c r="AN324" s="407"/>
      <c r="AO324" s="407"/>
      <c r="AP324" s="407"/>
      <c r="AQ324" s="407"/>
      <c r="AR324" s="407"/>
      <c r="AS324" s="407"/>
      <c r="AT324" s="407"/>
      <c r="AU324" s="407"/>
      <c r="AV324" s="407"/>
      <c r="AW324" s="407"/>
      <c r="AX324" s="407"/>
      <c r="AY324" s="407"/>
      <c r="AZ324" s="407"/>
      <c r="BA324" s="407"/>
      <c r="BB324" s="407"/>
      <c r="BC324" s="407"/>
      <c r="BD324" s="407"/>
      <c r="BE324" s="407"/>
      <c r="BF324" s="407"/>
      <c r="BG324" s="407"/>
      <c r="BH324" s="407"/>
      <c r="BI324" s="407"/>
      <c r="BJ324" s="407"/>
      <c r="BK324" s="407"/>
      <c r="BL324" s="407"/>
      <c r="BM324" s="407"/>
      <c r="BN324" s="407"/>
      <c r="BO324" s="407"/>
      <c r="BP324" s="407"/>
      <c r="BQ324" s="407"/>
      <c r="BR324" s="407"/>
      <c r="BS324" s="407"/>
      <c r="BT324" s="407"/>
      <c r="BU324" s="407"/>
      <c r="BV324" s="407"/>
      <c r="BW324" s="407"/>
      <c r="BX324" s="407"/>
      <c r="BY324" s="407"/>
      <c r="BZ324" s="407"/>
      <c r="CA324" s="407"/>
      <c r="CB324" s="407"/>
      <c r="CC324" s="407"/>
      <c r="CD324" s="407"/>
      <c r="CE324" s="407"/>
      <c r="CF324" s="407"/>
    </row>
    <row r="325" spans="1:84">
      <c r="A325" s="407"/>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407"/>
      <c r="AE325" s="407"/>
      <c r="AF325" s="407"/>
      <c r="AG325" s="407"/>
      <c r="AH325" s="407"/>
      <c r="AI325" s="407"/>
      <c r="AJ325" s="407"/>
      <c r="AK325" s="407"/>
      <c r="AL325" s="407"/>
      <c r="AM325" s="407"/>
      <c r="AN325" s="407"/>
      <c r="AO325" s="407"/>
      <c r="AP325" s="407"/>
      <c r="AQ325" s="407"/>
      <c r="AR325" s="407"/>
      <c r="AS325" s="407"/>
      <c r="AT325" s="407"/>
      <c r="AU325" s="407"/>
      <c r="AV325" s="407"/>
      <c r="AW325" s="407"/>
      <c r="AX325" s="407"/>
      <c r="AY325" s="407"/>
      <c r="AZ325" s="407"/>
      <c r="BA325" s="407"/>
      <c r="BB325" s="407"/>
      <c r="BC325" s="407"/>
      <c r="BD325" s="407"/>
      <c r="BE325" s="407"/>
      <c r="BF325" s="407"/>
      <c r="BG325" s="407"/>
      <c r="BH325" s="407"/>
      <c r="BI325" s="407"/>
      <c r="BJ325" s="407"/>
      <c r="BK325" s="407"/>
      <c r="BL325" s="407"/>
      <c r="BM325" s="407"/>
      <c r="BN325" s="407"/>
      <c r="BO325" s="407"/>
      <c r="BP325" s="407"/>
      <c r="BQ325" s="407"/>
      <c r="BR325" s="407"/>
      <c r="BS325" s="407"/>
      <c r="BT325" s="407"/>
      <c r="BU325" s="407"/>
      <c r="BV325" s="407"/>
      <c r="BW325" s="407"/>
      <c r="BX325" s="407"/>
      <c r="BY325" s="407"/>
      <c r="BZ325" s="407"/>
      <c r="CA325" s="407"/>
      <c r="CB325" s="407"/>
      <c r="CC325" s="407"/>
      <c r="CD325" s="407"/>
      <c r="CE325" s="407"/>
      <c r="CF325" s="407"/>
    </row>
    <row r="326" spans="1:84">
      <c r="A326" s="407"/>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c r="AA326" s="407"/>
      <c r="AB326" s="407"/>
      <c r="AC326" s="407"/>
      <c r="AD326" s="407"/>
      <c r="AE326" s="407"/>
      <c r="AF326" s="407"/>
      <c r="AG326" s="407"/>
      <c r="AH326" s="407"/>
      <c r="AI326" s="407"/>
      <c r="AJ326" s="407"/>
      <c r="AK326" s="407"/>
      <c r="AL326" s="407"/>
      <c r="AM326" s="407"/>
      <c r="AN326" s="407"/>
      <c r="AO326" s="407"/>
      <c r="AP326" s="407"/>
      <c r="AQ326" s="407"/>
      <c r="AR326" s="407"/>
      <c r="AS326" s="407"/>
      <c r="AT326" s="407"/>
      <c r="AU326" s="407"/>
      <c r="AV326" s="407"/>
      <c r="AW326" s="407"/>
      <c r="AX326" s="407"/>
      <c r="AY326" s="407"/>
      <c r="AZ326" s="407"/>
      <c r="BA326" s="407"/>
      <c r="BB326" s="407"/>
      <c r="BC326" s="407"/>
      <c r="BD326" s="407"/>
      <c r="BE326" s="407"/>
      <c r="BF326" s="407"/>
      <c r="BG326" s="407"/>
      <c r="BH326" s="407"/>
      <c r="BI326" s="407"/>
      <c r="BJ326" s="407"/>
      <c r="BK326" s="407"/>
      <c r="BL326" s="407"/>
      <c r="BM326" s="407"/>
      <c r="BN326" s="407"/>
      <c r="BO326" s="407"/>
      <c r="BP326" s="407"/>
      <c r="BQ326" s="407"/>
      <c r="BR326" s="407"/>
      <c r="BS326" s="407"/>
      <c r="BT326" s="407"/>
      <c r="BU326" s="407"/>
      <c r="BV326" s="407"/>
      <c r="BW326" s="407"/>
      <c r="BX326" s="407"/>
      <c r="BY326" s="407"/>
      <c r="BZ326" s="407"/>
      <c r="CA326" s="407"/>
      <c r="CB326" s="407"/>
      <c r="CC326" s="407"/>
      <c r="CD326" s="407"/>
      <c r="CE326" s="407"/>
      <c r="CF326" s="407"/>
    </row>
    <row r="327" spans="1:84">
      <c r="A327" s="407"/>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407"/>
      <c r="AE327" s="407"/>
      <c r="AF327" s="407"/>
      <c r="AG327" s="407"/>
      <c r="AH327" s="407"/>
      <c r="AI327" s="407"/>
      <c r="AJ327" s="407"/>
      <c r="AK327" s="407"/>
      <c r="AL327" s="407"/>
      <c r="AM327" s="407"/>
      <c r="AN327" s="407"/>
      <c r="AO327" s="407"/>
      <c r="AP327" s="407"/>
      <c r="AQ327" s="407"/>
      <c r="AR327" s="407"/>
      <c r="AS327" s="407"/>
      <c r="AT327" s="407"/>
      <c r="AU327" s="407"/>
      <c r="AV327" s="407"/>
      <c r="AW327" s="407"/>
      <c r="AX327" s="407"/>
      <c r="AY327" s="407"/>
      <c r="AZ327" s="407"/>
      <c r="BA327" s="407"/>
      <c r="BB327" s="407"/>
      <c r="BC327" s="407"/>
      <c r="BD327" s="407"/>
      <c r="BE327" s="407"/>
      <c r="BF327" s="407"/>
      <c r="BG327" s="407"/>
      <c r="BH327" s="407"/>
      <c r="BI327" s="407"/>
      <c r="BJ327" s="407"/>
      <c r="BK327" s="407"/>
      <c r="BL327" s="407"/>
      <c r="BM327" s="407"/>
      <c r="BN327" s="407"/>
      <c r="BO327" s="407"/>
      <c r="BP327" s="407"/>
      <c r="BQ327" s="407"/>
      <c r="BR327" s="407"/>
      <c r="BS327" s="407"/>
      <c r="BT327" s="407"/>
      <c r="BU327" s="407"/>
      <c r="BV327" s="407"/>
      <c r="BW327" s="407"/>
      <c r="BX327" s="407"/>
      <c r="BY327" s="407"/>
      <c r="BZ327" s="407"/>
      <c r="CA327" s="407"/>
      <c r="CB327" s="407"/>
      <c r="CC327" s="407"/>
      <c r="CD327" s="407"/>
      <c r="CE327" s="407"/>
      <c r="CF327" s="407"/>
    </row>
    <row r="328" spans="1:84">
      <c r="A328" s="407"/>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7"/>
      <c r="CD328" s="407"/>
      <c r="CE328" s="407"/>
      <c r="CF328" s="407"/>
    </row>
    <row r="329" spans="1:84">
      <c r="A329" s="407"/>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7"/>
      <c r="CD329" s="407"/>
      <c r="CE329" s="407"/>
      <c r="CF329" s="407"/>
    </row>
    <row r="330" spans="1:84">
      <c r="A330" s="407"/>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7"/>
      <c r="CD330" s="407"/>
      <c r="CE330" s="407"/>
      <c r="CF330" s="407"/>
    </row>
    <row r="331" spans="1:84">
      <c r="A331" s="407"/>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7"/>
      <c r="CD331" s="407"/>
      <c r="CE331" s="407"/>
      <c r="CF331" s="407"/>
    </row>
    <row r="332" spans="1:84">
      <c r="A332" s="407"/>
      <c r="B332" s="407"/>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7"/>
      <c r="CD332" s="407"/>
      <c r="CE332" s="407"/>
      <c r="CF332" s="407"/>
    </row>
    <row r="333" spans="1:84">
      <c r="A333" s="407"/>
      <c r="B333" s="407"/>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7"/>
      <c r="CD333" s="407"/>
      <c r="CE333" s="407"/>
      <c r="CF333" s="407"/>
    </row>
    <row r="334" spans="1:84">
      <c r="A334" s="407"/>
      <c r="B334" s="407"/>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7"/>
      <c r="CD334" s="407"/>
      <c r="CE334" s="407"/>
      <c r="CF334" s="407"/>
    </row>
    <row r="335" spans="1:84">
      <c r="A335" s="407"/>
      <c r="B335" s="407"/>
      <c r="C335" s="407"/>
      <c r="D335" s="407"/>
      <c r="E335" s="407"/>
      <c r="F335" s="407"/>
      <c r="G335" s="407"/>
      <c r="H335" s="407"/>
      <c r="I335" s="407"/>
      <c r="J335" s="407"/>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407"/>
      <c r="BX335" s="407"/>
      <c r="BY335" s="407"/>
      <c r="BZ335" s="407"/>
      <c r="CA335" s="407"/>
      <c r="CB335" s="407"/>
      <c r="CC335" s="407"/>
      <c r="CD335" s="407"/>
      <c r="CE335" s="407"/>
      <c r="CF335" s="407"/>
    </row>
    <row r="336" spans="1:84">
      <c r="A336" s="407"/>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407"/>
      <c r="AE336" s="407"/>
      <c r="AF336" s="407"/>
      <c r="AG336" s="407"/>
      <c r="AH336" s="407"/>
      <c r="AI336" s="407"/>
      <c r="AJ336" s="407"/>
      <c r="AK336" s="407"/>
      <c r="AL336" s="407"/>
      <c r="AM336" s="407"/>
      <c r="AN336" s="407"/>
      <c r="AO336" s="407"/>
      <c r="AP336" s="407"/>
      <c r="AQ336" s="407"/>
      <c r="AR336" s="407"/>
      <c r="AS336" s="407"/>
      <c r="AT336" s="407"/>
      <c r="AU336" s="407"/>
      <c r="AV336" s="407"/>
      <c r="AW336" s="407"/>
      <c r="AX336" s="407"/>
      <c r="AY336" s="407"/>
      <c r="AZ336" s="407"/>
      <c r="BA336" s="407"/>
      <c r="BB336" s="407"/>
      <c r="BC336" s="407"/>
      <c r="BD336" s="407"/>
      <c r="BE336" s="407"/>
      <c r="BF336" s="407"/>
      <c r="BG336" s="407"/>
      <c r="BH336" s="407"/>
      <c r="BI336" s="407"/>
      <c r="BJ336" s="407"/>
      <c r="BK336" s="407"/>
      <c r="BL336" s="407"/>
      <c r="BM336" s="407"/>
      <c r="BN336" s="407"/>
      <c r="BO336" s="407"/>
      <c r="BP336" s="407"/>
      <c r="BQ336" s="407"/>
      <c r="BR336" s="407"/>
      <c r="BS336" s="407"/>
      <c r="BT336" s="407"/>
      <c r="BU336" s="407"/>
      <c r="BV336" s="407"/>
      <c r="BW336" s="407"/>
      <c r="BX336" s="407"/>
      <c r="BY336" s="407"/>
      <c r="BZ336" s="407"/>
      <c r="CA336" s="407"/>
      <c r="CB336" s="407"/>
      <c r="CC336" s="407"/>
      <c r="CD336" s="407"/>
      <c r="CE336" s="407"/>
      <c r="CF336" s="407"/>
    </row>
    <row r="337" spans="1:84">
      <c r="A337" s="407"/>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407"/>
      <c r="AE337" s="407"/>
      <c r="AF337" s="407"/>
      <c r="AG337" s="407"/>
      <c r="AH337" s="407"/>
      <c r="AI337" s="407"/>
      <c r="AJ337" s="407"/>
      <c r="AK337" s="407"/>
      <c r="AL337" s="407"/>
      <c r="AM337" s="407"/>
      <c r="AN337" s="407"/>
      <c r="AO337" s="407"/>
      <c r="AP337" s="407"/>
      <c r="AQ337" s="407"/>
      <c r="AR337" s="407"/>
      <c r="AS337" s="407"/>
      <c r="AT337" s="407"/>
      <c r="AU337" s="407"/>
      <c r="AV337" s="407"/>
      <c r="AW337" s="407"/>
      <c r="AX337" s="407"/>
      <c r="AY337" s="407"/>
      <c r="AZ337" s="407"/>
      <c r="BA337" s="407"/>
      <c r="BB337" s="407"/>
      <c r="BC337" s="407"/>
      <c r="BD337" s="407"/>
      <c r="BE337" s="407"/>
      <c r="BF337" s="407"/>
      <c r="BG337" s="407"/>
      <c r="BH337" s="407"/>
      <c r="BI337" s="407"/>
      <c r="BJ337" s="407"/>
      <c r="BK337" s="407"/>
      <c r="BL337" s="407"/>
      <c r="BM337" s="407"/>
      <c r="BN337" s="407"/>
      <c r="BO337" s="407"/>
      <c r="BP337" s="407"/>
      <c r="BQ337" s="407"/>
      <c r="BR337" s="407"/>
      <c r="BS337" s="407"/>
      <c r="BT337" s="407"/>
      <c r="BU337" s="407"/>
      <c r="BV337" s="407"/>
      <c r="BW337" s="407"/>
      <c r="BX337" s="407"/>
      <c r="BY337" s="407"/>
      <c r="BZ337" s="407"/>
      <c r="CA337" s="407"/>
      <c r="CB337" s="407"/>
      <c r="CC337" s="407"/>
      <c r="CD337" s="407"/>
      <c r="CE337" s="407"/>
      <c r="CF337" s="407"/>
    </row>
    <row r="338" spans="1:84">
      <c r="A338" s="407"/>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7"/>
      <c r="AI338" s="407"/>
      <c r="AJ338" s="407"/>
      <c r="AK338" s="407"/>
      <c r="AL338" s="407"/>
      <c r="AM338" s="407"/>
      <c r="AN338" s="407"/>
      <c r="AO338" s="407"/>
      <c r="AP338" s="407"/>
      <c r="AQ338" s="407"/>
      <c r="AR338" s="407"/>
      <c r="AS338" s="407"/>
      <c r="AT338" s="407"/>
      <c r="AU338" s="407"/>
      <c r="AV338" s="407"/>
      <c r="AW338" s="407"/>
      <c r="AX338" s="407"/>
      <c r="AY338" s="407"/>
      <c r="AZ338" s="407"/>
      <c r="BA338" s="407"/>
      <c r="BB338" s="407"/>
      <c r="BC338" s="407"/>
      <c r="BD338" s="407"/>
      <c r="BE338" s="407"/>
      <c r="BF338" s="407"/>
      <c r="BG338" s="407"/>
      <c r="BH338" s="407"/>
      <c r="BI338" s="407"/>
      <c r="BJ338" s="407"/>
      <c r="BK338" s="407"/>
      <c r="BL338" s="407"/>
      <c r="BM338" s="407"/>
      <c r="BN338" s="407"/>
      <c r="BO338" s="407"/>
      <c r="BP338" s="407"/>
      <c r="BQ338" s="407"/>
      <c r="BR338" s="407"/>
      <c r="BS338" s="407"/>
      <c r="BT338" s="407"/>
      <c r="BU338" s="407"/>
      <c r="BV338" s="407"/>
      <c r="BW338" s="407"/>
      <c r="BX338" s="407"/>
      <c r="BY338" s="407"/>
      <c r="BZ338" s="407"/>
      <c r="CA338" s="407"/>
      <c r="CB338" s="407"/>
      <c r="CC338" s="407"/>
      <c r="CD338" s="407"/>
      <c r="CE338" s="407"/>
      <c r="CF338" s="407"/>
    </row>
    <row r="339" spans="1:84">
      <c r="A339" s="407"/>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c r="AA339" s="407"/>
      <c r="AB339" s="407"/>
      <c r="AC339" s="407"/>
      <c r="AD339" s="407"/>
      <c r="AE339" s="407"/>
      <c r="AF339" s="407"/>
      <c r="AG339" s="407"/>
      <c r="AH339" s="407"/>
      <c r="AI339" s="407"/>
      <c r="AJ339" s="407"/>
      <c r="AK339" s="407"/>
      <c r="AL339" s="407"/>
      <c r="AM339" s="407"/>
      <c r="AN339" s="407"/>
      <c r="AO339" s="407"/>
      <c r="AP339" s="407"/>
      <c r="AQ339" s="407"/>
      <c r="AR339" s="407"/>
      <c r="AS339" s="407"/>
      <c r="AT339" s="407"/>
      <c r="AU339" s="407"/>
      <c r="AV339" s="407"/>
      <c r="AW339" s="407"/>
      <c r="AX339" s="407"/>
      <c r="AY339" s="407"/>
      <c r="AZ339" s="407"/>
      <c r="BA339" s="407"/>
      <c r="BB339" s="407"/>
      <c r="BC339" s="407"/>
      <c r="BD339" s="407"/>
      <c r="BE339" s="407"/>
      <c r="BF339" s="407"/>
      <c r="BG339" s="407"/>
      <c r="BH339" s="407"/>
      <c r="BI339" s="407"/>
      <c r="BJ339" s="407"/>
      <c r="BK339" s="407"/>
      <c r="BL339" s="407"/>
      <c r="BM339" s="407"/>
      <c r="BN339" s="407"/>
      <c r="BO339" s="407"/>
      <c r="BP339" s="407"/>
      <c r="BQ339" s="407"/>
      <c r="BR339" s="407"/>
      <c r="BS339" s="407"/>
      <c r="BT339" s="407"/>
      <c r="BU339" s="407"/>
      <c r="BV339" s="407"/>
      <c r="BW339" s="407"/>
      <c r="BX339" s="407"/>
      <c r="BY339" s="407"/>
      <c r="BZ339" s="407"/>
      <c r="CA339" s="407"/>
      <c r="CB339" s="407"/>
      <c r="CC339" s="407"/>
      <c r="CD339" s="407"/>
      <c r="CE339" s="407"/>
      <c r="CF339" s="407"/>
    </row>
    <row r="340" spans="1:84">
      <c r="A340" s="407"/>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c r="AA340" s="407"/>
      <c r="AB340" s="407"/>
      <c r="AC340" s="407"/>
      <c r="AD340" s="407"/>
      <c r="AE340" s="407"/>
      <c r="AF340" s="407"/>
      <c r="AG340" s="407"/>
      <c r="AH340" s="407"/>
      <c r="AI340" s="407"/>
      <c r="AJ340" s="407"/>
      <c r="AK340" s="407"/>
      <c r="AL340" s="407"/>
      <c r="AM340" s="407"/>
      <c r="AN340" s="407"/>
      <c r="AO340" s="407"/>
      <c r="AP340" s="407"/>
      <c r="AQ340" s="407"/>
      <c r="AR340" s="407"/>
      <c r="AS340" s="407"/>
      <c r="AT340" s="407"/>
      <c r="AU340" s="407"/>
      <c r="AV340" s="407"/>
      <c r="AW340" s="407"/>
      <c r="AX340" s="407"/>
      <c r="AY340" s="407"/>
      <c r="AZ340" s="407"/>
      <c r="BA340" s="407"/>
      <c r="BB340" s="407"/>
      <c r="BC340" s="407"/>
      <c r="BD340" s="407"/>
      <c r="BE340" s="407"/>
      <c r="BF340" s="407"/>
      <c r="BG340" s="407"/>
      <c r="BH340" s="407"/>
      <c r="BI340" s="407"/>
      <c r="BJ340" s="407"/>
      <c r="BK340" s="407"/>
      <c r="BL340" s="407"/>
      <c r="BM340" s="407"/>
      <c r="BN340" s="407"/>
      <c r="BO340" s="407"/>
      <c r="BP340" s="407"/>
      <c r="BQ340" s="407"/>
      <c r="BR340" s="407"/>
      <c r="BS340" s="407"/>
      <c r="BT340" s="407"/>
      <c r="BU340" s="407"/>
      <c r="BV340" s="407"/>
      <c r="BW340" s="407"/>
      <c r="BX340" s="407"/>
      <c r="BY340" s="407"/>
      <c r="BZ340" s="407"/>
      <c r="CA340" s="407"/>
      <c r="CB340" s="407"/>
      <c r="CC340" s="407"/>
      <c r="CD340" s="407"/>
      <c r="CE340" s="407"/>
      <c r="CF340" s="407"/>
    </row>
    <row r="341" spans="1:84">
      <c r="A341" s="407"/>
      <c r="B341" s="407"/>
      <c r="C341" s="407"/>
      <c r="D341" s="407"/>
      <c r="E341" s="407"/>
      <c r="F341" s="407"/>
      <c r="G341" s="407"/>
      <c r="H341" s="407"/>
      <c r="I341" s="407"/>
      <c r="J341" s="407"/>
      <c r="K341" s="407"/>
      <c r="L341" s="407"/>
      <c r="M341" s="407"/>
      <c r="N341" s="407"/>
      <c r="O341" s="407"/>
      <c r="P341" s="407"/>
      <c r="Q341" s="407"/>
      <c r="R341" s="407"/>
      <c r="S341" s="407"/>
      <c r="T341" s="407"/>
      <c r="U341" s="407"/>
      <c r="V341" s="407"/>
      <c r="W341" s="407"/>
      <c r="X341" s="407"/>
      <c r="Y341" s="407"/>
      <c r="Z341" s="407"/>
      <c r="AA341" s="407"/>
      <c r="AB341" s="407"/>
      <c r="AC341" s="407"/>
      <c r="AD341" s="407"/>
      <c r="AE341" s="407"/>
      <c r="AF341" s="407"/>
      <c r="AG341" s="407"/>
      <c r="AH341" s="407"/>
      <c r="AI341" s="407"/>
      <c r="AJ341" s="407"/>
      <c r="AK341" s="407"/>
      <c r="AL341" s="407"/>
      <c r="AM341" s="407"/>
      <c r="AN341" s="407"/>
      <c r="AO341" s="407"/>
      <c r="AP341" s="407"/>
      <c r="AQ341" s="407"/>
      <c r="AR341" s="407"/>
      <c r="AS341" s="407"/>
      <c r="AT341" s="407"/>
      <c r="AU341" s="407"/>
      <c r="AV341" s="407"/>
      <c r="AW341" s="407"/>
      <c r="AX341" s="407"/>
      <c r="AY341" s="407"/>
      <c r="AZ341" s="407"/>
      <c r="BA341" s="407"/>
      <c r="BB341" s="407"/>
      <c r="BC341" s="407"/>
      <c r="BD341" s="407"/>
      <c r="BE341" s="407"/>
      <c r="BF341" s="407"/>
      <c r="BG341" s="407"/>
      <c r="BH341" s="407"/>
      <c r="BI341" s="407"/>
      <c r="BJ341" s="407"/>
      <c r="BK341" s="407"/>
      <c r="BL341" s="407"/>
      <c r="BM341" s="407"/>
      <c r="BN341" s="407"/>
      <c r="BO341" s="407"/>
      <c r="BP341" s="407"/>
      <c r="BQ341" s="407"/>
      <c r="BR341" s="407"/>
      <c r="BS341" s="407"/>
      <c r="BT341" s="407"/>
      <c r="BU341" s="407"/>
      <c r="BV341" s="407"/>
      <c r="BW341" s="407"/>
      <c r="BX341" s="407"/>
      <c r="BY341" s="407"/>
      <c r="BZ341" s="407"/>
      <c r="CA341" s="407"/>
      <c r="CB341" s="407"/>
      <c r="CC341" s="407"/>
      <c r="CD341" s="407"/>
      <c r="CE341" s="407"/>
      <c r="CF341" s="407"/>
    </row>
    <row r="342" spans="1:84">
      <c r="A342" s="407"/>
      <c r="B342" s="407"/>
      <c r="C342" s="407"/>
      <c r="D342" s="407"/>
      <c r="E342" s="407"/>
      <c r="F342" s="407"/>
      <c r="G342" s="407"/>
      <c r="H342" s="407"/>
      <c r="I342" s="407"/>
      <c r="J342" s="407"/>
      <c r="K342" s="407"/>
      <c r="L342" s="407"/>
      <c r="M342" s="407"/>
      <c r="N342" s="407"/>
      <c r="O342" s="407"/>
      <c r="P342" s="407"/>
      <c r="Q342" s="407"/>
      <c r="R342" s="407"/>
      <c r="S342" s="407"/>
      <c r="T342" s="407"/>
      <c r="U342" s="407"/>
      <c r="V342" s="407"/>
      <c r="W342" s="407"/>
      <c r="X342" s="407"/>
      <c r="Y342" s="407"/>
      <c r="Z342" s="407"/>
      <c r="AA342" s="407"/>
      <c r="AB342" s="407"/>
      <c r="AC342" s="407"/>
      <c r="AD342" s="407"/>
      <c r="AE342" s="407"/>
      <c r="AF342" s="407"/>
      <c r="AG342" s="407"/>
      <c r="AH342" s="407"/>
      <c r="AI342" s="407"/>
      <c r="AJ342" s="407"/>
      <c r="AK342" s="407"/>
      <c r="AL342" s="407"/>
      <c r="AM342" s="407"/>
      <c r="AN342" s="407"/>
      <c r="AO342" s="407"/>
      <c r="AP342" s="407"/>
      <c r="AQ342" s="407"/>
      <c r="AR342" s="407"/>
      <c r="AS342" s="407"/>
      <c r="AT342" s="407"/>
      <c r="AU342" s="407"/>
      <c r="AV342" s="407"/>
      <c r="AW342" s="407"/>
      <c r="AX342" s="407"/>
      <c r="AY342" s="407"/>
      <c r="AZ342" s="407"/>
      <c r="BA342" s="407"/>
      <c r="BB342" s="407"/>
      <c r="BC342" s="407"/>
      <c r="BD342" s="407"/>
      <c r="BE342" s="407"/>
      <c r="BF342" s="407"/>
      <c r="BG342" s="407"/>
      <c r="BH342" s="407"/>
      <c r="BI342" s="407"/>
      <c r="BJ342" s="407"/>
      <c r="BK342" s="407"/>
      <c r="BL342" s="407"/>
      <c r="BM342" s="407"/>
      <c r="BN342" s="407"/>
      <c r="BO342" s="407"/>
      <c r="BP342" s="407"/>
      <c r="BQ342" s="407"/>
      <c r="BR342" s="407"/>
      <c r="BS342" s="407"/>
      <c r="BT342" s="407"/>
      <c r="BU342" s="407"/>
      <c r="BV342" s="407"/>
      <c r="BW342" s="407"/>
      <c r="BX342" s="407"/>
      <c r="BY342" s="407"/>
      <c r="BZ342" s="407"/>
      <c r="CA342" s="407"/>
      <c r="CB342" s="407"/>
      <c r="CC342" s="407"/>
      <c r="CD342" s="407"/>
      <c r="CE342" s="407"/>
      <c r="CF342" s="407"/>
    </row>
    <row r="343" spans="1:84">
      <c r="A343" s="407"/>
      <c r="B343" s="407"/>
      <c r="C343" s="407"/>
      <c r="D343" s="407"/>
      <c r="E343" s="407"/>
      <c r="F343" s="407"/>
      <c r="G343" s="407"/>
      <c r="H343" s="407"/>
      <c r="I343" s="407"/>
      <c r="J343" s="407"/>
      <c r="K343" s="407"/>
      <c r="L343" s="407"/>
      <c r="M343" s="407"/>
      <c r="N343" s="407"/>
      <c r="O343" s="407"/>
      <c r="P343" s="407"/>
      <c r="Q343" s="407"/>
      <c r="R343" s="407"/>
      <c r="S343" s="407"/>
      <c r="T343" s="407"/>
      <c r="U343" s="407"/>
      <c r="V343" s="407"/>
      <c r="W343" s="407"/>
      <c r="X343" s="407"/>
      <c r="Y343" s="407"/>
      <c r="Z343" s="407"/>
      <c r="AA343" s="407"/>
      <c r="AB343" s="407"/>
      <c r="AC343" s="407"/>
      <c r="AD343" s="407"/>
      <c r="AE343" s="407"/>
      <c r="AF343" s="407"/>
      <c r="AG343" s="407"/>
      <c r="AH343" s="407"/>
      <c r="AI343" s="407"/>
      <c r="AJ343" s="407"/>
      <c r="AK343" s="407"/>
      <c r="AL343" s="407"/>
      <c r="AM343" s="407"/>
      <c r="AN343" s="407"/>
      <c r="AO343" s="407"/>
      <c r="AP343" s="407"/>
      <c r="AQ343" s="407"/>
      <c r="AR343" s="407"/>
      <c r="AS343" s="407"/>
      <c r="AT343" s="407"/>
      <c r="AU343" s="407"/>
      <c r="AV343" s="407"/>
      <c r="AW343" s="407"/>
      <c r="AX343" s="407"/>
      <c r="AY343" s="407"/>
      <c r="AZ343" s="407"/>
      <c r="BA343" s="407"/>
      <c r="BB343" s="407"/>
      <c r="BC343" s="407"/>
      <c r="BD343" s="407"/>
      <c r="BE343" s="407"/>
      <c r="BF343" s="407"/>
      <c r="BG343" s="407"/>
      <c r="BH343" s="407"/>
      <c r="BI343" s="407"/>
      <c r="BJ343" s="407"/>
      <c r="BK343" s="407"/>
      <c r="BL343" s="407"/>
      <c r="BM343" s="407"/>
      <c r="BN343" s="407"/>
      <c r="BO343" s="407"/>
      <c r="BP343" s="407"/>
      <c r="BQ343" s="407"/>
      <c r="BR343" s="407"/>
      <c r="BS343" s="407"/>
      <c r="BT343" s="407"/>
      <c r="BU343" s="407"/>
      <c r="BV343" s="407"/>
      <c r="BW343" s="407"/>
      <c r="BX343" s="407"/>
      <c r="BY343" s="407"/>
      <c r="BZ343" s="407"/>
      <c r="CA343" s="407"/>
      <c r="CB343" s="407"/>
      <c r="CC343" s="407"/>
      <c r="CD343" s="407"/>
      <c r="CE343" s="407"/>
      <c r="CF343" s="407"/>
    </row>
    <row r="344" spans="1:84">
      <c r="A344" s="407"/>
      <c r="B344" s="407"/>
      <c r="C344" s="407"/>
      <c r="D344" s="407"/>
      <c r="E344" s="407"/>
      <c r="F344" s="407"/>
      <c r="G344" s="407"/>
      <c r="H344" s="407"/>
      <c r="I344" s="407"/>
      <c r="J344" s="407"/>
      <c r="K344" s="407"/>
      <c r="L344" s="407"/>
      <c r="M344" s="407"/>
      <c r="N344" s="407"/>
      <c r="O344" s="407"/>
      <c r="P344" s="407"/>
      <c r="Q344" s="407"/>
      <c r="R344" s="407"/>
      <c r="S344" s="407"/>
      <c r="T344" s="407"/>
      <c r="U344" s="407"/>
      <c r="V344" s="407"/>
      <c r="W344" s="407"/>
      <c r="X344" s="407"/>
      <c r="Y344" s="407"/>
      <c r="Z344" s="407"/>
      <c r="AA344" s="407"/>
      <c r="AB344" s="407"/>
      <c r="AC344" s="407"/>
      <c r="AD344" s="407"/>
      <c r="AE344" s="407"/>
      <c r="AF344" s="407"/>
      <c r="AG344" s="407"/>
      <c r="AH344" s="407"/>
      <c r="AI344" s="407"/>
      <c r="AJ344" s="407"/>
      <c r="AK344" s="407"/>
      <c r="AL344" s="407"/>
      <c r="AM344" s="407"/>
      <c r="AN344" s="407"/>
      <c r="AO344" s="407"/>
      <c r="AP344" s="407"/>
      <c r="AQ344" s="407"/>
      <c r="AR344" s="407"/>
      <c r="AS344" s="407"/>
      <c r="AT344" s="407"/>
      <c r="AU344" s="407"/>
      <c r="AV344" s="407"/>
      <c r="AW344" s="407"/>
      <c r="AX344" s="407"/>
      <c r="AY344" s="407"/>
      <c r="AZ344" s="407"/>
      <c r="BA344" s="407"/>
      <c r="BB344" s="407"/>
      <c r="BC344" s="407"/>
      <c r="BD344" s="407"/>
      <c r="BE344" s="407"/>
      <c r="BF344" s="407"/>
      <c r="BG344" s="407"/>
      <c r="BH344" s="407"/>
      <c r="BI344" s="407"/>
      <c r="BJ344" s="407"/>
      <c r="BK344" s="407"/>
      <c r="BL344" s="407"/>
      <c r="BM344" s="407"/>
      <c r="BN344" s="407"/>
      <c r="BO344" s="407"/>
      <c r="BP344" s="407"/>
      <c r="BQ344" s="407"/>
      <c r="BR344" s="407"/>
      <c r="BS344" s="407"/>
      <c r="BT344" s="407"/>
      <c r="BU344" s="407"/>
      <c r="BV344" s="407"/>
      <c r="BW344" s="407"/>
      <c r="BX344" s="407"/>
      <c r="BY344" s="407"/>
      <c r="BZ344" s="407"/>
      <c r="CA344" s="407"/>
      <c r="CB344" s="407"/>
      <c r="CC344" s="407"/>
      <c r="CD344" s="407"/>
      <c r="CE344" s="407"/>
      <c r="CF344" s="407"/>
    </row>
    <row r="345" spans="1:84">
      <c r="A345" s="407"/>
      <c r="B345" s="407"/>
      <c r="C345" s="407"/>
      <c r="D345" s="407"/>
      <c r="E345" s="407"/>
      <c r="F345" s="407"/>
      <c r="G345" s="407"/>
      <c r="H345" s="407"/>
      <c r="I345" s="407"/>
      <c r="J345" s="407"/>
      <c r="K345" s="407"/>
      <c r="L345" s="407"/>
      <c r="M345" s="407"/>
      <c r="N345" s="407"/>
      <c r="O345" s="407"/>
      <c r="P345" s="407"/>
      <c r="Q345" s="407"/>
      <c r="R345" s="407"/>
      <c r="S345" s="407"/>
      <c r="T345" s="407"/>
      <c r="U345" s="407"/>
      <c r="V345" s="407"/>
      <c r="W345" s="407"/>
      <c r="X345" s="407"/>
      <c r="Y345" s="407"/>
      <c r="Z345" s="407"/>
      <c r="AA345" s="407"/>
      <c r="AB345" s="407"/>
      <c r="AC345" s="407"/>
      <c r="AD345" s="407"/>
      <c r="AE345" s="407"/>
      <c r="AF345" s="407"/>
      <c r="AG345" s="407"/>
      <c r="AH345" s="407"/>
      <c r="AI345" s="407"/>
      <c r="AJ345" s="407"/>
      <c r="AK345" s="407"/>
      <c r="AL345" s="407"/>
      <c r="AM345" s="407"/>
      <c r="AN345" s="407"/>
      <c r="AO345" s="407"/>
      <c r="AP345" s="407"/>
      <c r="AQ345" s="407"/>
      <c r="AR345" s="407"/>
      <c r="AS345" s="407"/>
      <c r="AT345" s="407"/>
      <c r="AU345" s="407"/>
      <c r="AV345" s="407"/>
      <c r="AW345" s="407"/>
      <c r="AX345" s="407"/>
      <c r="AY345" s="407"/>
      <c r="AZ345" s="407"/>
      <c r="BA345" s="407"/>
      <c r="BB345" s="407"/>
      <c r="BC345" s="407"/>
      <c r="BD345" s="407"/>
      <c r="BE345" s="407"/>
      <c r="BF345" s="407"/>
      <c r="BG345" s="407"/>
      <c r="BH345" s="407"/>
      <c r="BI345" s="407"/>
      <c r="BJ345" s="407"/>
      <c r="BK345" s="407"/>
      <c r="BL345" s="407"/>
      <c r="BM345" s="407"/>
      <c r="BN345" s="407"/>
      <c r="BO345" s="407"/>
      <c r="BP345" s="407"/>
      <c r="BQ345" s="407"/>
      <c r="BR345" s="407"/>
      <c r="BS345" s="407"/>
      <c r="BT345" s="407"/>
      <c r="BU345" s="407"/>
      <c r="BV345" s="407"/>
      <c r="BW345" s="407"/>
      <c r="BX345" s="407"/>
      <c r="BY345" s="407"/>
      <c r="BZ345" s="407"/>
      <c r="CA345" s="407"/>
      <c r="CB345" s="407"/>
      <c r="CC345" s="407"/>
      <c r="CD345" s="407"/>
      <c r="CE345" s="407"/>
      <c r="CF345" s="407"/>
    </row>
    <row r="346" spans="1:84">
      <c r="A346" s="407"/>
      <c r="B346" s="407"/>
      <c r="C346" s="407"/>
      <c r="D346" s="407"/>
      <c r="E346" s="407"/>
      <c r="F346" s="407"/>
      <c r="G346" s="407"/>
      <c r="H346" s="407"/>
      <c r="I346" s="407"/>
      <c r="J346" s="407"/>
      <c r="K346" s="407"/>
      <c r="L346" s="407"/>
      <c r="M346" s="407"/>
      <c r="N346" s="407"/>
      <c r="O346" s="407"/>
      <c r="P346" s="407"/>
      <c r="Q346" s="407"/>
      <c r="R346" s="407"/>
      <c r="S346" s="407"/>
      <c r="T346" s="407"/>
      <c r="U346" s="407"/>
      <c r="V346" s="407"/>
      <c r="W346" s="407"/>
      <c r="X346" s="407"/>
      <c r="Y346" s="407"/>
      <c r="Z346" s="407"/>
      <c r="AA346" s="407"/>
      <c r="AB346" s="407"/>
      <c r="AC346" s="407"/>
      <c r="AD346" s="407"/>
      <c r="AE346" s="407"/>
      <c r="AF346" s="407"/>
      <c r="AG346" s="407"/>
      <c r="AH346" s="407"/>
      <c r="AI346" s="407"/>
      <c r="AJ346" s="407"/>
      <c r="AK346" s="407"/>
      <c r="AL346" s="407"/>
      <c r="AM346" s="407"/>
      <c r="AN346" s="407"/>
      <c r="AO346" s="407"/>
      <c r="AP346" s="407"/>
      <c r="AQ346" s="407"/>
      <c r="AR346" s="407"/>
      <c r="AS346" s="407"/>
      <c r="AT346" s="407"/>
      <c r="AU346" s="407"/>
      <c r="AV346" s="407"/>
      <c r="AW346" s="407"/>
      <c r="AX346" s="407"/>
      <c r="AY346" s="407"/>
      <c r="AZ346" s="407"/>
      <c r="BA346" s="407"/>
      <c r="BB346" s="407"/>
      <c r="BC346" s="407"/>
      <c r="BD346" s="407"/>
      <c r="BE346" s="407"/>
      <c r="BF346" s="407"/>
      <c r="BG346" s="407"/>
      <c r="BH346" s="407"/>
      <c r="BI346" s="407"/>
      <c r="BJ346" s="407"/>
      <c r="BK346" s="407"/>
      <c r="BL346" s="407"/>
      <c r="BM346" s="407"/>
      <c r="BN346" s="407"/>
      <c r="BO346" s="407"/>
      <c r="BP346" s="407"/>
      <c r="BQ346" s="407"/>
      <c r="BR346" s="407"/>
      <c r="BS346" s="407"/>
      <c r="BT346" s="407"/>
      <c r="BU346" s="407"/>
      <c r="BV346" s="407"/>
      <c r="BW346" s="407"/>
      <c r="BX346" s="407"/>
      <c r="BY346" s="407"/>
      <c r="BZ346" s="407"/>
      <c r="CA346" s="407"/>
      <c r="CB346" s="407"/>
      <c r="CC346" s="407"/>
      <c r="CD346" s="407"/>
      <c r="CE346" s="407"/>
      <c r="CF346" s="407"/>
    </row>
    <row r="347" spans="1:84">
      <c r="A347" s="407"/>
      <c r="B347" s="407"/>
      <c r="C347" s="407"/>
      <c r="D347" s="407"/>
      <c r="E347" s="407"/>
      <c r="F347" s="407"/>
      <c r="G347" s="407"/>
      <c r="H347" s="407"/>
      <c r="I347" s="407"/>
      <c r="J347" s="407"/>
      <c r="K347" s="407"/>
      <c r="L347" s="407"/>
      <c r="M347" s="407"/>
      <c r="N347" s="407"/>
      <c r="O347" s="407"/>
      <c r="P347" s="407"/>
      <c r="Q347" s="407"/>
      <c r="R347" s="407"/>
      <c r="S347" s="407"/>
      <c r="T347" s="407"/>
      <c r="U347" s="407"/>
      <c r="V347" s="407"/>
      <c r="W347" s="407"/>
      <c r="X347" s="407"/>
      <c r="Y347" s="407"/>
      <c r="Z347" s="407"/>
      <c r="AA347" s="407"/>
      <c r="AB347" s="407"/>
      <c r="AC347" s="407"/>
      <c r="AD347" s="407"/>
      <c r="AE347" s="407"/>
      <c r="AF347" s="407"/>
      <c r="AG347" s="407"/>
      <c r="AH347" s="407"/>
      <c r="AI347" s="407"/>
      <c r="AJ347" s="407"/>
      <c r="AK347" s="407"/>
      <c r="AL347" s="407"/>
      <c r="AM347" s="407"/>
      <c r="AN347" s="407"/>
      <c r="AO347" s="407"/>
      <c r="AP347" s="407"/>
      <c r="AQ347" s="407"/>
      <c r="AR347" s="407"/>
      <c r="AS347" s="407"/>
      <c r="AT347" s="407"/>
      <c r="AU347" s="407"/>
      <c r="AV347" s="407"/>
      <c r="AW347" s="407"/>
      <c r="AX347" s="407"/>
      <c r="AY347" s="407"/>
      <c r="AZ347" s="407"/>
      <c r="BA347" s="407"/>
      <c r="BB347" s="407"/>
      <c r="BC347" s="407"/>
      <c r="BD347" s="407"/>
      <c r="BE347" s="407"/>
      <c r="BF347" s="407"/>
      <c r="BG347" s="407"/>
      <c r="BH347" s="407"/>
      <c r="BI347" s="407"/>
      <c r="BJ347" s="407"/>
      <c r="BK347" s="407"/>
      <c r="BL347" s="407"/>
      <c r="BM347" s="407"/>
      <c r="BN347" s="407"/>
      <c r="BO347" s="407"/>
      <c r="BP347" s="407"/>
      <c r="BQ347" s="407"/>
      <c r="BR347" s="407"/>
      <c r="BS347" s="407"/>
      <c r="BT347" s="407"/>
      <c r="BU347" s="407"/>
      <c r="BV347" s="407"/>
      <c r="BW347" s="407"/>
      <c r="BX347" s="407"/>
      <c r="BY347" s="407"/>
      <c r="BZ347" s="407"/>
      <c r="CA347" s="407"/>
      <c r="CB347" s="407"/>
      <c r="CC347" s="407"/>
      <c r="CD347" s="407"/>
      <c r="CE347" s="407"/>
      <c r="CF347" s="407"/>
    </row>
    <row r="348" spans="1:84">
      <c r="A348" s="407"/>
      <c r="B348" s="407"/>
      <c r="C348" s="407"/>
      <c r="D348" s="407"/>
      <c r="E348" s="407"/>
      <c r="F348" s="407"/>
      <c r="G348" s="407"/>
      <c r="H348" s="407"/>
      <c r="I348" s="407"/>
      <c r="J348" s="407"/>
      <c r="K348" s="407"/>
      <c r="L348" s="407"/>
      <c r="M348" s="407"/>
      <c r="N348" s="407"/>
      <c r="O348" s="407"/>
      <c r="P348" s="407"/>
      <c r="Q348" s="407"/>
      <c r="R348" s="407"/>
      <c r="S348" s="407"/>
      <c r="T348" s="407"/>
      <c r="U348" s="407"/>
      <c r="V348" s="407"/>
      <c r="W348" s="407"/>
      <c r="X348" s="407"/>
      <c r="Y348" s="407"/>
      <c r="Z348" s="407"/>
      <c r="AA348" s="407"/>
      <c r="AB348" s="407"/>
      <c r="AC348" s="407"/>
      <c r="AD348" s="407"/>
      <c r="AE348" s="407"/>
      <c r="AF348" s="407"/>
      <c r="AG348" s="407"/>
      <c r="AH348" s="407"/>
      <c r="AI348" s="407"/>
      <c r="AJ348" s="407"/>
      <c r="AK348" s="407"/>
      <c r="AL348" s="407"/>
      <c r="AM348" s="407"/>
      <c r="AN348" s="407"/>
      <c r="AO348" s="407"/>
      <c r="AP348" s="407"/>
      <c r="AQ348" s="407"/>
      <c r="AR348" s="407"/>
      <c r="AS348" s="407"/>
      <c r="AT348" s="407"/>
      <c r="AU348" s="407"/>
      <c r="AV348" s="407"/>
      <c r="AW348" s="407"/>
      <c r="AX348" s="407"/>
      <c r="AY348" s="407"/>
      <c r="AZ348" s="407"/>
      <c r="BA348" s="407"/>
      <c r="BB348" s="407"/>
      <c r="BC348" s="407"/>
      <c r="BD348" s="407"/>
      <c r="BE348" s="407"/>
      <c r="BF348" s="407"/>
      <c r="BG348" s="407"/>
      <c r="BH348" s="407"/>
      <c r="BI348" s="407"/>
      <c r="BJ348" s="407"/>
      <c r="BK348" s="407"/>
      <c r="BL348" s="407"/>
      <c r="BM348" s="407"/>
      <c r="BN348" s="407"/>
      <c r="BO348" s="407"/>
      <c r="BP348" s="407"/>
      <c r="BQ348" s="407"/>
      <c r="BR348" s="407"/>
      <c r="BS348" s="407"/>
      <c r="BT348" s="407"/>
      <c r="BU348" s="407"/>
      <c r="BV348" s="407"/>
      <c r="BW348" s="407"/>
      <c r="BX348" s="407"/>
      <c r="BY348" s="407"/>
      <c r="BZ348" s="407"/>
      <c r="CA348" s="407"/>
      <c r="CB348" s="407"/>
      <c r="CC348" s="407"/>
      <c r="CD348" s="407"/>
      <c r="CE348" s="407"/>
      <c r="CF348" s="407"/>
    </row>
    <row r="349" spans="1:84">
      <c r="A349" s="407"/>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407"/>
      <c r="AE349" s="407"/>
      <c r="AF349" s="407"/>
      <c r="AG349" s="407"/>
      <c r="AH349" s="407"/>
      <c r="AI349" s="407"/>
      <c r="AJ349" s="407"/>
      <c r="AK349" s="407"/>
      <c r="AL349" s="407"/>
      <c r="AM349" s="407"/>
      <c r="AN349" s="407"/>
      <c r="AO349" s="407"/>
      <c r="AP349" s="407"/>
      <c r="AQ349" s="407"/>
      <c r="AR349" s="407"/>
      <c r="AS349" s="407"/>
      <c r="AT349" s="407"/>
      <c r="AU349" s="407"/>
      <c r="AV349" s="407"/>
      <c r="AW349" s="407"/>
      <c r="AX349" s="407"/>
      <c r="AY349" s="407"/>
      <c r="AZ349" s="407"/>
      <c r="BA349" s="407"/>
      <c r="BB349" s="407"/>
      <c r="BC349" s="407"/>
      <c r="BD349" s="407"/>
      <c r="BE349" s="407"/>
      <c r="BF349" s="407"/>
      <c r="BG349" s="407"/>
      <c r="BH349" s="407"/>
      <c r="BI349" s="407"/>
      <c r="BJ349" s="407"/>
      <c r="BK349" s="407"/>
      <c r="BL349" s="407"/>
      <c r="BM349" s="407"/>
      <c r="BN349" s="407"/>
      <c r="BO349" s="407"/>
      <c r="BP349" s="407"/>
      <c r="BQ349" s="407"/>
      <c r="BR349" s="407"/>
      <c r="BS349" s="407"/>
      <c r="BT349" s="407"/>
      <c r="BU349" s="407"/>
      <c r="BV349" s="407"/>
      <c r="BW349" s="407"/>
      <c r="BX349" s="407"/>
      <c r="BY349" s="407"/>
      <c r="BZ349" s="407"/>
      <c r="CA349" s="407"/>
      <c r="CB349" s="407"/>
      <c r="CC349" s="407"/>
      <c r="CD349" s="407"/>
      <c r="CE349" s="407"/>
      <c r="CF349" s="407"/>
    </row>
    <row r="350" spans="1:84">
      <c r="A350" s="407"/>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c r="AA350" s="407"/>
      <c r="AB350" s="407"/>
      <c r="AC350" s="407"/>
      <c r="AD350" s="407"/>
      <c r="AE350" s="407"/>
      <c r="AF350" s="407"/>
      <c r="AG350" s="407"/>
      <c r="AH350" s="407"/>
      <c r="AI350" s="407"/>
      <c r="AJ350" s="407"/>
      <c r="AK350" s="407"/>
      <c r="AL350" s="407"/>
      <c r="AM350" s="407"/>
      <c r="AN350" s="407"/>
      <c r="AO350" s="407"/>
      <c r="AP350" s="407"/>
      <c r="AQ350" s="407"/>
      <c r="AR350" s="407"/>
      <c r="AS350" s="407"/>
      <c r="AT350" s="407"/>
      <c r="AU350" s="407"/>
      <c r="AV350" s="407"/>
      <c r="AW350" s="407"/>
      <c r="AX350" s="407"/>
      <c r="AY350" s="407"/>
      <c r="AZ350" s="407"/>
      <c r="BA350" s="407"/>
      <c r="BB350" s="407"/>
      <c r="BC350" s="407"/>
      <c r="BD350" s="407"/>
      <c r="BE350" s="407"/>
      <c r="BF350" s="407"/>
      <c r="BG350" s="407"/>
      <c r="BH350" s="407"/>
      <c r="BI350" s="407"/>
      <c r="BJ350" s="407"/>
      <c r="BK350" s="407"/>
      <c r="BL350" s="407"/>
      <c r="BM350" s="407"/>
      <c r="BN350" s="407"/>
      <c r="BO350" s="407"/>
      <c r="BP350" s="407"/>
      <c r="BQ350" s="407"/>
      <c r="BR350" s="407"/>
      <c r="BS350" s="407"/>
      <c r="BT350" s="407"/>
      <c r="BU350" s="407"/>
      <c r="BV350" s="407"/>
      <c r="BW350" s="407"/>
      <c r="BX350" s="407"/>
      <c r="BY350" s="407"/>
      <c r="BZ350" s="407"/>
      <c r="CA350" s="407"/>
      <c r="CB350" s="407"/>
      <c r="CC350" s="407"/>
      <c r="CD350" s="407"/>
      <c r="CE350" s="407"/>
      <c r="CF350" s="407"/>
    </row>
    <row r="351" spans="1:84">
      <c r="A351" s="407"/>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407"/>
      <c r="AE351" s="407"/>
      <c r="AF351" s="407"/>
      <c r="AG351" s="407"/>
      <c r="AH351" s="407"/>
      <c r="AI351" s="407"/>
      <c r="AJ351" s="407"/>
      <c r="AK351" s="407"/>
      <c r="AL351" s="407"/>
      <c r="AM351" s="407"/>
      <c r="AN351" s="407"/>
      <c r="AO351" s="407"/>
      <c r="AP351" s="407"/>
      <c r="AQ351" s="407"/>
      <c r="AR351" s="407"/>
      <c r="AS351" s="407"/>
      <c r="AT351" s="407"/>
      <c r="AU351" s="407"/>
      <c r="AV351" s="407"/>
      <c r="AW351" s="407"/>
      <c r="AX351" s="407"/>
      <c r="AY351" s="407"/>
      <c r="AZ351" s="407"/>
      <c r="BA351" s="407"/>
      <c r="BB351" s="407"/>
      <c r="BC351" s="407"/>
      <c r="BD351" s="407"/>
      <c r="BE351" s="407"/>
      <c r="BF351" s="407"/>
      <c r="BG351" s="407"/>
      <c r="BH351" s="407"/>
      <c r="BI351" s="407"/>
      <c r="BJ351" s="407"/>
      <c r="BK351" s="407"/>
      <c r="BL351" s="407"/>
      <c r="BM351" s="407"/>
      <c r="BN351" s="407"/>
      <c r="BO351" s="407"/>
      <c r="BP351" s="407"/>
      <c r="BQ351" s="407"/>
      <c r="BR351" s="407"/>
      <c r="BS351" s="407"/>
      <c r="BT351" s="407"/>
      <c r="BU351" s="407"/>
      <c r="BV351" s="407"/>
      <c r="BW351" s="407"/>
      <c r="BX351" s="407"/>
      <c r="BY351" s="407"/>
      <c r="BZ351" s="407"/>
      <c r="CA351" s="407"/>
      <c r="CB351" s="407"/>
      <c r="CC351" s="407"/>
      <c r="CD351" s="407"/>
      <c r="CE351" s="407"/>
      <c r="CF351" s="407"/>
    </row>
    <row r="352" spans="1:84">
      <c r="A352" s="407"/>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c r="AA352" s="407"/>
      <c r="AB352" s="407"/>
      <c r="AC352" s="407"/>
      <c r="AD352" s="407"/>
      <c r="AE352" s="407"/>
      <c r="AF352" s="407"/>
      <c r="AG352" s="407"/>
      <c r="AH352" s="407"/>
      <c r="AI352" s="407"/>
      <c r="AJ352" s="407"/>
      <c r="AK352" s="407"/>
      <c r="AL352" s="407"/>
      <c r="AM352" s="407"/>
      <c r="AN352" s="407"/>
      <c r="AO352" s="407"/>
      <c r="AP352" s="407"/>
      <c r="AQ352" s="407"/>
      <c r="AR352" s="407"/>
      <c r="AS352" s="407"/>
      <c r="AT352" s="407"/>
      <c r="AU352" s="407"/>
      <c r="AV352" s="407"/>
      <c r="AW352" s="407"/>
      <c r="AX352" s="407"/>
      <c r="AY352" s="407"/>
      <c r="AZ352" s="407"/>
      <c r="BA352" s="407"/>
      <c r="BB352" s="407"/>
      <c r="BC352" s="407"/>
      <c r="BD352" s="407"/>
      <c r="BE352" s="407"/>
      <c r="BF352" s="407"/>
      <c r="BG352" s="407"/>
      <c r="BH352" s="407"/>
      <c r="BI352" s="407"/>
      <c r="BJ352" s="407"/>
      <c r="BK352" s="407"/>
      <c r="BL352" s="407"/>
      <c r="BM352" s="407"/>
      <c r="BN352" s="407"/>
      <c r="BO352" s="407"/>
      <c r="BP352" s="407"/>
      <c r="BQ352" s="407"/>
      <c r="BR352" s="407"/>
      <c r="BS352" s="407"/>
      <c r="BT352" s="407"/>
      <c r="BU352" s="407"/>
      <c r="BV352" s="407"/>
      <c r="BW352" s="407"/>
      <c r="BX352" s="407"/>
      <c r="BY352" s="407"/>
      <c r="BZ352" s="407"/>
      <c r="CA352" s="407"/>
      <c r="CB352" s="407"/>
      <c r="CC352" s="407"/>
      <c r="CD352" s="407"/>
      <c r="CE352" s="407"/>
      <c r="CF352" s="407"/>
    </row>
    <row r="353" spans="1:84">
      <c r="A353" s="407"/>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c r="AA353" s="407"/>
      <c r="AB353" s="407"/>
      <c r="AC353" s="407"/>
      <c r="AD353" s="407"/>
      <c r="AE353" s="407"/>
      <c r="AF353" s="407"/>
      <c r="AG353" s="407"/>
      <c r="AH353" s="407"/>
      <c r="AI353" s="407"/>
      <c r="AJ353" s="407"/>
      <c r="AK353" s="407"/>
      <c r="AL353" s="407"/>
      <c r="AM353" s="407"/>
      <c r="AN353" s="407"/>
      <c r="AO353" s="407"/>
      <c r="AP353" s="407"/>
      <c r="AQ353" s="407"/>
      <c r="AR353" s="407"/>
      <c r="AS353" s="407"/>
      <c r="AT353" s="407"/>
      <c r="AU353" s="407"/>
      <c r="AV353" s="407"/>
      <c r="AW353" s="407"/>
      <c r="AX353" s="407"/>
      <c r="AY353" s="407"/>
      <c r="AZ353" s="407"/>
      <c r="BA353" s="407"/>
      <c r="BB353" s="407"/>
      <c r="BC353" s="407"/>
      <c r="BD353" s="407"/>
      <c r="BE353" s="407"/>
      <c r="BF353" s="407"/>
      <c r="BG353" s="407"/>
      <c r="BH353" s="407"/>
      <c r="BI353" s="407"/>
      <c r="BJ353" s="407"/>
      <c r="BK353" s="407"/>
      <c r="BL353" s="407"/>
      <c r="BM353" s="407"/>
      <c r="BN353" s="407"/>
      <c r="BO353" s="407"/>
      <c r="BP353" s="407"/>
      <c r="BQ353" s="407"/>
      <c r="BR353" s="407"/>
      <c r="BS353" s="407"/>
      <c r="BT353" s="407"/>
      <c r="BU353" s="407"/>
      <c r="BV353" s="407"/>
      <c r="BW353" s="407"/>
      <c r="BX353" s="407"/>
      <c r="BY353" s="407"/>
      <c r="BZ353" s="407"/>
      <c r="CA353" s="407"/>
      <c r="CB353" s="407"/>
      <c r="CC353" s="407"/>
      <c r="CD353" s="407"/>
      <c r="CE353" s="407"/>
      <c r="CF353" s="407"/>
    </row>
    <row r="354" spans="1:84">
      <c r="A354" s="407"/>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7"/>
      <c r="BA354" s="407"/>
      <c r="BB354" s="407"/>
      <c r="BC354" s="407"/>
      <c r="BD354" s="407"/>
      <c r="BE354" s="407"/>
      <c r="BF354" s="407"/>
      <c r="BG354" s="407"/>
      <c r="BH354" s="407"/>
      <c r="BI354" s="407"/>
      <c r="BJ354" s="407"/>
      <c r="BK354" s="407"/>
      <c r="BL354" s="407"/>
      <c r="BM354" s="407"/>
      <c r="BN354" s="407"/>
      <c r="BO354" s="407"/>
      <c r="BP354" s="407"/>
      <c r="BQ354" s="407"/>
      <c r="BR354" s="407"/>
      <c r="BS354" s="407"/>
      <c r="BT354" s="407"/>
      <c r="BU354" s="407"/>
      <c r="BV354" s="407"/>
      <c r="BW354" s="407"/>
      <c r="BX354" s="407"/>
      <c r="BY354" s="407"/>
      <c r="BZ354" s="407"/>
      <c r="CA354" s="407"/>
      <c r="CB354" s="407"/>
      <c r="CC354" s="407"/>
      <c r="CD354" s="407"/>
      <c r="CE354" s="407"/>
      <c r="CF354" s="407"/>
    </row>
    <row r="355" spans="1:84">
      <c r="A355" s="407"/>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c r="AA355" s="407"/>
      <c r="AB355" s="407"/>
      <c r="AC355" s="407"/>
      <c r="AD355" s="407"/>
      <c r="AE355" s="407"/>
      <c r="AF355" s="407"/>
      <c r="AG355" s="407"/>
      <c r="AH355" s="407"/>
      <c r="AI355" s="407"/>
      <c r="AJ355" s="407"/>
      <c r="AK355" s="407"/>
      <c r="AL355" s="407"/>
      <c r="AM355" s="407"/>
      <c r="AN355" s="407"/>
      <c r="AO355" s="407"/>
      <c r="AP355" s="407"/>
      <c r="AQ355" s="407"/>
      <c r="AR355" s="407"/>
      <c r="AS355" s="407"/>
      <c r="AT355" s="407"/>
      <c r="AU355" s="407"/>
      <c r="AV355" s="407"/>
      <c r="AW355" s="407"/>
      <c r="AX355" s="407"/>
      <c r="AY355" s="407"/>
      <c r="AZ355" s="407"/>
      <c r="BA355" s="407"/>
      <c r="BB355" s="407"/>
      <c r="BC355" s="407"/>
      <c r="BD355" s="407"/>
      <c r="BE355" s="407"/>
      <c r="BF355" s="407"/>
      <c r="BG355" s="407"/>
      <c r="BH355" s="407"/>
      <c r="BI355" s="407"/>
      <c r="BJ355" s="407"/>
      <c r="BK355" s="407"/>
      <c r="BL355" s="407"/>
      <c r="BM355" s="407"/>
      <c r="BN355" s="407"/>
      <c r="BO355" s="407"/>
      <c r="BP355" s="407"/>
      <c r="BQ355" s="407"/>
      <c r="BR355" s="407"/>
      <c r="BS355" s="407"/>
      <c r="BT355" s="407"/>
      <c r="BU355" s="407"/>
      <c r="BV355" s="407"/>
      <c r="BW355" s="407"/>
      <c r="BX355" s="407"/>
      <c r="BY355" s="407"/>
      <c r="BZ355" s="407"/>
      <c r="CA355" s="407"/>
      <c r="CB355" s="407"/>
      <c r="CC355" s="407"/>
      <c r="CD355" s="407"/>
      <c r="CE355" s="407"/>
      <c r="CF355" s="407"/>
    </row>
    <row r="356" spans="1:84">
      <c r="A356" s="407"/>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407"/>
      <c r="AE356" s="407"/>
      <c r="AF356" s="407"/>
      <c r="AG356" s="407"/>
      <c r="AH356" s="407"/>
      <c r="AI356" s="407"/>
      <c r="AJ356" s="407"/>
      <c r="AK356" s="407"/>
      <c r="AL356" s="407"/>
      <c r="AM356" s="407"/>
      <c r="AN356" s="407"/>
      <c r="AO356" s="407"/>
      <c r="AP356" s="407"/>
      <c r="AQ356" s="407"/>
      <c r="AR356" s="407"/>
      <c r="AS356" s="407"/>
      <c r="AT356" s="407"/>
      <c r="AU356" s="407"/>
      <c r="AV356" s="407"/>
      <c r="AW356" s="407"/>
      <c r="AX356" s="407"/>
      <c r="AY356" s="407"/>
      <c r="AZ356" s="407"/>
      <c r="BA356" s="407"/>
      <c r="BB356" s="407"/>
      <c r="BC356" s="407"/>
      <c r="BD356" s="407"/>
      <c r="BE356" s="407"/>
      <c r="BF356" s="407"/>
      <c r="BG356" s="407"/>
      <c r="BH356" s="407"/>
      <c r="BI356" s="407"/>
      <c r="BJ356" s="407"/>
      <c r="BK356" s="407"/>
      <c r="BL356" s="407"/>
      <c r="BM356" s="407"/>
      <c r="BN356" s="407"/>
      <c r="BO356" s="407"/>
      <c r="BP356" s="407"/>
      <c r="BQ356" s="407"/>
      <c r="BR356" s="407"/>
      <c r="BS356" s="407"/>
      <c r="BT356" s="407"/>
      <c r="BU356" s="407"/>
      <c r="BV356" s="407"/>
      <c r="BW356" s="407"/>
      <c r="BX356" s="407"/>
      <c r="BY356" s="407"/>
      <c r="BZ356" s="407"/>
      <c r="CA356" s="407"/>
      <c r="CB356" s="407"/>
      <c r="CC356" s="407"/>
      <c r="CD356" s="407"/>
      <c r="CE356" s="407"/>
      <c r="CF356" s="407"/>
    </row>
    <row r="357" spans="1:84">
      <c r="A357" s="407"/>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7"/>
      <c r="AI357" s="407"/>
      <c r="AJ357" s="407"/>
      <c r="AK357" s="407"/>
      <c r="AL357" s="407"/>
      <c r="AM357" s="407"/>
      <c r="AN357" s="407"/>
      <c r="AO357" s="407"/>
      <c r="AP357" s="407"/>
      <c r="AQ357" s="407"/>
      <c r="AR357" s="407"/>
      <c r="AS357" s="407"/>
      <c r="AT357" s="407"/>
      <c r="AU357" s="407"/>
      <c r="AV357" s="407"/>
      <c r="AW357" s="407"/>
      <c r="AX357" s="407"/>
      <c r="AY357" s="407"/>
      <c r="AZ357" s="407"/>
      <c r="BA357" s="407"/>
      <c r="BB357" s="407"/>
      <c r="BC357" s="407"/>
      <c r="BD357" s="407"/>
      <c r="BE357" s="407"/>
      <c r="BF357" s="407"/>
      <c r="BG357" s="407"/>
      <c r="BH357" s="407"/>
      <c r="BI357" s="407"/>
      <c r="BJ357" s="407"/>
      <c r="BK357" s="407"/>
      <c r="BL357" s="407"/>
      <c r="BM357" s="407"/>
      <c r="BN357" s="407"/>
      <c r="BO357" s="407"/>
      <c r="BP357" s="407"/>
      <c r="BQ357" s="407"/>
      <c r="BR357" s="407"/>
      <c r="BS357" s="407"/>
      <c r="BT357" s="407"/>
      <c r="BU357" s="407"/>
      <c r="BV357" s="407"/>
      <c r="BW357" s="407"/>
      <c r="BX357" s="407"/>
      <c r="BY357" s="407"/>
      <c r="BZ357" s="407"/>
      <c r="CA357" s="407"/>
      <c r="CB357" s="407"/>
      <c r="CC357" s="407"/>
      <c r="CD357" s="407"/>
      <c r="CE357" s="407"/>
      <c r="CF357" s="407"/>
    </row>
    <row r="358" spans="1:84">
      <c r="A358" s="407"/>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7"/>
      <c r="AI358" s="407"/>
      <c r="AJ358" s="407"/>
      <c r="AK358" s="407"/>
      <c r="AL358" s="407"/>
      <c r="AM358" s="407"/>
      <c r="AN358" s="407"/>
      <c r="AO358" s="407"/>
      <c r="AP358" s="407"/>
      <c r="AQ358" s="407"/>
      <c r="AR358" s="407"/>
      <c r="AS358" s="407"/>
      <c r="AT358" s="407"/>
      <c r="AU358" s="407"/>
      <c r="AV358" s="407"/>
      <c r="AW358" s="407"/>
      <c r="AX358" s="407"/>
      <c r="AY358" s="407"/>
      <c r="AZ358" s="407"/>
      <c r="BA358" s="407"/>
      <c r="BB358" s="407"/>
      <c r="BC358" s="407"/>
      <c r="BD358" s="407"/>
      <c r="BE358" s="407"/>
      <c r="BF358" s="407"/>
      <c r="BG358" s="407"/>
      <c r="BH358" s="407"/>
      <c r="BI358" s="407"/>
      <c r="BJ358" s="407"/>
      <c r="BK358" s="407"/>
      <c r="BL358" s="407"/>
      <c r="BM358" s="407"/>
      <c r="BN358" s="407"/>
      <c r="BO358" s="407"/>
      <c r="BP358" s="407"/>
      <c r="BQ358" s="407"/>
      <c r="BR358" s="407"/>
      <c r="BS358" s="407"/>
      <c r="BT358" s="407"/>
      <c r="BU358" s="407"/>
      <c r="BV358" s="407"/>
      <c r="BW358" s="407"/>
      <c r="BX358" s="407"/>
      <c r="BY358" s="407"/>
      <c r="BZ358" s="407"/>
      <c r="CA358" s="407"/>
      <c r="CB358" s="407"/>
      <c r="CC358" s="407"/>
      <c r="CD358" s="407"/>
      <c r="CE358" s="407"/>
      <c r="CF358" s="407"/>
    </row>
    <row r="359" spans="1:84">
      <c r="A359" s="407"/>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row>
    <row r="360" spans="1:84">
      <c r="A360" s="407"/>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row>
    <row r="361" spans="1:84">
      <c r="A361" s="407"/>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row>
    <row r="362" spans="1:84">
      <c r="A362" s="407"/>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7"/>
      <c r="AI362" s="407"/>
      <c r="AJ362" s="407"/>
      <c r="AK362" s="407"/>
      <c r="AL362" s="407"/>
      <c r="AM362" s="407"/>
      <c r="AN362" s="407"/>
      <c r="AO362" s="407"/>
      <c r="AP362" s="407"/>
      <c r="AQ362" s="407"/>
      <c r="AR362" s="407"/>
      <c r="AS362" s="407"/>
      <c r="AT362" s="407"/>
      <c r="AU362" s="407"/>
      <c r="AV362" s="407"/>
      <c r="AW362" s="407"/>
      <c r="AX362" s="407"/>
      <c r="AY362" s="407"/>
      <c r="AZ362" s="407"/>
      <c r="BA362" s="407"/>
      <c r="BB362" s="407"/>
      <c r="BC362" s="407"/>
      <c r="BD362" s="407"/>
      <c r="BE362" s="407"/>
      <c r="BF362" s="407"/>
      <c r="BG362" s="407"/>
      <c r="BH362" s="407"/>
      <c r="BI362" s="407"/>
      <c r="BJ362" s="407"/>
      <c r="BK362" s="407"/>
      <c r="BL362" s="407"/>
      <c r="BM362" s="407"/>
      <c r="BN362" s="407"/>
      <c r="BO362" s="407"/>
      <c r="BP362" s="407"/>
      <c r="BQ362" s="407"/>
      <c r="BR362" s="407"/>
      <c r="BS362" s="407"/>
      <c r="BT362" s="407"/>
      <c r="BU362" s="407"/>
      <c r="BV362" s="407"/>
      <c r="BW362" s="407"/>
      <c r="BX362" s="407"/>
      <c r="BY362" s="407"/>
      <c r="BZ362" s="407"/>
      <c r="CA362" s="407"/>
      <c r="CB362" s="407"/>
      <c r="CC362" s="407"/>
      <c r="CD362" s="407"/>
      <c r="CE362" s="407"/>
      <c r="CF362" s="407"/>
    </row>
    <row r="363" spans="1:84">
      <c r="A363" s="407"/>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row>
    <row r="364" spans="1:84">
      <c r="A364" s="407"/>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c r="BU364" s="407"/>
      <c r="BV364" s="407"/>
      <c r="BW364" s="407"/>
      <c r="BX364" s="407"/>
      <c r="BY364" s="407"/>
      <c r="BZ364" s="407"/>
      <c r="CA364" s="407"/>
      <c r="CB364" s="407"/>
      <c r="CC364" s="407"/>
      <c r="CD364" s="407"/>
      <c r="CE364" s="407"/>
      <c r="CF364" s="407"/>
    </row>
    <row r="365" spans="1:84">
      <c r="A365" s="407"/>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c r="AA365" s="407"/>
      <c r="AB365" s="407"/>
      <c r="AC365" s="407"/>
      <c r="AD365" s="407"/>
      <c r="AE365" s="407"/>
      <c r="AF365" s="407"/>
      <c r="AG365" s="407"/>
      <c r="AH365" s="407"/>
      <c r="AI365" s="407"/>
      <c r="AJ365" s="407"/>
      <c r="AK365" s="407"/>
      <c r="AL365" s="407"/>
      <c r="AM365" s="407"/>
      <c r="AN365" s="407"/>
      <c r="AO365" s="407"/>
      <c r="AP365" s="407"/>
      <c r="AQ365" s="407"/>
      <c r="AR365" s="407"/>
      <c r="AS365" s="407"/>
      <c r="AT365" s="407"/>
      <c r="AU365" s="407"/>
      <c r="AV365" s="407"/>
      <c r="AW365" s="407"/>
      <c r="AX365" s="407"/>
      <c r="AY365" s="407"/>
      <c r="AZ365" s="407"/>
      <c r="BA365" s="407"/>
      <c r="BB365" s="407"/>
      <c r="BC365" s="407"/>
      <c r="BD365" s="407"/>
      <c r="BE365" s="407"/>
      <c r="BF365" s="407"/>
      <c r="BG365" s="407"/>
      <c r="BH365" s="407"/>
      <c r="BI365" s="407"/>
      <c r="BJ365" s="407"/>
      <c r="BK365" s="407"/>
      <c r="BL365" s="407"/>
      <c r="BM365" s="407"/>
      <c r="BN365" s="407"/>
      <c r="BO365" s="407"/>
      <c r="BP365" s="407"/>
      <c r="BQ365" s="407"/>
      <c r="BR365" s="407"/>
      <c r="BS365" s="407"/>
      <c r="BT365" s="407"/>
      <c r="BU365" s="407"/>
      <c r="BV365" s="407"/>
      <c r="BW365" s="407"/>
      <c r="BX365" s="407"/>
      <c r="BY365" s="407"/>
      <c r="BZ365" s="407"/>
      <c r="CA365" s="407"/>
      <c r="CB365" s="407"/>
      <c r="CC365" s="407"/>
      <c r="CD365" s="407"/>
      <c r="CE365" s="407"/>
      <c r="CF365" s="407"/>
    </row>
    <row r="366" spans="1:84">
      <c r="A366" s="407"/>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c r="AA366" s="407"/>
      <c r="AB366" s="407"/>
      <c r="AC366" s="407"/>
      <c r="AD366" s="407"/>
      <c r="AE366" s="407"/>
      <c r="AF366" s="407"/>
      <c r="AG366" s="407"/>
      <c r="AH366" s="407"/>
      <c r="AI366" s="407"/>
      <c r="AJ366" s="407"/>
      <c r="AK366" s="407"/>
      <c r="AL366" s="407"/>
      <c r="AM366" s="407"/>
      <c r="AN366" s="407"/>
      <c r="AO366" s="407"/>
      <c r="AP366" s="407"/>
      <c r="AQ366" s="407"/>
      <c r="AR366" s="407"/>
      <c r="AS366" s="407"/>
      <c r="AT366" s="407"/>
      <c r="AU366" s="407"/>
      <c r="AV366" s="407"/>
      <c r="AW366" s="407"/>
      <c r="AX366" s="407"/>
      <c r="AY366" s="407"/>
      <c r="AZ366" s="407"/>
      <c r="BA366" s="407"/>
      <c r="BB366" s="407"/>
      <c r="BC366" s="407"/>
      <c r="BD366" s="407"/>
      <c r="BE366" s="407"/>
      <c r="BF366" s="407"/>
      <c r="BG366" s="407"/>
      <c r="BH366" s="407"/>
      <c r="BI366" s="407"/>
      <c r="BJ366" s="407"/>
      <c r="BK366" s="407"/>
      <c r="BL366" s="407"/>
      <c r="BM366" s="407"/>
      <c r="BN366" s="407"/>
      <c r="BO366" s="407"/>
      <c r="BP366" s="407"/>
      <c r="BQ366" s="407"/>
      <c r="BR366" s="407"/>
      <c r="BS366" s="407"/>
      <c r="BT366" s="407"/>
      <c r="BU366" s="407"/>
      <c r="BV366" s="407"/>
      <c r="BW366" s="407"/>
      <c r="BX366" s="407"/>
      <c r="BY366" s="407"/>
      <c r="BZ366" s="407"/>
      <c r="CA366" s="407"/>
      <c r="CB366" s="407"/>
      <c r="CC366" s="407"/>
      <c r="CD366" s="407"/>
      <c r="CE366" s="407"/>
      <c r="CF366" s="407"/>
    </row>
    <row r="367" spans="1:84">
      <c r="A367" s="407"/>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407"/>
      <c r="AE367" s="407"/>
      <c r="AF367" s="407"/>
      <c r="AG367" s="407"/>
      <c r="AH367" s="407"/>
      <c r="AI367" s="407"/>
      <c r="AJ367" s="407"/>
      <c r="AK367" s="407"/>
      <c r="AL367" s="407"/>
      <c r="AM367" s="407"/>
      <c r="AN367" s="407"/>
      <c r="AO367" s="407"/>
      <c r="AP367" s="407"/>
      <c r="AQ367" s="407"/>
      <c r="AR367" s="407"/>
      <c r="AS367" s="407"/>
      <c r="AT367" s="407"/>
      <c r="AU367" s="407"/>
      <c r="AV367" s="407"/>
      <c r="AW367" s="407"/>
      <c r="AX367" s="407"/>
      <c r="AY367" s="407"/>
      <c r="AZ367" s="407"/>
      <c r="BA367" s="407"/>
      <c r="BB367" s="407"/>
      <c r="BC367" s="407"/>
      <c r="BD367" s="407"/>
      <c r="BE367" s="407"/>
      <c r="BF367" s="407"/>
      <c r="BG367" s="407"/>
      <c r="BH367" s="407"/>
      <c r="BI367" s="407"/>
      <c r="BJ367" s="407"/>
      <c r="BK367" s="407"/>
      <c r="BL367" s="407"/>
      <c r="BM367" s="407"/>
      <c r="BN367" s="407"/>
      <c r="BO367" s="407"/>
      <c r="BP367" s="407"/>
      <c r="BQ367" s="407"/>
      <c r="BR367" s="407"/>
      <c r="BS367" s="407"/>
      <c r="BT367" s="407"/>
      <c r="BU367" s="407"/>
      <c r="BV367" s="407"/>
      <c r="BW367" s="407"/>
      <c r="BX367" s="407"/>
      <c r="BY367" s="407"/>
      <c r="BZ367" s="407"/>
      <c r="CA367" s="407"/>
      <c r="CB367" s="407"/>
      <c r="CC367" s="407"/>
      <c r="CD367" s="407"/>
      <c r="CE367" s="407"/>
      <c r="CF367" s="407"/>
    </row>
    <row r="368" spans="1:84">
      <c r="A368" s="407"/>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407"/>
      <c r="AE368" s="407"/>
      <c r="AF368" s="407"/>
      <c r="AG368" s="407"/>
      <c r="AH368" s="407"/>
      <c r="AI368" s="407"/>
      <c r="AJ368" s="407"/>
      <c r="AK368" s="407"/>
      <c r="AL368" s="407"/>
      <c r="AM368" s="407"/>
      <c r="AN368" s="407"/>
      <c r="AO368" s="407"/>
      <c r="AP368" s="407"/>
      <c r="AQ368" s="407"/>
      <c r="AR368" s="407"/>
      <c r="AS368" s="407"/>
      <c r="AT368" s="407"/>
      <c r="AU368" s="407"/>
      <c r="AV368" s="407"/>
      <c r="AW368" s="407"/>
      <c r="AX368" s="407"/>
      <c r="AY368" s="407"/>
      <c r="AZ368" s="407"/>
      <c r="BA368" s="407"/>
      <c r="BB368" s="407"/>
      <c r="BC368" s="407"/>
      <c r="BD368" s="407"/>
      <c r="BE368" s="407"/>
      <c r="BF368" s="407"/>
      <c r="BG368" s="407"/>
      <c r="BH368" s="407"/>
      <c r="BI368" s="407"/>
      <c r="BJ368" s="407"/>
      <c r="BK368" s="407"/>
      <c r="BL368" s="407"/>
      <c r="BM368" s="407"/>
      <c r="BN368" s="407"/>
      <c r="BO368" s="407"/>
      <c r="BP368" s="407"/>
      <c r="BQ368" s="407"/>
      <c r="BR368" s="407"/>
      <c r="BS368" s="407"/>
      <c r="BT368" s="407"/>
      <c r="BU368" s="407"/>
      <c r="BV368" s="407"/>
      <c r="BW368" s="407"/>
      <c r="BX368" s="407"/>
      <c r="BY368" s="407"/>
      <c r="BZ368" s="407"/>
      <c r="CA368" s="407"/>
      <c r="CB368" s="407"/>
      <c r="CC368" s="407"/>
      <c r="CD368" s="407"/>
      <c r="CE368" s="407"/>
      <c r="CF368" s="407"/>
    </row>
    <row r="369" spans="1:84">
      <c r="A369" s="407"/>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07"/>
      <c r="BG369" s="407"/>
      <c r="BH369" s="407"/>
      <c r="BI369" s="407"/>
      <c r="BJ369" s="407"/>
      <c r="BK369" s="407"/>
      <c r="BL369" s="407"/>
      <c r="BM369" s="407"/>
      <c r="BN369" s="407"/>
      <c r="BO369" s="407"/>
      <c r="BP369" s="407"/>
      <c r="BQ369" s="407"/>
      <c r="BR369" s="407"/>
      <c r="BS369" s="407"/>
      <c r="BT369" s="407"/>
      <c r="BU369" s="407"/>
      <c r="BV369" s="407"/>
      <c r="BW369" s="407"/>
      <c r="BX369" s="407"/>
      <c r="BY369" s="407"/>
      <c r="BZ369" s="407"/>
      <c r="CA369" s="407"/>
      <c r="CB369" s="407"/>
      <c r="CC369" s="407"/>
      <c r="CD369" s="407"/>
      <c r="CE369" s="407"/>
      <c r="CF369" s="407"/>
    </row>
    <row r="370" spans="1:84">
      <c r="A370" s="407"/>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c r="AA370" s="407"/>
      <c r="AB370" s="407"/>
      <c r="AC370" s="407"/>
      <c r="AD370" s="407"/>
      <c r="AE370" s="407"/>
      <c r="AF370" s="407"/>
      <c r="AG370" s="407"/>
      <c r="AH370" s="407"/>
      <c r="AI370" s="407"/>
      <c r="AJ370" s="407"/>
      <c r="AK370" s="407"/>
      <c r="AL370" s="407"/>
      <c r="AM370" s="407"/>
      <c r="AN370" s="407"/>
      <c r="AO370" s="407"/>
      <c r="AP370" s="407"/>
      <c r="AQ370" s="407"/>
      <c r="AR370" s="407"/>
      <c r="AS370" s="407"/>
      <c r="AT370" s="407"/>
      <c r="AU370" s="407"/>
      <c r="AV370" s="407"/>
      <c r="AW370" s="407"/>
      <c r="AX370" s="407"/>
      <c r="AY370" s="407"/>
      <c r="AZ370" s="407"/>
      <c r="BA370" s="407"/>
      <c r="BB370" s="407"/>
      <c r="BC370" s="407"/>
      <c r="BD370" s="407"/>
      <c r="BE370" s="407"/>
      <c r="BF370" s="407"/>
      <c r="BG370" s="407"/>
      <c r="BH370" s="407"/>
      <c r="BI370" s="407"/>
      <c r="BJ370" s="407"/>
      <c r="BK370" s="407"/>
      <c r="BL370" s="407"/>
      <c r="BM370" s="407"/>
      <c r="BN370" s="407"/>
      <c r="BO370" s="407"/>
      <c r="BP370" s="407"/>
      <c r="BQ370" s="407"/>
      <c r="BR370" s="407"/>
      <c r="BS370" s="407"/>
      <c r="BT370" s="407"/>
      <c r="BU370" s="407"/>
      <c r="BV370" s="407"/>
      <c r="BW370" s="407"/>
      <c r="BX370" s="407"/>
      <c r="BY370" s="407"/>
      <c r="BZ370" s="407"/>
      <c r="CA370" s="407"/>
      <c r="CB370" s="407"/>
      <c r="CC370" s="407"/>
      <c r="CD370" s="407"/>
      <c r="CE370" s="407"/>
      <c r="CF370" s="407"/>
    </row>
    <row r="371" spans="1:84">
      <c r="A371" s="407"/>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c r="AA371" s="407"/>
      <c r="AB371" s="407"/>
      <c r="AC371" s="407"/>
      <c r="AD371" s="407"/>
      <c r="AE371" s="407"/>
      <c r="AF371" s="407"/>
      <c r="AG371" s="407"/>
      <c r="AH371" s="407"/>
      <c r="AI371" s="407"/>
      <c r="AJ371" s="407"/>
      <c r="AK371" s="407"/>
      <c r="AL371" s="407"/>
      <c r="AM371" s="407"/>
      <c r="AN371" s="407"/>
      <c r="AO371" s="407"/>
      <c r="AP371" s="407"/>
      <c r="AQ371" s="407"/>
      <c r="AR371" s="407"/>
      <c r="AS371" s="407"/>
      <c r="AT371" s="407"/>
      <c r="AU371" s="407"/>
      <c r="AV371" s="407"/>
      <c r="AW371" s="407"/>
      <c r="AX371" s="407"/>
      <c r="AY371" s="407"/>
      <c r="AZ371" s="407"/>
      <c r="BA371" s="407"/>
      <c r="BB371" s="407"/>
      <c r="BC371" s="407"/>
      <c r="BD371" s="407"/>
      <c r="BE371" s="407"/>
      <c r="BF371" s="407"/>
      <c r="BG371" s="407"/>
      <c r="BH371" s="407"/>
      <c r="BI371" s="407"/>
      <c r="BJ371" s="407"/>
      <c r="BK371" s="407"/>
      <c r="BL371" s="407"/>
      <c r="BM371" s="407"/>
      <c r="BN371" s="407"/>
      <c r="BO371" s="407"/>
      <c r="BP371" s="407"/>
      <c r="BQ371" s="407"/>
      <c r="BR371" s="407"/>
      <c r="BS371" s="407"/>
      <c r="BT371" s="407"/>
      <c r="BU371" s="407"/>
      <c r="BV371" s="407"/>
      <c r="BW371" s="407"/>
      <c r="BX371" s="407"/>
      <c r="BY371" s="407"/>
      <c r="BZ371" s="407"/>
      <c r="CA371" s="407"/>
      <c r="CB371" s="407"/>
      <c r="CC371" s="407"/>
      <c r="CD371" s="407"/>
      <c r="CE371" s="407"/>
      <c r="CF371" s="407"/>
    </row>
  </sheetData>
  <pageMargins left="0.7" right="0.7" top="0.75" bottom="0.75" header="0.3" footer="0.3"/>
  <pageSetup scale="9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584A652257999488EEEFF2942BCFD3A" ma:contentTypeVersion="104" ma:contentTypeDescription="" ma:contentTypeScope="" ma:versionID="db333a63bed56bea036ba31674e32fd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2016-07-22T07:00:00+00:00</OpenedDate>
    <Date1 xmlns="dc463f71-b30c-4ab2-9473-d307f9d35888">2016-07-22T07:00:00+00:00</Date1>
    <IsDocumentOrder xmlns="dc463f71-b30c-4ab2-9473-d307f9d35888" xsi:nil="true"/>
    <IsHighlyConfidential xmlns="dc463f71-b30c-4ab2-9473-d307f9d35888">false</IsHighlyConfidential>
    <CaseCompanyNames xmlns="dc463f71-b30c-4ab2-9473-d307f9d35888">EMPIRE DISPOSAL INC</CaseCompanyNames>
    <DocketNumber xmlns="dc463f71-b30c-4ab2-9473-d307f9d35888">160932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77177417-487F-4623-B4BE-86BDF73A798C}"/>
</file>

<file path=customXml/itemProps2.xml><?xml version="1.0" encoding="utf-8"?>
<ds:datastoreItem xmlns:ds="http://schemas.openxmlformats.org/officeDocument/2006/customXml" ds:itemID="{1D4AC2A9-9400-4357-A9EE-EA5C599290B7}"/>
</file>

<file path=customXml/itemProps3.xml><?xml version="1.0" encoding="utf-8"?>
<ds:datastoreItem xmlns:ds="http://schemas.openxmlformats.org/officeDocument/2006/customXml" ds:itemID="{F056817F-4345-4762-B66B-9936424232E5}"/>
</file>

<file path=customXml/itemProps4.xml><?xml version="1.0" encoding="utf-8"?>
<ds:datastoreItem xmlns:ds="http://schemas.openxmlformats.org/officeDocument/2006/customXml" ds:itemID="{0BF205B1-935E-411E-AE53-286EE800C0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107</vt:i4>
      </vt:variant>
    </vt:vector>
  </HeadingPairs>
  <TitlesOfParts>
    <vt:vector size="134" baseType="lpstr">
      <vt:lpstr>2120 BS</vt:lpstr>
      <vt:lpstr>2120 IS</vt:lpstr>
      <vt:lpstr>Consolidated IS</vt:lpstr>
      <vt:lpstr>Restating Adj's</vt:lpstr>
      <vt:lpstr>Pro Forma Adj's</vt:lpstr>
      <vt:lpstr>Ratios</vt:lpstr>
      <vt:lpstr>LG</vt:lpstr>
      <vt:lpstr>LG - Packer,RO</vt:lpstr>
      <vt:lpstr>LG - Recycle</vt:lpstr>
      <vt:lpstr>Spokane Reg - Price out</vt:lpstr>
      <vt:lpstr>Whitman Reg - Price Out</vt:lpstr>
      <vt:lpstr>Rate Sheet</vt:lpstr>
      <vt:lpstr>References</vt:lpstr>
      <vt:lpstr>2120 Depr Summary</vt:lpstr>
      <vt:lpstr>2120 Depr</vt:lpstr>
      <vt:lpstr>Disposal</vt:lpstr>
      <vt:lpstr>40131 Disposal</vt:lpstr>
      <vt:lpstr>Empire Payroll</vt:lpstr>
      <vt:lpstr>DivCon-DVP Alloc In</vt:lpstr>
      <vt:lpstr>Corp-OH</vt:lpstr>
      <vt:lpstr>Region OH Calc</vt:lpstr>
      <vt:lpstr>Corp-BS</vt:lpstr>
      <vt:lpstr>Corp-IS</vt:lpstr>
      <vt:lpstr>B&amp;O Taxes</vt:lpstr>
      <vt:lpstr>70095 Detail</vt:lpstr>
      <vt:lpstr>70195 Detail</vt:lpstr>
      <vt:lpstr>Empire BS 6-30-15</vt:lpstr>
      <vt:lpstr>'40131 Disposal'!Accounts</vt:lpstr>
      <vt:lpstr>'70195 Detail'!Accounts</vt:lpstr>
      <vt:lpstr>'B&amp;O Taxes'!Accounts</vt:lpstr>
      <vt:lpstr>Accounts</vt:lpstr>
      <vt:lpstr>'40131 Disposal'!AmountFrom</vt:lpstr>
      <vt:lpstr>'70195 Detail'!AmountFrom</vt:lpstr>
      <vt:lpstr>'B&amp;O Taxes'!AmountFrom</vt:lpstr>
      <vt:lpstr>AmountFrom</vt:lpstr>
      <vt:lpstr>'40131 Disposal'!AmountTo</vt:lpstr>
      <vt:lpstr>'70195 Detail'!AmountTo</vt:lpstr>
      <vt:lpstr>'B&amp;O Taxes'!AmountTo</vt:lpstr>
      <vt:lpstr>AmountTo</vt:lpstr>
      <vt:lpstr>'40131 Disposal'!CurrentMonth</vt:lpstr>
      <vt:lpstr>'70095 Detail'!CurrentMonth</vt:lpstr>
      <vt:lpstr>'70195 Detail'!CurrentMonth</vt:lpstr>
      <vt:lpstr>'B&amp;O Taxes'!CurrentMonth</vt:lpstr>
      <vt:lpstr>'40131 Disposal'!DateFrom</vt:lpstr>
      <vt:lpstr>'70095 Detail'!DateFrom</vt:lpstr>
      <vt:lpstr>'70195 Detail'!DateFrom</vt:lpstr>
      <vt:lpstr>'B&amp;O Taxes'!DateFrom</vt:lpstr>
      <vt:lpstr>'40131 Disposal'!DateTo</vt:lpstr>
      <vt:lpstr>'70095 Detail'!DateTo</vt:lpstr>
      <vt:lpstr>'70195 Detail'!DateTo</vt:lpstr>
      <vt:lpstr>'B&amp;O Taxes'!DateTo</vt:lpstr>
      <vt:lpstr>'2120 BS'!District</vt:lpstr>
      <vt:lpstr>'2120 IS'!District</vt:lpstr>
      <vt:lpstr>'Region OH Calc'!District</vt:lpstr>
      <vt:lpstr>'2120 IS'!DistrictName</vt:lpstr>
      <vt:lpstr>'Region OH Calc'!DistrictName</vt:lpstr>
      <vt:lpstr>'40131 Disposal'!Districts</vt:lpstr>
      <vt:lpstr>'70195 Detail'!Districts</vt:lpstr>
      <vt:lpstr>'B&amp;O Taxes'!Districts</vt:lpstr>
      <vt:lpstr>Districts</vt:lpstr>
      <vt:lpstr>'40131 Disposal'!EntrieShownLimit</vt:lpstr>
      <vt:lpstr>'70095 Detail'!EntrieShownLimit</vt:lpstr>
      <vt:lpstr>'70195 Detail'!EntrieShownLimit</vt:lpstr>
      <vt:lpstr>'B&amp;O Taxes'!EntrieShownLimit</vt:lpstr>
      <vt:lpstr>'2120 IS'!ExcludeIC</vt:lpstr>
      <vt:lpstr>'Region OH Calc'!ExcludeIC</vt:lpstr>
      <vt:lpstr>'40131 Disposal'!FromMonth</vt:lpstr>
      <vt:lpstr>'70195 Detail'!FromMonth</vt:lpstr>
      <vt:lpstr>'B&amp;O Taxes'!FromMonth</vt:lpstr>
      <vt:lpstr>FromMonth</vt:lpstr>
      <vt:lpstr>'40131 Disposal'!Posting</vt:lpstr>
      <vt:lpstr>'70195 Detail'!Posting</vt:lpstr>
      <vt:lpstr>'B&amp;O Taxes'!Posting</vt:lpstr>
      <vt:lpstr>Posting</vt:lpstr>
      <vt:lpstr>'2120 BS'!Print_Area</vt:lpstr>
      <vt:lpstr>'2120 Depr'!Print_Area</vt:lpstr>
      <vt:lpstr>'2120 Depr Summary'!Print_Area</vt:lpstr>
      <vt:lpstr>'2120 IS'!Print_Area</vt:lpstr>
      <vt:lpstr>'40131 Disposal'!Print_Area</vt:lpstr>
      <vt:lpstr>'70095 Detail'!Print_Area</vt:lpstr>
      <vt:lpstr>'70195 Detail'!Print_Area</vt:lpstr>
      <vt:lpstr>'B&amp;O Taxes'!Print_Area</vt:lpstr>
      <vt:lpstr>'Consolidated IS'!Print_Area</vt:lpstr>
      <vt:lpstr>'Corp-OH'!Print_Area</vt:lpstr>
      <vt:lpstr>Disposal!Print_Area</vt:lpstr>
      <vt:lpstr>'Empire BS 6-30-15'!Print_Area</vt:lpstr>
      <vt:lpstr>'Empire Payroll'!Print_Area</vt:lpstr>
      <vt:lpstr>LG!Print_Area</vt:lpstr>
      <vt:lpstr>'LG - Packer,RO'!Print_Area</vt:lpstr>
      <vt:lpstr>'LG - Recycle'!Print_Area</vt:lpstr>
      <vt:lpstr>'Rate Sheet'!Print_Area</vt:lpstr>
      <vt:lpstr>'Region OH Calc'!Print_Area</vt:lpstr>
      <vt:lpstr>'Spokane Reg - Price out'!Print_Area</vt:lpstr>
      <vt:lpstr>'Whitman Reg - Price Out'!Print_Area</vt:lpstr>
      <vt:lpstr>'2120 Depr'!Print_Area_MI</vt:lpstr>
      <vt:lpstr>'2120 BS'!Print_Titles</vt:lpstr>
      <vt:lpstr>'2120 Depr'!Print_Titles</vt:lpstr>
      <vt:lpstr>'2120 Depr Summary'!Print_Titles</vt:lpstr>
      <vt:lpstr>'2120 IS'!Print_Titles</vt:lpstr>
      <vt:lpstr>'40131 Disposal'!Print_Titles</vt:lpstr>
      <vt:lpstr>'70095 Detail'!Print_Titles</vt:lpstr>
      <vt:lpstr>'70195 Detail'!Print_Titles</vt:lpstr>
      <vt:lpstr>'B&amp;O Taxes'!Print_Titles</vt:lpstr>
      <vt:lpstr>'Consolidated IS'!Print_Titles</vt:lpstr>
      <vt:lpstr>'Empire BS 6-30-15'!Print_Titles</vt:lpstr>
      <vt:lpstr>'Empire Payroll'!Print_Titles</vt:lpstr>
      <vt:lpstr>'Rate Sheet'!Print_Titles</vt:lpstr>
      <vt:lpstr>Ratios!Print_Titles</vt:lpstr>
      <vt:lpstr>'Region OH Calc'!Print_Titles</vt:lpstr>
      <vt:lpstr>'Restating Adj''s'!Print_Titles</vt:lpstr>
      <vt:lpstr>'Spokane Reg - Price out'!Print_Titles</vt:lpstr>
      <vt:lpstr>'Whitman Reg - Price Out'!Print_Titles</vt:lpstr>
      <vt:lpstr>'40131 Disposal'!SubSystems</vt:lpstr>
      <vt:lpstr>'70195 Detail'!SubSystems</vt:lpstr>
      <vt:lpstr>'B&amp;O Taxes'!SubSystems</vt:lpstr>
      <vt:lpstr>SubSystems</vt:lpstr>
      <vt:lpstr>'2120 IS'!System</vt:lpstr>
      <vt:lpstr>'Region OH Calc'!System</vt:lpstr>
      <vt:lpstr>'40131 Disposal'!Systems</vt:lpstr>
      <vt:lpstr>'70195 Detail'!Systems</vt:lpstr>
      <vt:lpstr>'B&amp;O Taxes'!Systems</vt:lpstr>
      <vt:lpstr>Systems</vt:lpstr>
      <vt:lpstr>'40131 Disposal'!ToMonth</vt:lpstr>
      <vt:lpstr>'70195 Detail'!ToMonth</vt:lpstr>
      <vt:lpstr>'B&amp;O Taxes'!ToMonth</vt:lpstr>
      <vt:lpstr>ToMonth</vt:lpstr>
      <vt:lpstr>'40131 Disposal'!VendorCode</vt:lpstr>
      <vt:lpstr>'70195 Detail'!VendorCode</vt:lpstr>
      <vt:lpstr>'B&amp;O Taxes'!VendorCode</vt:lpstr>
      <vt:lpstr>VendorCode</vt:lpstr>
      <vt:lpstr>'2120 BS'!YearMonth</vt:lpstr>
      <vt:lpstr>'2120 IS'!YearMonth</vt:lpstr>
      <vt:lpstr>'Empire BS 6-30-15'!YearMonth</vt:lpstr>
      <vt:lpstr>'Region OH Calc'!YearMonth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Garland</dc:creator>
  <cp:lastModifiedBy>Heather Garland</cp:lastModifiedBy>
  <cp:lastPrinted>2016-07-21T20:24:06Z</cp:lastPrinted>
  <dcterms:created xsi:type="dcterms:W3CDTF">2016-07-12T16:16:35Z</dcterms:created>
  <dcterms:modified xsi:type="dcterms:W3CDTF">2016-07-22T16:42:56Z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0x0101006E56B4D1795A2E4DB2F0B01679ED314A008584A652257999488EEEFF2942BCFD3A</vt:lpwstr>
  </property>
  <property fmtid="{D5CDD505-2E9C-101B-9397-08002B2CF9AE}" pid="3" name="_docset_NoMedatataSyncRequired">
    <vt:lpwstr>False</vt:lpwstr>
  </property>
</Properties>
</file>