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7305" windowWidth="14310" windowHeight="7335" tabRatio="769"/>
  </bookViews>
  <sheets>
    <sheet name="Lead E" sheetId="1" r:id="rId1"/>
    <sheet name="Monthly" sheetId="26" r:id="rId2"/>
    <sheet name="Rate Year Generation" sheetId="24" r:id="rId3"/>
    <sheet name="Montana Energy Tax" sheetId="21" r:id="rId4"/>
    <sheet name="17GRC Settlement  Colstrip RY" sheetId="25" r:id="rId5"/>
  </sheets>
  <externalReferences>
    <externalReference r:id="rId6"/>
    <externalReference r:id="rId7"/>
    <externalReference r:id="rId8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ilEndCompose" localSheetId="4">'17GRC Settlement  Colstrip RY'!$C$18</definedName>
    <definedName name="_MailOriginal" localSheetId="4">'17GRC Settlement  Colstrip RY'!$C$19</definedName>
    <definedName name="_Order1" hidden="1">255</definedName>
    <definedName name="_Order2" hidden="1">255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HELP" localSheetId="1" hidden="1">{#N/A,#N/A,FALSE,"Coversheet";#N/A,#N/A,FALSE,"QA"}</definedName>
    <definedName name="HELP" hidden="1">{#N/A,#N/A,FALSE,"Coversheet";#N/A,#N/A,FALSE,"QA"}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O12" i="26" l="1"/>
  <c r="N12" i="26"/>
  <c r="M12" i="26"/>
  <c r="L12" i="26"/>
  <c r="K12" i="26"/>
  <c r="J12" i="26"/>
  <c r="I12" i="26"/>
  <c r="H12" i="26"/>
  <c r="G12" i="26"/>
  <c r="F12" i="26"/>
  <c r="E12" i="26"/>
  <c r="D12" i="26"/>
  <c r="K10" i="24"/>
  <c r="J10" i="24"/>
  <c r="I10" i="24"/>
  <c r="H10" i="24"/>
  <c r="G10" i="24"/>
  <c r="F10" i="24"/>
  <c r="K9" i="24"/>
  <c r="J9" i="24"/>
  <c r="I9" i="24"/>
  <c r="H9" i="24"/>
  <c r="G9" i="24"/>
  <c r="F9" i="24"/>
  <c r="O3" i="26"/>
  <c r="N3" i="26"/>
  <c r="M3" i="26"/>
  <c r="L3" i="26"/>
  <c r="K3" i="26"/>
  <c r="J3" i="26"/>
  <c r="I3" i="26"/>
  <c r="H3" i="26"/>
  <c r="G3" i="26"/>
  <c r="F3" i="26"/>
  <c r="E3" i="26"/>
  <c r="D3" i="26"/>
  <c r="O2" i="26"/>
  <c r="N2" i="26"/>
  <c r="M2" i="26"/>
  <c r="L2" i="26"/>
  <c r="K2" i="26"/>
  <c r="J2" i="26"/>
  <c r="I2" i="26"/>
  <c r="H2" i="26"/>
  <c r="G2" i="26"/>
  <c r="F2" i="26"/>
  <c r="E2" i="26"/>
  <c r="D2" i="26"/>
  <c r="P22" i="26" l="1"/>
  <c r="Q22" i="26"/>
  <c r="T22" i="26"/>
  <c r="U22" i="26"/>
  <c r="P25" i="26"/>
  <c r="P27" i="26" s="1"/>
  <c r="S25" i="26"/>
  <c r="T25" i="26"/>
  <c r="T27" i="26"/>
  <c r="P19" i="26"/>
  <c r="Q19" i="26"/>
  <c r="Q25" i="26" s="1"/>
  <c r="Q27" i="26" s="1"/>
  <c r="R19" i="26"/>
  <c r="R22" i="26" s="1"/>
  <c r="S19" i="26"/>
  <c r="S22" i="26" s="1"/>
  <c r="S27" i="26" s="1"/>
  <c r="T19" i="26"/>
  <c r="U19" i="26"/>
  <c r="U25" i="26" s="1"/>
  <c r="U27" i="26" s="1"/>
  <c r="Q11" i="24"/>
  <c r="P11" i="24"/>
  <c r="O11" i="24"/>
  <c r="N11" i="24"/>
  <c r="M11" i="24"/>
  <c r="L11" i="24"/>
  <c r="J18" i="26"/>
  <c r="K18" i="26"/>
  <c r="L18" i="26"/>
  <c r="M18" i="26"/>
  <c r="N18" i="26"/>
  <c r="O18" i="26"/>
  <c r="E9" i="26"/>
  <c r="F6" i="26"/>
  <c r="G6" i="26"/>
  <c r="H9" i="26"/>
  <c r="I9" i="26"/>
  <c r="J6" i="26"/>
  <c r="K6" i="26"/>
  <c r="L9" i="26"/>
  <c r="M9" i="26"/>
  <c r="N6" i="26"/>
  <c r="O9" i="26"/>
  <c r="D6" i="26"/>
  <c r="Q28" i="26"/>
  <c r="Q29" i="26" s="1"/>
  <c r="Q31" i="26" s="1"/>
  <c r="R28" i="26"/>
  <c r="S28" i="26"/>
  <c r="T28" i="26"/>
  <c r="T29" i="26" s="1"/>
  <c r="T31" i="26" s="1"/>
  <c r="U28" i="26"/>
  <c r="U29" i="26" s="1"/>
  <c r="U31" i="26" s="1"/>
  <c r="J28" i="26"/>
  <c r="K28" i="26"/>
  <c r="L28" i="26"/>
  <c r="M28" i="26"/>
  <c r="O28" i="26"/>
  <c r="K9" i="26" l="1"/>
  <c r="K11" i="26" s="1"/>
  <c r="K13" i="26" s="1"/>
  <c r="K35" i="26" s="1"/>
  <c r="F9" i="26"/>
  <c r="F11" i="26" s="1"/>
  <c r="F13" i="26" s="1"/>
  <c r="L6" i="26"/>
  <c r="L11" i="26" s="1"/>
  <c r="L13" i="26" s="1"/>
  <c r="L35" i="26" s="1"/>
  <c r="N9" i="26"/>
  <c r="N11" i="26" s="1"/>
  <c r="N13" i="26" s="1"/>
  <c r="N35" i="26" s="1"/>
  <c r="O6" i="26"/>
  <c r="O11" i="26" s="1"/>
  <c r="O13" i="26" s="1"/>
  <c r="O35" i="26" s="1"/>
  <c r="G9" i="26"/>
  <c r="G11" i="26" s="1"/>
  <c r="G13" i="26" s="1"/>
  <c r="S29" i="26"/>
  <c r="S31" i="26" s="1"/>
  <c r="S32" i="26" s="1"/>
  <c r="H6" i="26"/>
  <c r="H11" i="26" s="1"/>
  <c r="H13" i="26" s="1"/>
  <c r="T35" i="26" s="1"/>
  <c r="T36" i="26" s="1"/>
  <c r="R29" i="26"/>
  <c r="R31" i="26" s="1"/>
  <c r="C12" i="26"/>
  <c r="J9" i="26"/>
  <c r="J11" i="26" s="1"/>
  <c r="J13" i="26" s="1"/>
  <c r="C3" i="26"/>
  <c r="R25" i="26"/>
  <c r="R27" i="26" s="1"/>
  <c r="P28" i="26"/>
  <c r="P29" i="26" s="1"/>
  <c r="P31" i="26" s="1"/>
  <c r="N28" i="26"/>
  <c r="U32" i="26"/>
  <c r="Q32" i="26"/>
  <c r="T32" i="26"/>
  <c r="D9" i="26"/>
  <c r="M6" i="26"/>
  <c r="M11" i="26" s="1"/>
  <c r="M13" i="26" s="1"/>
  <c r="M35" i="26" s="1"/>
  <c r="I6" i="26"/>
  <c r="I11" i="26" s="1"/>
  <c r="I13" i="26" s="1"/>
  <c r="U35" i="26" s="1"/>
  <c r="U36" i="26" s="1"/>
  <c r="E6" i="26"/>
  <c r="E11" i="26" s="1"/>
  <c r="E13" i="26" s="1"/>
  <c r="Q35" i="26" s="1"/>
  <c r="Q36" i="26" s="1"/>
  <c r="O15" i="26" l="1"/>
  <c r="O16" i="26" s="1"/>
  <c r="L15" i="26"/>
  <c r="L16" i="26" s="1"/>
  <c r="S35" i="26"/>
  <c r="S36" i="26" s="1"/>
  <c r="G15" i="26"/>
  <c r="S38" i="26" s="1"/>
  <c r="K15" i="26"/>
  <c r="K16" i="26" s="1"/>
  <c r="R35" i="26"/>
  <c r="F15" i="26"/>
  <c r="F16" i="26" s="1"/>
  <c r="C28" i="26"/>
  <c r="J35" i="26"/>
  <c r="J15" i="26"/>
  <c r="J16" i="26" s="1"/>
  <c r="R32" i="26"/>
  <c r="R36" i="26"/>
  <c r="C9" i="26"/>
  <c r="P32" i="26"/>
  <c r="N15" i="26"/>
  <c r="N16" i="26" s="1"/>
  <c r="I15" i="26"/>
  <c r="U38" i="26" s="1"/>
  <c r="U39" i="26" s="1"/>
  <c r="M15" i="26"/>
  <c r="M16" i="26" s="1"/>
  <c r="E15" i="26"/>
  <c r="Q38" i="26" s="1"/>
  <c r="Q39" i="26" s="1"/>
  <c r="C6" i="26"/>
  <c r="H15" i="26"/>
  <c r="D11" i="26"/>
  <c r="M9" i="24"/>
  <c r="N9" i="24"/>
  <c r="O9" i="24"/>
  <c r="P9" i="24"/>
  <c r="Q9" i="24"/>
  <c r="M10" i="24"/>
  <c r="N10" i="24"/>
  <c r="O10" i="24"/>
  <c r="P10" i="24"/>
  <c r="Q10" i="24"/>
  <c r="L10" i="24"/>
  <c r="L9" i="24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G16" i="26" l="1"/>
  <c r="R38" i="26"/>
  <c r="R39" i="26" s="1"/>
  <c r="E16" i="26"/>
  <c r="I16" i="26"/>
  <c r="S39" i="26"/>
  <c r="H16" i="26"/>
  <c r="T38" i="26"/>
  <c r="T39" i="26" s="1"/>
  <c r="C11" i="26"/>
  <c r="D13" i="26"/>
  <c r="P35" i="26" s="1"/>
  <c r="P36" i="26" s="1"/>
  <c r="E21" i="1" l="1"/>
  <c r="C13" i="26"/>
  <c r="I35" i="26" s="1"/>
  <c r="D15" i="26"/>
  <c r="C15" i="26" l="1"/>
  <c r="P38" i="26"/>
  <c r="P39" i="26" s="1"/>
  <c r="D16" i="26"/>
  <c r="C16" i="26" s="1"/>
  <c r="E10" i="24" l="1"/>
  <c r="I11" i="24"/>
  <c r="M19" i="26" s="1"/>
  <c r="M25" i="26" s="1"/>
  <c r="H11" i="24"/>
  <c r="L19" i="26" s="1"/>
  <c r="K11" i="24"/>
  <c r="O19" i="26" s="1"/>
  <c r="G11" i="24"/>
  <c r="K19" i="26" s="1"/>
  <c r="F11" i="24"/>
  <c r="J19" i="26" s="1"/>
  <c r="J11" i="24"/>
  <c r="N19" i="26" s="1"/>
  <c r="E9" i="24"/>
  <c r="M22" i="26" l="1"/>
  <c r="M27" i="26" s="1"/>
  <c r="M29" i="26" s="1"/>
  <c r="M31" i="26" s="1"/>
  <c r="M38" i="26" s="1"/>
  <c r="E12" i="1"/>
  <c r="E15" i="1" s="1"/>
  <c r="E11" i="24"/>
  <c r="O22" i="26"/>
  <c r="O25" i="26"/>
  <c r="N25" i="26"/>
  <c r="N22" i="26"/>
  <c r="N27" i="26" s="1"/>
  <c r="N29" i="26" s="1"/>
  <c r="L22" i="26"/>
  <c r="L25" i="26"/>
  <c r="J25" i="26"/>
  <c r="C19" i="26"/>
  <c r="J22" i="26"/>
  <c r="K22" i="26"/>
  <c r="K25" i="26"/>
  <c r="M36" i="26" l="1"/>
  <c r="M39" i="26" s="1"/>
  <c r="K27" i="26"/>
  <c r="K29" i="26" s="1"/>
  <c r="J27" i="26"/>
  <c r="C22" i="26"/>
  <c r="L27" i="26"/>
  <c r="L29" i="26" s="1"/>
  <c r="O27" i="26"/>
  <c r="O29" i="26" s="1"/>
  <c r="N36" i="26"/>
  <c r="N31" i="26"/>
  <c r="N38" i="26" s="1"/>
  <c r="M32" i="26"/>
  <c r="C25" i="26"/>
  <c r="E18" i="1"/>
  <c r="E20" i="1" s="1"/>
  <c r="E22" i="1" s="1"/>
  <c r="A21" i="1"/>
  <c r="A22" i="1" s="1"/>
  <c r="A23" i="1" s="1"/>
  <c r="A24" i="1" s="1"/>
  <c r="A25" i="1" s="1"/>
  <c r="N32" i="26" l="1"/>
  <c r="O36" i="26"/>
  <c r="O31" i="26"/>
  <c r="O32" i="26" s="1"/>
  <c r="K36" i="26"/>
  <c r="K31" i="26"/>
  <c r="K32" i="26" s="1"/>
  <c r="L31" i="26"/>
  <c r="L38" i="26" s="1"/>
  <c r="L36" i="26"/>
  <c r="N39" i="26"/>
  <c r="J29" i="26"/>
  <c r="C27" i="26"/>
  <c r="E13" i="1"/>
  <c r="C29" i="26" l="1"/>
  <c r="J31" i="26"/>
  <c r="J32" i="26" s="1"/>
  <c r="J36" i="26"/>
  <c r="L39" i="26"/>
  <c r="O38" i="26"/>
  <c r="O39" i="26" s="1"/>
  <c r="L32" i="26"/>
  <c r="K38" i="26"/>
  <c r="K39" i="26" s="1"/>
  <c r="E17" i="1"/>
  <c r="E14" i="1"/>
  <c r="C36" i="26" l="1"/>
  <c r="C32" i="26"/>
  <c r="J38" i="26"/>
  <c r="C38" i="26" s="1"/>
  <c r="E24" i="1" s="1"/>
  <c r="C31" i="26"/>
  <c r="E2" i="21"/>
  <c r="J39" i="26" l="1"/>
  <c r="C39" i="26" s="1"/>
  <c r="A12" i="1"/>
  <c r="A13" i="1" s="1"/>
  <c r="A14" i="1" s="1"/>
  <c r="A15" i="1" s="1"/>
  <c r="A16" i="1" s="1"/>
  <c r="A17" i="1" s="1"/>
  <c r="A18" i="1" s="1"/>
  <c r="A19" i="1" s="1"/>
  <c r="A20" i="1" s="1"/>
  <c r="E25" i="1" l="1"/>
</calcChain>
</file>

<file path=xl/sharedStrings.xml><?xml version="1.0" encoding="utf-8"?>
<sst xmlns="http://schemas.openxmlformats.org/spreadsheetml/2006/main" count="119" uniqueCount="67">
  <si>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</si>
  <si>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</si>
  <si>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</si>
  <si>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</si>
  <si>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</si>
  <si>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</si>
  <si>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</si>
  <si>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</si>
  <si>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</si>
  <si>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</si>
  <si>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PUGET SOUND ENERGY-ELECTRIC</t>
  </si>
  <si>
    <t>RESTATED ENERGY TAX (LINE 1 X LINE 2)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</si>
  <si>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</si>
  <si>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</si>
  <si>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</si>
  <si>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</si>
  <si>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</si>
  <si>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</si>
  <si>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</si>
  <si>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</si>
  <si>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</si>
  <si>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</si>
  <si>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</si>
  <si>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</si>
  <si>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https://revenue.mt.gov/Portals/9/businesses/taxes/natural_resources/EEL.pdf</t>
  </si>
  <si>
    <t>Colstrip 3&amp;4</t>
  </si>
  <si>
    <t>Colstrip 1&amp;2</t>
  </si>
  <si>
    <t>Contract/Resource</t>
  </si>
  <si>
    <t>A/C</t>
  </si>
  <si>
    <t>(dollars in thousands)</t>
  </si>
  <si>
    <t>PUGET SOUND ENERGY</t>
  </si>
  <si>
    <t>EXPEDITED RATE CASE</t>
  </si>
  <si>
    <t>Rate Year KWh (JAN-JUN CBR + JUL-DEC TAX REFORM GRC)</t>
  </si>
  <si>
    <t>Actual</t>
  </si>
  <si>
    <t>Tax Reform GRC</t>
  </si>
  <si>
    <t>FOR TWELVE MONTHS ENDED JUNE 30, 2018</t>
  </si>
  <si>
    <t>Total Colstrip 3&amp;4</t>
  </si>
  <si>
    <t>Colstrip 4</t>
  </si>
  <si>
    <t>Colstrip 3</t>
  </si>
  <si>
    <t>Total Colstrip 1&amp;2</t>
  </si>
  <si>
    <t>Colstrip 2</t>
  </si>
  <si>
    <t>Colstrip 1</t>
  </si>
  <si>
    <t>Grand Total</t>
  </si>
  <si>
    <t>2018_12</t>
  </si>
  <si>
    <t>2018_11</t>
  </si>
  <si>
    <t>2018_10</t>
  </si>
  <si>
    <t>2018_09</t>
  </si>
  <si>
    <t>2018_08</t>
  </si>
  <si>
    <t>2018_07</t>
  </si>
  <si>
    <t>2018_06</t>
  </si>
  <si>
    <t>2018_05</t>
  </si>
  <si>
    <t>2018_04</t>
  </si>
  <si>
    <t>2018_03</t>
  </si>
  <si>
    <t>2018_02</t>
  </si>
  <si>
    <t>2018_01</t>
  </si>
  <si>
    <t>Item</t>
  </si>
  <si>
    <t>MWhs</t>
  </si>
  <si>
    <t>Actual KWh</t>
  </si>
  <si>
    <t>Total Restated</t>
  </si>
  <si>
    <t>CBR Adjustment</t>
  </si>
  <si>
    <t>Rate year KWh</t>
  </si>
  <si>
    <t>Already Adjusted in CBR</t>
  </si>
  <si>
    <t>Check==&gt;</t>
  </si>
  <si>
    <t>Adjustment needed for ERF</t>
  </si>
  <si>
    <t>CHARGED TO EXPENSE (After CBR)</t>
  </si>
  <si>
    <t>CHARGED TO EXPENSE (CBR RESTATED)</t>
  </si>
  <si>
    <t>ERF Annualizing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</si>
</sst>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  <font>
      <u/>
      <sz val="10"/>
      <name val="Arial"/>
      <family val="2"/>
    </font>
    <font>
      <sz val="11"/>
      <color rgb="FF1F497D"/>
      <name val="Calibri"/>
      <family val="2"/>
      <scheme val="minor"/>
    </font>
    <font>
      <b/>
      <sz val="12"/>
      <color indexed="10"/>
      <name val="Arial"/>
      <family val="2"/>
    </font>
    <font>
      <sz val="8"/>
      <color rgb="FFFF0000"/>
      <name val="Arial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10">
    <xf numFmtId="0" fontId="0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0" fontId="13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46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187" fontId="73" fillId="0" borderId="0">
      <alignment horizontal="left"/>
    </xf>
    <xf numFmtId="188" fontId="74" fillId="0" borderId="0">
      <alignment horizontal="left"/>
    </xf>
    <xf numFmtId="0" fontId="55" fillId="0" borderId="1"/>
    <xf numFmtId="0" fontId="56" fillId="0" borderId="0"/>
    <xf numFmtId="0" fontId="82" fillId="6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82" fillId="6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82" fillId="6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2" fillId="7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82" fillId="7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82" fillId="7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82" fillId="7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82" fillId="7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79" borderId="0" applyNumberFormat="0" applyBorder="0" applyAlignment="0" applyProtection="0"/>
    <xf numFmtId="0" fontId="54" fillId="12" borderId="0" applyNumberFormat="0" applyBorder="0" applyAlignment="0" applyProtection="0"/>
    <xf numFmtId="0" fontId="83" fillId="80" borderId="0" applyNumberFormat="0" applyBorder="0" applyAlignment="0" applyProtection="0"/>
    <xf numFmtId="0" fontId="54" fillId="9" borderId="0" applyNumberFormat="0" applyBorder="0" applyAlignment="0" applyProtection="0"/>
    <xf numFmtId="0" fontId="83" fillId="81" borderId="0" applyNumberFormat="0" applyBorder="0" applyAlignment="0" applyProtection="0"/>
    <xf numFmtId="0" fontId="54" fillId="10" borderId="0" applyNumberFormat="0" applyBorder="0" applyAlignment="0" applyProtection="0"/>
    <xf numFmtId="0" fontId="83" fillId="82" borderId="0" applyNumberFormat="0" applyBorder="0" applyAlignment="0" applyProtection="0"/>
    <xf numFmtId="0" fontId="54" fillId="13" borderId="0" applyNumberFormat="0" applyBorder="0" applyAlignment="0" applyProtection="0"/>
    <xf numFmtId="0" fontId="83" fillId="83" borderId="0" applyNumberFormat="0" applyBorder="0" applyAlignment="0" applyProtection="0"/>
    <xf numFmtId="0" fontId="54" fillId="14" borderId="0" applyNumberFormat="0" applyBorder="0" applyAlignment="0" applyProtection="0"/>
    <xf numFmtId="0" fontId="83" fillId="84" borderId="0" applyNumberFormat="0" applyBorder="0" applyAlignment="0" applyProtection="0"/>
    <xf numFmtId="0" fontId="54" fillId="15" borderId="0" applyNumberFormat="0" applyBorder="0" applyAlignment="0" applyProtection="0"/>
    <xf numFmtId="0" fontId="83" fillId="8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83" fillId="86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83" fillId="87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4" borderId="0" applyNumberFormat="0" applyBorder="0" applyAlignment="0" applyProtection="0"/>
    <xf numFmtId="0" fontId="83" fillId="8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4" borderId="0" applyNumberFormat="0" applyBorder="0" applyAlignment="0" applyProtection="0"/>
    <xf numFmtId="0" fontId="83" fillId="90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54" fillId="30" borderId="0" applyNumberFormat="0" applyBorder="0" applyAlignment="0" applyProtection="0"/>
    <xf numFmtId="0" fontId="54" fillId="28" borderId="0" applyNumberFormat="0" applyBorder="0" applyAlignment="0" applyProtection="0"/>
    <xf numFmtId="0" fontId="84" fillId="91" borderId="0" applyNumberFormat="0" applyBorder="0" applyAlignment="0" applyProtection="0"/>
    <xf numFmtId="0" fontId="62" fillId="3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56" fillId="0" borderId="1"/>
    <xf numFmtId="178" fontId="23" fillId="0" borderId="0" applyFill="0" applyBorder="0" applyAlignment="0"/>
    <xf numFmtId="41" fontId="5" fillId="31" borderId="0"/>
    <xf numFmtId="0" fontId="85" fillId="92" borderId="28" applyNumberFormat="0" applyAlignment="0" applyProtection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21" fillId="34" borderId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7" fillId="0" borderId="0" applyFont="0" applyFill="0" applyBorder="0" applyAlignment="0" applyProtection="0"/>
    <xf numFmtId="189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/>
    <xf numFmtId="3" fontId="1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80" fontId="33" fillId="0" borderId="0">
      <protection locked="0"/>
    </xf>
    <xf numFmtId="0" fontId="3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8" fillId="0" borderId="0"/>
    <xf numFmtId="0" fontId="32" fillId="0" borderId="0"/>
    <xf numFmtId="0" fontId="18" fillId="0" borderId="0"/>
    <xf numFmtId="0" fontId="32" fillId="0" borderId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6" fillId="0" borderId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167" fontId="11" fillId="0" borderId="0"/>
    <xf numFmtId="181" fontId="31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8" fillId="0" borderId="0"/>
    <xf numFmtId="0" fontId="88" fillId="94" borderId="0" applyNumberFormat="0" applyBorder="0" applyAlignment="0" applyProtection="0"/>
    <xf numFmtId="0" fontId="65" fillId="4" borderId="0" applyNumberFormat="0" applyBorder="0" applyAlignment="0" applyProtection="0"/>
    <xf numFmtId="38" fontId="12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0" fontId="58" fillId="0" borderId="1"/>
    <xf numFmtId="175" fontId="44" fillId="0" borderId="0" applyNumberFormat="0" applyFill="0" applyBorder="0" applyProtection="0">
      <alignment horizontal="right"/>
    </xf>
    <xf numFmtId="0" fontId="26" fillId="0" borderId="4" applyNumberFormat="0" applyAlignment="0" applyProtection="0">
      <alignment horizontal="left"/>
    </xf>
    <xf numFmtId="0" fontId="26" fillId="0" borderId="5">
      <alignment horizontal="left"/>
    </xf>
    <xf numFmtId="14" fontId="10" fillId="38" borderId="6">
      <alignment horizontal="center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7" applyNumberFormat="0" applyFill="0" applyAlignment="0" applyProtection="0"/>
    <xf numFmtId="0" fontId="8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66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92" fillId="95" borderId="28" applyNumberFormat="0" applyAlignment="0" applyProtection="0"/>
    <xf numFmtId="10" fontId="12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0" fontId="67" fillId="7" borderId="2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41" fontId="27" fillId="39" borderId="11">
      <alignment horizontal="left"/>
      <protection locked="0"/>
    </xf>
    <xf numFmtId="0" fontId="58" fillId="0" borderId="12"/>
    <xf numFmtId="0" fontId="9" fillId="34" borderId="0"/>
    <xf numFmtId="3" fontId="34" fillId="0" borderId="0" applyFill="0" applyBorder="0" applyAlignment="0" applyProtection="0"/>
    <xf numFmtId="0" fontId="93" fillId="0" borderId="33" applyNumberFormat="0" applyFill="0" applyAlignment="0" applyProtection="0"/>
    <xf numFmtId="0" fontId="68" fillId="0" borderId="13" applyNumberFormat="0" applyFill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7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7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4" fillId="96" borderId="0" applyNumberFormat="0" applyBorder="0" applyAlignment="0" applyProtection="0"/>
    <xf numFmtId="0" fontId="69" fillId="40" borderId="0" applyNumberFormat="0" applyBorder="0" applyAlignment="0" applyProtection="0"/>
    <xf numFmtId="37" fontId="28" fillId="0" borderId="0"/>
    <xf numFmtId="168" fontId="8" fillId="0" borderId="0"/>
    <xf numFmtId="192" fontId="21" fillId="0" borderId="0"/>
    <xf numFmtId="192" fontId="21" fillId="0" borderId="0"/>
    <xf numFmtId="192" fontId="21" fillId="0" borderId="0"/>
    <xf numFmtId="0" fontId="21" fillId="0" borderId="0"/>
    <xf numFmtId="193" fontId="8" fillId="0" borderId="0"/>
    <xf numFmtId="180" fontId="46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170" fontId="21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0" fontId="8" fillId="0" borderId="0"/>
    <xf numFmtId="0" fontId="21" fillId="0" borderId="0"/>
    <xf numFmtId="0" fontId="21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14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21" fillId="0" borderId="0">
      <alignment horizontal="left" wrapText="1"/>
    </xf>
    <xf numFmtId="195" fontId="20" fillId="0" borderId="0">
      <alignment horizontal="left" wrapText="1"/>
    </xf>
    <xf numFmtId="0" fontId="35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82" fillId="0" borderId="0"/>
    <xf numFmtId="0" fontId="82" fillId="0" borderId="0"/>
    <xf numFmtId="174" fontId="31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3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9" fillId="41" borderId="0"/>
    <xf numFmtId="0" fontId="82" fillId="0" borderId="0"/>
    <xf numFmtId="0" fontId="35" fillId="0" borderId="0"/>
    <xf numFmtId="179" fontId="20" fillId="0" borderId="0">
      <alignment horizontal="left" wrapText="1"/>
    </xf>
    <xf numFmtId="0" fontId="35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0" fontId="36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182" fontId="21" fillId="0" borderId="0">
      <alignment horizontal="left" wrapText="1"/>
    </xf>
    <xf numFmtId="180" fontId="31" fillId="0" borderId="0">
      <alignment horizontal="left" wrapText="1"/>
    </xf>
    <xf numFmtId="170" fontId="21" fillId="0" borderId="0">
      <alignment horizontal="left" wrapText="1"/>
    </xf>
    <xf numFmtId="180" fontId="46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82" fillId="97" borderId="34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92" borderId="35" applyNumberFormat="0" applyAlignment="0" applyProtection="0"/>
    <xf numFmtId="0" fontId="70" fillId="32" borderId="17" applyNumberFormat="0" applyAlignment="0" applyProtection="0"/>
    <xf numFmtId="0" fontId="18" fillId="0" borderId="0"/>
    <xf numFmtId="0" fontId="18" fillId="0" borderId="0"/>
    <xf numFmtId="0" fontId="32" fillId="0" borderId="0"/>
    <xf numFmtId="9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21" fillId="43" borderId="11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9" fillId="0" borderId="6">
      <alignment horizontal="center"/>
    </xf>
    <xf numFmtId="3" fontId="14" fillId="0" borderId="0" applyFont="0" applyFill="0" applyBorder="0" applyAlignment="0" applyProtection="0"/>
    <xf numFmtId="0" fontId="14" fillId="44" borderId="0" applyNumberFormat="0" applyFont="0" applyBorder="0" applyAlignment="0" applyProtection="0"/>
    <xf numFmtId="0" fontId="32" fillId="0" borderId="0"/>
    <xf numFmtId="3" fontId="37" fillId="0" borderId="0" applyFill="0" applyBorder="0" applyAlignment="0" applyProtection="0"/>
    <xf numFmtId="0" fontId="38" fillId="0" borderId="0"/>
    <xf numFmtId="3" fontId="37" fillId="0" borderId="0" applyFill="0" applyBorder="0" applyAlignment="0" applyProtection="0"/>
    <xf numFmtId="42" fontId="21" fillId="31" borderId="0"/>
    <xf numFmtId="42" fontId="21" fillId="31" borderId="18">
      <alignment vertical="center"/>
    </xf>
    <xf numFmtId="0" fontId="10" fillId="31" borderId="19" applyNumberFormat="0">
      <alignment horizontal="center" vertical="center" wrapText="1"/>
    </xf>
    <xf numFmtId="10" fontId="21" fillId="31" borderId="0"/>
    <xf numFmtId="183" fontId="21" fillId="31" borderId="0"/>
    <xf numFmtId="42" fontId="21" fillId="31" borderId="0"/>
    <xf numFmtId="166" fontId="39" fillId="0" borderId="0" applyBorder="0" applyAlignment="0"/>
    <xf numFmtId="42" fontId="21" fillId="31" borderId="20">
      <alignment horizontal="left"/>
    </xf>
    <xf numFmtId="183" fontId="40" fillId="31" borderId="20">
      <alignment horizontal="left"/>
    </xf>
    <xf numFmtId="166" fontId="16" fillId="0" borderId="0" applyBorder="0" applyAlignment="0"/>
    <xf numFmtId="14" fontId="20" fillId="0" borderId="0" applyNumberFormat="0" applyFill="0" applyBorder="0" applyAlignment="0" applyProtection="0">
      <alignment horizontal="left"/>
    </xf>
    <xf numFmtId="177" fontId="5" fillId="0" borderId="0" applyFont="0" applyFill="0" applyAlignment="0">
      <alignment horizontal="right"/>
    </xf>
    <xf numFmtId="4" fontId="41" fillId="39" borderId="17" applyNumberFormat="0" applyProtection="0">
      <alignment vertical="center"/>
    </xf>
    <xf numFmtId="4" fontId="48" fillId="39" borderId="17" applyNumberFormat="0" applyProtection="0">
      <alignment vertical="center"/>
    </xf>
    <xf numFmtId="4" fontId="41" fillId="39" borderId="17" applyNumberFormat="0" applyProtection="0">
      <alignment horizontal="left" vertical="center" indent="1"/>
    </xf>
    <xf numFmtId="4" fontId="41" fillId="39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46" borderId="0" applyNumberFormat="0" applyProtection="0">
      <alignment horizontal="left" vertical="center" indent="1"/>
    </xf>
    <xf numFmtId="4" fontId="41" fillId="47" borderId="17" applyNumberFormat="0" applyProtection="0">
      <alignment horizontal="right" vertical="center"/>
    </xf>
    <xf numFmtId="4" fontId="41" fillId="48" borderId="17" applyNumberFormat="0" applyProtection="0">
      <alignment horizontal="right" vertical="center"/>
    </xf>
    <xf numFmtId="4" fontId="41" fillId="49" borderId="17" applyNumberFormat="0" applyProtection="0">
      <alignment horizontal="right" vertical="center"/>
    </xf>
    <xf numFmtId="4" fontId="41" fillId="50" borderId="17" applyNumberFormat="0" applyProtection="0">
      <alignment horizontal="right" vertical="center"/>
    </xf>
    <xf numFmtId="4" fontId="41" fillId="51" borderId="17" applyNumberFormat="0" applyProtection="0">
      <alignment horizontal="right" vertical="center"/>
    </xf>
    <xf numFmtId="4" fontId="41" fillId="52" borderId="17" applyNumberFormat="0" applyProtection="0">
      <alignment horizontal="right" vertical="center"/>
    </xf>
    <xf numFmtId="4" fontId="41" fillId="53" borderId="17" applyNumberFormat="0" applyProtection="0">
      <alignment horizontal="right" vertical="center"/>
    </xf>
    <xf numFmtId="4" fontId="41" fillId="54" borderId="17" applyNumberFormat="0" applyProtection="0">
      <alignment horizontal="right" vertical="center"/>
    </xf>
    <xf numFmtId="4" fontId="41" fillId="55" borderId="17" applyNumberFormat="0" applyProtection="0">
      <alignment horizontal="right" vertical="center"/>
    </xf>
    <xf numFmtId="4" fontId="49" fillId="56" borderId="17" applyNumberFormat="0" applyProtection="0">
      <alignment horizontal="left" vertical="center" indent="1"/>
    </xf>
    <xf numFmtId="4" fontId="41" fillId="57" borderId="21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4" fontId="51" fillId="57" borderId="17" applyNumberFormat="0" applyProtection="0">
      <alignment horizontal="left" vertical="center" indent="1"/>
    </xf>
    <xf numFmtId="4" fontId="51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61" borderId="10" applyNumberFormat="0">
      <protection locked="0"/>
    </xf>
    <xf numFmtId="0" fontId="16" fillId="62" borderId="22" applyBorder="0"/>
    <xf numFmtId="4" fontId="41" fillId="63" borderId="17" applyNumberFormat="0" applyProtection="0">
      <alignment vertical="center"/>
    </xf>
    <xf numFmtId="4" fontId="48" fillId="63" borderId="17" applyNumberFormat="0" applyProtection="0">
      <alignment vertical="center"/>
    </xf>
    <xf numFmtId="4" fontId="41" fillId="63" borderId="17" applyNumberFormat="0" applyProtection="0">
      <alignment horizontal="left" vertical="center" indent="1"/>
    </xf>
    <xf numFmtId="4" fontId="41" fillId="63" borderId="17" applyNumberFormat="0" applyProtection="0">
      <alignment horizontal="left" vertical="center" indent="1"/>
    </xf>
    <xf numFmtId="4" fontId="41" fillId="57" borderId="17" applyNumberFormat="0" applyProtection="0">
      <alignment horizontal="right" vertical="center"/>
    </xf>
    <xf numFmtId="4" fontId="48" fillId="57" borderId="17" applyNumberFormat="0" applyProtection="0">
      <alignment horizontal="right" vertical="center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52" fillId="0" borderId="0"/>
    <xf numFmtId="0" fontId="9" fillId="64" borderId="10"/>
    <xf numFmtId="4" fontId="53" fillId="57" borderId="17" applyNumberFormat="0" applyProtection="0">
      <alignment horizontal="right" vertical="center"/>
    </xf>
    <xf numFmtId="39" fontId="5" fillId="65" borderId="0"/>
    <xf numFmtId="0" fontId="59" fillId="0" borderId="0" applyNumberFormat="0" applyFill="0" applyBorder="0" applyAlignment="0" applyProtection="0"/>
    <xf numFmtId="38" fontId="12" fillId="0" borderId="23"/>
    <xf numFmtId="38" fontId="9" fillId="0" borderId="23"/>
    <xf numFmtId="38" fontId="9" fillId="0" borderId="23"/>
    <xf numFmtId="38" fontId="9" fillId="0" borderId="23"/>
    <xf numFmtId="38" fontId="9" fillId="0" borderId="23"/>
    <xf numFmtId="38" fontId="16" fillId="0" borderId="20"/>
    <xf numFmtId="39" fontId="20" fillId="66" borderId="0"/>
    <xf numFmtId="170" fontId="5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96" fontId="21" fillId="0" borderId="0">
      <alignment horizontal="left" wrapText="1"/>
    </xf>
    <xf numFmtId="0" fontId="41" fillId="0" borderId="0" applyNumberFormat="0" applyBorder="0" applyAlignment="0"/>
    <xf numFmtId="0" fontId="60" fillId="0" borderId="0" applyNumberFormat="0" applyBorder="0" applyAlignment="0"/>
    <xf numFmtId="0" fontId="49" fillId="0" borderId="0" applyNumberFormat="0" applyBorder="0" applyAlignment="0"/>
    <xf numFmtId="0" fontId="61" fillId="0" borderId="0"/>
    <xf numFmtId="0" fontId="58" fillId="0" borderId="24"/>
    <xf numFmtId="40" fontId="29" fillId="0" borderId="0" applyBorder="0">
      <alignment horizontal="right"/>
    </xf>
    <xf numFmtId="41" fontId="42" fillId="31" borderId="0">
      <alignment horizontal="left"/>
    </xf>
    <xf numFmtId="0" fontId="80" fillId="0" borderId="0"/>
    <xf numFmtId="0" fontId="81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43" fillId="31" borderId="0">
      <alignment horizontal="left" vertical="center"/>
    </xf>
    <xf numFmtId="0" fontId="10" fillId="31" borderId="0">
      <alignment horizontal="left" wrapText="1"/>
    </xf>
    <xf numFmtId="0" fontId="30" fillId="0" borderId="0">
      <alignment horizontal="left" vertical="center"/>
    </xf>
    <xf numFmtId="0" fontId="15" fillId="0" borderId="25" applyNumberFormat="0" applyFont="0" applyFill="0" applyAlignment="0" applyProtection="0"/>
    <xf numFmtId="0" fontId="15" fillId="0" borderId="25" applyNumberFormat="0" applyFont="0" applyFill="0" applyAlignment="0" applyProtection="0"/>
    <xf numFmtId="0" fontId="57" fillId="0" borderId="26" applyNumberFormat="0" applyFill="0" applyAlignment="0" applyProtection="0"/>
    <xf numFmtId="0" fontId="97" fillId="0" borderId="36" applyNumberFormat="0" applyFill="0" applyAlignment="0" applyProtection="0"/>
    <xf numFmtId="0" fontId="32" fillId="0" borderId="27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6" borderId="0" applyNumberFormat="0" applyBorder="0" applyAlignment="0" applyProtection="0"/>
    <xf numFmtId="0" fontId="54" fillId="12" borderId="0" applyNumberFormat="0" applyBorder="0" applyAlignment="0" applyProtection="0"/>
    <xf numFmtId="0" fontId="83" fillId="28" borderId="0" applyNumberFormat="0" applyBorder="0" applyAlignment="0" applyProtection="0"/>
    <xf numFmtId="0" fontId="54" fillId="9" borderId="0" applyNumberFormat="0" applyBorder="0" applyAlignment="0" applyProtection="0"/>
    <xf numFmtId="0" fontId="83" fillId="11" borderId="0" applyNumberFormat="0" applyBorder="0" applyAlignment="0" applyProtection="0"/>
    <xf numFmtId="0" fontId="54" fillId="10" borderId="0" applyNumberFormat="0" applyBorder="0" applyAlignment="0" applyProtection="0"/>
    <xf numFmtId="0" fontId="83" fillId="3" borderId="0" applyNumberFormat="0" applyBorder="0" applyAlignment="0" applyProtection="0"/>
    <xf numFmtId="0" fontId="54" fillId="13" borderId="0" applyNumberFormat="0" applyBorder="0" applyAlignment="0" applyProtection="0"/>
    <xf numFmtId="0" fontId="83" fillId="6" borderId="0" applyNumberFormat="0" applyBorder="0" applyAlignment="0" applyProtection="0"/>
    <xf numFmtId="0" fontId="54" fillId="14" borderId="0" applyNumberFormat="0" applyBorder="0" applyAlignment="0" applyProtection="0"/>
    <xf numFmtId="0" fontId="83" fillId="9" borderId="0" applyNumberFormat="0" applyBorder="0" applyAlignment="0" applyProtection="0"/>
    <xf numFmtId="0" fontId="54" fillId="15" borderId="0" applyNumberFormat="0" applyBorder="0" applyAlignment="0" applyProtection="0"/>
    <xf numFmtId="0" fontId="83" fillId="98" borderId="0" applyNumberFormat="0" applyBorder="0" applyAlignment="0" applyProtection="0"/>
    <xf numFmtId="0" fontId="54" fillId="16" borderId="0" applyNumberFormat="0" applyBorder="0" applyAlignment="0" applyProtection="0"/>
    <xf numFmtId="0" fontId="83" fillId="28" borderId="0" applyNumberFormat="0" applyBorder="0" applyAlignment="0" applyProtection="0"/>
    <xf numFmtId="0" fontId="54" fillId="20" borderId="0" applyNumberFormat="0" applyBorder="0" applyAlignment="0" applyProtection="0"/>
    <xf numFmtId="0" fontId="83" fillId="11" borderId="0" applyNumberFormat="0" applyBorder="0" applyAlignment="0" applyProtection="0"/>
    <xf numFmtId="0" fontId="54" fillId="24" borderId="0" applyNumberFormat="0" applyBorder="0" applyAlignment="0" applyProtection="0"/>
    <xf numFmtId="0" fontId="83" fillId="62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54" fillId="14" borderId="0" applyNumberFormat="0" applyBorder="0" applyAlignment="0" applyProtection="0"/>
    <xf numFmtId="0" fontId="83" fillId="20" borderId="0" applyNumberFormat="0" applyBorder="0" applyAlignment="0" applyProtection="0"/>
    <xf numFmtId="0" fontId="54" fillId="28" borderId="0" applyNumberFormat="0" applyBorder="0" applyAlignment="0" applyProtection="0"/>
    <xf numFmtId="0" fontId="84" fillId="5" borderId="0" applyNumberFormat="0" applyBorder="0" applyAlignment="0" applyProtection="0"/>
    <xf numFmtId="0" fontId="62" fillId="3" borderId="0" applyNumberFormat="0" applyBorder="0" applyAlignment="0" applyProtection="0"/>
    <xf numFmtId="41" fontId="5" fillId="31" borderId="0"/>
    <xf numFmtId="0" fontId="99" fillId="61" borderId="28" applyNumberFormat="0" applyAlignment="0" applyProtection="0"/>
    <xf numFmtId="0" fontId="75" fillId="32" borderId="2" applyNumberFormat="0" applyAlignment="0" applyProtection="0"/>
    <xf numFmtId="41" fontId="5" fillId="31" borderId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5" fillId="34" borderId="0"/>
    <xf numFmtId="41" fontId="5" fillId="34" borderId="0"/>
    <xf numFmtId="41" fontId="5" fillId="34" borderId="0"/>
    <xf numFmtId="41" fontId="5" fillId="34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18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8" fillId="6" borderId="0" applyNumberFormat="0" applyBorder="0" applyAlignment="0" applyProtection="0"/>
    <xf numFmtId="0" fontId="65" fillId="4" borderId="0" applyNumberFormat="0" applyBorder="0" applyAlignment="0" applyProtection="0"/>
    <xf numFmtId="0" fontId="22" fillId="0" borderId="4" applyNumberFormat="0" applyAlignment="0" applyProtection="0">
      <alignment horizontal="left"/>
    </xf>
    <xf numFmtId="0" fontId="22" fillId="0" borderId="4" applyNumberFormat="0" applyAlignment="0" applyProtection="0">
      <alignment horizontal="left"/>
    </xf>
    <xf numFmtId="0" fontId="22" fillId="0" borderId="5">
      <alignment horizontal="left"/>
    </xf>
    <xf numFmtId="0" fontId="22" fillId="0" borderId="5">
      <alignment horizontal="left"/>
    </xf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102" fillId="0" borderId="37" applyNumberFormat="0" applyFill="0" applyAlignment="0" applyProtection="0"/>
    <xf numFmtId="0" fontId="66" fillId="0" borderId="9" applyNumberFormat="0" applyFill="0" applyAlignment="0" applyProtection="0"/>
    <xf numFmtId="0" fontId="10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40" borderId="28" applyNumberFormat="0" applyAlignment="0" applyProtection="0"/>
    <xf numFmtId="0" fontId="92" fillId="40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10" fontId="27" fillId="39" borderId="11">
      <alignment horizontal="right"/>
      <protection locked="0"/>
    </xf>
    <xf numFmtId="0" fontId="9" fillId="34" borderId="0"/>
    <xf numFmtId="0" fontId="104" fillId="0" borderId="38" applyNumberFormat="0" applyFill="0" applyAlignment="0" applyProtection="0"/>
    <xf numFmtId="0" fontId="68" fillId="0" borderId="13" applyNumberFormat="0" applyFill="0" applyAlignment="0" applyProtection="0"/>
    <xf numFmtId="0" fontId="105" fillId="96" borderId="0" applyNumberFormat="0" applyBorder="0" applyAlignment="0" applyProtection="0"/>
    <xf numFmtId="0" fontId="69" fillId="40" borderId="0" applyNumberFormat="0" applyBorder="0" applyAlignment="0" applyProtection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7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92" fontId="20" fillId="0" borderId="0">
      <alignment horizontal="left" wrapText="1"/>
    </xf>
    <xf numFmtId="0" fontId="5" fillId="0" borderId="0"/>
    <xf numFmtId="192" fontId="2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0" fontId="101" fillId="0" borderId="0"/>
    <xf numFmtId="170" fontId="5" fillId="0" borderId="0">
      <alignment horizontal="left" wrapText="1"/>
    </xf>
    <xf numFmtId="0" fontId="101" fillId="0" borderId="0"/>
    <xf numFmtId="170" fontId="20" fillId="0" borderId="0">
      <alignment horizontal="left" wrapText="1"/>
    </xf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20" fillId="0" borderId="0">
      <alignment horizontal="left" wrapText="1"/>
    </xf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35" fillId="0" borderId="0"/>
    <xf numFmtId="170" fontId="5" fillId="0" borderId="0">
      <alignment horizontal="left" wrapText="1"/>
    </xf>
    <xf numFmtId="0" fontId="5" fillId="0" borderId="0"/>
    <xf numFmtId="170" fontId="20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61" borderId="35" applyNumberFormat="0" applyAlignment="0" applyProtection="0"/>
    <xf numFmtId="0" fontId="70" fillId="32" borderId="1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41" fontId="5" fillId="43" borderId="11"/>
    <xf numFmtId="41" fontId="5" fillId="43" borderId="11"/>
    <xf numFmtId="41" fontId="5" fillId="43" borderId="11"/>
    <xf numFmtId="41" fontId="5" fillId="43" borderId="11"/>
    <xf numFmtId="41" fontId="5" fillId="43" borderId="11"/>
    <xf numFmtId="42" fontId="5" fillId="31" borderId="0"/>
    <xf numFmtId="42" fontId="5" fillId="31" borderId="0"/>
    <xf numFmtId="42" fontId="5" fillId="31" borderId="0"/>
    <xf numFmtId="42" fontId="5" fillId="31" borderId="0"/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0" fontId="10" fillId="31" borderId="19" applyNumberFormat="0">
      <alignment horizontal="center" vertical="center" wrapText="1"/>
    </xf>
    <xf numFmtId="10" fontId="5" fillId="31" borderId="0"/>
    <xf numFmtId="10" fontId="5" fillId="31" borderId="0"/>
    <xf numFmtId="10" fontId="5" fillId="31" borderId="0"/>
    <xf numFmtId="10" fontId="5" fillId="31" borderId="0"/>
    <xf numFmtId="10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0" fontId="5" fillId="45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0" borderId="0"/>
    <xf numFmtId="4" fontId="41" fillId="57" borderId="17" applyNumberFormat="0" applyProtection="0">
      <alignment horizontal="right" vertical="center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39" fontId="5" fillId="65" borderId="0"/>
    <xf numFmtId="39" fontId="5" fillId="65" borderId="0"/>
    <xf numFmtId="39" fontId="5" fillId="65" borderId="0"/>
    <xf numFmtId="39" fontId="5" fillId="65" borderId="0"/>
    <xf numFmtId="39" fontId="5" fillId="65" borderId="0"/>
    <xf numFmtId="38" fontId="16" fillId="0" borderId="20"/>
    <xf numFmtId="172" fontId="5" fillId="0" borderId="0">
      <alignment horizontal="left" wrapText="1"/>
    </xf>
    <xf numFmtId="172" fontId="5" fillId="0" borderId="0">
      <alignment horizontal="left" wrapText="1"/>
    </xf>
    <xf numFmtId="183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8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95" fontId="5" fillId="0" borderId="0">
      <alignment horizontal="left" wrapText="1"/>
    </xf>
    <xf numFmtId="170" fontId="5" fillId="0" borderId="0">
      <alignment horizontal="left" wrapText="1"/>
    </xf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31" borderId="0">
      <alignment horizontal="left" wrapText="1"/>
    </xf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4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5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18" fontId="7" fillId="0" borderId="0" xfId="0" applyNumberFormat="1" applyFont="1" applyAlignment="1">
      <alignment horizontal="centerContinuous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41" fontId="6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 applyProtection="1">
      <protection locked="0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3" fontId="6" fillId="0" borderId="0" xfId="1437" applyNumberFormat="1" applyFont="1" applyFill="1" applyBorder="1" applyAlignment="1" applyProtection="1">
      <protection locked="0"/>
    </xf>
    <xf numFmtId="41" fontId="6" fillId="0" borderId="19" xfId="1437" applyNumberFormat="1" applyFont="1" applyFill="1" applyBorder="1" applyAlignment="1" applyProtection="1">
      <protection locked="0"/>
    </xf>
    <xf numFmtId="3" fontId="6" fillId="0" borderId="0" xfId="1437" applyNumberFormat="1" applyFont="1" applyFill="1" applyAlignment="1" applyProtection="1">
      <alignment wrapText="1"/>
      <protection locked="0"/>
    </xf>
    <xf numFmtId="43" fontId="0" fillId="0" borderId="0" xfId="1437" applyFont="1"/>
    <xf numFmtId="0" fontId="10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6" fillId="0" borderId="20" xfId="0" applyNumberFormat="1" applyFont="1" applyBorder="1" applyAlignment="1" applyProtection="1">
      <protection locked="0"/>
    </xf>
    <xf numFmtId="165" fontId="6" fillId="0" borderId="0" xfId="1673" applyNumberFormat="1" applyFont="1"/>
    <xf numFmtId="0" fontId="5" fillId="0" borderId="0" xfId="5735" applyFont="1"/>
    <xf numFmtId="0" fontId="5" fillId="0" borderId="0" xfId="5735" applyFont="1" applyAlignment="1">
      <alignment horizontal="right"/>
    </xf>
    <xf numFmtId="166" fontId="5" fillId="0" borderId="39" xfId="5735" applyNumberFormat="1" applyFont="1" applyBorder="1"/>
    <xf numFmtId="0" fontId="5" fillId="0" borderId="0" xfId="5735" applyAlignment="1">
      <alignment horizontal="right"/>
    </xf>
    <xf numFmtId="0" fontId="10" fillId="0" borderId="19" xfId="5735" applyNumberFormat="1" applyFont="1" applyFill="1" applyBorder="1" applyAlignment="1">
      <alignment horizontal="center"/>
    </xf>
    <xf numFmtId="0" fontId="5" fillId="0" borderId="19" xfId="5735" applyNumberFormat="1" applyFont="1" applyBorder="1" applyAlignment="1"/>
    <xf numFmtId="0" fontId="108" fillId="0" borderId="0" xfId="5735" applyNumberFormat="1" applyFont="1" applyFill="1" applyAlignment="1">
      <alignment horizontal="center"/>
    </xf>
    <xf numFmtId="0" fontId="5" fillId="0" borderId="0" xfId="5735" applyFont="1" applyAlignment="1">
      <alignment horizontal="center"/>
    </xf>
    <xf numFmtId="0" fontId="41" fillId="0" borderId="0" xfId="5735" applyNumberFormat="1" applyFont="1" applyFill="1" applyAlignment="1">
      <alignment horizontal="center"/>
    </xf>
    <xf numFmtId="0" fontId="5" fillId="0" borderId="0" xfId="5735" applyNumberFormat="1" applyFont="1" applyFill="1" applyAlignment="1">
      <alignment wrapText="1"/>
    </xf>
    <xf numFmtId="0" fontId="109" fillId="0" borderId="0" xfId="5735" applyNumberFormat="1" applyFont="1" applyFill="1" applyAlignment="1"/>
    <xf numFmtId="0" fontId="36" fillId="0" borderId="0" xfId="5735" applyFont="1" applyAlignment="1">
      <alignment horizontal="centerContinuous"/>
    </xf>
    <xf numFmtId="0" fontId="110" fillId="0" borderId="0" xfId="5735" applyFont="1" applyAlignment="1">
      <alignment horizontal="centerContinuous"/>
    </xf>
    <xf numFmtId="0" fontId="111" fillId="0" borderId="0" xfId="5735" applyFont="1"/>
    <xf numFmtId="9" fontId="6" fillId="0" borderId="0" xfId="1673" applyFont="1"/>
    <xf numFmtId="41" fontId="6" fillId="0" borderId="0" xfId="0" applyNumberFormat="1" applyFont="1"/>
    <xf numFmtId="9" fontId="6" fillId="0" borderId="0" xfId="0" applyNumberFormat="1" applyFont="1"/>
    <xf numFmtId="37" fontId="6" fillId="0" borderId="0" xfId="0" applyNumberFormat="1" applyFont="1"/>
    <xf numFmtId="42" fontId="6" fillId="0" borderId="10" xfId="0" applyNumberFormat="1" applyFont="1" applyBorder="1"/>
    <xf numFmtId="0" fontId="5" fillId="0" borderId="0" xfId="1794" applyFill="1" applyAlignment="1">
      <alignment horizontal="center"/>
    </xf>
    <xf numFmtId="169" fontId="112" fillId="0" borderId="0" xfId="0" applyNumberFormat="1" applyFont="1" applyFill="1" applyAlignment="1">
      <alignment horizontal="center"/>
    </xf>
    <xf numFmtId="0" fontId="10" fillId="0" borderId="0" xfId="1794" applyFont="1" applyFill="1" applyAlignment="1">
      <alignment horizontal="center" wrapText="1"/>
    </xf>
    <xf numFmtId="3" fontId="0" fillId="0" borderId="0" xfId="0" applyNumberFormat="1"/>
    <xf numFmtId="0" fontId="1" fillId="0" borderId="0" xfId="6009"/>
    <xf numFmtId="0" fontId="113" fillId="0" borderId="0" xfId="6009" applyFont="1" applyAlignment="1">
      <alignment vertical="center"/>
    </xf>
    <xf numFmtId="0" fontId="1" fillId="0" borderId="0" xfId="6009" applyFill="1"/>
    <xf numFmtId="0" fontId="114" fillId="0" borderId="0" xfId="6009" applyFont="1"/>
    <xf numFmtId="0" fontId="5" fillId="0" borderId="0" xfId="5735"/>
    <xf numFmtId="42" fontId="6" fillId="0" borderId="10" xfId="5735" applyNumberFormat="1" applyFont="1" applyBorder="1"/>
    <xf numFmtId="42" fontId="6" fillId="99" borderId="10" xfId="5735" applyNumberFormat="1" applyFont="1" applyFill="1" applyBorder="1"/>
    <xf numFmtId="9" fontId="6" fillId="0" borderId="0" xfId="5735" applyNumberFormat="1" applyFont="1"/>
    <xf numFmtId="0" fontId="6" fillId="0" borderId="0" xfId="5735" applyFont="1" applyAlignment="1">
      <alignment horizontal="left"/>
    </xf>
    <xf numFmtId="41" fontId="6" fillId="0" borderId="0" xfId="5735" applyNumberFormat="1" applyFont="1"/>
    <xf numFmtId="41" fontId="6" fillId="99" borderId="0" xfId="5735" applyNumberFormat="1" applyFont="1" applyFill="1"/>
    <xf numFmtId="164" fontId="6" fillId="0" borderId="0" xfId="5735" applyNumberFormat="1" applyFont="1" applyProtection="1">
      <protection locked="0"/>
    </xf>
    <xf numFmtId="164" fontId="6" fillId="99" borderId="0" xfId="5735" applyNumberFormat="1" applyFont="1" applyFill="1" applyProtection="1">
      <protection locked="0"/>
    </xf>
    <xf numFmtId="0" fontId="6" fillId="0" borderId="0" xfId="5735" applyFont="1"/>
    <xf numFmtId="42" fontId="6" fillId="0" borderId="0" xfId="5735" applyNumberFormat="1" applyFont="1" applyAlignment="1" applyProtection="1">
      <protection locked="0"/>
    </xf>
    <xf numFmtId="42" fontId="6" fillId="99" borderId="0" xfId="5735" applyNumberFormat="1" applyFont="1" applyFill="1" applyAlignment="1" applyProtection="1">
      <protection locked="0"/>
    </xf>
    <xf numFmtId="164" fontId="6" fillId="0" borderId="0" xfId="5735" applyNumberFormat="1" applyFont="1" applyAlignment="1" applyProtection="1">
      <alignment horizontal="right"/>
      <protection locked="0"/>
    </xf>
    <xf numFmtId="41" fontId="6" fillId="99" borderId="19" xfId="1437" applyNumberFormat="1" applyFont="1" applyFill="1" applyBorder="1" applyAlignment="1" applyProtection="1">
      <protection locked="0"/>
    </xf>
    <xf numFmtId="164" fontId="6" fillId="0" borderId="0" xfId="5735" applyNumberFormat="1" applyFont="1" applyBorder="1" applyProtection="1">
      <protection locked="0"/>
    </xf>
    <xf numFmtId="41" fontId="6" fillId="0" borderId="0" xfId="5735" applyNumberFormat="1" applyFont="1" applyAlignment="1" applyProtection="1">
      <protection locked="0"/>
    </xf>
    <xf numFmtId="41" fontId="6" fillId="99" borderId="0" xfId="5735" applyNumberFormat="1" applyFont="1" applyFill="1" applyAlignment="1" applyProtection="1">
      <protection locked="0"/>
    </xf>
    <xf numFmtId="0" fontId="6" fillId="99" borderId="0" xfId="5735" applyFont="1" applyFill="1"/>
    <xf numFmtId="42" fontId="6" fillId="0" borderId="20" xfId="5735" applyNumberFormat="1" applyFont="1" applyBorder="1" applyAlignment="1" applyProtection="1">
      <protection locked="0"/>
    </xf>
    <xf numFmtId="42" fontId="6" fillId="99" borderId="20" xfId="5735" applyNumberFormat="1" applyFont="1" applyFill="1" applyBorder="1" applyAlignment="1" applyProtection="1">
      <protection locked="0"/>
    </xf>
    <xf numFmtId="165" fontId="6" fillId="99" borderId="0" xfId="1673" applyNumberFormat="1" applyFont="1" applyFill="1"/>
    <xf numFmtId="3" fontId="6" fillId="99" borderId="0" xfId="1437" applyNumberFormat="1" applyFont="1" applyFill="1" applyAlignment="1" applyProtection="1">
      <alignment wrapText="1"/>
      <protection locked="0"/>
    </xf>
    <xf numFmtId="0" fontId="6" fillId="0" borderId="0" xfId="5735" applyFont="1" applyBorder="1" applyAlignment="1">
      <alignment horizontal="left"/>
    </xf>
    <xf numFmtId="169" fontId="112" fillId="0" borderId="0" xfId="5735" applyNumberFormat="1" applyFont="1" applyFill="1" applyAlignment="1">
      <alignment horizontal="center"/>
    </xf>
    <xf numFmtId="3" fontId="0" fillId="0" borderId="20" xfId="0" applyNumberFormat="1" applyBorder="1"/>
    <xf numFmtId="0" fontId="5" fillId="0" borderId="0" xfId="5735" applyFill="1"/>
    <xf numFmtId="43" fontId="6" fillId="0" borderId="0" xfId="1437" applyFont="1" applyFill="1" applyAlignment="1" applyProtection="1">
      <alignment wrapText="1"/>
      <protection locked="0"/>
    </xf>
    <xf numFmtId="165" fontId="6" fillId="0" borderId="0" xfId="1673" applyNumberFormat="1" applyFont="1" applyFill="1"/>
    <xf numFmtId="0" fontId="6" fillId="0" borderId="0" xfId="5735" applyFont="1" applyFill="1"/>
    <xf numFmtId="42" fontId="6" fillId="0" borderId="20" xfId="5735" applyNumberFormat="1" applyFont="1" applyFill="1" applyBorder="1" applyAlignment="1" applyProtection="1">
      <protection locked="0"/>
    </xf>
    <xf numFmtId="41" fontId="6" fillId="0" borderId="0" xfId="5735" applyNumberFormat="1" applyFont="1" applyFill="1" applyAlignment="1" applyProtection="1">
      <protection locked="0"/>
    </xf>
    <xf numFmtId="42" fontId="6" fillId="0" borderId="0" xfId="5735" applyNumberFormat="1" applyFont="1" applyFill="1" applyAlignment="1" applyProtection="1">
      <protection locked="0"/>
    </xf>
    <xf numFmtId="164" fontId="6" fillId="0" borderId="0" xfId="5735" applyNumberFormat="1" applyFont="1" applyFill="1" applyProtection="1">
      <protection locked="0"/>
    </xf>
    <xf numFmtId="41" fontId="6" fillId="0" borderId="0" xfId="5735" applyNumberFormat="1" applyFont="1" applyFill="1"/>
    <xf numFmtId="42" fontId="6" fillId="0" borderId="10" xfId="5735" applyNumberFormat="1" applyFont="1" applyFill="1" applyBorder="1"/>
    <xf numFmtId="3" fontId="5" fillId="0" borderId="0" xfId="5735" applyNumberFormat="1" applyFill="1"/>
    <xf numFmtId="169" fontId="5" fillId="0" borderId="0" xfId="5735" applyNumberFormat="1" applyFill="1"/>
    <xf numFmtId="0" fontId="115" fillId="0" borderId="0" xfId="5735" applyFont="1" applyFill="1" applyAlignment="1">
      <alignment horizontal="right"/>
    </xf>
    <xf numFmtId="42" fontId="5" fillId="0" borderId="0" xfId="5735" applyNumberFormat="1" applyFill="1"/>
    <xf numFmtId="42" fontId="5" fillId="0" borderId="20" xfId="5735" applyNumberFormat="1" applyFill="1" applyBorder="1"/>
    <xf numFmtId="41" fontId="5" fillId="0" borderId="0" xfId="5735" applyNumberFormat="1" applyFill="1"/>
    <xf numFmtId="43" fontId="5" fillId="0" borderId="0" xfId="5735" applyNumberFormat="1" applyFill="1"/>
    <xf numFmtId="0" fontId="5" fillId="0" borderId="0" xfId="5735" applyFill="1" applyAlignment="1">
      <alignment horizontal="right"/>
    </xf>
    <xf numFmtId="0" fontId="5" fillId="0" borderId="0" xfId="5735" applyFont="1" applyFill="1" applyAlignment="1">
      <alignment horizontal="right"/>
    </xf>
    <xf numFmtId="166" fontId="5" fillId="0" borderId="0" xfId="5735" applyNumberFormat="1" applyFont="1" applyFill="1"/>
    <xf numFmtId="166" fontId="5" fillId="0" borderId="40" xfId="5735" applyNumberFormat="1" applyFont="1" applyFill="1" applyBorder="1"/>
    <xf numFmtId="0" fontId="5" fillId="0" borderId="0" xfId="5735" applyFont="1" applyFill="1"/>
    <xf numFmtId="3" fontId="0" fillId="0" borderId="20" xfId="0" applyNumberFormat="1" applyFill="1" applyBorder="1"/>
    <xf numFmtId="0" fontId="10" fillId="0" borderId="54" xfId="1794" applyFont="1" applyFill="1" applyBorder="1" applyAlignment="1">
      <alignment horizontal="center"/>
    </xf>
    <xf numFmtId="0" fontId="10" fillId="0" borderId="4" xfId="1794" applyFont="1" applyFill="1" applyBorder="1" applyAlignment="1">
      <alignment horizontal="center"/>
    </xf>
    <xf numFmtId="0" fontId="10" fillId="0" borderId="4" xfId="1794" applyFont="1" applyFill="1" applyBorder="1" applyAlignment="1">
      <alignment horizontal="center" wrapText="1"/>
    </xf>
    <xf numFmtId="0" fontId="10" fillId="0" borderId="55" xfId="1794" applyFont="1" applyFill="1" applyBorder="1" applyAlignment="1">
      <alignment horizontal="center" wrapText="1"/>
    </xf>
    <xf numFmtId="0" fontId="10" fillId="0" borderId="55" xfId="1794" applyFont="1" applyFill="1" applyBorder="1" applyAlignment="1">
      <alignment horizontal="center"/>
    </xf>
    <xf numFmtId="0" fontId="1" fillId="0" borderId="53" xfId="6009" applyFill="1" applyBorder="1"/>
    <xf numFmtId="166" fontId="1" fillId="0" borderId="42" xfId="6009" applyNumberFormat="1" applyFill="1" applyBorder="1"/>
    <xf numFmtId="166" fontId="1" fillId="0" borderId="5" xfId="6009" applyNumberFormat="1" applyFill="1" applyBorder="1"/>
    <xf numFmtId="166" fontId="1" fillId="0" borderId="41" xfId="6009" applyNumberFormat="1" applyFill="1" applyBorder="1"/>
    <xf numFmtId="166" fontId="1" fillId="0" borderId="52" xfId="6009" applyNumberFormat="1" applyFill="1" applyBorder="1"/>
    <xf numFmtId="0" fontId="1" fillId="0" borderId="51" xfId="6009" applyFill="1" applyBorder="1"/>
    <xf numFmtId="166" fontId="1" fillId="0" borderId="39" xfId="6009" applyNumberFormat="1" applyFill="1" applyBorder="1"/>
    <xf numFmtId="166" fontId="1" fillId="0" borderId="0" xfId="6009" applyNumberFormat="1" applyFill="1" applyBorder="1"/>
    <xf numFmtId="166" fontId="1" fillId="0" borderId="43" xfId="6009" applyNumberFormat="1" applyFill="1" applyBorder="1"/>
    <xf numFmtId="166" fontId="1" fillId="0" borderId="50" xfId="6009" applyNumberFormat="1" applyFill="1" applyBorder="1"/>
    <xf numFmtId="0" fontId="1" fillId="0" borderId="49" xfId="6009" applyFill="1" applyBorder="1"/>
    <xf numFmtId="166" fontId="1" fillId="0" borderId="48" xfId="6009" applyNumberFormat="1" applyFill="1" applyBorder="1"/>
    <xf numFmtId="166" fontId="1" fillId="0" borderId="19" xfId="6009" applyNumberFormat="1" applyFill="1" applyBorder="1"/>
    <xf numFmtId="166" fontId="1" fillId="0" borderId="47" xfId="6009" applyNumberFormat="1" applyFill="1" applyBorder="1"/>
    <xf numFmtId="166" fontId="1" fillId="0" borderId="46" xfId="6009" applyNumberFormat="1" applyFill="1" applyBorder="1"/>
    <xf numFmtId="0" fontId="1" fillId="0" borderId="42" xfId="6009" applyFill="1" applyBorder="1"/>
    <xf numFmtId="0" fontId="1" fillId="0" borderId="45" xfId="6009" applyFill="1" applyBorder="1"/>
    <xf numFmtId="166" fontId="1" fillId="0" borderId="45" xfId="6009" applyNumberFormat="1" applyFill="1" applyBorder="1"/>
    <xf numFmtId="166" fontId="1" fillId="0" borderId="20" xfId="6009" applyNumberFormat="1" applyFill="1" applyBorder="1"/>
    <xf numFmtId="166" fontId="1" fillId="0" borderId="44" xfId="6009" applyNumberFormat="1" applyFill="1" applyBorder="1"/>
    <xf numFmtId="0" fontId="1" fillId="0" borderId="39" xfId="6009" applyFill="1" applyBorder="1"/>
    <xf numFmtId="0" fontId="10" fillId="100" borderId="0" xfId="5735" applyFont="1" applyFill="1"/>
    <xf numFmtId="0" fontId="5" fillId="100" borderId="0" xfId="5735" applyFill="1"/>
    <xf numFmtId="0" fontId="7" fillId="0" borderId="0" xfId="0" applyFont="1" applyFill="1" applyAlignment="1">
      <alignment horizontal="center"/>
    </xf>
  </cellXfs>
  <cellStyles count="6010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09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colors>
    <mruColors>
      <color rgb="FFCC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28575</xdr:rowOff>
    </xdr:from>
    <xdr:to>
      <xdr:col>26</xdr:col>
      <xdr:colOff>123825</xdr:colOff>
      <xdr:row>50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8575"/>
          <a:ext cx="6477000" cy="81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6E-Montana-Tax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nthly"/>
      <sheetName val="Actual Generation"/>
      <sheetName val="SAP 12MOE June 2018"/>
      <sheetName val="Montana Energy Tax"/>
    </sheetNames>
    <sheetDataSet>
      <sheetData sheetId="0">
        <row r="12">
          <cell r="E12">
            <v>4454548000</v>
          </cell>
        </row>
      </sheetData>
      <sheetData sheetId="1" refreshError="1"/>
      <sheetData sheetId="2">
        <row r="7">
          <cell r="E7">
            <v>42917</v>
          </cell>
          <cell r="F7">
            <v>42948</v>
          </cell>
          <cell r="G7">
            <v>42979</v>
          </cell>
          <cell r="H7">
            <v>43009</v>
          </cell>
          <cell r="I7">
            <v>43040</v>
          </cell>
          <cell r="J7">
            <v>43070</v>
          </cell>
          <cell r="K7">
            <v>43101</v>
          </cell>
          <cell r="L7">
            <v>43132</v>
          </cell>
          <cell r="M7">
            <v>43160</v>
          </cell>
          <cell r="N7">
            <v>43191</v>
          </cell>
          <cell r="O7">
            <v>43221</v>
          </cell>
          <cell r="P7">
            <v>43252</v>
          </cell>
        </row>
        <row r="16">
          <cell r="E16">
            <v>190038</v>
          </cell>
          <cell r="F16">
            <v>219426</v>
          </cell>
          <cell r="G16">
            <v>163420</v>
          </cell>
          <cell r="H16">
            <v>100679</v>
          </cell>
          <cell r="I16">
            <v>206405</v>
          </cell>
          <cell r="J16">
            <v>207552</v>
          </cell>
          <cell r="K16">
            <v>193757</v>
          </cell>
          <cell r="L16">
            <v>163591</v>
          </cell>
          <cell r="M16">
            <v>168392</v>
          </cell>
          <cell r="N16">
            <v>0</v>
          </cell>
          <cell r="O16">
            <v>0</v>
          </cell>
          <cell r="P16">
            <v>30015</v>
          </cell>
        </row>
        <row r="17">
          <cell r="E17">
            <v>257355</v>
          </cell>
          <cell r="F17">
            <v>264912</v>
          </cell>
          <cell r="G17">
            <v>244397</v>
          </cell>
          <cell r="H17">
            <v>233165</v>
          </cell>
          <cell r="I17">
            <v>250216</v>
          </cell>
          <cell r="J17">
            <v>263381</v>
          </cell>
          <cell r="K17">
            <v>262855</v>
          </cell>
          <cell r="L17">
            <v>220078</v>
          </cell>
          <cell r="M17">
            <v>256604</v>
          </cell>
          <cell r="N17">
            <v>218283</v>
          </cell>
          <cell r="O17">
            <v>155274</v>
          </cell>
          <cell r="P17">
            <v>184753</v>
          </cell>
        </row>
      </sheetData>
      <sheetData sheetId="3">
        <row r="6">
          <cell r="C6">
            <v>127401.58</v>
          </cell>
          <cell r="D6">
            <v>127401.58</v>
          </cell>
          <cell r="E6">
            <v>178554.21</v>
          </cell>
          <cell r="F6">
            <v>127401.58</v>
          </cell>
          <cell r="G6">
            <v>127401.58</v>
          </cell>
          <cell r="H6">
            <v>111693.75</v>
          </cell>
          <cell r="I6">
            <v>129270.32</v>
          </cell>
          <cell r="J6">
            <v>129270.32</v>
          </cell>
          <cell r="K6">
            <v>129270.32</v>
          </cell>
          <cell r="L6">
            <v>129270.32</v>
          </cell>
          <cell r="M6">
            <v>129270.32</v>
          </cell>
          <cell r="N6">
            <v>129270.32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10" zoomScaleNormal="110" workbookViewId="0">
      <selection activeCell="G6" sqref="G6"/>
    </sheetView>
  </sheetViews>
  <sheetFormatPr defaultRowHeight="12.75"/>
  <cols>
    <col min="2" max="2" width="27.5703125" bestFit="1" customWidth="1"/>
    <col min="3" max="3" width="5.28515625" bestFit="1" customWidth="1"/>
    <col min="4" max="4" width="18.85546875" customWidth="1"/>
    <col min="5" max="5" width="14.140625" customWidth="1"/>
    <col min="6" max="6" width="5" style="32" bestFit="1" customWidth="1"/>
    <col min="7" max="7" width="14.5703125" bestFit="1" customWidth="1"/>
    <col min="8" max="8" width="11.285156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10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35</v>
      </c>
      <c r="B6" s="4"/>
      <c r="C6" s="4"/>
      <c r="D6" s="4"/>
      <c r="E6" s="6"/>
    </row>
    <row r="7" spans="1:6">
      <c r="A7" s="141" t="s">
        <v>31</v>
      </c>
      <c r="B7" s="141"/>
      <c r="C7" s="141"/>
      <c r="D7" s="141"/>
      <c r="E7" s="141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32</v>
      </c>
      <c r="C12" s="18"/>
      <c r="D12" s="29"/>
      <c r="E12" s="31">
        <f>SUM('Rate Year Generation'!E9:E10)*1000</f>
        <v>3967053655.125</v>
      </c>
      <c r="F12" s="91"/>
    </row>
    <row r="13" spans="1:6">
      <c r="A13" s="13">
        <f t="shared" si="0"/>
        <v>2</v>
      </c>
      <c r="B13" s="1" t="s">
        <v>19</v>
      </c>
      <c r="C13" s="1"/>
      <c r="D13" s="1"/>
      <c r="E13" s="37">
        <f>'Montana Energy Tax'!G2</f>
        <v>0.05</v>
      </c>
    </row>
    <row r="14" spans="1:6">
      <c r="A14" s="13">
        <f t="shared" si="0"/>
        <v>3</v>
      </c>
      <c r="B14" s="1" t="s">
        <v>18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22</v>
      </c>
      <c r="C15" s="1"/>
      <c r="D15" s="1"/>
      <c r="E15" s="36">
        <f>+E12*(1-E13)*E14</f>
        <v>565305.14585531235</v>
      </c>
    </row>
    <row r="16" spans="1:6">
      <c r="A16" s="13">
        <f t="shared" si="0"/>
        <v>5</v>
      </c>
      <c r="B16" s="1"/>
      <c r="C16" s="1"/>
      <c r="D16" s="1"/>
      <c r="E16" s="1"/>
    </row>
    <row r="17" spans="1:6">
      <c r="A17" s="13">
        <f t="shared" si="0"/>
        <v>6</v>
      </c>
      <c r="B17" s="1" t="s">
        <v>20</v>
      </c>
      <c r="C17" s="1"/>
      <c r="D17" s="1"/>
      <c r="E17" s="1">
        <f>+'Montana Energy Tax'!C2</f>
        <v>2.0000000000000001E-4</v>
      </c>
    </row>
    <row r="18" spans="1:6">
      <c r="A18" s="13">
        <f t="shared" si="0"/>
        <v>7</v>
      </c>
      <c r="B18" s="1" t="s">
        <v>21</v>
      </c>
      <c r="C18" s="1"/>
      <c r="D18" s="1"/>
      <c r="E18" s="36">
        <f>+E17*E12</f>
        <v>793410.73102499999</v>
      </c>
    </row>
    <row r="19" spans="1:6">
      <c r="A19" s="13">
        <f t="shared" si="0"/>
        <v>8</v>
      </c>
      <c r="B19" s="1"/>
      <c r="C19" s="1"/>
      <c r="D19" s="1"/>
      <c r="E19" s="1"/>
    </row>
    <row r="20" spans="1:6">
      <c r="A20" s="13">
        <f t="shared" si="0"/>
        <v>9</v>
      </c>
      <c r="B20" s="19" t="s">
        <v>11</v>
      </c>
      <c r="C20" s="20"/>
      <c r="D20" s="21"/>
      <c r="E20" s="22">
        <f>+E15+E18</f>
        <v>1358715.8768803123</v>
      </c>
      <c r="F20"/>
    </row>
    <row r="21" spans="1:6">
      <c r="A21" s="13">
        <f t="shared" si="0"/>
        <v>10</v>
      </c>
      <c r="B21" s="19" t="s">
        <v>65</v>
      </c>
      <c r="C21" s="20"/>
      <c r="D21" s="23"/>
      <c r="E21" s="30">
        <f>+Monthly!C11</f>
        <v>1525682.69</v>
      </c>
      <c r="F21"/>
    </row>
    <row r="22" spans="1:6">
      <c r="A22" s="13">
        <f t="shared" si="0"/>
        <v>11</v>
      </c>
      <c r="B22" s="19" t="s">
        <v>7</v>
      </c>
      <c r="C22" s="24"/>
      <c r="D22" s="21"/>
      <c r="E22" s="25">
        <f>E21-E20</f>
        <v>166966.81311968761</v>
      </c>
      <c r="F22"/>
    </row>
    <row r="23" spans="1:6">
      <c r="A23" s="13">
        <f t="shared" si="0"/>
        <v>12</v>
      </c>
      <c r="B23" s="1"/>
      <c r="C23" s="18"/>
      <c r="D23" s="18" t="s">
        <v>2</v>
      </c>
      <c r="E23" s="18" t="s">
        <v>2</v>
      </c>
      <c r="F23"/>
    </row>
    <row r="24" spans="1:6">
      <c r="A24" s="13">
        <f t="shared" si="0"/>
        <v>13</v>
      </c>
      <c r="B24" s="19" t="s">
        <v>8</v>
      </c>
      <c r="C24" s="52"/>
      <c r="D24" s="1"/>
      <c r="E24" s="53">
        <f>+Monthly!C38</f>
        <v>31577.485055134377</v>
      </c>
    </row>
    <row r="25" spans="1:6">
      <c r="A25" s="13">
        <f t="shared" si="0"/>
        <v>14</v>
      </c>
      <c r="B25" s="19" t="s">
        <v>9</v>
      </c>
      <c r="C25" s="54"/>
      <c r="D25" s="55"/>
      <c r="E25" s="56">
        <f>E22-E24</f>
        <v>135389.32806455324</v>
      </c>
    </row>
    <row r="26" spans="1:6">
      <c r="A26" s="26"/>
      <c r="B26" s="1"/>
      <c r="C26" s="1"/>
      <c r="D26" s="1"/>
      <c r="E26" s="1"/>
    </row>
    <row r="27" spans="1:6">
      <c r="A27" s="28"/>
      <c r="B27" s="27"/>
      <c r="C27" s="27"/>
      <c r="D27" s="27"/>
      <c r="E27" s="27"/>
    </row>
  </sheetData>
  <mergeCells count="1">
    <mergeCell ref="A7:E7"/>
  </mergeCells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0"/>
  <sheetViews>
    <sheetView zoomScale="170" zoomScaleNormal="17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defaultColWidth="9.140625" defaultRowHeight="12.75"/>
  <cols>
    <col min="1" max="1" width="36.42578125" style="65" bestFit="1" customWidth="1"/>
    <col min="2" max="2" width="9.140625" style="65"/>
    <col min="3" max="3" width="12.28515625" style="65" bestFit="1" customWidth="1"/>
    <col min="4" max="9" width="10.85546875" style="65" bestFit="1" customWidth="1"/>
    <col min="10" max="21" width="11.85546875" style="65" bestFit="1" customWidth="1"/>
    <col min="22" max="22" width="6.85546875" style="65" bestFit="1" customWidth="1"/>
    <col min="23" max="16384" width="9.140625" style="65"/>
  </cols>
  <sheetData>
    <row r="2" spans="1:16">
      <c r="A2" s="139" t="s">
        <v>59</v>
      </c>
      <c r="C2" s="65" t="s">
        <v>58</v>
      </c>
      <c r="D2" s="88">
        <f>+'[3]Actual Generation'!E7</f>
        <v>42917</v>
      </c>
      <c r="E2" s="88">
        <f>+'[3]Actual Generation'!F7</f>
        <v>42948</v>
      </c>
      <c r="F2" s="88">
        <f>+'[3]Actual Generation'!G7</f>
        <v>42979</v>
      </c>
      <c r="G2" s="88">
        <f>+'[3]Actual Generation'!H7</f>
        <v>43009</v>
      </c>
      <c r="H2" s="88">
        <f>+'[3]Actual Generation'!I7</f>
        <v>43040</v>
      </c>
      <c r="I2" s="88">
        <f>+'[3]Actual Generation'!J7</f>
        <v>43070</v>
      </c>
      <c r="J2" s="88">
        <f>+'[3]Actual Generation'!K7</f>
        <v>43101</v>
      </c>
      <c r="K2" s="88">
        <f>+'[3]Actual Generation'!L7</f>
        <v>43132</v>
      </c>
      <c r="L2" s="88">
        <f>+'[3]Actual Generation'!M7</f>
        <v>43160</v>
      </c>
      <c r="M2" s="88">
        <f>+'[3]Actual Generation'!N7</f>
        <v>43191</v>
      </c>
      <c r="N2" s="88">
        <f>+'[3]Actual Generation'!O7</f>
        <v>43221</v>
      </c>
      <c r="O2" s="88">
        <f>+'[3]Actual Generation'!P7</f>
        <v>43252</v>
      </c>
      <c r="P2" s="90"/>
    </row>
    <row r="3" spans="1:16">
      <c r="A3" s="87" t="s">
        <v>57</v>
      </c>
      <c r="B3" s="72"/>
      <c r="C3" s="86">
        <f>SUM(D3:O3)</f>
        <v>4454548000</v>
      </c>
      <c r="D3" s="31">
        <f>SUM('[3]Actual Generation'!E16:E17)*1000</f>
        <v>447393000</v>
      </c>
      <c r="E3" s="31">
        <f>SUM('[3]Actual Generation'!F16:F17)*1000</f>
        <v>484338000</v>
      </c>
      <c r="F3" s="31">
        <f>SUM('[3]Actual Generation'!G16:G17)*1000</f>
        <v>407817000</v>
      </c>
      <c r="G3" s="31">
        <f>SUM('[3]Actual Generation'!H16:H17)*1000</f>
        <v>333844000</v>
      </c>
      <c r="H3" s="31">
        <f>SUM('[3]Actual Generation'!I16:I17)*1000</f>
        <v>456621000</v>
      </c>
      <c r="I3" s="31">
        <f>SUM('[3]Actual Generation'!J16:J17)*1000</f>
        <v>470933000</v>
      </c>
      <c r="J3" s="31">
        <f>SUM('[3]Actual Generation'!K16:K17)*1000</f>
        <v>456612000</v>
      </c>
      <c r="K3" s="31">
        <f>SUM('[3]Actual Generation'!L16:L17)*1000</f>
        <v>383669000</v>
      </c>
      <c r="L3" s="31">
        <f>SUM('[3]Actual Generation'!M16:M17)*1000</f>
        <v>424996000</v>
      </c>
      <c r="M3" s="31">
        <f>SUM('[3]Actual Generation'!N16:N17)*1000</f>
        <v>218283000</v>
      </c>
      <c r="N3" s="31">
        <f>SUM('[3]Actual Generation'!O16:O17)*1000</f>
        <v>155274000</v>
      </c>
      <c r="O3" s="31">
        <f>SUM('[3]Actual Generation'!P16:P17)*1000</f>
        <v>214768000</v>
      </c>
      <c r="P3" s="90"/>
    </row>
    <row r="4" spans="1:16">
      <c r="A4" s="74" t="s">
        <v>19</v>
      </c>
      <c r="B4" s="74"/>
      <c r="C4" s="85"/>
      <c r="D4" s="37">
        <v>0.05</v>
      </c>
      <c r="E4" s="37">
        <v>0.05</v>
      </c>
      <c r="F4" s="37">
        <v>0.05</v>
      </c>
      <c r="G4" s="37">
        <v>0.05</v>
      </c>
      <c r="H4" s="37">
        <v>0.05</v>
      </c>
      <c r="I4" s="37">
        <v>0.05</v>
      </c>
      <c r="J4" s="92">
        <v>0.05</v>
      </c>
      <c r="K4" s="92">
        <v>0.05</v>
      </c>
      <c r="L4" s="92">
        <v>0.05</v>
      </c>
      <c r="M4" s="92">
        <v>0.05</v>
      </c>
      <c r="N4" s="92">
        <v>0.05</v>
      </c>
      <c r="O4" s="92">
        <v>0.05</v>
      </c>
      <c r="P4" s="90"/>
    </row>
    <row r="5" spans="1:16">
      <c r="A5" s="74" t="s">
        <v>18</v>
      </c>
      <c r="B5" s="74"/>
      <c r="C5" s="82"/>
      <c r="D5" s="74">
        <v>1.4999999999999999E-4</v>
      </c>
      <c r="E5" s="74">
        <v>1.4999999999999999E-4</v>
      </c>
      <c r="F5" s="74">
        <v>1.4999999999999999E-4</v>
      </c>
      <c r="G5" s="74">
        <v>1.4999999999999999E-4</v>
      </c>
      <c r="H5" s="74">
        <v>1.4999999999999999E-4</v>
      </c>
      <c r="I5" s="74">
        <v>1.4999999999999999E-4</v>
      </c>
      <c r="J5" s="93">
        <v>1.4999999999999999E-4</v>
      </c>
      <c r="K5" s="93">
        <v>1.4999999999999999E-4</v>
      </c>
      <c r="L5" s="93">
        <v>1.4999999999999999E-4</v>
      </c>
      <c r="M5" s="93">
        <v>1.4999999999999999E-4</v>
      </c>
      <c r="N5" s="93">
        <v>1.4999999999999999E-4</v>
      </c>
      <c r="O5" s="93">
        <v>1.4999999999999999E-4</v>
      </c>
      <c r="P5" s="90"/>
    </row>
    <row r="6" spans="1:16">
      <c r="A6" s="74" t="s">
        <v>22</v>
      </c>
      <c r="B6" s="74"/>
      <c r="C6" s="84">
        <f>SUM(D6:O6)</f>
        <v>634773.08999999985</v>
      </c>
      <c r="D6" s="83">
        <f t="shared" ref="D6:O6" si="0">+D3*(1-D4)*D5</f>
        <v>63753.502499999995</v>
      </c>
      <c r="E6" s="83">
        <f t="shared" si="0"/>
        <v>69018.164999999994</v>
      </c>
      <c r="F6" s="83">
        <f t="shared" si="0"/>
        <v>58113.922499999993</v>
      </c>
      <c r="G6" s="83">
        <f t="shared" si="0"/>
        <v>47572.77</v>
      </c>
      <c r="H6" s="83">
        <f t="shared" si="0"/>
        <v>65068.492499999993</v>
      </c>
      <c r="I6" s="83">
        <f t="shared" si="0"/>
        <v>67107.952499999999</v>
      </c>
      <c r="J6" s="94">
        <f t="shared" si="0"/>
        <v>65067.209999999992</v>
      </c>
      <c r="K6" s="94">
        <f t="shared" si="0"/>
        <v>54672.832499999997</v>
      </c>
      <c r="L6" s="94">
        <f t="shared" si="0"/>
        <v>60561.929999999993</v>
      </c>
      <c r="M6" s="94">
        <f t="shared" si="0"/>
        <v>31105.327499999996</v>
      </c>
      <c r="N6" s="94">
        <f t="shared" si="0"/>
        <v>22126.544999999998</v>
      </c>
      <c r="O6" s="94">
        <f t="shared" si="0"/>
        <v>30604.44</v>
      </c>
      <c r="P6" s="90"/>
    </row>
    <row r="7" spans="1:16">
      <c r="A7" s="74"/>
      <c r="B7" s="74"/>
      <c r="C7" s="82"/>
      <c r="D7" s="74"/>
      <c r="E7" s="74"/>
      <c r="F7" s="74"/>
      <c r="G7" s="74"/>
      <c r="H7" s="74"/>
      <c r="I7" s="74"/>
      <c r="J7" s="93"/>
      <c r="K7" s="93"/>
      <c r="L7" s="93"/>
      <c r="M7" s="93"/>
      <c r="N7" s="93"/>
      <c r="O7" s="93"/>
      <c r="P7" s="90"/>
    </row>
    <row r="8" spans="1:16">
      <c r="A8" s="74" t="s">
        <v>20</v>
      </c>
      <c r="B8" s="74"/>
      <c r="C8" s="82"/>
      <c r="D8" s="74">
        <v>2.0000000000000001E-4</v>
      </c>
      <c r="E8" s="74">
        <v>2.0000000000000001E-4</v>
      </c>
      <c r="F8" s="74">
        <v>2.0000000000000001E-4</v>
      </c>
      <c r="G8" s="74">
        <v>2.0000000000000001E-4</v>
      </c>
      <c r="H8" s="74">
        <v>2.0000000000000001E-4</v>
      </c>
      <c r="I8" s="74">
        <v>2.0000000000000001E-4</v>
      </c>
      <c r="J8" s="93">
        <v>2.0000000000000001E-4</v>
      </c>
      <c r="K8" s="93">
        <v>2.0000000000000001E-4</v>
      </c>
      <c r="L8" s="93">
        <v>2.0000000000000001E-4</v>
      </c>
      <c r="M8" s="93">
        <v>2.0000000000000001E-4</v>
      </c>
      <c r="N8" s="93">
        <v>2.0000000000000001E-4</v>
      </c>
      <c r="O8" s="93">
        <v>2.0000000000000001E-4</v>
      </c>
      <c r="P8" s="90"/>
    </row>
    <row r="9" spans="1:16">
      <c r="A9" s="74" t="s">
        <v>21</v>
      </c>
      <c r="B9" s="74"/>
      <c r="C9" s="84">
        <f>SUM(D9:O9)</f>
        <v>890909.60000000009</v>
      </c>
      <c r="D9" s="83">
        <f t="shared" ref="D9:O9" si="1">+D8*D3</f>
        <v>89478.6</v>
      </c>
      <c r="E9" s="83">
        <f t="shared" si="1"/>
        <v>96867.6</v>
      </c>
      <c r="F9" s="83">
        <f t="shared" si="1"/>
        <v>81563.400000000009</v>
      </c>
      <c r="G9" s="83">
        <f t="shared" si="1"/>
        <v>66768.800000000003</v>
      </c>
      <c r="H9" s="83">
        <f t="shared" si="1"/>
        <v>91324.200000000012</v>
      </c>
      <c r="I9" s="83">
        <f t="shared" si="1"/>
        <v>94186.6</v>
      </c>
      <c r="J9" s="94">
        <f t="shared" si="1"/>
        <v>91322.400000000009</v>
      </c>
      <c r="K9" s="94">
        <f t="shared" si="1"/>
        <v>76733.8</v>
      </c>
      <c r="L9" s="94">
        <f t="shared" si="1"/>
        <v>84999.2</v>
      </c>
      <c r="M9" s="94">
        <f t="shared" si="1"/>
        <v>43656.6</v>
      </c>
      <c r="N9" s="94">
        <f t="shared" si="1"/>
        <v>31054.800000000003</v>
      </c>
      <c r="O9" s="94">
        <f t="shared" si="1"/>
        <v>42953.599999999999</v>
      </c>
      <c r="P9" s="90"/>
    </row>
    <row r="10" spans="1:16">
      <c r="A10" s="74"/>
      <c r="B10" s="74"/>
      <c r="C10" s="82"/>
      <c r="D10" s="74"/>
      <c r="E10" s="74"/>
      <c r="F10" s="74"/>
      <c r="G10" s="74"/>
      <c r="H10" s="74"/>
      <c r="I10" s="74"/>
      <c r="J10" s="93"/>
      <c r="K10" s="93"/>
      <c r="L10" s="93"/>
      <c r="M10" s="93"/>
      <c r="N10" s="93"/>
      <c r="O10" s="93"/>
      <c r="P10" s="90"/>
    </row>
    <row r="11" spans="1:16">
      <c r="A11" s="69" t="s">
        <v>11</v>
      </c>
      <c r="B11" s="79"/>
      <c r="C11" s="81">
        <f>SUM(D11:O11)</f>
        <v>1525682.69</v>
      </c>
      <c r="D11" s="80">
        <f t="shared" ref="D11:O11" si="2">+D6+D9</f>
        <v>153232.10250000001</v>
      </c>
      <c r="E11" s="80">
        <f t="shared" si="2"/>
        <v>165885.76500000001</v>
      </c>
      <c r="F11" s="80">
        <f t="shared" si="2"/>
        <v>139677.32250000001</v>
      </c>
      <c r="G11" s="80">
        <f t="shared" si="2"/>
        <v>114341.57</v>
      </c>
      <c r="H11" s="80">
        <f t="shared" si="2"/>
        <v>156392.6925</v>
      </c>
      <c r="I11" s="80">
        <f t="shared" si="2"/>
        <v>161294.55249999999</v>
      </c>
      <c r="J11" s="95">
        <f t="shared" si="2"/>
        <v>156389.60999999999</v>
      </c>
      <c r="K11" s="95">
        <f t="shared" si="2"/>
        <v>131406.63250000001</v>
      </c>
      <c r="L11" s="95">
        <f t="shared" si="2"/>
        <v>145561.13</v>
      </c>
      <c r="M11" s="95">
        <f t="shared" si="2"/>
        <v>74761.927499999991</v>
      </c>
      <c r="N11" s="95">
        <f t="shared" si="2"/>
        <v>53181.345000000001</v>
      </c>
      <c r="O11" s="95">
        <f t="shared" si="2"/>
        <v>73558.039999999994</v>
      </c>
      <c r="P11" s="90"/>
    </row>
    <row r="12" spans="1:16">
      <c r="A12" s="69" t="s">
        <v>6</v>
      </c>
      <c r="B12" s="79"/>
      <c r="C12" s="78">
        <f>SUM(D12:O12)</f>
        <v>1575476.2000000002</v>
      </c>
      <c r="D12" s="30">
        <f>+'[3]SAP 12MOE June 2018'!C6</f>
        <v>127401.58</v>
      </c>
      <c r="E12" s="30">
        <f>+'[3]SAP 12MOE June 2018'!D6</f>
        <v>127401.58</v>
      </c>
      <c r="F12" s="30">
        <f>+'[3]SAP 12MOE June 2018'!E6</f>
        <v>178554.21</v>
      </c>
      <c r="G12" s="30">
        <f>+'[3]SAP 12MOE June 2018'!F6</f>
        <v>127401.58</v>
      </c>
      <c r="H12" s="30">
        <f>+'[3]SAP 12MOE June 2018'!G6</f>
        <v>127401.58</v>
      </c>
      <c r="I12" s="30">
        <f>+'[3]SAP 12MOE June 2018'!H6</f>
        <v>111693.75</v>
      </c>
      <c r="J12" s="30">
        <f>+'[3]SAP 12MOE June 2018'!I6</f>
        <v>129270.32</v>
      </c>
      <c r="K12" s="30">
        <f>+'[3]SAP 12MOE June 2018'!J6</f>
        <v>129270.32</v>
      </c>
      <c r="L12" s="30">
        <f>+'[3]SAP 12MOE June 2018'!K6</f>
        <v>129270.32</v>
      </c>
      <c r="M12" s="30">
        <f>+'[3]SAP 12MOE June 2018'!L6</f>
        <v>129270.32</v>
      </c>
      <c r="N12" s="30">
        <f>+'[3]SAP 12MOE June 2018'!M6</f>
        <v>129270.32</v>
      </c>
      <c r="O12" s="30">
        <f>+'[3]SAP 12MOE June 2018'!N6</f>
        <v>129270.32</v>
      </c>
      <c r="P12" s="90"/>
    </row>
    <row r="13" spans="1:16">
      <c r="A13" s="69" t="s">
        <v>7</v>
      </c>
      <c r="B13" s="77"/>
      <c r="C13" s="76">
        <f>SUM(D13:O13)</f>
        <v>49793.510000000024</v>
      </c>
      <c r="D13" s="75">
        <f t="shared" ref="D13:O13" si="3">D12-D11</f>
        <v>-25830.522500000006</v>
      </c>
      <c r="E13" s="75">
        <f t="shared" si="3"/>
        <v>-38484.185000000012</v>
      </c>
      <c r="F13" s="75">
        <f t="shared" si="3"/>
        <v>38876.887499999983</v>
      </c>
      <c r="G13" s="75">
        <f t="shared" si="3"/>
        <v>13060.009999999995</v>
      </c>
      <c r="H13" s="75">
        <f t="shared" si="3"/>
        <v>-28991.112500000003</v>
      </c>
      <c r="I13" s="75">
        <f t="shared" si="3"/>
        <v>-49600.802499999991</v>
      </c>
      <c r="J13" s="96">
        <f t="shared" si="3"/>
        <v>-27119.289999999979</v>
      </c>
      <c r="K13" s="96">
        <f t="shared" si="3"/>
        <v>-2136.3125</v>
      </c>
      <c r="L13" s="96">
        <f t="shared" si="3"/>
        <v>-16290.809999999998</v>
      </c>
      <c r="M13" s="96">
        <f t="shared" si="3"/>
        <v>54508.392500000016</v>
      </c>
      <c r="N13" s="96">
        <f t="shared" si="3"/>
        <v>76088.975000000006</v>
      </c>
      <c r="O13" s="96">
        <f t="shared" si="3"/>
        <v>55712.280000000013</v>
      </c>
      <c r="P13" s="90"/>
    </row>
    <row r="14" spans="1:16">
      <c r="A14" s="74"/>
      <c r="B14" s="72"/>
      <c r="C14" s="73" t="s">
        <v>2</v>
      </c>
      <c r="D14" s="72" t="s">
        <v>2</v>
      </c>
      <c r="E14" s="72" t="s">
        <v>2</v>
      </c>
      <c r="F14" s="72" t="s">
        <v>2</v>
      </c>
      <c r="G14" s="72" t="s">
        <v>2</v>
      </c>
      <c r="H14" s="72" t="s">
        <v>2</v>
      </c>
      <c r="I14" s="72" t="s">
        <v>2</v>
      </c>
      <c r="J14" s="97" t="s">
        <v>2</v>
      </c>
      <c r="K14" s="97" t="s">
        <v>2</v>
      </c>
      <c r="L14" s="97" t="s">
        <v>2</v>
      </c>
      <c r="M14" s="97" t="s">
        <v>2</v>
      </c>
      <c r="N14" s="97" t="s">
        <v>2</v>
      </c>
      <c r="O14" s="97" t="s">
        <v>2</v>
      </c>
      <c r="P14" s="90"/>
    </row>
    <row r="15" spans="1:16">
      <c r="A15" s="69" t="s">
        <v>8</v>
      </c>
      <c r="B15" s="52">
        <v>0.28000000000000003</v>
      </c>
      <c r="C15" s="71">
        <f>SUM(D15:O15)</f>
        <v>13942.182800000004</v>
      </c>
      <c r="D15" s="70">
        <f t="shared" ref="D15:O15" si="4">D13*$B$15</f>
        <v>-7232.5463000000027</v>
      </c>
      <c r="E15" s="70">
        <f t="shared" si="4"/>
        <v>-10775.571800000005</v>
      </c>
      <c r="F15" s="70">
        <f t="shared" si="4"/>
        <v>10885.528499999997</v>
      </c>
      <c r="G15" s="70">
        <f t="shared" si="4"/>
        <v>3656.802799999999</v>
      </c>
      <c r="H15" s="70">
        <f t="shared" si="4"/>
        <v>-8117.5115000000014</v>
      </c>
      <c r="I15" s="70">
        <f t="shared" si="4"/>
        <v>-13888.224699999999</v>
      </c>
      <c r="J15" s="98">
        <f t="shared" si="4"/>
        <v>-7593.4011999999948</v>
      </c>
      <c r="K15" s="98">
        <f t="shared" si="4"/>
        <v>-598.16750000000002</v>
      </c>
      <c r="L15" s="98">
        <f t="shared" si="4"/>
        <v>-4561.4268000000002</v>
      </c>
      <c r="M15" s="98">
        <f t="shared" si="4"/>
        <v>15262.349900000007</v>
      </c>
      <c r="N15" s="98">
        <f t="shared" si="4"/>
        <v>21304.913000000004</v>
      </c>
      <c r="O15" s="98">
        <f t="shared" si="4"/>
        <v>15599.438400000005</v>
      </c>
      <c r="P15" s="90"/>
    </row>
    <row r="16" spans="1:16">
      <c r="A16" s="69" t="s">
        <v>9</v>
      </c>
      <c r="B16" s="68"/>
      <c r="C16" s="67">
        <f>SUM(D16:O16)</f>
        <v>35851.327200000014</v>
      </c>
      <c r="D16" s="66">
        <f t="shared" ref="D16:O16" si="5">D13-D15</f>
        <v>-18597.976200000005</v>
      </c>
      <c r="E16" s="66">
        <f t="shared" si="5"/>
        <v>-27708.613200000007</v>
      </c>
      <c r="F16" s="66">
        <f t="shared" si="5"/>
        <v>27991.358999999986</v>
      </c>
      <c r="G16" s="66">
        <f t="shared" si="5"/>
        <v>9403.2071999999953</v>
      </c>
      <c r="H16" s="66">
        <f t="shared" si="5"/>
        <v>-20873.601000000002</v>
      </c>
      <c r="I16" s="66">
        <f t="shared" si="5"/>
        <v>-35712.577799999992</v>
      </c>
      <c r="J16" s="99">
        <f t="shared" si="5"/>
        <v>-19525.888799999986</v>
      </c>
      <c r="K16" s="99">
        <f t="shared" si="5"/>
        <v>-1538.145</v>
      </c>
      <c r="L16" s="99">
        <f t="shared" si="5"/>
        <v>-11729.383199999997</v>
      </c>
      <c r="M16" s="99">
        <f t="shared" si="5"/>
        <v>39246.042600000008</v>
      </c>
      <c r="N16" s="99">
        <f t="shared" si="5"/>
        <v>54784.062000000005</v>
      </c>
      <c r="O16" s="99">
        <f t="shared" si="5"/>
        <v>40112.841600000007</v>
      </c>
      <c r="P16" s="90"/>
    </row>
    <row r="17" spans="1:35"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>
      <c r="A18" s="139" t="s">
        <v>66</v>
      </c>
      <c r="J18" s="88">
        <f>+J2</f>
        <v>43101</v>
      </c>
      <c r="K18" s="88">
        <f t="shared" ref="K18:O18" si="6">+K2</f>
        <v>43132</v>
      </c>
      <c r="L18" s="88">
        <f t="shared" si="6"/>
        <v>43160</v>
      </c>
      <c r="M18" s="88">
        <f t="shared" si="6"/>
        <v>43191</v>
      </c>
      <c r="N18" s="88">
        <f t="shared" si="6"/>
        <v>43221</v>
      </c>
      <c r="O18" s="88">
        <f t="shared" si="6"/>
        <v>43252</v>
      </c>
      <c r="P18" s="88">
        <v>43282</v>
      </c>
      <c r="Q18" s="88">
        <v>43283</v>
      </c>
      <c r="R18" s="88">
        <v>43284</v>
      </c>
      <c r="S18" s="88">
        <v>43285</v>
      </c>
      <c r="T18" s="88">
        <v>43286</v>
      </c>
      <c r="U18" s="88">
        <v>43287</v>
      </c>
      <c r="V18" s="101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>
      <c r="A19" s="87" t="s">
        <v>60</v>
      </c>
      <c r="C19" s="86">
        <f>SUM(D19:U19)</f>
        <v>3967053655.125</v>
      </c>
      <c r="J19" s="100">
        <f>+'Rate Year Generation'!F11*1000</f>
        <v>456612000</v>
      </c>
      <c r="K19" s="100">
        <f>+'Rate Year Generation'!G11*1000</f>
        <v>383669000</v>
      </c>
      <c r="L19" s="100">
        <f>+'Rate Year Generation'!H11*1000</f>
        <v>424996000</v>
      </c>
      <c r="M19" s="100">
        <f>+'Rate Year Generation'!I11*1000</f>
        <v>218283000</v>
      </c>
      <c r="N19" s="100">
        <f>+'Rate Year Generation'!J11*1000</f>
        <v>155274000</v>
      </c>
      <c r="O19" s="100">
        <f>+'Rate Year Generation'!K11*1000</f>
        <v>214768000</v>
      </c>
      <c r="P19" s="100">
        <f>+'Rate Year Generation'!L11*1000</f>
        <v>331235178</v>
      </c>
      <c r="Q19" s="100">
        <f>+'Rate Year Generation'!M11*1000</f>
        <v>365115669.37499994</v>
      </c>
      <c r="R19" s="100">
        <f>+'Rate Year Generation'!N11*1000</f>
        <v>335241796.50000006</v>
      </c>
      <c r="S19" s="100">
        <f>+'Rate Year Generation'!O11*1000</f>
        <v>343215938.50000006</v>
      </c>
      <c r="T19" s="100">
        <f>+'Rate Year Generation'!P11*1000</f>
        <v>349336315.875</v>
      </c>
      <c r="U19" s="100">
        <f>+'Rate Year Generation'!Q11*1000</f>
        <v>389306756.87499994</v>
      </c>
      <c r="V19" s="100"/>
      <c r="W19" s="10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>
      <c r="A20" s="74" t="s">
        <v>19</v>
      </c>
      <c r="C20" s="85"/>
      <c r="J20" s="37">
        <v>0.05</v>
      </c>
      <c r="K20" s="37">
        <v>0.05</v>
      </c>
      <c r="L20" s="37">
        <v>0.05</v>
      </c>
      <c r="M20" s="37">
        <v>0.05</v>
      </c>
      <c r="N20" s="37">
        <v>0.05</v>
      </c>
      <c r="O20" s="37">
        <v>0.05</v>
      </c>
      <c r="P20" s="92">
        <v>0.05</v>
      </c>
      <c r="Q20" s="92">
        <v>0.05</v>
      </c>
      <c r="R20" s="92">
        <v>0.05</v>
      </c>
      <c r="S20" s="92">
        <v>0.05</v>
      </c>
      <c r="T20" s="92">
        <v>0.05</v>
      </c>
      <c r="U20" s="92">
        <v>0.05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>
      <c r="A21" s="74" t="s">
        <v>18</v>
      </c>
      <c r="C21" s="82"/>
      <c r="J21" s="74">
        <v>1.4999999999999999E-4</v>
      </c>
      <c r="K21" s="74">
        <v>1.4999999999999999E-4</v>
      </c>
      <c r="L21" s="74">
        <v>1.4999999999999999E-4</v>
      </c>
      <c r="M21" s="74">
        <v>1.4999999999999999E-4</v>
      </c>
      <c r="N21" s="74">
        <v>1.4999999999999999E-4</v>
      </c>
      <c r="O21" s="74">
        <v>1.4999999999999999E-4</v>
      </c>
      <c r="P21" s="93">
        <v>1.4999999999999999E-4</v>
      </c>
      <c r="Q21" s="93">
        <v>1.4999999999999999E-4</v>
      </c>
      <c r="R21" s="93">
        <v>1.4999999999999999E-4</v>
      </c>
      <c r="S21" s="93">
        <v>1.4999999999999999E-4</v>
      </c>
      <c r="T21" s="93">
        <v>1.4999999999999999E-4</v>
      </c>
      <c r="U21" s="93">
        <v>1.4999999999999999E-4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>
      <c r="A22" s="74" t="s">
        <v>22</v>
      </c>
      <c r="C22" s="84">
        <f>SUM(D22:U22)</f>
        <v>565305.14585531247</v>
      </c>
      <c r="J22" s="83">
        <f t="shared" ref="J22:O22" si="7">+J19*(1-J20)*J21</f>
        <v>65067.209999999992</v>
      </c>
      <c r="K22" s="83">
        <f t="shared" si="7"/>
        <v>54672.832499999997</v>
      </c>
      <c r="L22" s="83">
        <f t="shared" si="7"/>
        <v>60561.929999999993</v>
      </c>
      <c r="M22" s="83">
        <f t="shared" si="7"/>
        <v>31105.327499999996</v>
      </c>
      <c r="N22" s="83">
        <f t="shared" si="7"/>
        <v>22126.544999999998</v>
      </c>
      <c r="O22" s="83">
        <f t="shared" si="7"/>
        <v>30604.44</v>
      </c>
      <c r="P22" s="94">
        <f t="shared" ref="P22:U22" si="8">+P19*(1-P20)*P21</f>
        <v>47201.01286499999</v>
      </c>
      <c r="Q22" s="94">
        <f t="shared" si="8"/>
        <v>52028.982885937483</v>
      </c>
      <c r="R22" s="94">
        <f t="shared" si="8"/>
        <v>47771.956001250008</v>
      </c>
      <c r="S22" s="94">
        <f t="shared" si="8"/>
        <v>48908.271236250002</v>
      </c>
      <c r="T22" s="94">
        <f t="shared" si="8"/>
        <v>49780.425012187494</v>
      </c>
      <c r="U22" s="94">
        <f t="shared" si="8"/>
        <v>55476.212854687488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>
      <c r="A23" s="74"/>
      <c r="C23" s="82"/>
      <c r="J23" s="74"/>
      <c r="K23" s="74"/>
      <c r="L23" s="74"/>
      <c r="M23" s="74"/>
      <c r="N23" s="74"/>
      <c r="O23" s="74"/>
      <c r="P23" s="93"/>
      <c r="Q23" s="93"/>
      <c r="R23" s="93"/>
      <c r="S23" s="93"/>
      <c r="T23" s="93"/>
      <c r="U23" s="93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>
      <c r="A24" s="74" t="s">
        <v>20</v>
      </c>
      <c r="C24" s="82"/>
      <c r="J24" s="74">
        <v>2.0000000000000001E-4</v>
      </c>
      <c r="K24" s="74">
        <v>2.0000000000000001E-4</v>
      </c>
      <c r="L24" s="74">
        <v>2.0000000000000001E-4</v>
      </c>
      <c r="M24" s="74">
        <v>2.0000000000000001E-4</v>
      </c>
      <c r="N24" s="74">
        <v>2.0000000000000001E-4</v>
      </c>
      <c r="O24" s="74">
        <v>2.0000000000000001E-4</v>
      </c>
      <c r="P24" s="93">
        <v>2.0000000000000001E-4</v>
      </c>
      <c r="Q24" s="93">
        <v>2.0000000000000001E-4</v>
      </c>
      <c r="R24" s="93">
        <v>2.0000000000000001E-4</v>
      </c>
      <c r="S24" s="93">
        <v>2.0000000000000001E-4</v>
      </c>
      <c r="T24" s="93">
        <v>2.0000000000000001E-4</v>
      </c>
      <c r="U24" s="93">
        <v>2.0000000000000001E-4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>
      <c r="A25" s="74" t="s">
        <v>21</v>
      </c>
      <c r="C25" s="84">
        <f>SUM(D25:U25)</f>
        <v>793410.73102499987</v>
      </c>
      <c r="J25" s="83">
        <f t="shared" ref="J25:O25" si="9">+J24*J19</f>
        <v>91322.400000000009</v>
      </c>
      <c r="K25" s="83">
        <f t="shared" si="9"/>
        <v>76733.8</v>
      </c>
      <c r="L25" s="83">
        <f t="shared" si="9"/>
        <v>84999.2</v>
      </c>
      <c r="M25" s="83">
        <f t="shared" si="9"/>
        <v>43656.6</v>
      </c>
      <c r="N25" s="83">
        <f t="shared" si="9"/>
        <v>31054.800000000003</v>
      </c>
      <c r="O25" s="83">
        <f t="shared" si="9"/>
        <v>42953.599999999999</v>
      </c>
      <c r="P25" s="94">
        <f t="shared" ref="P25:U25" si="10">+P24*P19</f>
        <v>66247.035600000003</v>
      </c>
      <c r="Q25" s="94">
        <f t="shared" si="10"/>
        <v>73023.133874999985</v>
      </c>
      <c r="R25" s="94">
        <f t="shared" si="10"/>
        <v>67048.359300000011</v>
      </c>
      <c r="S25" s="94">
        <f t="shared" si="10"/>
        <v>68643.187700000009</v>
      </c>
      <c r="T25" s="94">
        <f t="shared" si="10"/>
        <v>69867.263175</v>
      </c>
      <c r="U25" s="94">
        <f t="shared" si="10"/>
        <v>77861.351374999998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>
      <c r="A26" s="74"/>
      <c r="C26" s="82"/>
      <c r="J26" s="74"/>
      <c r="K26" s="74"/>
      <c r="L26" s="74"/>
      <c r="M26" s="74"/>
      <c r="N26" s="74"/>
      <c r="O26" s="74"/>
      <c r="P26" s="93"/>
      <c r="Q26" s="93"/>
      <c r="R26" s="93"/>
      <c r="S26" s="93"/>
      <c r="T26" s="93"/>
      <c r="U26" s="93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>
      <c r="A27" s="69" t="s">
        <v>11</v>
      </c>
      <c r="C27" s="81">
        <f>SUM(D27:U27)</f>
        <v>1358715.8768803126</v>
      </c>
      <c r="J27" s="80">
        <f t="shared" ref="J27:O27" si="11">+J22+J25</f>
        <v>156389.60999999999</v>
      </c>
      <c r="K27" s="80">
        <f t="shared" si="11"/>
        <v>131406.63250000001</v>
      </c>
      <c r="L27" s="80">
        <f t="shared" si="11"/>
        <v>145561.13</v>
      </c>
      <c r="M27" s="80">
        <f t="shared" si="11"/>
        <v>74761.927499999991</v>
      </c>
      <c r="N27" s="80">
        <f t="shared" si="11"/>
        <v>53181.345000000001</v>
      </c>
      <c r="O27" s="80">
        <f t="shared" si="11"/>
        <v>73558.039999999994</v>
      </c>
      <c r="P27" s="95">
        <f t="shared" ref="P27:U27" si="12">+P22+P25</f>
        <v>113448.048465</v>
      </c>
      <c r="Q27" s="95">
        <f t="shared" si="12"/>
        <v>125052.11676093747</v>
      </c>
      <c r="R27" s="95">
        <f t="shared" si="12"/>
        <v>114820.31530125003</v>
      </c>
      <c r="S27" s="95">
        <f t="shared" si="12"/>
        <v>117551.45893625001</v>
      </c>
      <c r="T27" s="95">
        <f t="shared" si="12"/>
        <v>119647.68818718749</v>
      </c>
      <c r="U27" s="95">
        <f t="shared" si="12"/>
        <v>133337.5642296875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>
      <c r="A28" s="69" t="s">
        <v>64</v>
      </c>
      <c r="C28" s="78">
        <f>SUM(D28:U28)</f>
        <v>1575476.2000000002</v>
      </c>
      <c r="J28" s="30">
        <f>+J12</f>
        <v>129270.32</v>
      </c>
      <c r="K28" s="30">
        <f t="shared" ref="K28:O28" si="13">+K12</f>
        <v>129270.32</v>
      </c>
      <c r="L28" s="30">
        <f t="shared" si="13"/>
        <v>129270.32</v>
      </c>
      <c r="M28" s="30">
        <f t="shared" si="13"/>
        <v>129270.32</v>
      </c>
      <c r="N28" s="30">
        <f t="shared" si="13"/>
        <v>129270.32</v>
      </c>
      <c r="O28" s="30">
        <f t="shared" si="13"/>
        <v>129270.32</v>
      </c>
      <c r="P28" s="95">
        <f>+D12</f>
        <v>127401.58</v>
      </c>
      <c r="Q28" s="95">
        <f t="shared" ref="Q28:U28" si="14">+E12</f>
        <v>127401.58</v>
      </c>
      <c r="R28" s="95">
        <f t="shared" si="14"/>
        <v>178554.21</v>
      </c>
      <c r="S28" s="95">
        <f t="shared" si="14"/>
        <v>127401.58</v>
      </c>
      <c r="T28" s="95">
        <f t="shared" si="14"/>
        <v>127401.58</v>
      </c>
      <c r="U28" s="95">
        <f t="shared" si="14"/>
        <v>111693.75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>
      <c r="A29" s="69" t="s">
        <v>7</v>
      </c>
      <c r="C29" s="76">
        <f>SUM(D29:U29)</f>
        <v>216760.32311968753</v>
      </c>
      <c r="J29" s="83">
        <f>J28-J27</f>
        <v>-27119.289999999979</v>
      </c>
      <c r="K29" s="83">
        <f>K28-K27</f>
        <v>-2136.3125</v>
      </c>
      <c r="L29" s="83">
        <f t="shared" ref="L29:U29" si="15">L28-L27</f>
        <v>-16290.809999999998</v>
      </c>
      <c r="M29" s="83">
        <f t="shared" si="15"/>
        <v>54508.392500000016</v>
      </c>
      <c r="N29" s="83">
        <f t="shared" si="15"/>
        <v>76088.975000000006</v>
      </c>
      <c r="O29" s="83">
        <f t="shared" si="15"/>
        <v>55712.280000000013</v>
      </c>
      <c r="P29" s="94">
        <f t="shared" si="15"/>
        <v>13953.531535000002</v>
      </c>
      <c r="Q29" s="94">
        <f t="shared" si="15"/>
        <v>2349.4632390625338</v>
      </c>
      <c r="R29" s="94">
        <f t="shared" si="15"/>
        <v>63733.894698749966</v>
      </c>
      <c r="S29" s="94">
        <f t="shared" si="15"/>
        <v>9850.1210637499898</v>
      </c>
      <c r="T29" s="94">
        <f t="shared" si="15"/>
        <v>7753.8918128125079</v>
      </c>
      <c r="U29" s="94">
        <f t="shared" si="15"/>
        <v>-21643.814229687501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>
      <c r="A30" s="74"/>
      <c r="C30" s="73" t="s">
        <v>2</v>
      </c>
      <c r="J30" s="72" t="s">
        <v>2</v>
      </c>
      <c r="K30" s="72" t="s">
        <v>2</v>
      </c>
      <c r="L30" s="72" t="s">
        <v>2</v>
      </c>
      <c r="M30" s="72" t="s">
        <v>2</v>
      </c>
      <c r="N30" s="72" t="s">
        <v>2</v>
      </c>
      <c r="O30" s="72" t="s">
        <v>2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>
      <c r="A31" s="69" t="s">
        <v>8</v>
      </c>
      <c r="B31" s="52">
        <v>0.21</v>
      </c>
      <c r="C31" s="71">
        <f>SUM(D31:U31)</f>
        <v>45519.667855134379</v>
      </c>
      <c r="J31" s="70">
        <f>J29*$B$31</f>
        <v>-5695.0508999999956</v>
      </c>
      <c r="K31" s="70">
        <f t="shared" ref="K31:U31" si="16">K29*$B$31</f>
        <v>-448.62562499999996</v>
      </c>
      <c r="L31" s="70">
        <f t="shared" si="16"/>
        <v>-3421.0700999999995</v>
      </c>
      <c r="M31" s="70">
        <f t="shared" si="16"/>
        <v>11446.762425000003</v>
      </c>
      <c r="N31" s="70">
        <f t="shared" si="16"/>
        <v>15978.68475</v>
      </c>
      <c r="O31" s="70">
        <f t="shared" si="16"/>
        <v>11699.578800000003</v>
      </c>
      <c r="P31" s="70">
        <f t="shared" si="16"/>
        <v>2930.2416223500004</v>
      </c>
      <c r="Q31" s="70">
        <f t="shared" si="16"/>
        <v>493.38728020313209</v>
      </c>
      <c r="R31" s="70">
        <f t="shared" si="16"/>
        <v>13384.117886737493</v>
      </c>
      <c r="S31" s="70">
        <f t="shared" si="16"/>
        <v>2068.525423387498</v>
      </c>
      <c r="T31" s="70">
        <f t="shared" si="16"/>
        <v>1628.3172806906266</v>
      </c>
      <c r="U31" s="70">
        <f t="shared" si="16"/>
        <v>-4545.2009882343755</v>
      </c>
    </row>
    <row r="32" spans="1:35">
      <c r="A32" s="69" t="s">
        <v>9</v>
      </c>
      <c r="C32" s="67">
        <f>SUM(D32:U32)</f>
        <v>171240.65526455318</v>
      </c>
      <c r="J32" s="66">
        <f t="shared" ref="J32:O32" si="17">J29-J31</f>
        <v>-21424.239099999984</v>
      </c>
      <c r="K32" s="66">
        <f t="shared" si="17"/>
        <v>-1687.6868750000001</v>
      </c>
      <c r="L32" s="66">
        <f t="shared" si="17"/>
        <v>-12869.739899999999</v>
      </c>
      <c r="M32" s="66">
        <f t="shared" si="17"/>
        <v>43061.630075000015</v>
      </c>
      <c r="N32" s="66">
        <f t="shared" si="17"/>
        <v>60110.290250000005</v>
      </c>
      <c r="O32" s="66">
        <f t="shared" si="17"/>
        <v>44012.70120000001</v>
      </c>
      <c r="P32" s="66">
        <f t="shared" ref="P32:U32" si="18">P29-P31</f>
        <v>11023.289912650001</v>
      </c>
      <c r="Q32" s="66">
        <f t="shared" si="18"/>
        <v>1856.0759588594017</v>
      </c>
      <c r="R32" s="66">
        <f t="shared" si="18"/>
        <v>50349.776812012475</v>
      </c>
      <c r="S32" s="66">
        <f t="shared" si="18"/>
        <v>7781.5956403624914</v>
      </c>
      <c r="T32" s="66">
        <f t="shared" si="18"/>
        <v>6125.574532121881</v>
      </c>
      <c r="U32" s="66">
        <f t="shared" si="18"/>
        <v>-17098.613241453124</v>
      </c>
    </row>
    <row r="33" spans="1:27" ht="3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</row>
    <row r="34" spans="1:27" s="90" customFormat="1"/>
    <row r="35" spans="1:27">
      <c r="A35" s="65" t="s">
        <v>61</v>
      </c>
      <c r="B35" s="90"/>
      <c r="C35" s="90"/>
      <c r="D35" s="90"/>
      <c r="E35" s="90"/>
      <c r="F35" s="90"/>
      <c r="G35" s="90"/>
      <c r="H35" s="102" t="s">
        <v>62</v>
      </c>
      <c r="I35" s="103">
        <f>SUM(J35:U35)-C13</f>
        <v>0</v>
      </c>
      <c r="J35" s="103">
        <f t="shared" ref="J35:O35" si="19">+J13</f>
        <v>-27119.289999999979</v>
      </c>
      <c r="K35" s="103">
        <f t="shared" si="19"/>
        <v>-2136.3125</v>
      </c>
      <c r="L35" s="103">
        <f t="shared" si="19"/>
        <v>-16290.809999999998</v>
      </c>
      <c r="M35" s="103">
        <f t="shared" si="19"/>
        <v>54508.392500000016</v>
      </c>
      <c r="N35" s="103">
        <f t="shared" si="19"/>
        <v>76088.975000000006</v>
      </c>
      <c r="O35" s="103">
        <f t="shared" si="19"/>
        <v>55712.280000000013</v>
      </c>
      <c r="P35" s="103">
        <f>+D13</f>
        <v>-25830.522500000006</v>
      </c>
      <c r="Q35" s="103">
        <f t="shared" ref="Q35:U35" si="20">+E13</f>
        <v>-38484.185000000012</v>
      </c>
      <c r="R35" s="103">
        <f t="shared" si="20"/>
        <v>38876.887499999983</v>
      </c>
      <c r="S35" s="103">
        <f t="shared" si="20"/>
        <v>13060.009999999995</v>
      </c>
      <c r="T35" s="103">
        <f t="shared" si="20"/>
        <v>-28991.112500000003</v>
      </c>
      <c r="U35" s="103">
        <f t="shared" si="20"/>
        <v>-49600.802499999991</v>
      </c>
      <c r="V35" s="90"/>
      <c r="W35" s="90"/>
      <c r="X35" s="90"/>
      <c r="Y35" s="90"/>
      <c r="Z35" s="90"/>
      <c r="AA35" s="90"/>
    </row>
    <row r="36" spans="1:27">
      <c r="A36" s="65" t="s">
        <v>63</v>
      </c>
      <c r="B36" s="90"/>
      <c r="C36" s="103">
        <f>SUM(J36:U36)</f>
        <v>166966.81311968755</v>
      </c>
      <c r="D36" s="90"/>
      <c r="E36" s="90"/>
      <c r="F36" s="90"/>
      <c r="G36" s="90"/>
      <c r="H36" s="90"/>
      <c r="I36" s="90"/>
      <c r="J36" s="104">
        <f t="shared" ref="J36:O36" si="21">+J29-J35</f>
        <v>0</v>
      </c>
      <c r="K36" s="104">
        <f t="shared" si="21"/>
        <v>0</v>
      </c>
      <c r="L36" s="104">
        <f t="shared" si="21"/>
        <v>0</v>
      </c>
      <c r="M36" s="104">
        <f t="shared" si="21"/>
        <v>0</v>
      </c>
      <c r="N36" s="104">
        <f t="shared" si="21"/>
        <v>0</v>
      </c>
      <c r="O36" s="104">
        <f t="shared" si="21"/>
        <v>0</v>
      </c>
      <c r="P36" s="104">
        <f>+P29-P35</f>
        <v>39784.054035000008</v>
      </c>
      <c r="Q36" s="104">
        <f t="shared" ref="Q36:U36" si="22">+Q29-Q35</f>
        <v>40833.648239062546</v>
      </c>
      <c r="R36" s="104">
        <f t="shared" si="22"/>
        <v>24857.007198749983</v>
      </c>
      <c r="S36" s="104">
        <f t="shared" si="22"/>
        <v>-3209.8889362500049</v>
      </c>
      <c r="T36" s="104">
        <f t="shared" si="22"/>
        <v>36745.004312812511</v>
      </c>
      <c r="U36" s="104">
        <f t="shared" si="22"/>
        <v>27956.988270312489</v>
      </c>
      <c r="V36" s="90"/>
      <c r="W36" s="90"/>
      <c r="X36" s="90"/>
      <c r="Y36" s="90"/>
      <c r="Z36" s="90"/>
      <c r="AA36" s="90"/>
    </row>
    <row r="37" spans="1:2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>
      <c r="A38" s="69" t="s">
        <v>8</v>
      </c>
      <c r="B38" s="90"/>
      <c r="C38" s="103">
        <f>SUM(J38:U38)</f>
        <v>31577.485055134377</v>
      </c>
      <c r="D38" s="90"/>
      <c r="E38" s="90"/>
      <c r="F38" s="90"/>
      <c r="G38" s="90"/>
      <c r="H38" s="90"/>
      <c r="I38" s="90"/>
      <c r="J38" s="105">
        <f>+J31-J15</f>
        <v>1898.3502999999992</v>
      </c>
      <c r="K38" s="105">
        <f t="shared" ref="K38:O38" si="23">+K31-K15</f>
        <v>149.54187500000006</v>
      </c>
      <c r="L38" s="105">
        <f t="shared" si="23"/>
        <v>1140.3567000000007</v>
      </c>
      <c r="M38" s="105">
        <f t="shared" si="23"/>
        <v>-3815.5874750000039</v>
      </c>
      <c r="N38" s="105">
        <f t="shared" si="23"/>
        <v>-5326.2282500000038</v>
      </c>
      <c r="O38" s="105">
        <f t="shared" si="23"/>
        <v>-3899.8596000000016</v>
      </c>
      <c r="P38" s="105">
        <f>+P31-D15</f>
        <v>10162.787922350002</v>
      </c>
      <c r="Q38" s="105">
        <f t="shared" ref="Q38:U38" si="24">+Q31-E15</f>
        <v>11268.959080203138</v>
      </c>
      <c r="R38" s="105">
        <f t="shared" si="24"/>
        <v>2498.5893867374962</v>
      </c>
      <c r="S38" s="105">
        <f t="shared" si="24"/>
        <v>-1588.277376612501</v>
      </c>
      <c r="T38" s="105">
        <f t="shared" si="24"/>
        <v>9745.8287806906283</v>
      </c>
      <c r="U38" s="105">
        <f t="shared" si="24"/>
        <v>9343.0237117656234</v>
      </c>
      <c r="V38" s="90"/>
      <c r="W38" s="90"/>
      <c r="X38" s="90"/>
      <c r="Y38" s="90"/>
      <c r="Z38" s="90"/>
      <c r="AA38" s="90"/>
    </row>
    <row r="39" spans="1:27">
      <c r="A39" s="69" t="s">
        <v>9</v>
      </c>
      <c r="B39" s="90"/>
      <c r="C39" s="103">
        <f>SUM(J39:U39)</f>
        <v>135389.32806455315</v>
      </c>
      <c r="D39" s="90"/>
      <c r="E39" s="90"/>
      <c r="F39" s="90"/>
      <c r="G39" s="90"/>
      <c r="H39" s="90"/>
      <c r="I39" s="90"/>
      <c r="J39" s="99">
        <f>J36-J38</f>
        <v>-1898.3502999999992</v>
      </c>
      <c r="K39" s="99">
        <f t="shared" ref="K39:U39" si="25">K36-K38</f>
        <v>-149.54187500000006</v>
      </c>
      <c r="L39" s="99">
        <f t="shared" si="25"/>
        <v>-1140.3567000000007</v>
      </c>
      <c r="M39" s="99">
        <f t="shared" si="25"/>
        <v>3815.5874750000039</v>
      </c>
      <c r="N39" s="99">
        <f t="shared" si="25"/>
        <v>5326.2282500000038</v>
      </c>
      <c r="O39" s="99">
        <f t="shared" si="25"/>
        <v>3899.8596000000016</v>
      </c>
      <c r="P39" s="99">
        <f t="shared" si="25"/>
        <v>29621.266112650006</v>
      </c>
      <c r="Q39" s="99">
        <f t="shared" si="25"/>
        <v>29564.689158859408</v>
      </c>
      <c r="R39" s="99">
        <f t="shared" si="25"/>
        <v>22358.417812012485</v>
      </c>
      <c r="S39" s="99">
        <f t="shared" si="25"/>
        <v>-1621.6115596375039</v>
      </c>
      <c r="T39" s="99">
        <f t="shared" si="25"/>
        <v>26999.175532121881</v>
      </c>
      <c r="U39" s="99">
        <f t="shared" si="25"/>
        <v>18613.964558546868</v>
      </c>
      <c r="V39" s="90"/>
      <c r="W39" s="90"/>
      <c r="X39" s="90"/>
      <c r="Y39" s="90"/>
      <c r="Z39" s="90"/>
      <c r="AA39" s="90"/>
    </row>
    <row r="40" spans="1:2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>
      <c r="B41" s="90"/>
      <c r="C41" s="105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106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>
      <c r="B42" s="90"/>
      <c r="C42" s="90"/>
      <c r="D42" s="90"/>
      <c r="E42" s="90"/>
      <c r="F42" s="90"/>
      <c r="G42" s="90"/>
      <c r="H42" s="90"/>
      <c r="I42" s="90"/>
      <c r="J42" s="105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2:2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2:2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80" zoomScaleNormal="80" workbookViewId="0">
      <pane xSplit="3" ySplit="7" topLeftCell="D8" activePane="bottomRight" state="frozen"/>
      <selection activeCell="D16" sqref="D16"/>
      <selection pane="topRight" activeCell="D16" sqref="D16"/>
      <selection pane="bottomLeft" activeCell="D16" sqref="D16"/>
      <selection pane="bottomRight" activeCell="F10" sqref="F10:Q10"/>
    </sheetView>
  </sheetViews>
  <sheetFormatPr defaultColWidth="9.140625" defaultRowHeight="12.75" outlineLevelRow="1"/>
  <cols>
    <col min="1" max="1" width="3.42578125" style="38" bestFit="1" customWidth="1"/>
    <col min="2" max="2" width="7" style="38" bestFit="1" customWidth="1"/>
    <col min="3" max="3" width="37.7109375" style="39" customWidth="1"/>
    <col min="4" max="4" width="1.5703125" style="38" customWidth="1"/>
    <col min="5" max="5" width="13.7109375" style="38" customWidth="1"/>
    <col min="12" max="17" width="12.42578125" bestFit="1" customWidth="1"/>
  </cols>
  <sheetData>
    <row r="1" spans="1:18" ht="18">
      <c r="B1" s="50" t="s">
        <v>30</v>
      </c>
      <c r="C1" s="50"/>
      <c r="D1" s="50"/>
      <c r="E1" s="50"/>
    </row>
    <row r="2" spans="1:18" ht="18">
      <c r="B2" s="50"/>
      <c r="C2" s="50"/>
      <c r="D2" s="50"/>
      <c r="E2" s="50"/>
    </row>
    <row r="3" spans="1:18" ht="15" thickBot="1">
      <c r="B3" s="49" t="s">
        <v>29</v>
      </c>
      <c r="C3" s="49"/>
      <c r="D3" s="49"/>
      <c r="E3" s="49"/>
    </row>
    <row r="4" spans="1:18" ht="26.25" thickBot="1">
      <c r="E4" s="45"/>
      <c r="F4" s="113" t="s">
        <v>33</v>
      </c>
      <c r="G4" s="114" t="s">
        <v>33</v>
      </c>
      <c r="H4" s="114" t="s">
        <v>33</v>
      </c>
      <c r="I4" s="114" t="s">
        <v>33</v>
      </c>
      <c r="J4" s="114" t="s">
        <v>33</v>
      </c>
      <c r="K4" s="117" t="s">
        <v>33</v>
      </c>
      <c r="L4" s="115" t="s">
        <v>34</v>
      </c>
      <c r="M4" s="115" t="s">
        <v>34</v>
      </c>
      <c r="N4" s="115" t="s">
        <v>34</v>
      </c>
      <c r="O4" s="115" t="s">
        <v>34</v>
      </c>
      <c r="P4" s="115" t="s">
        <v>34</v>
      </c>
      <c r="Q4" s="116" t="s">
        <v>34</v>
      </c>
      <c r="R4" s="59"/>
    </row>
    <row r="5" spans="1:18" ht="15.75" customHeight="1">
      <c r="D5" s="48"/>
      <c r="E5" s="46"/>
      <c r="F5" s="57"/>
      <c r="G5" s="57"/>
      <c r="H5" s="57"/>
      <c r="I5" s="57"/>
      <c r="J5" s="57"/>
      <c r="K5" s="57"/>
    </row>
    <row r="6" spans="1:18">
      <c r="D6" s="47"/>
      <c r="E6" s="46"/>
      <c r="F6" s="58">
        <v>43101</v>
      </c>
      <c r="G6" s="58">
        <v>43132</v>
      </c>
      <c r="H6" s="58">
        <v>43160</v>
      </c>
      <c r="I6" s="58">
        <v>43191</v>
      </c>
      <c r="J6" s="58">
        <v>43221</v>
      </c>
      <c r="K6" s="58">
        <v>43252</v>
      </c>
      <c r="L6" s="58">
        <v>43282</v>
      </c>
      <c r="M6" s="58">
        <v>43313</v>
      </c>
      <c r="N6" s="58">
        <v>43344</v>
      </c>
      <c r="O6" s="58">
        <v>43374</v>
      </c>
      <c r="P6" s="58">
        <v>43405</v>
      </c>
      <c r="Q6" s="58">
        <v>43435</v>
      </c>
    </row>
    <row r="7" spans="1:18" ht="13.5" thickBot="1">
      <c r="B7" s="45" t="s">
        <v>28</v>
      </c>
      <c r="C7" s="44" t="s">
        <v>27</v>
      </c>
      <c r="D7" s="43"/>
      <c r="E7" s="42"/>
    </row>
    <row r="8" spans="1:18" ht="13.5" hidden="1" outlineLevel="1" thickBot="1">
      <c r="A8" s="111"/>
      <c r="B8" s="41"/>
      <c r="E8" s="40"/>
    </row>
    <row r="9" spans="1:18" ht="13.5" collapsed="1" thickBot="1">
      <c r="A9" s="111"/>
      <c r="B9" s="107">
        <v>501</v>
      </c>
      <c r="C9" s="108" t="s">
        <v>26</v>
      </c>
      <c r="D9" s="109"/>
      <c r="E9" s="110">
        <f>SUM(F9:Q9)</f>
        <v>1313875.5491249999</v>
      </c>
      <c r="F9" s="60">
        <f>+'[3]Actual Generation'!K16</f>
        <v>193757</v>
      </c>
      <c r="G9" s="60">
        <f>+'[3]Actual Generation'!L16</f>
        <v>163591</v>
      </c>
      <c r="H9" s="60">
        <f>+'[3]Actual Generation'!M16</f>
        <v>168392</v>
      </c>
      <c r="I9" s="60">
        <f>+'[3]Actual Generation'!N16</f>
        <v>0</v>
      </c>
      <c r="J9" s="60">
        <f>+'[3]Actual Generation'!O16</f>
        <v>0</v>
      </c>
      <c r="K9" s="60">
        <f>+'[3]Actual Generation'!P16</f>
        <v>30015</v>
      </c>
      <c r="L9" s="60">
        <f>+'17GRC Settlement  Colstrip RY'!J5</f>
        <v>119628.49012500001</v>
      </c>
      <c r="M9" s="60">
        <f>+'17GRC Settlement  Colstrip RY'!K5</f>
        <v>134764.55562499998</v>
      </c>
      <c r="N9" s="60">
        <f>+'17GRC Settlement  Colstrip RY'!L5</f>
        <v>110987.50837500005</v>
      </c>
      <c r="O9" s="60">
        <f>+'17GRC Settlement  Colstrip RY'!M5</f>
        <v>111518.166</v>
      </c>
      <c r="P9" s="60">
        <f>+'17GRC Settlement  Colstrip RY'!N5</f>
        <v>124390.77462499996</v>
      </c>
      <c r="Q9" s="60">
        <f>+'17GRC Settlement  Colstrip RY'!O5</f>
        <v>156831.05437499995</v>
      </c>
    </row>
    <row r="10" spans="1:18">
      <c r="A10" s="111"/>
      <c r="B10" s="107">
        <v>501</v>
      </c>
      <c r="C10" s="108" t="s">
        <v>25</v>
      </c>
      <c r="D10" s="109"/>
      <c r="E10" s="110">
        <f>SUM(F10:Q10)</f>
        <v>2653178.1060000001</v>
      </c>
      <c r="F10" s="60">
        <f>+'[3]Actual Generation'!K17</f>
        <v>262855</v>
      </c>
      <c r="G10" s="60">
        <f>+'[3]Actual Generation'!L17</f>
        <v>220078</v>
      </c>
      <c r="H10" s="60">
        <f>+'[3]Actual Generation'!M17</f>
        <v>256604</v>
      </c>
      <c r="I10" s="60">
        <f>+'[3]Actual Generation'!N17</f>
        <v>218283</v>
      </c>
      <c r="J10" s="60">
        <f>+'[3]Actual Generation'!O17</f>
        <v>155274</v>
      </c>
      <c r="K10" s="60">
        <f>+'[3]Actual Generation'!P17</f>
        <v>184753</v>
      </c>
      <c r="L10" s="60">
        <f>+'17GRC Settlement  Colstrip RY'!J9</f>
        <v>211606.687875</v>
      </c>
      <c r="M10" s="60">
        <f>+'17GRC Settlement  Colstrip RY'!K9</f>
        <v>230351.11374999999</v>
      </c>
      <c r="N10" s="60">
        <f>+'17GRC Settlement  Colstrip RY'!L9</f>
        <v>224254.28812500002</v>
      </c>
      <c r="O10" s="60">
        <f>+'17GRC Settlement  Colstrip RY'!M9</f>
        <v>231697.77250000002</v>
      </c>
      <c r="P10" s="60">
        <f>+'17GRC Settlement  Colstrip RY'!N9</f>
        <v>224945.54125000001</v>
      </c>
      <c r="Q10" s="60">
        <f>+'17GRC Settlement  Colstrip RY'!O9</f>
        <v>232475.70250000001</v>
      </c>
    </row>
    <row r="11" spans="1:18">
      <c r="A11" s="111"/>
      <c r="B11" s="111"/>
      <c r="C11" s="111"/>
      <c r="D11" s="111"/>
      <c r="E11" s="112">
        <f>SUM(E9:E10)</f>
        <v>3967053.655125</v>
      </c>
      <c r="F11" s="89">
        <f>SUM(F9:F10)</f>
        <v>456612</v>
      </c>
      <c r="G11" s="89">
        <f t="shared" ref="G11:Q11" si="0">SUM(G9:G10)</f>
        <v>383669</v>
      </c>
      <c r="H11" s="89">
        <f t="shared" si="0"/>
        <v>424996</v>
      </c>
      <c r="I11" s="89">
        <f t="shared" si="0"/>
        <v>218283</v>
      </c>
      <c r="J11" s="89">
        <f t="shared" si="0"/>
        <v>155274</v>
      </c>
      <c r="K11" s="89">
        <f t="shared" si="0"/>
        <v>214768</v>
      </c>
      <c r="L11" s="89">
        <f t="shared" si="0"/>
        <v>331235.17800000001</v>
      </c>
      <c r="M11" s="89">
        <f t="shared" si="0"/>
        <v>365115.66937499994</v>
      </c>
      <c r="N11" s="89">
        <f t="shared" si="0"/>
        <v>335241.79650000005</v>
      </c>
      <c r="O11" s="89">
        <f t="shared" si="0"/>
        <v>343215.93850000005</v>
      </c>
      <c r="P11" s="89">
        <f t="shared" si="0"/>
        <v>349336.31587499997</v>
      </c>
      <c r="Q11" s="89">
        <f t="shared" si="0"/>
        <v>389306.75687499996</v>
      </c>
    </row>
    <row r="12" spans="1:18">
      <c r="A12" s="111"/>
      <c r="C12" s="51"/>
    </row>
    <row r="13" spans="1:18">
      <c r="A13" s="111"/>
    </row>
    <row r="14" spans="1:18">
      <c r="A14" s="111"/>
    </row>
    <row r="15" spans="1:18">
      <c r="A15" s="111"/>
    </row>
    <row r="16" spans="1:18">
      <c r="A16" s="111"/>
    </row>
  </sheetData>
  <pageMargins left="0.39" right="0.16" top="0.79" bottom="0.61" header="1.29" footer="0.16"/>
  <pageSetup fitToHeight="2" orientation="portrait" r:id="rId1"/>
  <headerFooter>
    <oddFooter>&amp;L&amp;F&amp;C                                   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C2" sqref="C2 A2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7">
      <c r="A1" t="s">
        <v>15</v>
      </c>
      <c r="G1" t="s">
        <v>23</v>
      </c>
    </row>
    <row r="2" spans="1:7">
      <c r="A2">
        <v>1.4999999999999999E-4</v>
      </c>
      <c r="B2" s="35" t="s">
        <v>14</v>
      </c>
      <c r="C2">
        <v>2.0000000000000001E-4</v>
      </c>
      <c r="D2" t="s">
        <v>16</v>
      </c>
      <c r="E2">
        <f>+C2+A2</f>
        <v>3.5E-4</v>
      </c>
      <c r="G2">
        <v>0.05</v>
      </c>
    </row>
    <row r="3" spans="1:7">
      <c r="B3" s="35"/>
    </row>
    <row r="4" spans="1:7">
      <c r="A4" s="33" t="s">
        <v>12</v>
      </c>
    </row>
    <row r="5" spans="1:7">
      <c r="A5" s="33" t="s">
        <v>17</v>
      </c>
    </row>
    <row r="6" spans="1:7" ht="15.75">
      <c r="A6" s="34"/>
    </row>
    <row r="7" spans="1:7">
      <c r="A7" s="33" t="s">
        <v>13</v>
      </c>
    </row>
    <row r="8" spans="1:7">
      <c r="A8" s="33" t="s">
        <v>24</v>
      </c>
    </row>
  </sheetData>
  <pageMargins left="0.7" right="0.7" top="0.75" bottom="0.75" header="0.3" footer="0.3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5"/>
  <sheetViews>
    <sheetView workbookViewId="0">
      <selection activeCell="D4" sqref="D4"/>
    </sheetView>
  </sheetViews>
  <sheetFormatPr defaultColWidth="9.140625" defaultRowHeight="15"/>
  <cols>
    <col min="1" max="1" width="9.140625" style="61"/>
    <col min="2" max="2" width="18.42578125" style="61" bestFit="1" customWidth="1"/>
    <col min="3" max="3" width="27.85546875" style="61" bestFit="1" customWidth="1"/>
    <col min="4" max="15" width="9.140625" style="61"/>
    <col min="16" max="16" width="12.5703125" style="61" bestFit="1" customWidth="1"/>
    <col min="17" max="16384" width="9.140625" style="61"/>
  </cols>
  <sheetData>
    <row r="1" spans="2:17" ht="15.75">
      <c r="C1" s="64" t="s">
        <v>56</v>
      </c>
    </row>
    <row r="2" spans="2:17">
      <c r="C2" s="118" t="s">
        <v>55</v>
      </c>
      <c r="D2" s="119" t="s">
        <v>54</v>
      </c>
      <c r="E2" s="120" t="s">
        <v>53</v>
      </c>
      <c r="F2" s="120" t="s">
        <v>52</v>
      </c>
      <c r="G2" s="120" t="s">
        <v>51</v>
      </c>
      <c r="H2" s="120" t="s">
        <v>50</v>
      </c>
      <c r="I2" s="120" t="s">
        <v>49</v>
      </c>
      <c r="J2" s="120" t="s">
        <v>48</v>
      </c>
      <c r="K2" s="120" t="s">
        <v>47</v>
      </c>
      <c r="L2" s="120" t="s">
        <v>46</v>
      </c>
      <c r="M2" s="120" t="s">
        <v>45</v>
      </c>
      <c r="N2" s="120" t="s">
        <v>44</v>
      </c>
      <c r="O2" s="121" t="s">
        <v>43</v>
      </c>
      <c r="P2" s="122" t="s">
        <v>42</v>
      </c>
      <c r="Q2" s="63"/>
    </row>
    <row r="3" spans="2:17">
      <c r="B3" s="63"/>
      <c r="C3" s="123" t="s">
        <v>41</v>
      </c>
      <c r="D3" s="124">
        <v>87017.977500000052</v>
      </c>
      <c r="E3" s="125">
        <v>81989.037999999913</v>
      </c>
      <c r="F3" s="125">
        <v>71803.241437500008</v>
      </c>
      <c r="G3" s="125">
        <v>17359.009643749996</v>
      </c>
      <c r="H3" s="125">
        <v>5340.32800675</v>
      </c>
      <c r="I3" s="125">
        <v>15859.855621362502</v>
      </c>
      <c r="J3" s="125">
        <v>57969.037999999986</v>
      </c>
      <c r="K3" s="125">
        <v>65107.099499999968</v>
      </c>
      <c r="L3" s="125">
        <v>50654.774250000017</v>
      </c>
      <c r="M3" s="125">
        <v>51588.970624999994</v>
      </c>
      <c r="N3" s="125">
        <v>59310.837499999987</v>
      </c>
      <c r="O3" s="126">
        <v>75198.150750000015</v>
      </c>
      <c r="P3" s="127">
        <v>639198.32083436253</v>
      </c>
      <c r="Q3" s="63"/>
    </row>
    <row r="4" spans="2:17">
      <c r="B4" s="63"/>
      <c r="C4" s="128" t="s">
        <v>40</v>
      </c>
      <c r="D4" s="129">
        <v>89465.364750000052</v>
      </c>
      <c r="E4" s="130">
        <v>84369.783374999868</v>
      </c>
      <c r="F4" s="130">
        <v>76895.773625000016</v>
      </c>
      <c r="G4" s="130">
        <v>29365.470099999999</v>
      </c>
      <c r="H4" s="130">
        <v>3378.90882375</v>
      </c>
      <c r="I4" s="130">
        <v>0</v>
      </c>
      <c r="J4" s="130">
        <v>61659.452125000033</v>
      </c>
      <c r="K4" s="130">
        <v>69657.456125000012</v>
      </c>
      <c r="L4" s="130">
        <v>60332.734125000032</v>
      </c>
      <c r="M4" s="130">
        <v>59929.19537500001</v>
      </c>
      <c r="N4" s="130">
        <v>65079.937124999982</v>
      </c>
      <c r="O4" s="131">
        <v>81632.903624999948</v>
      </c>
      <c r="P4" s="132">
        <v>681766.9791737498</v>
      </c>
      <c r="Q4" s="63"/>
    </row>
    <row r="5" spans="2:17">
      <c r="C5" s="133" t="s">
        <v>39</v>
      </c>
      <c r="D5" s="119">
        <f t="shared" ref="D5:P5" si="0">SUM(D3:D4)</f>
        <v>176483.3422500001</v>
      </c>
      <c r="E5" s="120">
        <f t="shared" si="0"/>
        <v>166358.82137499977</v>
      </c>
      <c r="F5" s="120">
        <f t="shared" si="0"/>
        <v>148699.01506250002</v>
      </c>
      <c r="G5" s="120">
        <f t="shared" si="0"/>
        <v>46724.479743749995</v>
      </c>
      <c r="H5" s="120">
        <f t="shared" si="0"/>
        <v>8719.2368305</v>
      </c>
      <c r="I5" s="120">
        <f t="shared" si="0"/>
        <v>15859.855621362502</v>
      </c>
      <c r="J5" s="120">
        <f t="shared" si="0"/>
        <v>119628.49012500001</v>
      </c>
      <c r="K5" s="120">
        <f t="shared" si="0"/>
        <v>134764.55562499998</v>
      </c>
      <c r="L5" s="120">
        <f t="shared" si="0"/>
        <v>110987.50837500005</v>
      </c>
      <c r="M5" s="120">
        <f t="shared" si="0"/>
        <v>111518.166</v>
      </c>
      <c r="N5" s="120">
        <f t="shared" si="0"/>
        <v>124390.77462499996</v>
      </c>
      <c r="O5" s="121">
        <f t="shared" si="0"/>
        <v>156831.05437499995</v>
      </c>
      <c r="P5" s="121">
        <f t="shared" si="0"/>
        <v>1320965.3000081123</v>
      </c>
      <c r="Q5" s="63"/>
    </row>
    <row r="6" spans="2:17"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>
      <c r="B7" s="63"/>
      <c r="C7" s="134" t="s">
        <v>38</v>
      </c>
      <c r="D7" s="135">
        <v>115746.908125</v>
      </c>
      <c r="E7" s="136">
        <v>105055.1575</v>
      </c>
      <c r="F7" s="136">
        <v>114179.68612499998</v>
      </c>
      <c r="G7" s="136">
        <v>101167.48703750002</v>
      </c>
      <c r="H7" s="136">
        <v>73291.604374999995</v>
      </c>
      <c r="I7" s="136">
        <v>59203.263312500007</v>
      </c>
      <c r="J7" s="136">
        <v>103644.724625</v>
      </c>
      <c r="K7" s="136">
        <v>114725.08749999999</v>
      </c>
      <c r="L7" s="136">
        <v>111883.59437500002</v>
      </c>
      <c r="M7" s="136">
        <v>115618.02000000002</v>
      </c>
      <c r="N7" s="136">
        <v>112425.74750000001</v>
      </c>
      <c r="O7" s="137">
        <v>116217.83625000001</v>
      </c>
      <c r="P7" s="137">
        <v>1243159.1167249999</v>
      </c>
      <c r="Q7" s="63"/>
    </row>
    <row r="8" spans="2:17">
      <c r="B8" s="63"/>
      <c r="C8" s="138" t="s">
        <v>37</v>
      </c>
      <c r="D8" s="124">
        <v>115962.64125000002</v>
      </c>
      <c r="E8" s="125">
        <v>105055.5</v>
      </c>
      <c r="F8" s="125">
        <v>114814.871875</v>
      </c>
      <c r="G8" s="125">
        <v>105332.60063750003</v>
      </c>
      <c r="H8" s="125">
        <v>81044.097750000015</v>
      </c>
      <c r="I8" s="125">
        <v>66652.894712499998</v>
      </c>
      <c r="J8" s="125">
        <v>107961.96325</v>
      </c>
      <c r="K8" s="125">
        <v>115626.02625</v>
      </c>
      <c r="L8" s="125">
        <v>112370.69375000001</v>
      </c>
      <c r="M8" s="125">
        <v>116079.75249999999</v>
      </c>
      <c r="N8" s="125">
        <v>112519.79375</v>
      </c>
      <c r="O8" s="126">
        <v>116257.86625000001</v>
      </c>
      <c r="P8" s="126">
        <v>1269678.7019749999</v>
      </c>
      <c r="Q8" s="63"/>
    </row>
    <row r="9" spans="2:17">
      <c r="C9" s="133" t="s">
        <v>36</v>
      </c>
      <c r="D9" s="119">
        <f t="shared" ref="D9:P9" si="1">SUM(D7:D8)</f>
        <v>231709.549375</v>
      </c>
      <c r="E9" s="120">
        <f t="shared" si="1"/>
        <v>210110.6575</v>
      </c>
      <c r="F9" s="120">
        <f t="shared" si="1"/>
        <v>228994.55799999996</v>
      </c>
      <c r="G9" s="120">
        <f t="shared" si="1"/>
        <v>206500.08767500005</v>
      </c>
      <c r="H9" s="120">
        <f t="shared" si="1"/>
        <v>154335.70212500001</v>
      </c>
      <c r="I9" s="120">
        <f t="shared" si="1"/>
        <v>125856.15802500001</v>
      </c>
      <c r="J9" s="120">
        <f t="shared" si="1"/>
        <v>211606.687875</v>
      </c>
      <c r="K9" s="120">
        <f t="shared" si="1"/>
        <v>230351.11374999999</v>
      </c>
      <c r="L9" s="120">
        <f t="shared" si="1"/>
        <v>224254.28812500002</v>
      </c>
      <c r="M9" s="120">
        <f t="shared" si="1"/>
        <v>231697.77250000002</v>
      </c>
      <c r="N9" s="120">
        <f t="shared" si="1"/>
        <v>224945.54125000001</v>
      </c>
      <c r="O9" s="121">
        <f t="shared" si="1"/>
        <v>232475.70250000001</v>
      </c>
      <c r="P9" s="121">
        <f t="shared" si="1"/>
        <v>2512837.8186999997</v>
      </c>
      <c r="Q9" s="63"/>
    </row>
    <row r="10" spans="2:17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2:17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2:17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2:17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2:17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2:17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2:17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8" spans="3:16">
      <c r="C18" s="62"/>
    </row>
    <row r="19" spans="3:16"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3:16"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3:16"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3:16"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3:16"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3:16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16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16"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3:16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3:16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3:16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3:16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3:16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3:16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6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3:16"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3:16"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3:16"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3:16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3:16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3:16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3:16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3:16"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3:16"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3:16"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3:16"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3:16"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3:16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6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6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6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6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6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6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6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6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6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6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6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6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6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6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3:16"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3:16"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3:16"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3:16"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3:16"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3:16"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3:16"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3:16"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3:16"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3:16"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3:16"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3:16"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3:16"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3:16"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3:16"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3:16"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3:16"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3:16"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3:16"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3:16"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3:16"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3:16"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3:16"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3:16"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3:16"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3:16"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3:16"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3:16"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3:16"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3:16"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3:16"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3:16"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3:16"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3:16"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3:16"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3:16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3:16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3:16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3:16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3:16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3:16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3:16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3:16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3:16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3:16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3:16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3:16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3:16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3:16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3:16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3:16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3:16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3:16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3:16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3:16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3:16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3:16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3:16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3:16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3:16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3:16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3:16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3:16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3:16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3:16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3:16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3:16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3:16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3:16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3:16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3:16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3:16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3:16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3:16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3:16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3:16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3:16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3:16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3:16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3:16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3:16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3:16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3:16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3:16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3:16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3:16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3:16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3:16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3:16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3:16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3:16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3:16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3:16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3:16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3:16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3:16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3:16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3:16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3:16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3:16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3:16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36846D-7181-4AC9-8DD3-72CCB785277F}"/>
</file>

<file path=customXml/itemProps2.xml><?xml version="1.0" encoding="utf-8"?>
<ds:datastoreItem xmlns:ds="http://schemas.openxmlformats.org/officeDocument/2006/customXml" ds:itemID="{FD2ED9AA-C4F5-4E48-9D1E-2DD41BE7B18B}"/>
</file>

<file path=customXml/itemProps3.xml><?xml version="1.0" encoding="utf-8"?>
<ds:datastoreItem xmlns:ds="http://schemas.openxmlformats.org/officeDocument/2006/customXml" ds:itemID="{3BB8227A-0AC1-4103-958B-4C371AAE15D7}"/>
</file>

<file path=customXml/itemProps4.xml><?xml version="1.0" encoding="utf-8"?>
<ds:datastoreItem xmlns:ds="http://schemas.openxmlformats.org/officeDocument/2006/customXml" ds:itemID="{776B0E10-9523-4126-842B-841B41878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 E</vt:lpstr>
      <vt:lpstr>Monthly</vt:lpstr>
      <vt:lpstr>Rate Year Generation</vt:lpstr>
      <vt:lpstr>Montana Energy Tax</vt:lpstr>
      <vt:lpstr>17GRC Settlement  Colstrip RY</vt:lpstr>
      <vt:lpstr>'17GRC Settlement  Colstrip RY'!_MailEndCompose</vt:lpstr>
      <vt:lpstr>'17GRC Settlement  Colstrip RY'!_MailOriginal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2016-11-15T00:06:05Z</cp:lastPrinted>
  <dcterms:created xsi:type="dcterms:W3CDTF">2003-08-20T16:45:04Z</dcterms:created>
  <dcterms:modified xsi:type="dcterms:W3CDTF">2018-11-05T22:38:49Z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