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86" windowWidth="5760" windowHeight="6405" activeTab="0"/>
  </bookViews>
  <sheets>
    <sheet name="TES3 page 1" sheetId="1" r:id="rId1"/>
    <sheet name="p2" sheetId="2" r:id="rId2"/>
    <sheet name="t2sum" sheetId="3" r:id="rId3"/>
    <sheet name="rrc" sheetId="4" r:id="rId4"/>
    <sheet name="cf" sheetId="5" r:id="rId5"/>
    <sheet name="TES2 adjs" sheetId="6" r:id="rId6"/>
    <sheet name="cc" sheetId="7" r:id="rId7"/>
    <sheet name="Gadby WV" sheetId="8" r:id="rId8"/>
    <sheet name="Table 1" sheetId="9" r:id="rId9"/>
  </sheets>
  <definedNames>
    <definedName name="_xlnm.Print_Area" localSheetId="4">'cf'!$A$6:$D$39</definedName>
    <definedName name="_xlnm.Print_Area" localSheetId="1">'p2'!$I$14:$N$80</definedName>
    <definedName name="_xlnm.Print_Area" localSheetId="3">'rrc'!$B$7:$D$21</definedName>
    <definedName name="_xlnm.Print_Area" localSheetId="2">'t2sum'!$C$7:$G$65</definedName>
    <definedName name="_xlnm.Print_Area" localSheetId="8">'Table 1'!$A$1:$E$66</definedName>
    <definedName name="_xlnm.Print_Area" localSheetId="5">'TES2 adjs'!$A$2:$AN$81</definedName>
    <definedName name="_xlnm.Print_Area" localSheetId="0">'TES3 page 1'!$B$1:$F$72</definedName>
    <definedName name="_xlnm.Print_Titles" localSheetId="1">'p2'!$A:$B,'p2'!$1:$9</definedName>
    <definedName name="_xlnm.Print_Titles" localSheetId="2">'t2sum'!$A:$B,'t2sum'!$1:$6</definedName>
    <definedName name="_xlnm.Print_Titles" localSheetId="5">'TES2 adjs'!$A:$B,'TES2 adjs'!$1:$6</definedName>
    <definedName name="_xlnm.Print_Titles" localSheetId="0">'TES3 page 1'!$A:$B,'TES3 page 1'!$1:$8</definedName>
    <definedName name="SE">'TES2 adjs'!$B$33</definedName>
    <definedName name="SG">'TES2 adjs'!$B$32</definedName>
  </definedNames>
  <calcPr fullCalcOnLoad="1"/>
</workbook>
</file>

<file path=xl/sharedStrings.xml><?xml version="1.0" encoding="utf-8"?>
<sst xmlns="http://schemas.openxmlformats.org/spreadsheetml/2006/main" count="618" uniqueCount="392">
  <si>
    <t>Weather Normalization (Adj. 3.1)</t>
  </si>
  <si>
    <t>Effective Price Change (Adj.3.2)</t>
  </si>
  <si>
    <t>Revenue Normalizing (Adj. 3.3)</t>
  </si>
  <si>
    <t>USBR/UKRB Discount(Adj. 3.4)</t>
  </si>
  <si>
    <t>SO2 Emission Allowances(Adj. 3.5)</t>
  </si>
  <si>
    <t>Remove Contingencies(Adj. 3.6)</t>
  </si>
  <si>
    <t>Special Revenue Reclassification(Adj.3.7)</t>
  </si>
  <si>
    <t>Centralia Gain (Adj.3.8)</t>
  </si>
  <si>
    <t>FAS 106 (Adj. 4.1)</t>
  </si>
  <si>
    <t>Pension and Benefit Adjustment(Adj. 4.2)</t>
  </si>
  <si>
    <t>Blue Sky Program (Adj. 4.3)</t>
  </si>
  <si>
    <t>Misc. General Expense (Adj. 4.4)</t>
  </si>
  <si>
    <t>General Wage Increase (Adj. 4.5&amp;4.6)</t>
  </si>
  <si>
    <t>Pro-Forma Gen. Wage Incr.(Adj.4.7&amp;4.8)</t>
  </si>
  <si>
    <t>FICA Adjustment (Adj. 4.9)</t>
  </si>
  <si>
    <t>FERC Price Cap Accrual (Adj.4.10)</t>
  </si>
  <si>
    <t>Property Insurance (Adj. 4.11)</t>
  </si>
  <si>
    <t>Sale of Naches Hydro (Adj.4.12)</t>
  </si>
  <si>
    <t>Severance Accrual (Adj. 4.13)</t>
  </si>
  <si>
    <t>International Assignees Removal(Adj. 4.14)</t>
  </si>
  <si>
    <t>Removal of Colstrip (Adj. 5.2)</t>
  </si>
  <si>
    <t>Trail Mountain Closure Amortization(Adj. 5.3)</t>
  </si>
  <si>
    <t>FAS 133 (Adj. 5.4)</t>
  </si>
  <si>
    <t>Load Curtailment Reversal(Adj. 5.6)</t>
  </si>
  <si>
    <t>BPA Regional Exchange(Adj. 5.7)</t>
  </si>
  <si>
    <t>MSP Fuel Adjustment (Adj. 5.8)</t>
  </si>
  <si>
    <t>Depreciation Expense (Adj. 6.1)</t>
  </si>
  <si>
    <t>Accumulated Depreciation (Adj. 6.2)</t>
  </si>
  <si>
    <t>ProForma Depreciation(Adj. 6.3)</t>
  </si>
  <si>
    <t>ProForma Accumulated Depreciation(Adj.6.4)</t>
  </si>
  <si>
    <t>Interest True-Up (Adj. 7.1)</t>
  </si>
  <si>
    <t>Flow-through Deferred Tax(Adj. 7.2)</t>
  </si>
  <si>
    <t>Malin-Midpoint Adjustment (Adj. 7.4)</t>
  </si>
  <si>
    <t>Wyoming Wind Tax Credit (Adj. 7.5)</t>
  </si>
  <si>
    <t>Property Tax (Adj. 7.6)</t>
  </si>
  <si>
    <t>IRS Settlement (Adj. 7.7)</t>
  </si>
  <si>
    <t>Environmental Settlement (Adj. 8.1)</t>
  </si>
  <si>
    <t>Trapper Mine (Adj. 8.2)</t>
  </si>
  <si>
    <t>Jim Bridger Mine (Adj. 8.3)</t>
  </si>
  <si>
    <t>Coltrip 4 AFUDC (Adj. 8.4)</t>
  </si>
  <si>
    <t>Dave Johnston (Glenrock) Mine Closure(Adj. 8.5)</t>
  </si>
  <si>
    <t>Sale of Naches Hydro (Adj.8.6)</t>
  </si>
  <si>
    <t>Asset Held for Future Use (Adj. 8.7)</t>
  </si>
  <si>
    <t>Trojan Investment Amortization (Adj. 8.8)</t>
  </si>
  <si>
    <t>Hydro Relicensing Costs (Adj. 8.9)</t>
  </si>
  <si>
    <t>System Benefit Charge(Adj.8.10)</t>
  </si>
  <si>
    <t>Net Power Costs Study (Adj.5.1)&amp; Prudence Report</t>
  </si>
  <si>
    <t>REVENUES</t>
  </si>
  <si>
    <t>EXPENSES</t>
  </si>
  <si>
    <t>RATE BASE</t>
  </si>
  <si>
    <t>West Valley Lease (Adj. 5.5)/ Gadsby/Other</t>
  </si>
  <si>
    <t>Cash Working Capital (Adj. 8.11)</t>
  </si>
  <si>
    <t>Description</t>
  </si>
  <si>
    <t>DESCRIPTION</t>
  </si>
  <si>
    <t>MSP</t>
  </si>
  <si>
    <t>Hybrid  vs. Modified Accord</t>
  </si>
  <si>
    <t>MSP Solution  vs. Modified Accord</t>
  </si>
  <si>
    <t>Hybrid  vs. MSP Solution</t>
  </si>
  <si>
    <t>PacifiCorp Results of Operations-Washington</t>
  </si>
  <si>
    <t>For the 12 months Ended March 31, 2003</t>
  </si>
  <si>
    <t>Unadjusted Operating Revenues</t>
  </si>
  <si>
    <t>Unadjusted O&amp;M Expenses,Depr, Amort,Misc.Rev/Exp.</t>
  </si>
  <si>
    <t>SUBTOTAL  Adjustments</t>
  </si>
  <si>
    <t>a</t>
  </si>
  <si>
    <t xml:space="preserve">Line </t>
  </si>
  <si>
    <t xml:space="preserve"> No.</t>
  </si>
  <si>
    <t>Unadjusted  Rate Base Other Than Income Taxes</t>
  </si>
  <si>
    <t>Unadjusted Income Taxes in Exp. &amp; Rate Base</t>
  </si>
  <si>
    <t>Adjusted Total (Normalized Results at present rates)</t>
  </si>
  <si>
    <t>WA UNADJUSTED RESULTS-FY 3/2003</t>
  </si>
  <si>
    <t>Modified Accord(Per Comm. Basis Report)</t>
  </si>
  <si>
    <t xml:space="preserve"> MSP Solution (per co.filing)</t>
  </si>
  <si>
    <t xml:space="preserve"> Hybrid (per WUTC DR-4)</t>
  </si>
  <si>
    <t>Modified Hybrid(Taxes &amp; Transmission Adj.per WUTC DR 213)</t>
  </si>
  <si>
    <t>Hybrid Adjusted for State Taxes (per WUTC DR 211)</t>
  </si>
  <si>
    <t>Line 56 ok</t>
  </si>
  <si>
    <t>Control Area</t>
  </si>
  <si>
    <t>(DR 213)</t>
  </si>
  <si>
    <t>NET OPERATING INCOME</t>
  </si>
  <si>
    <t>RETURN ON RATE BASE</t>
  </si>
  <si>
    <t>Adjusted</t>
  </si>
  <si>
    <t>Change</t>
  </si>
  <si>
    <t>Bonus Adjustment (Adj. 4.15)</t>
  </si>
  <si>
    <t>Remove RTO West expense (adj. 5.9)</t>
  </si>
  <si>
    <t>Skookumchuck Sale (Adj. 8.12)</t>
  </si>
  <si>
    <t>Customer Deposits (Adj. 8.13)</t>
  </si>
  <si>
    <t>Misc. Deferred Debits (Adj. 8.14)</t>
  </si>
  <si>
    <t>Return on Rate Base</t>
  </si>
  <si>
    <t>Difference</t>
  </si>
  <si>
    <t>Staff Adjustments</t>
  </si>
  <si>
    <t>Normalized Severance (adj. 4.16)</t>
  </si>
  <si>
    <t>State of Washington</t>
  </si>
  <si>
    <t>Electric Utility Results of Operations</t>
  </si>
  <si>
    <t>for the twelve months ended March 2003</t>
  </si>
  <si>
    <t>Per Company</t>
  </si>
  <si>
    <t>Total</t>
  </si>
  <si>
    <t>Ratemaking</t>
  </si>
  <si>
    <t>Interest</t>
  </si>
  <si>
    <t>Adjustments</t>
  </si>
  <si>
    <t>Price Change</t>
  </si>
  <si>
    <t>Adjustment</t>
  </si>
  <si>
    <t>Amortization</t>
  </si>
  <si>
    <t>Working Capital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</si>
  <si>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</si>
  <si>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</si>
  <si>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</si>
  <si>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</si>
  <si>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</si>
  <si>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</si>
  <si>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</si>
  <si>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</si>
  <si>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</si>
  <si>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</si>
  <si>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</si>
  <si>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</si>
  <si>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</si>
  <si>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</si>
  <si>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</si>
  <si>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</si>
  <si>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</si>
  <si>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</si>
  <si>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</si>
  <si>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</si>
  <si>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</si>
  <si>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</si>
  <si>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</si>
  <si>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</si>
  <si>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</si>
  <si>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</si>
  <si>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</si>
  <si>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</si>
  <si>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</si>
  <si>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</si>
  <si>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</si>
  <si>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</si>
  <si>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</si>
  <si>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</si>
  <si>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</si>
  <si>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</si>
  <si>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</si>
  <si>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</si>
  <si>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</si>
  <si>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</si>
  <si>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</si>
  <si>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</si>
  <si>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</si>
  <si>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</si>
  <si>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</si>
  <si>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</si>
  <si>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</si>
  <si>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</si>
  <si>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</si>
  <si>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</si>
  <si>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</si>
  <si>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</si>
  <si>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</si>
  <si>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</si>
  <si>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</si>
  <si>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</si>
  <si>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</si>
  <si>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</si>
  <si>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</si>
  <si>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</si>
  <si>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</si>
  <si>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</si>
  <si>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PacifiCorp Results of Operations For Ratemaking Purposes</t>
  </si>
  <si>
    <t>For The Twelve Months Ended March 2003 - Washington</t>
  </si>
  <si>
    <t>(1)</t>
  </si>
  <si>
    <t>(2)</t>
  </si>
  <si>
    <t>(3)</t>
  </si>
  <si>
    <t>(4)</t>
  </si>
  <si>
    <t>(5)</t>
  </si>
  <si>
    <t>Unadjusted</t>
  </si>
  <si>
    <t>Total Adjusted</t>
  </si>
  <si>
    <t>Price</t>
  </si>
  <si>
    <t>Results With</t>
  </si>
  <si>
    <t>Results</t>
  </si>
  <si>
    <t xml:space="preserve">at Present Rates </t>
  </si>
  <si>
    <t>Total Rate Base Deductions:</t>
  </si>
  <si>
    <t>PER company</t>
  </si>
  <si>
    <t>Federal Income Tax-Current</t>
  </si>
  <si>
    <t>Cap.Structure</t>
  </si>
  <si>
    <t>Weighted Cost</t>
  </si>
  <si>
    <t>Long-term Debt</t>
  </si>
  <si>
    <t>Short term Debt</t>
  </si>
  <si>
    <t>Conversion Factor</t>
  </si>
  <si>
    <t>Operating Revenue Deductions:</t>
  </si>
  <si>
    <t>Uncollectible Accounts</t>
  </si>
  <si>
    <t>Franchise Tax</t>
  </si>
  <si>
    <t>WA Revenue Tax</t>
  </si>
  <si>
    <t>WUTC Fee</t>
  </si>
  <si>
    <t>Uncollectible</t>
  </si>
  <si>
    <t>Sub-Total</t>
  </si>
  <si>
    <t>Effective rate</t>
  </si>
  <si>
    <t>Federal Income Tax @ 35%</t>
  </si>
  <si>
    <t>Calculation of Revenue Requirement Deficiency:</t>
  </si>
  <si>
    <t>a) Net Rate Base - Washington Jurisdiction</t>
  </si>
  <si>
    <t>b) Proposed Rate of Return</t>
  </si>
  <si>
    <t>c) Net Operating Income Requirement</t>
  </si>
  <si>
    <t>d) Proforma Net Operating Income</t>
  </si>
  <si>
    <t>e) Net Operating Income Defiency</t>
  </si>
  <si>
    <t>g) Revenue Requirement Deficiency(line e/line f)</t>
  </si>
  <si>
    <t>w/Adjustments</t>
  </si>
  <si>
    <t>Weighted Average Cost of Capital</t>
  </si>
  <si>
    <t>Control Area-based Cost Assignments &amp; Allocations</t>
  </si>
  <si>
    <t>customer accounting</t>
  </si>
  <si>
    <t>other taxes</t>
  </si>
  <si>
    <t>Revenue Sensitive Tax Rates</t>
  </si>
  <si>
    <t>h</t>
  </si>
  <si>
    <t>I</t>
  </si>
  <si>
    <t>t</t>
  </si>
  <si>
    <t>k</t>
  </si>
  <si>
    <t>l</t>
  </si>
  <si>
    <t>m=l-k</t>
  </si>
  <si>
    <t>j=i-h</t>
  </si>
  <si>
    <t>u</t>
  </si>
  <si>
    <t>v=u-t</t>
  </si>
  <si>
    <t>x</t>
  </si>
  <si>
    <t>y</t>
  </si>
  <si>
    <t>z=y-x</t>
  </si>
  <si>
    <t>NET OPERATING INCOME and RATE BASE</t>
  </si>
  <si>
    <t>STEP 2</t>
  </si>
  <si>
    <t>Net Operating Income/Rate Base (Per Books)</t>
  </si>
  <si>
    <t>Year-End Deferred Taxes-WA (Adj. 7.3)</t>
  </si>
  <si>
    <t>Total Revenue</t>
  </si>
  <si>
    <t>Revenue Tax Base</t>
  </si>
  <si>
    <t>Revenue Tax Rate</t>
  </si>
  <si>
    <t>State Income Tax (eliminated)</t>
  </si>
  <si>
    <t>Net Operating Income Conversion Factor</t>
  </si>
  <si>
    <t>f) NOI &gt; Revenue Conversion Factor</t>
  </si>
  <si>
    <t>Debt Rate</t>
  </si>
  <si>
    <t>Type of Capital</t>
  </si>
  <si>
    <t>Preferred Stock</t>
  </si>
  <si>
    <t>Common Stock</t>
  </si>
  <si>
    <t>*1</t>
  </si>
  <si>
    <t>*2</t>
  </si>
  <si>
    <t>*3</t>
  </si>
  <si>
    <t>*1  updated to reflect Staff's level of pro forma revenues</t>
  </si>
  <si>
    <t>*2  Effective WA Revenue Tax</t>
  </si>
  <si>
    <t>*2  revised to reflect nominal tax rate on adjusted revenues</t>
  </si>
  <si>
    <t>proforma revenues</t>
  </si>
  <si>
    <t>normalized write offs</t>
  </si>
  <si>
    <t>*3  updated to current rate</t>
  </si>
  <si>
    <t>*1  Uncollectible Rate</t>
  </si>
  <si>
    <t>uncollectible rate</t>
  </si>
  <si>
    <t>Protocol</t>
  </si>
  <si>
    <t>Control Area compared to Control Area with Staff Adjustments</t>
  </si>
  <si>
    <t>Control Area w/</t>
  </si>
  <si>
    <t>BPA Settlement Adj.</t>
  </si>
  <si>
    <t xml:space="preserve">BPA Settlement </t>
  </si>
  <si>
    <t>Morgan Stanley Call</t>
  </si>
  <si>
    <t>Sempra Call</t>
  </si>
  <si>
    <t>West Valley</t>
  </si>
  <si>
    <t>P4 Production</t>
  </si>
  <si>
    <t>Aquila hydro hedge</t>
  </si>
  <si>
    <t>Aron Temperature Hedge</t>
  </si>
  <si>
    <t>Morgan Stanley Temp Hedge</t>
  </si>
  <si>
    <t xml:space="preserve">Fort James </t>
  </si>
  <si>
    <t xml:space="preserve"> </t>
  </si>
  <si>
    <t xml:space="preserve">Aquila hydro </t>
  </si>
  <si>
    <t>Hedge</t>
  </si>
  <si>
    <t>Aron Temperature</t>
  </si>
  <si>
    <t>Temp. Hedge</t>
  </si>
  <si>
    <t xml:space="preserve">   Fort James </t>
  </si>
  <si>
    <t>Increase Market Size Limit</t>
  </si>
  <si>
    <t>Outage Rate Adjustments</t>
  </si>
  <si>
    <t>Hunter Outage</t>
  </si>
  <si>
    <t>CT Outage Rates</t>
  </si>
  <si>
    <t>JB 4 Outage</t>
  </si>
  <si>
    <t>Hunter Transformer Outages</t>
  </si>
  <si>
    <t>Blundell Deration</t>
  </si>
  <si>
    <t>Hunter 3 Outage (Prudence)</t>
  </si>
  <si>
    <t>DJ 3 Catastrophic Outage</t>
  </si>
  <si>
    <t>HDN - 1 Catastrophic Outage</t>
  </si>
  <si>
    <t>Colstip 4 Catastrophic Outage</t>
  </si>
  <si>
    <t>Other Company Error Outages</t>
  </si>
  <si>
    <t>Wyodak Capacity</t>
  </si>
  <si>
    <t xml:space="preserve">CT Dispatch Logic/Quick Start </t>
  </si>
  <si>
    <t>Emergency Energy Adjustment</t>
  </si>
  <si>
    <t>Gadsby/ West Valley Heat Rates</t>
  </si>
  <si>
    <t>Market Size</t>
  </si>
  <si>
    <t>Limit</t>
  </si>
  <si>
    <t xml:space="preserve">Hunter Transformer </t>
  </si>
  <si>
    <t>Outage</t>
  </si>
  <si>
    <t xml:space="preserve">Hunter 3 Outage </t>
  </si>
  <si>
    <t>(Prudence)</t>
  </si>
  <si>
    <t>Outages</t>
  </si>
  <si>
    <t>HDN - 1 Catastrophic</t>
  </si>
  <si>
    <t>Col-4 Catastrophic</t>
  </si>
  <si>
    <t xml:space="preserve">Wyodak </t>
  </si>
  <si>
    <t>Capacity</t>
  </si>
  <si>
    <t xml:space="preserve">Other Company Error </t>
  </si>
  <si>
    <t xml:space="preserve">Emergency Energy </t>
  </si>
  <si>
    <t xml:space="preserve">Gadsby/ West Valley </t>
  </si>
  <si>
    <t>Heat Rates</t>
  </si>
  <si>
    <t>Gadsby CT Rate Base</t>
  </si>
  <si>
    <t>WAPA Transmission Contract</t>
  </si>
  <si>
    <t xml:space="preserve">Gadsby CT </t>
  </si>
  <si>
    <t>Contract</t>
  </si>
  <si>
    <t>WAPA Transmission</t>
  </si>
  <si>
    <t>Full Hydro Fuel Credit</t>
  </si>
  <si>
    <t>Reserves and Load Following</t>
  </si>
  <si>
    <t>Gadsby/West Valley Treatment</t>
  </si>
  <si>
    <t xml:space="preserve">Full Hydro Fuel </t>
  </si>
  <si>
    <t>Credit</t>
  </si>
  <si>
    <t>Reserves and Load</t>
  </si>
  <si>
    <t>Following</t>
  </si>
  <si>
    <t xml:space="preserve">Gadsby/West Valley </t>
  </si>
  <si>
    <t>Treatment</t>
  </si>
  <si>
    <t xml:space="preserve"> N/A</t>
  </si>
  <si>
    <t>Table 1</t>
  </si>
  <si>
    <t xml:space="preserve">                  Summary of Recommended Adjustments</t>
  </si>
  <si>
    <t xml:space="preserve"> $1000</t>
  </si>
  <si>
    <t xml:space="preserve">  </t>
  </si>
  <si>
    <t xml:space="preserve">        Total</t>
  </si>
  <si>
    <t>Washignton</t>
  </si>
  <si>
    <t xml:space="preserve">     Company</t>
  </si>
  <si>
    <t xml:space="preserve">       Basis</t>
  </si>
  <si>
    <t>Reference:</t>
  </si>
  <si>
    <t>PacifiCorp Request</t>
  </si>
  <si>
    <t>A.  Short Term Transactions</t>
  </si>
  <si>
    <t>B.  Long Term Contract Adjustments</t>
  </si>
  <si>
    <t>C. Modeling Adjustments</t>
  </si>
  <si>
    <t xml:space="preserve">Total Power Cost Adjustments - </t>
  </si>
  <si>
    <t>Allowed</t>
  </si>
  <si>
    <t>D. Non-Power Cost Issues</t>
  </si>
  <si>
    <t xml:space="preserve">  Witness Derrone</t>
  </si>
  <si>
    <t>Total Non-Power Cost</t>
  </si>
  <si>
    <t>E. MSP Issues</t>
  </si>
  <si>
    <t>Total MSP Adjustments</t>
  </si>
  <si>
    <t>Total All Adjustments</t>
  </si>
  <si>
    <t xml:space="preserve">Morgan Stanley </t>
  </si>
  <si>
    <t>Call</t>
  </si>
  <si>
    <t>Morgan Stanley</t>
  </si>
  <si>
    <t>DJ 3 Catastrophic</t>
  </si>
  <si>
    <t>Rate Base**</t>
  </si>
  <si>
    <t>** = Reversed In Adjustment 29.0</t>
  </si>
  <si>
    <t>Reversed**</t>
  </si>
  <si>
    <t>Gadsby West Valley Adj.</t>
  </si>
  <si>
    <t>Gadsby</t>
  </si>
  <si>
    <t>Rate Base</t>
  </si>
  <si>
    <t>Depr.</t>
  </si>
  <si>
    <t>O&amp;M</t>
  </si>
  <si>
    <t>Prop. Tax</t>
  </si>
  <si>
    <t>ROR</t>
  </si>
  <si>
    <t>Rev. Req.</t>
  </si>
  <si>
    <t>WA</t>
  </si>
  <si>
    <t>SG</t>
  </si>
  <si>
    <t>SE</t>
  </si>
  <si>
    <t>WV</t>
  </si>
  <si>
    <t>LEASE</t>
  </si>
  <si>
    <t>PROP TX</t>
  </si>
  <si>
    <t>Adj. 19</t>
  </si>
  <si>
    <t>Prop Tax</t>
  </si>
  <si>
    <t>Exhibit RJR/17 Revised</t>
  </si>
  <si>
    <t xml:space="preserve">      Gadsby and West Valley Adjustments</t>
  </si>
  <si>
    <t>Source:</t>
  </si>
  <si>
    <t>TY Revenue Requirement:</t>
  </si>
  <si>
    <t>ICNU 1.1, 1.2</t>
  </si>
  <si>
    <t xml:space="preserve">Fuel Expense </t>
  </si>
  <si>
    <t>ICNU GRID RUN 1740</t>
  </si>
  <si>
    <t>Note:  These differ little from the PacifiCorp run</t>
  </si>
  <si>
    <t>Thermal Revenue</t>
  </si>
  <si>
    <t>ICNU GRID Run 1740</t>
  </si>
  <si>
    <t>Net TY Cost</t>
  </si>
  <si>
    <t>Reverse</t>
  </si>
  <si>
    <t>Washington Allocation</t>
  </si>
  <si>
    <t>Composite of SG and SE</t>
  </si>
  <si>
    <t>Reverse  Adj. 4, 19</t>
  </si>
  <si>
    <t>Total Net Adjustment</t>
  </si>
  <si>
    <t>Combined</t>
  </si>
  <si>
    <t>W/O Reversal</t>
  </si>
  <si>
    <t>WA TY Impact</t>
  </si>
  <si>
    <t xml:space="preserve">   WA Alloc.</t>
  </si>
  <si>
    <t>Adjustments:</t>
  </si>
  <si>
    <t>Revenue</t>
  </si>
  <si>
    <t>CT Dispatch Logic</t>
  </si>
  <si>
    <t>NET OP.  INCOME</t>
  </si>
  <si>
    <t>Snake River Litigation</t>
  </si>
  <si>
    <t>Multi-State Process</t>
  </si>
  <si>
    <t>RTO Development</t>
  </si>
  <si>
    <t>Hive Down</t>
  </si>
  <si>
    <t>Personal Income Tax Fees and Payments</t>
  </si>
  <si>
    <t>Accounting: Corporate and Non-Regulated</t>
  </si>
  <si>
    <t>Personal Income Tax</t>
  </si>
  <si>
    <t>Fees and Payments</t>
  </si>
  <si>
    <t>Accounting: Corporate</t>
  </si>
  <si>
    <t>and Non-Regulated</t>
  </si>
  <si>
    <t>Steam Maintenance</t>
  </si>
  <si>
    <t>Steam Maintenance Adjustment</t>
  </si>
  <si>
    <t xml:space="preserve">Revised August 20, 2004 </t>
  </si>
  <si>
    <t>Bench Request ICNU/Part 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</si>
</sst>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  <numFmt numFmtId="183" formatCode="&quot;$&quot;#,##0"/>
    <numFmt numFmtId="184" formatCode="#,##0_);[Red]\(#,##0\);&quot;-&quot;"/>
    <numFmt numFmtId="185" formatCode="&quot;$&quot;#,##0.00"/>
    <numFmt numFmtId="186" formatCode="#,##0.0"/>
    <numFmt numFmtId="187" formatCode="_(* #,##0.0000_);_(* \(#,##0.0000\);_(* &quot;-&quot;????_);_(@_)"/>
  </numFmts>
  <fonts count="24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sz val="7"/>
      <name val="Palatino Linotype"/>
      <family val="1"/>
    </font>
    <font>
      <u val="single"/>
      <sz val="10"/>
      <name val="Palatino Linotype"/>
      <family val="1"/>
    </font>
    <font>
      <b/>
      <u val="single"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Arial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i/>
      <sz val="10"/>
      <name val="Palatino Linotype"/>
      <family val="1"/>
    </font>
    <font>
      <u val="singleAccounting"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10"/>
      <name val="Arial"/>
      <family val="2"/>
    </font>
    <font>
      <sz val="9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double"/>
    </border>
    <border>
      <left>
        <color indexed="63"/>
      </left>
      <right>
        <color indexed="63"/>
      </right>
      <top style="medium">
        <color indexed="48"/>
      </top>
      <bottom style="double"/>
    </border>
    <border>
      <left>
        <color indexed="63"/>
      </left>
      <right style="medium">
        <color indexed="48"/>
      </right>
      <top style="medium">
        <color indexed="48"/>
      </top>
      <bottom style="double"/>
    </border>
    <border>
      <left style="medium">
        <color indexed="48"/>
      </left>
      <right>
        <color indexed="63"/>
      </right>
      <top style="double"/>
      <bottom style="medium">
        <color indexed="48"/>
      </bottom>
    </border>
    <border>
      <left>
        <color indexed="63"/>
      </left>
      <right>
        <color indexed="63"/>
      </right>
      <top style="double"/>
      <bottom style="medium">
        <color indexed="48"/>
      </bottom>
    </border>
    <border>
      <left>
        <color indexed="63"/>
      </left>
      <right style="medium">
        <color indexed="48"/>
      </right>
      <top style="double"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9" fontId="3" fillId="0" borderId="0" xfId="17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/>
    </xf>
    <xf numFmtId="169" fontId="3" fillId="0" borderId="1" xfId="17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1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9" fontId="2" fillId="0" borderId="12" xfId="17" applyNumberFormat="1" applyFont="1" applyBorder="1" applyAlignment="1">
      <alignment/>
    </xf>
    <xf numFmtId="169" fontId="2" fillId="0" borderId="13" xfId="17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0" fontId="2" fillId="0" borderId="13" xfId="20" applyNumberFormat="1" applyFont="1" applyBorder="1" applyAlignment="1">
      <alignment/>
    </xf>
    <xf numFmtId="10" fontId="2" fillId="0" borderId="14" xfId="20" applyNumberFormat="1" applyFont="1" applyBorder="1" applyAlignment="1">
      <alignment/>
    </xf>
    <xf numFmtId="169" fontId="2" fillId="0" borderId="15" xfId="17" applyNumberFormat="1" applyFont="1" applyBorder="1" applyAlignment="1">
      <alignment/>
    </xf>
    <xf numFmtId="169" fontId="2" fillId="0" borderId="16" xfId="17" applyNumberFormat="1" applyFont="1" applyBorder="1" applyAlignment="1">
      <alignment/>
    </xf>
    <xf numFmtId="169" fontId="2" fillId="0" borderId="17" xfId="17" applyNumberFormat="1" applyFont="1" applyBorder="1" applyAlignment="1">
      <alignment/>
    </xf>
    <xf numFmtId="10" fontId="2" fillId="0" borderId="16" xfId="20" applyNumberFormat="1" applyFont="1" applyBorder="1" applyAlignment="1">
      <alignment/>
    </xf>
    <xf numFmtId="10" fontId="2" fillId="0" borderId="17" xfId="2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2" fillId="0" borderId="16" xfId="2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24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2" fillId="0" borderId="29" xfId="15" applyNumberFormat="1" applyFont="1" applyBorder="1" applyAlignment="1">
      <alignment/>
    </xf>
    <xf numFmtId="165" fontId="2" fillId="0" borderId="30" xfId="15" applyNumberFormat="1" applyFont="1" applyBorder="1" applyAlignment="1">
      <alignment/>
    </xf>
    <xf numFmtId="165" fontId="2" fillId="0" borderId="31" xfId="15" applyNumberFormat="1" applyFont="1" applyBorder="1" applyAlignment="1">
      <alignment/>
    </xf>
    <xf numFmtId="169" fontId="2" fillId="0" borderId="32" xfId="17" applyNumberFormat="1" applyFont="1" applyBorder="1" applyAlignment="1">
      <alignment/>
    </xf>
    <xf numFmtId="169" fontId="2" fillId="0" borderId="33" xfId="17" applyNumberFormat="1" applyFont="1" applyBorder="1" applyAlignment="1">
      <alignment/>
    </xf>
    <xf numFmtId="169" fontId="2" fillId="0" borderId="34" xfId="17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0" fontId="2" fillId="0" borderId="35" xfId="20" applyNumberFormat="1" applyFont="1" applyBorder="1" applyAlignment="1">
      <alignment/>
    </xf>
    <xf numFmtId="165" fontId="1" fillId="0" borderId="8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2" fillId="0" borderId="21" xfId="20" applyNumberFormat="1" applyFont="1" applyBorder="1" applyAlignment="1">
      <alignment/>
    </xf>
    <xf numFmtId="167" fontId="2" fillId="0" borderId="36" xfId="20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165" fontId="8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5" fontId="1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3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167" fontId="9" fillId="0" borderId="0" xfId="20" applyNumberFormat="1" applyFont="1" applyAlignment="1" applyProtection="1">
      <alignment/>
      <protection/>
    </xf>
    <xf numFmtId="0" fontId="1" fillId="3" borderId="0" xfId="0" applyFont="1" applyFill="1" applyAlignment="1">
      <alignment/>
    </xf>
    <xf numFmtId="174" fontId="9" fillId="0" borderId="0" xfId="20" applyNumberFormat="1" applyFont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69" fontId="10" fillId="0" borderId="16" xfId="17" applyNumberFormat="1" applyFont="1" applyBorder="1" applyAlignment="1" applyProtection="1">
      <alignment/>
      <protection/>
    </xf>
    <xf numFmtId="165" fontId="8" fillId="0" borderId="0" xfId="15" applyNumberFormat="1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65" fontId="7" fillId="0" borderId="0" xfId="15" applyNumberFormat="1" applyFont="1" applyBorder="1" applyAlignment="1">
      <alignment/>
    </xf>
    <xf numFmtId="169" fontId="2" fillId="0" borderId="2" xfId="17" applyNumberFormat="1" applyFont="1" applyBorder="1" applyAlignment="1">
      <alignment/>
    </xf>
    <xf numFmtId="169" fontId="2" fillId="0" borderId="0" xfId="17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10" fontId="2" fillId="0" borderId="0" xfId="20" applyNumberFormat="1" applyFont="1" applyBorder="1" applyAlignment="1">
      <alignment/>
    </xf>
    <xf numFmtId="10" fontId="2" fillId="0" borderId="3" xfId="20" applyNumberFormat="1" applyFont="1" applyBorder="1" applyAlignment="1">
      <alignment/>
    </xf>
    <xf numFmtId="181" fontId="1" fillId="0" borderId="0" xfId="15" applyNumberFormat="1" applyFont="1" applyAlignment="1" applyProtection="1">
      <alignment horizontal="center"/>
      <protection/>
    </xf>
    <xf numFmtId="181" fontId="1" fillId="0" borderId="0" xfId="15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37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1" fillId="0" borderId="0" xfId="15" applyNumberFormat="1" applyFont="1" applyAlignment="1" applyProtection="1">
      <alignment/>
      <protection/>
    </xf>
    <xf numFmtId="165" fontId="1" fillId="0" borderId="0" xfId="15" applyNumberFormat="1" applyFont="1" applyAlignment="1" applyProtection="1">
      <alignment horizontal="center"/>
      <protection/>
    </xf>
    <xf numFmtId="165" fontId="2" fillId="0" borderId="40" xfId="15" applyNumberFormat="1" applyFont="1" applyBorder="1" applyAlignment="1" applyProtection="1">
      <alignment/>
      <protection/>
    </xf>
    <xf numFmtId="165" fontId="2" fillId="0" borderId="41" xfId="15" applyNumberFormat="1" applyFont="1" applyBorder="1" applyAlignment="1" applyProtection="1">
      <alignment/>
      <protection/>
    </xf>
    <xf numFmtId="165" fontId="1" fillId="0" borderId="40" xfId="15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right"/>
      <protection/>
    </xf>
    <xf numFmtId="165" fontId="2" fillId="0" borderId="39" xfId="15" applyNumberFormat="1" applyFont="1" applyBorder="1" applyAlignment="1" applyProtection="1">
      <alignment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1" fillId="6" borderId="42" xfId="0" applyFont="1" applyFill="1" applyBorder="1" applyAlignment="1" applyProtection="1">
      <alignment/>
      <protection/>
    </xf>
    <xf numFmtId="10" fontId="2" fillId="6" borderId="42" xfId="0" applyNumberFormat="1" applyFont="1" applyFill="1" applyBorder="1" applyAlignment="1" applyProtection="1">
      <alignment/>
      <protection/>
    </xf>
    <xf numFmtId="174" fontId="1" fillId="6" borderId="42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40" xfId="0" applyNumberFormat="1" applyFont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165" fontId="1" fillId="0" borderId="0" xfId="15" applyNumberFormat="1" applyFont="1" applyAlignment="1">
      <alignment horizontal="right"/>
    </xf>
    <xf numFmtId="174" fontId="1" fillId="0" borderId="0" xfId="2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12" fillId="0" borderId="0" xfId="15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10" fontId="1" fillId="0" borderId="0" xfId="20" applyNumberFormat="1" applyFont="1" applyAlignment="1" applyProtection="1">
      <alignment/>
      <protection/>
    </xf>
    <xf numFmtId="5" fontId="1" fillId="0" borderId="0" xfId="17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37" fontId="2" fillId="0" borderId="40" xfId="0" applyNumberFormat="1" applyFont="1" applyBorder="1" applyAlignment="1" applyProtection="1">
      <alignment horizontal="right"/>
      <protection/>
    </xf>
    <xf numFmtId="5" fontId="2" fillId="0" borderId="40" xfId="0" applyNumberFormat="1" applyFont="1" applyBorder="1" applyAlignment="1" applyProtection="1">
      <alignment/>
      <protection/>
    </xf>
    <xf numFmtId="5" fontId="1" fillId="0" borderId="40" xfId="0" applyNumberFormat="1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41" xfId="0" applyNumberFormat="1" applyFont="1" applyBorder="1" applyAlignment="1" applyProtection="1">
      <alignment horizontal="right"/>
      <protection/>
    </xf>
    <xf numFmtId="37" fontId="1" fillId="0" borderId="41" xfId="0" applyNumberFormat="1" applyFont="1" applyBorder="1" applyAlignment="1" applyProtection="1">
      <alignment/>
      <protection/>
    </xf>
    <xf numFmtId="37" fontId="1" fillId="0" borderId="41" xfId="0" applyNumberFormat="1" applyFont="1" applyFill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 horizontal="right"/>
      <protection/>
    </xf>
    <xf numFmtId="5" fontId="2" fillId="0" borderId="39" xfId="0" applyNumberFormat="1" applyFont="1" applyBorder="1" applyAlignment="1" applyProtection="1">
      <alignment/>
      <protection/>
    </xf>
    <xf numFmtId="5" fontId="2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Border="1" applyAlignment="1" applyProtection="1">
      <alignment/>
      <protection/>
    </xf>
    <xf numFmtId="37" fontId="1" fillId="0" borderId="40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/>
      <protection/>
    </xf>
    <xf numFmtId="37" fontId="1" fillId="0" borderId="39" xfId="0" applyNumberFormat="1" applyFont="1" applyBorder="1" applyAlignment="1" applyProtection="1">
      <alignment/>
      <protection/>
    </xf>
    <xf numFmtId="167" fontId="2" fillId="6" borderId="42" xfId="0" applyNumberFormat="1" applyFont="1" applyFill="1" applyBorder="1" applyAlignment="1" applyProtection="1">
      <alignment/>
      <protection/>
    </xf>
    <xf numFmtId="37" fontId="1" fillId="0" borderId="38" xfId="0" applyNumberFormat="1" applyFont="1" applyBorder="1" applyAlignment="1" applyProtection="1">
      <alignment/>
      <protection/>
    </xf>
    <xf numFmtId="5" fontId="1" fillId="0" borderId="5" xfId="0" applyNumberFormat="1" applyFont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37" fontId="1" fillId="7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0" fontId="1" fillId="0" borderId="0" xfId="20" applyNumberFormat="1" applyFont="1" applyAlignment="1">
      <alignment/>
    </xf>
    <xf numFmtId="175" fontId="1" fillId="0" borderId="0" xfId="20" applyNumberFormat="1" applyFont="1" applyAlignment="1">
      <alignment/>
    </xf>
    <xf numFmtId="166" fontId="1" fillId="0" borderId="0" xfId="20" applyNumberFormat="1" applyFont="1" applyAlignment="1" applyProtection="1">
      <alignment/>
      <protection/>
    </xf>
    <xf numFmtId="167" fontId="1" fillId="0" borderId="0" xfId="20" applyNumberFormat="1" applyFont="1" applyAlignment="1" applyProtection="1">
      <alignment/>
      <protection/>
    </xf>
    <xf numFmtId="175" fontId="2" fillId="0" borderId="16" xfId="20" applyNumberFormat="1" applyFont="1" applyBorder="1" applyAlignment="1" applyProtection="1">
      <alignment/>
      <protection/>
    </xf>
    <xf numFmtId="37" fontId="1" fillId="8" borderId="0" xfId="0" applyNumberFormat="1" applyFont="1" applyFill="1" applyAlignment="1" applyProtection="1">
      <alignment/>
      <protection/>
    </xf>
    <xf numFmtId="182" fontId="1" fillId="0" borderId="0" xfId="20" applyNumberFormat="1" applyFont="1" applyAlignment="1" applyProtection="1">
      <alignment/>
      <protection/>
    </xf>
    <xf numFmtId="0" fontId="8" fillId="0" borderId="0" xfId="0" applyFont="1" applyAlignment="1">
      <alignment/>
    </xf>
    <xf numFmtId="166" fontId="1" fillId="0" borderId="0" xfId="20" applyNumberFormat="1" applyFont="1" applyAlignment="1">
      <alignment/>
    </xf>
    <xf numFmtId="166" fontId="12" fillId="0" borderId="0" xfId="20" applyNumberFormat="1" applyFont="1" applyAlignment="1">
      <alignment/>
    </xf>
    <xf numFmtId="43" fontId="1" fillId="0" borderId="0" xfId="15" applyFont="1" applyAlignment="1">
      <alignment/>
    </xf>
    <xf numFmtId="174" fontId="15" fillId="0" borderId="5" xfId="20" applyNumberFormat="1" applyFont="1" applyBorder="1" applyAlignment="1" applyProtection="1">
      <alignment horizontal="right"/>
      <protection/>
    </xf>
    <xf numFmtId="174" fontId="15" fillId="0" borderId="0" xfId="20" applyNumberFormat="1" applyFont="1" applyAlignment="1" applyProtection="1">
      <alignment horizontal="center"/>
      <protection/>
    </xf>
    <xf numFmtId="174" fontId="15" fillId="0" borderId="0" xfId="2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0" fontId="15" fillId="0" borderId="0" xfId="20" applyNumberFormat="1" applyFont="1" applyAlignment="1">
      <alignment/>
    </xf>
    <xf numFmtId="167" fontId="15" fillId="0" borderId="0" xfId="20" applyNumberFormat="1" applyFont="1" applyAlignment="1">
      <alignment/>
    </xf>
    <xf numFmtId="174" fontId="15" fillId="0" borderId="0" xfId="20" applyNumberFormat="1" applyFont="1" applyAlignment="1">
      <alignment/>
    </xf>
    <xf numFmtId="174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right"/>
      <protection/>
    </xf>
    <xf numFmtId="10" fontId="15" fillId="0" borderId="0" xfId="20" applyNumberFormat="1" applyFont="1" applyAlignment="1" applyProtection="1">
      <alignment/>
      <protection/>
    </xf>
    <xf numFmtId="167" fontId="15" fillId="0" borderId="0" xfId="2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166" fontId="15" fillId="0" borderId="0" xfId="20" applyNumberFormat="1" applyFont="1" applyAlignment="1" applyProtection="1">
      <alignment/>
      <protection/>
    </xf>
    <xf numFmtId="167" fontId="16" fillId="0" borderId="16" xfId="2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80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4" fontId="15" fillId="0" borderId="0" xfId="2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174" fontId="15" fillId="0" borderId="0" xfId="20" applyNumberFormat="1" applyFont="1" applyBorder="1" applyAlignment="1" applyProtection="1">
      <alignment horizontal="right"/>
      <protection/>
    </xf>
    <xf numFmtId="37" fontId="15" fillId="0" borderId="0" xfId="0" applyNumberFormat="1" applyFont="1" applyBorder="1" applyAlignment="1" applyProtection="1">
      <alignment/>
      <protection/>
    </xf>
    <xf numFmtId="174" fontId="15" fillId="0" borderId="13" xfId="20" applyNumberFormat="1" applyFont="1" applyBorder="1" applyAlignment="1" applyProtection="1">
      <alignment horizontal="right"/>
      <protection/>
    </xf>
    <xf numFmtId="167" fontId="16" fillId="0" borderId="16" xfId="20" applyNumberFormat="1" applyFont="1" applyBorder="1" applyAlignment="1" applyProtection="1">
      <alignment horizontal="right"/>
      <protection/>
    </xf>
    <xf numFmtId="174" fontId="15" fillId="0" borderId="0" xfId="0" applyNumberFormat="1" applyFont="1" applyAlignment="1" applyProtection="1">
      <alignment/>
      <protection/>
    </xf>
    <xf numFmtId="174" fontId="15" fillId="0" borderId="0" xfId="0" applyNumberFormat="1" applyFont="1" applyAlignment="1" applyProtection="1">
      <alignment horizontal="right"/>
      <protection/>
    </xf>
    <xf numFmtId="5" fontId="13" fillId="0" borderId="0" xfId="0" applyNumberFormat="1" applyFont="1" applyAlignment="1">
      <alignment/>
    </xf>
    <xf numFmtId="169" fontId="13" fillId="0" borderId="5" xfId="17" applyNumberFormat="1" applyFont="1" applyBorder="1" applyAlignment="1">
      <alignment/>
    </xf>
    <xf numFmtId="0" fontId="13" fillId="0" borderId="0" xfId="0" applyFont="1" applyAlignment="1">
      <alignment horizontal="right"/>
    </xf>
    <xf numFmtId="174" fontId="13" fillId="0" borderId="16" xfId="20" applyNumberFormat="1" applyFont="1" applyBorder="1" applyAlignment="1">
      <alignment/>
    </xf>
    <xf numFmtId="37" fontId="15" fillId="0" borderId="0" xfId="0" applyNumberFormat="1" applyFont="1" applyAlignment="1" applyProtection="1">
      <alignment horizontal="right"/>
      <protection/>
    </xf>
    <xf numFmtId="174" fontId="15" fillId="0" borderId="16" xfId="20" applyNumberFormat="1" applyFont="1" applyBorder="1" applyAlignment="1" applyProtection="1">
      <alignment/>
      <protection/>
    </xf>
    <xf numFmtId="0" fontId="17" fillId="9" borderId="0" xfId="0" applyFont="1" applyFill="1" applyBorder="1" applyAlignment="1">
      <alignment/>
    </xf>
    <xf numFmtId="1" fontId="17" fillId="9" borderId="0" xfId="19" applyNumberFormat="1" applyFont="1" applyFill="1" applyBorder="1">
      <alignment/>
      <protection/>
    </xf>
    <xf numFmtId="1" fontId="17" fillId="0" borderId="0" xfId="19" applyNumberFormat="1" applyFont="1" applyBorder="1">
      <alignment/>
      <protection/>
    </xf>
    <xf numFmtId="0" fontId="0" fillId="9" borderId="0" xfId="0" applyFont="1" applyFill="1" applyBorder="1" applyAlignment="1">
      <alignment horizontal="center"/>
    </xf>
    <xf numFmtId="1" fontId="0" fillId="9" borderId="0" xfId="19" applyNumberFormat="1" applyFont="1" applyFill="1" applyBorder="1" applyAlignment="1">
      <alignment horizontal="center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9" borderId="0" xfId="0" applyFill="1" applyBorder="1" applyAlignment="1">
      <alignment/>
    </xf>
    <xf numFmtId="0" fontId="0" fillId="0" borderId="0" xfId="0" applyFill="1" applyAlignment="1">
      <alignment/>
    </xf>
    <xf numFmtId="6" fontId="17" fillId="9" borderId="0" xfId="0" applyNumberFormat="1" applyFont="1" applyFill="1" applyBorder="1" applyAlignment="1" quotePrefix="1">
      <alignment/>
    </xf>
    <xf numFmtId="0" fontId="0" fillId="0" borderId="0" xfId="0" applyBorder="1" applyAlignment="1">
      <alignment/>
    </xf>
    <xf numFmtId="6" fontId="17" fillId="9" borderId="0" xfId="0" applyNumberFormat="1" applyFont="1" applyFill="1" applyBorder="1" applyAlignment="1">
      <alignment/>
    </xf>
    <xf numFmtId="10" fontId="17" fillId="9" borderId="0" xfId="0" applyNumberFormat="1" applyFont="1" applyFill="1" applyBorder="1" applyAlignment="1">
      <alignment horizontal="center"/>
    </xf>
    <xf numFmtId="0" fontId="17" fillId="10" borderId="0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183" fontId="17" fillId="10" borderId="0" xfId="0" applyNumberFormat="1" applyFont="1" applyFill="1" applyBorder="1" applyAlignment="1">
      <alignment/>
    </xf>
    <xf numFmtId="183" fontId="17" fillId="9" borderId="0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183" fontId="17" fillId="9" borderId="0" xfId="0" applyNumberFormat="1" applyFont="1" applyFill="1" applyAlignment="1">
      <alignment/>
    </xf>
    <xf numFmtId="183" fontId="0" fillId="9" borderId="0" xfId="0" applyNumberFormat="1" applyFont="1" applyFill="1" applyBorder="1" applyAlignment="1">
      <alignment/>
    </xf>
    <xf numFmtId="0" fontId="19" fillId="9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9" borderId="0" xfId="0" applyFont="1" applyFill="1" applyAlignment="1">
      <alignment/>
    </xf>
    <xf numFmtId="183" fontId="19" fillId="9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181" fontId="17" fillId="9" borderId="0" xfId="0" applyNumberFormat="1" applyFont="1" applyFill="1" applyBorder="1" applyAlignment="1">
      <alignment/>
    </xf>
    <xf numFmtId="183" fontId="21" fillId="10" borderId="0" xfId="0" applyNumberFormat="1" applyFont="1" applyFill="1" applyBorder="1" applyAlignment="1">
      <alignment/>
    </xf>
    <xf numFmtId="0" fontId="17" fillId="10" borderId="0" xfId="0" applyFont="1" applyFill="1" applyAlignment="1">
      <alignment/>
    </xf>
    <xf numFmtId="0" fontId="22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17" fillId="9" borderId="0" xfId="0" applyFont="1" applyFill="1" applyAlignment="1">
      <alignment/>
    </xf>
    <xf numFmtId="0" fontId="22" fillId="9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0" fontId="22" fillId="10" borderId="0" xfId="0" applyFont="1" applyFill="1" applyAlignment="1">
      <alignment/>
    </xf>
    <xf numFmtId="183" fontId="17" fillId="0" borderId="0" xfId="0" applyNumberFormat="1" applyFont="1" applyAlignment="1">
      <alignment/>
    </xf>
    <xf numFmtId="183" fontId="17" fillId="1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0" fontId="1" fillId="0" borderId="0" xfId="15" applyNumberFormat="1" applyFont="1" applyAlignment="1">
      <alignment/>
    </xf>
    <xf numFmtId="10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0" fontId="17" fillId="0" borderId="0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5" fontId="1" fillId="0" borderId="38" xfId="15" applyNumberFormat="1" applyFont="1" applyBorder="1" applyAlignment="1">
      <alignment/>
    </xf>
    <xf numFmtId="165" fontId="1" fillId="0" borderId="38" xfId="15" applyNumberFormat="1" applyFont="1" applyBorder="1" applyAlignment="1" applyProtection="1">
      <alignment/>
      <protection/>
    </xf>
    <xf numFmtId="165" fontId="1" fillId="0" borderId="39" xfId="15" applyNumberFormat="1" applyFont="1" applyBorder="1" applyAlignment="1">
      <alignment/>
    </xf>
    <xf numFmtId="165" fontId="1" fillId="0" borderId="39" xfId="15" applyNumberFormat="1" applyFont="1" applyBorder="1" applyAlignment="1" applyProtection="1">
      <alignment/>
      <protection/>
    </xf>
    <xf numFmtId="165" fontId="1" fillId="0" borderId="43" xfId="15" applyNumberFormat="1" applyFont="1" applyBorder="1" applyAlignment="1">
      <alignment/>
    </xf>
    <xf numFmtId="169" fontId="2" fillId="0" borderId="43" xfId="17" applyNumberFormat="1" applyFont="1" applyBorder="1" applyAlignment="1">
      <alignment/>
    </xf>
    <xf numFmtId="169" fontId="2" fillId="0" borderId="44" xfId="17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165" fontId="2" fillId="0" borderId="44" xfId="15" applyNumberFormat="1" applyFont="1" applyBorder="1" applyAlignment="1">
      <alignment/>
    </xf>
    <xf numFmtId="169" fontId="2" fillId="0" borderId="45" xfId="17" applyNumberFormat="1" applyFont="1" applyBorder="1" applyAlignment="1">
      <alignment/>
    </xf>
    <xf numFmtId="169" fontId="1" fillId="0" borderId="43" xfId="17" applyNumberFormat="1" applyFont="1" applyBorder="1" applyAlignment="1">
      <alignment/>
    </xf>
    <xf numFmtId="169" fontId="6" fillId="0" borderId="43" xfId="17" applyNumberFormat="1" applyFont="1" applyBorder="1" applyAlignment="1">
      <alignment horizontal="center"/>
    </xf>
    <xf numFmtId="169" fontId="2" fillId="0" borderId="3" xfId="17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69" fontId="2" fillId="0" borderId="46" xfId="17" applyNumberFormat="1" applyFont="1" applyBorder="1" applyAlignment="1">
      <alignment/>
    </xf>
    <xf numFmtId="169" fontId="6" fillId="0" borderId="3" xfId="17" applyNumberFormat="1" applyFont="1" applyBorder="1" applyAlignment="1">
      <alignment horizontal="center"/>
    </xf>
    <xf numFmtId="169" fontId="1" fillId="0" borderId="3" xfId="17" applyNumberFormat="1" applyFont="1" applyBorder="1" applyAlignment="1">
      <alignment/>
    </xf>
    <xf numFmtId="169" fontId="2" fillId="0" borderId="14" xfId="17" applyNumberFormat="1" applyFont="1" applyBorder="1" applyAlignment="1">
      <alignment/>
    </xf>
    <xf numFmtId="169" fontId="2" fillId="0" borderId="47" xfId="17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65" fontId="9" fillId="0" borderId="0" xfId="15" applyNumberFormat="1" applyFont="1" applyAlignment="1" applyProtection="1">
      <alignment/>
      <protection/>
    </xf>
    <xf numFmtId="18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65" fontId="10" fillId="0" borderId="40" xfId="15" applyNumberFormat="1" applyFont="1" applyBorder="1" applyAlignment="1" applyProtection="1">
      <alignment/>
      <protection/>
    </xf>
    <xf numFmtId="184" fontId="2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ype I (00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SheetLayoutView="100" workbookViewId="0" topLeftCell="B1">
      <selection activeCell="D74" sqref="D74"/>
    </sheetView>
  </sheetViews>
  <sheetFormatPr defaultColWidth="9.140625" defaultRowHeight="12.75"/>
  <cols>
    <col min="1" max="1" width="5.140625" style="1" hidden="1" customWidth="1"/>
    <col min="2" max="2" width="48.8515625" style="1" customWidth="1"/>
    <col min="3" max="3" width="20.8515625" style="1" customWidth="1"/>
    <col min="4" max="4" width="19.140625" style="1" customWidth="1"/>
    <col min="5" max="5" width="18.00390625" style="1" customWidth="1"/>
    <col min="6" max="6" width="20.7109375" style="1" customWidth="1"/>
    <col min="7" max="7" width="0.13671875" style="1" customWidth="1"/>
    <col min="8" max="9" width="12.140625" style="1" hidden="1" customWidth="1"/>
    <col min="10" max="10" width="9.57421875" style="1" bestFit="1" customWidth="1"/>
    <col min="11" max="16384" width="9.140625" style="1" customWidth="1"/>
  </cols>
  <sheetData>
    <row r="1" spans="3:6" ht="15">
      <c r="C1" s="298" t="s">
        <v>391</v>
      </c>
      <c r="D1" s="298"/>
      <c r="E1" s="298"/>
      <c r="F1" s="298"/>
    </row>
    <row r="2" spans="2:9" ht="15">
      <c r="B2" s="3" t="s">
        <v>58</v>
      </c>
      <c r="C2" s="298" t="s">
        <v>220</v>
      </c>
      <c r="D2" s="298"/>
      <c r="E2" s="298"/>
      <c r="F2" s="298"/>
      <c r="G2" s="4"/>
      <c r="H2" s="4"/>
      <c r="I2" s="4"/>
    </row>
    <row r="3" spans="2:9" ht="15">
      <c r="B3" s="3" t="s">
        <v>59</v>
      </c>
      <c r="C3" s="299" t="s">
        <v>390</v>
      </c>
      <c r="D3" s="299"/>
      <c r="E3" s="299"/>
      <c r="F3" s="299"/>
      <c r="G3" s="4"/>
      <c r="H3" s="4"/>
      <c r="I3" s="4"/>
    </row>
    <row r="4" spans="5:6" ht="15">
      <c r="E4" s="299" t="s">
        <v>258</v>
      </c>
      <c r="F4" s="299"/>
    </row>
    <row r="5" spans="3:9" ht="15.75" thickBot="1">
      <c r="C5" s="53" t="s">
        <v>47</v>
      </c>
      <c r="D5" s="3" t="s">
        <v>48</v>
      </c>
      <c r="E5" s="53" t="s">
        <v>377</v>
      </c>
      <c r="F5" s="3" t="s">
        <v>49</v>
      </c>
      <c r="G5" s="297" t="s">
        <v>79</v>
      </c>
      <c r="H5" s="297"/>
      <c r="I5" s="297"/>
    </row>
    <row r="6" spans="1:9" ht="15">
      <c r="A6" s="1" t="s">
        <v>64</v>
      </c>
      <c r="C6" s="295" t="s">
        <v>245</v>
      </c>
      <c r="D6" s="295" t="s">
        <v>245</v>
      </c>
      <c r="E6" s="295" t="s">
        <v>245</v>
      </c>
      <c r="F6" s="295" t="s">
        <v>245</v>
      </c>
      <c r="G6" s="82" t="s">
        <v>54</v>
      </c>
      <c r="H6" s="25" t="s">
        <v>76</v>
      </c>
      <c r="I6" s="26" t="s">
        <v>76</v>
      </c>
    </row>
    <row r="7" spans="1:11" ht="15.75" thickBot="1">
      <c r="A7" s="6" t="s">
        <v>65</v>
      </c>
      <c r="B7" s="27" t="s">
        <v>53</v>
      </c>
      <c r="C7" s="296"/>
      <c r="D7" s="296"/>
      <c r="E7" s="296"/>
      <c r="F7" s="296"/>
      <c r="G7" s="27"/>
      <c r="H7" s="29" t="s">
        <v>309</v>
      </c>
      <c r="I7" s="29" t="s">
        <v>309</v>
      </c>
      <c r="J7" s="6"/>
      <c r="K7" s="6"/>
    </row>
    <row r="8" spans="2:11" ht="15">
      <c r="B8" s="30"/>
      <c r="C8" s="288"/>
      <c r="D8" s="294"/>
      <c r="E8" s="290"/>
      <c r="F8" s="286"/>
      <c r="G8" s="30"/>
      <c r="H8" s="30"/>
      <c r="I8" s="33"/>
      <c r="J8" s="7"/>
      <c r="K8" s="7"/>
    </row>
    <row r="9" spans="1:9" ht="15">
      <c r="A9" s="1">
        <v>1</v>
      </c>
      <c r="B9" s="1" t="s">
        <v>60</v>
      </c>
      <c r="C9" s="34">
        <v>291202007</v>
      </c>
      <c r="D9" s="279"/>
      <c r="E9" s="291"/>
      <c r="F9" s="285"/>
      <c r="G9" s="7"/>
      <c r="H9" s="7"/>
      <c r="I9" s="13"/>
    </row>
    <row r="10" spans="1:9" ht="15">
      <c r="A10" s="1">
        <v>2</v>
      </c>
      <c r="B10" s="1" t="s">
        <v>61</v>
      </c>
      <c r="C10" s="34"/>
      <c r="D10" s="279">
        <f>194430600.49+31482771.49+4614445.49+8663041.49+-271678</f>
        <v>238919180.96000004</v>
      </c>
      <c r="E10" s="291"/>
      <c r="F10" s="285"/>
      <c r="G10" s="7"/>
      <c r="H10" s="7"/>
      <c r="I10" s="13"/>
    </row>
    <row r="11" spans="1:9" ht="15">
      <c r="A11" s="1">
        <v>3</v>
      </c>
      <c r="B11" s="1" t="s">
        <v>67</v>
      </c>
      <c r="C11" s="34"/>
      <c r="D11" s="279">
        <f>16538880+2959954-4950980</f>
        <v>14547854</v>
      </c>
      <c r="E11" s="291"/>
      <c r="F11" s="285">
        <v>-64317270</v>
      </c>
      <c r="G11" s="7"/>
      <c r="H11" s="7"/>
      <c r="I11" s="13"/>
    </row>
    <row r="12" spans="1:11" ht="15">
      <c r="A12" s="1">
        <v>4</v>
      </c>
      <c r="B12" s="1" t="s">
        <v>66</v>
      </c>
      <c r="C12" s="34"/>
      <c r="D12" s="279"/>
      <c r="E12" s="291"/>
      <c r="F12" s="285">
        <f>589156681+64317270</f>
        <v>653473951</v>
      </c>
      <c r="G12" s="15"/>
      <c r="H12" s="15"/>
      <c r="I12" s="14"/>
      <c r="J12" s="15"/>
      <c r="K12" s="15"/>
    </row>
    <row r="13" spans="1:9" ht="15">
      <c r="A13" s="1">
        <v>5</v>
      </c>
      <c r="B13" s="7" t="s">
        <v>222</v>
      </c>
      <c r="C13" s="109">
        <f>SUM(C9:C12)</f>
        <v>291202007</v>
      </c>
      <c r="D13" s="280">
        <f>SUM(D9:D12)</f>
        <v>253467034.96000004</v>
      </c>
      <c r="E13" s="287">
        <f>C13-D13</f>
        <v>37734972.03999996</v>
      </c>
      <c r="F13" s="280">
        <f>SUM(F9:F12)</f>
        <v>589156681</v>
      </c>
      <c r="G13" s="45">
        <f>E13/F13</f>
        <v>0.06404912862220426</v>
      </c>
      <c r="H13" s="45" t="e">
        <f>#REF!/#REF!</f>
        <v>#REF!</v>
      </c>
      <c r="I13" s="46" t="e">
        <f>H13-G13</f>
        <v>#REF!</v>
      </c>
    </row>
    <row r="14" spans="1:9" ht="15">
      <c r="A14" s="1">
        <v>6</v>
      </c>
      <c r="C14" s="109"/>
      <c r="D14" s="280"/>
      <c r="E14" s="287"/>
      <c r="F14" s="280"/>
      <c r="G14" s="116"/>
      <c r="H14" s="116"/>
      <c r="I14" s="117"/>
    </row>
    <row r="15" spans="1:9" ht="15">
      <c r="A15" s="1">
        <v>7</v>
      </c>
      <c r="B15" s="228" t="s">
        <v>248</v>
      </c>
      <c r="C15" s="34">
        <f>'TES2 adjs'!D12</f>
        <v>0</v>
      </c>
      <c r="D15" s="279">
        <f>'TES2 adjs'!D34</f>
        <v>-373525.13902860007</v>
      </c>
      <c r="E15" s="291">
        <f aca="true" t="shared" si="0" ref="E15:E28">C15-D15</f>
        <v>373525.13902860007</v>
      </c>
      <c r="F15" s="285"/>
      <c r="G15" s="7"/>
      <c r="H15" s="7"/>
      <c r="I15" s="13"/>
    </row>
    <row r="16" spans="1:9" ht="15">
      <c r="A16" s="1">
        <v>8</v>
      </c>
      <c r="B16" s="228" t="s">
        <v>250</v>
      </c>
      <c r="C16" s="34">
        <f>'TES2 adjs'!E12</f>
        <v>0</v>
      </c>
      <c r="D16" s="279">
        <f>'TES2 adjs'!E34</f>
        <v>-130048.04984042041</v>
      </c>
      <c r="E16" s="291">
        <f t="shared" si="0"/>
        <v>130048.04984042041</v>
      </c>
      <c r="F16" s="285"/>
      <c r="G16" s="7"/>
      <c r="H16" s="7"/>
      <c r="I16" s="13"/>
    </row>
    <row r="17" spans="1:9" ht="15">
      <c r="A17" s="1">
        <v>9</v>
      </c>
      <c r="B17" s="228" t="s">
        <v>251</v>
      </c>
      <c r="C17" s="34">
        <v>0</v>
      </c>
      <c r="D17" s="279">
        <f>'TES2 adjs'!F34</f>
        <v>-46729.270076866596</v>
      </c>
      <c r="E17" s="291">
        <f t="shared" si="0"/>
        <v>46729.270076866596</v>
      </c>
      <c r="F17" s="285"/>
      <c r="G17" s="7"/>
      <c r="H17" s="7"/>
      <c r="I17" s="13"/>
    </row>
    <row r="18" spans="1:9" ht="15">
      <c r="A18" s="1">
        <v>10</v>
      </c>
      <c r="B18" s="228" t="s">
        <v>252</v>
      </c>
      <c r="C18" s="34">
        <v>0</v>
      </c>
      <c r="D18" s="279">
        <f>'TES2 adjs'!G34</f>
        <v>-169640.62574159997</v>
      </c>
      <c r="E18" s="291">
        <f t="shared" si="0"/>
        <v>169640.62574159997</v>
      </c>
      <c r="F18" s="285"/>
      <c r="G18" s="7"/>
      <c r="H18" s="7"/>
      <c r="I18" s="13"/>
    </row>
    <row r="19" spans="1:9" ht="15">
      <c r="A19" s="1">
        <v>11</v>
      </c>
      <c r="B19" s="228" t="s">
        <v>253</v>
      </c>
      <c r="C19" s="34">
        <v>0</v>
      </c>
      <c r="D19" s="279">
        <f>'TES2 adjs'!H34</f>
        <v>-26458.711203600004</v>
      </c>
      <c r="E19" s="291">
        <f t="shared" si="0"/>
        <v>26458.711203600004</v>
      </c>
      <c r="F19" s="285"/>
      <c r="G19" s="7"/>
      <c r="H19" s="7"/>
      <c r="I19" s="13"/>
    </row>
    <row r="20" spans="1:9" ht="15">
      <c r="A20" s="1">
        <v>12</v>
      </c>
      <c r="B20" s="229" t="s">
        <v>254</v>
      </c>
      <c r="C20" s="34">
        <v>0</v>
      </c>
      <c r="D20" s="279">
        <f>'TES2 adjs'!I34</f>
        <v>-95273.13705</v>
      </c>
      <c r="E20" s="291">
        <f t="shared" si="0"/>
        <v>95273.13705</v>
      </c>
      <c r="F20" s="285"/>
      <c r="G20" s="7"/>
      <c r="H20" s="7"/>
      <c r="I20" s="13"/>
    </row>
    <row r="21" spans="1:9" ht="15">
      <c r="A21" s="1">
        <v>13</v>
      </c>
      <c r="B21" s="229" t="s">
        <v>255</v>
      </c>
      <c r="C21" s="34">
        <v>0</v>
      </c>
      <c r="D21" s="279">
        <f>'TES2 adjs'!J34</f>
        <v>-114327.76446</v>
      </c>
      <c r="E21" s="291">
        <f t="shared" si="0"/>
        <v>114327.76446</v>
      </c>
      <c r="F21" s="285"/>
      <c r="G21" s="7"/>
      <c r="H21" s="7"/>
      <c r="I21" s="13"/>
    </row>
    <row r="22" spans="1:10" ht="15">
      <c r="A22" s="1">
        <v>14</v>
      </c>
      <c r="B22" s="230" t="s">
        <v>256</v>
      </c>
      <c r="C22" s="34">
        <v>0</v>
      </c>
      <c r="D22" s="279">
        <f>'TES2 adjs'!K34</f>
        <v>-97995.22667999999</v>
      </c>
      <c r="E22" s="291">
        <f t="shared" si="0"/>
        <v>97995.22667999999</v>
      </c>
      <c r="F22" s="285"/>
      <c r="G22" s="7"/>
      <c r="H22" s="7"/>
      <c r="I22" s="13"/>
      <c r="J22" s="11">
        <f>SUM(C15:C22)-SUM(D15:D22)</f>
        <v>1053997.924081087</v>
      </c>
    </row>
    <row r="23" spans="1:10" ht="15">
      <c r="A23" s="1">
        <v>15</v>
      </c>
      <c r="B23" s="228" t="s">
        <v>257</v>
      </c>
      <c r="C23" s="34">
        <f>'TES2 adjs'!L12</f>
        <v>-20383.379668716974</v>
      </c>
      <c r="D23" s="279">
        <f>'TES2 adjs'!L34</f>
        <v>-41966.86694558175</v>
      </c>
      <c r="E23" s="291">
        <f t="shared" si="0"/>
        <v>21583.487276864777</v>
      </c>
      <c r="F23" s="285"/>
      <c r="G23" s="7"/>
      <c r="H23" s="7"/>
      <c r="I23" s="13"/>
      <c r="J23" s="11"/>
    </row>
    <row r="24" spans="1:9" ht="15">
      <c r="A24" s="1">
        <v>16</v>
      </c>
      <c r="B24" s="228" t="s">
        <v>264</v>
      </c>
      <c r="C24" s="34">
        <f>'TES2 adjs'!M12</f>
        <v>1439573.6377094642</v>
      </c>
      <c r="D24" s="279">
        <f>'TES2 adjs'!M34</f>
        <v>919600.3544964103</v>
      </c>
      <c r="E24" s="291">
        <f t="shared" si="0"/>
        <v>519973.28321305383</v>
      </c>
      <c r="F24" s="285"/>
      <c r="G24" s="7"/>
      <c r="H24" s="7"/>
      <c r="I24" s="13"/>
    </row>
    <row r="25" spans="1:9" ht="15">
      <c r="A25" s="1">
        <v>17</v>
      </c>
      <c r="B25" s="228" t="s">
        <v>265</v>
      </c>
      <c r="C25" s="34"/>
      <c r="D25" s="279"/>
      <c r="E25" s="291">
        <f t="shared" si="0"/>
        <v>0</v>
      </c>
      <c r="F25" s="285"/>
      <c r="G25" s="7"/>
      <c r="H25" s="7"/>
      <c r="I25" s="13"/>
    </row>
    <row r="26" spans="1:9" ht="15">
      <c r="A26" s="1">
        <v>18</v>
      </c>
      <c r="B26" s="228" t="s">
        <v>266</v>
      </c>
      <c r="C26" s="34">
        <f>'TES2 adjs'!O12</f>
        <v>413052.2840339166</v>
      </c>
      <c r="D26" s="279">
        <f>'TES2 adjs'!O34</f>
        <v>8077.662634456963</v>
      </c>
      <c r="E26" s="291">
        <f t="shared" si="0"/>
        <v>404974.62139945966</v>
      </c>
      <c r="F26" s="285"/>
      <c r="G26" s="7"/>
      <c r="H26" s="7"/>
      <c r="I26" s="13"/>
    </row>
    <row r="27" spans="1:9" ht="15">
      <c r="A27" s="1">
        <v>19</v>
      </c>
      <c r="B27" s="228" t="s">
        <v>267</v>
      </c>
      <c r="C27" s="34">
        <f>'TES2 adjs'!P12</f>
        <v>91721.34577337856</v>
      </c>
      <c r="D27" s="279">
        <f>'TES2 adjs'!P34</f>
        <v>53687.42254608099</v>
      </c>
      <c r="E27" s="291">
        <f t="shared" si="0"/>
        <v>38033.92322729757</v>
      </c>
      <c r="F27" s="285"/>
      <c r="G27" s="7"/>
      <c r="H27" s="7"/>
      <c r="I27" s="13"/>
    </row>
    <row r="28" spans="1:9" ht="15">
      <c r="A28" s="1">
        <v>20</v>
      </c>
      <c r="B28" s="228" t="s">
        <v>268</v>
      </c>
      <c r="C28" s="34">
        <f>'TES2 adjs'!Q12</f>
        <v>26407.239794296976</v>
      </c>
      <c r="D28" s="279">
        <f>'TES2 adjs'!Q34</f>
        <v>1597.642796473223</v>
      </c>
      <c r="E28" s="291">
        <f t="shared" si="0"/>
        <v>24809.596997823755</v>
      </c>
      <c r="F28" s="285"/>
      <c r="G28" s="7"/>
      <c r="H28" s="7"/>
      <c r="I28" s="13"/>
    </row>
    <row r="29" spans="1:9" ht="15">
      <c r="A29" s="1">
        <v>21</v>
      </c>
      <c r="B29" s="228" t="s">
        <v>269</v>
      </c>
      <c r="C29" s="34">
        <f>'TES2 adjs'!R12</f>
        <v>118470.95228282164</v>
      </c>
      <c r="D29" s="282">
        <f>'TES2 adjs'!R34</f>
        <v>1782.1414945729375</v>
      </c>
      <c r="E29" s="291">
        <f>C29-D30</f>
        <v>110757.83029339698</v>
      </c>
      <c r="F29" s="285"/>
      <c r="G29" s="7"/>
      <c r="H29" s="7"/>
      <c r="I29" s="13"/>
    </row>
    <row r="30" spans="1:9" ht="15">
      <c r="A30" s="1">
        <v>22</v>
      </c>
      <c r="B30" s="228" t="s">
        <v>270</v>
      </c>
      <c r="C30" s="34">
        <f>'TES2 adjs'!S12</f>
        <v>11090.649402527637</v>
      </c>
      <c r="D30" s="279">
        <f>'TES2 adjs'!S34</f>
        <v>7713.121989424661</v>
      </c>
      <c r="E30" s="291">
        <f>C30-D31</f>
        <v>10405.483247302633</v>
      </c>
      <c r="F30" s="285"/>
      <c r="G30" s="7"/>
      <c r="H30" s="7"/>
      <c r="I30" s="13"/>
    </row>
    <row r="31" spans="1:9" ht="15">
      <c r="A31" s="1">
        <v>23</v>
      </c>
      <c r="B31" s="228" t="s">
        <v>271</v>
      </c>
      <c r="C31" s="34">
        <f>'TES2 adjs'!T12</f>
        <v>18664.041020706034</v>
      </c>
      <c r="D31" s="279">
        <f>'TES2 adjs'!T34</f>
        <v>685.1661552250048</v>
      </c>
      <c r="E31" s="291">
        <f aca="true" t="shared" si="1" ref="E31:E51">C31-D31</f>
        <v>17978.87486548103</v>
      </c>
      <c r="F31" s="285"/>
      <c r="G31" s="7"/>
      <c r="H31" s="7"/>
      <c r="I31" s="13"/>
    </row>
    <row r="32" spans="1:9" ht="15">
      <c r="A32" s="1">
        <v>24</v>
      </c>
      <c r="B32" s="228" t="s">
        <v>272</v>
      </c>
      <c r="C32" s="34">
        <f>'TES2 adjs'!U12</f>
        <v>57870.13037007324</v>
      </c>
      <c r="D32" s="279">
        <f>'TES2 adjs'!U34</f>
        <v>-4589.619116149658</v>
      </c>
      <c r="E32" s="291">
        <f t="shared" si="1"/>
        <v>62459.7494862229</v>
      </c>
      <c r="F32" s="285"/>
      <c r="G32" s="7"/>
      <c r="H32" s="7"/>
      <c r="I32" s="13"/>
    </row>
    <row r="33" spans="1:9" ht="15">
      <c r="A33" s="1">
        <v>25</v>
      </c>
      <c r="B33" s="228" t="s">
        <v>273</v>
      </c>
      <c r="C33" s="34">
        <f>'TES2 adjs'!V12</f>
        <v>20175.654838240727</v>
      </c>
      <c r="D33" s="279">
        <f>'TES2 adjs'!V34</f>
        <v>2760.982698846701</v>
      </c>
      <c r="E33" s="291">
        <f t="shared" si="1"/>
        <v>17414.672139394024</v>
      </c>
      <c r="F33" s="285"/>
      <c r="G33" s="7"/>
      <c r="H33" s="7"/>
      <c r="I33" s="13"/>
    </row>
    <row r="34" spans="1:9" ht="15">
      <c r="A34" s="1">
        <v>26</v>
      </c>
      <c r="B34" s="228" t="s">
        <v>274</v>
      </c>
      <c r="C34" s="34">
        <f>'TES2 adjs'!W12</f>
        <v>25049.14375825898</v>
      </c>
      <c r="D34" s="279">
        <f>'TES2 adjs'!W34</f>
        <v>-1030.6143766710145</v>
      </c>
      <c r="E34" s="291">
        <f t="shared" si="1"/>
        <v>26079.758134929994</v>
      </c>
      <c r="F34" s="285"/>
      <c r="G34" s="7"/>
      <c r="H34" s="7"/>
      <c r="I34" s="13"/>
    </row>
    <row r="35" spans="1:10" ht="15">
      <c r="A35" s="1">
        <v>27</v>
      </c>
      <c r="B35" s="228" t="s">
        <v>275</v>
      </c>
      <c r="C35" s="34">
        <f>'TES2 adjs'!X12</f>
        <v>0</v>
      </c>
      <c r="D35" s="279">
        <f>'TES2 adjs'!X34</f>
        <v>-32690.91145017915</v>
      </c>
      <c r="E35" s="291">
        <f t="shared" si="1"/>
        <v>32690.91145017915</v>
      </c>
      <c r="F35" s="285"/>
      <c r="G35" s="7"/>
      <c r="H35" s="7"/>
      <c r="I35" s="13"/>
      <c r="J35" s="11">
        <f>SUM(C24:C35)-SUM(D24:D35)</f>
        <v>1264481.7291151928</v>
      </c>
    </row>
    <row r="36" spans="1:10" ht="15">
      <c r="A36" s="1">
        <v>28</v>
      </c>
      <c r="B36" s="228" t="s">
        <v>276</v>
      </c>
      <c r="C36" s="34">
        <f>'TES2 adjs'!Y12</f>
        <v>106733.64755919005</v>
      </c>
      <c r="D36" s="279">
        <f>'TES2 adjs'!Y34</f>
        <v>11016.514359563964</v>
      </c>
      <c r="E36" s="291">
        <f t="shared" si="1"/>
        <v>95717.13319962609</v>
      </c>
      <c r="F36" s="285"/>
      <c r="G36" s="7"/>
      <c r="H36" s="7"/>
      <c r="I36" s="13"/>
      <c r="J36" s="11"/>
    </row>
    <row r="37" spans="1:9" ht="15">
      <c r="A37" s="1">
        <v>29</v>
      </c>
      <c r="B37" s="228" t="s">
        <v>277</v>
      </c>
      <c r="C37" s="34">
        <f>'TES2 adjs'!Z12</f>
        <v>0</v>
      </c>
      <c r="D37" s="279">
        <f>'TES2 adjs'!Z34</f>
        <v>-69002.84889058859</v>
      </c>
      <c r="E37" s="291">
        <f t="shared" si="1"/>
        <v>69002.84889058859</v>
      </c>
      <c r="F37" s="285"/>
      <c r="G37" s="7"/>
      <c r="H37" s="7"/>
      <c r="I37" s="13"/>
    </row>
    <row r="38" spans="1:9" ht="15">
      <c r="A38" s="1">
        <v>30</v>
      </c>
      <c r="B38" s="228" t="s">
        <v>278</v>
      </c>
      <c r="C38" s="34">
        <f>'TES2 adjs'!AA12</f>
        <v>0</v>
      </c>
      <c r="D38" s="279">
        <f>'TES2 adjs'!AA34</f>
        <v>-154941.19705321768</v>
      </c>
      <c r="E38" s="291">
        <f t="shared" si="1"/>
        <v>154941.19705321768</v>
      </c>
      <c r="F38" s="285"/>
      <c r="G38" s="7"/>
      <c r="H38" s="7"/>
      <c r="I38" s="13"/>
    </row>
    <row r="39" spans="1:9" ht="15">
      <c r="A39" s="1">
        <v>31</v>
      </c>
      <c r="B39" s="228" t="s">
        <v>279</v>
      </c>
      <c r="C39" s="34">
        <f>'TES2 adjs'!AB12</f>
        <v>0</v>
      </c>
      <c r="D39" s="279">
        <f>'TES2 adjs'!AB34</f>
        <v>-168292.48234967573</v>
      </c>
      <c r="E39" s="291">
        <f t="shared" si="1"/>
        <v>168292.48234967573</v>
      </c>
      <c r="F39" s="285"/>
      <c r="G39" s="7"/>
      <c r="H39" s="7"/>
      <c r="I39" s="13"/>
    </row>
    <row r="40" spans="1:9" ht="15">
      <c r="A40" s="1">
        <v>32</v>
      </c>
      <c r="B40" s="228" t="s">
        <v>295</v>
      </c>
      <c r="C40" s="34">
        <f>'TES2 adjs'!AC12</f>
        <v>0</v>
      </c>
      <c r="D40" s="279">
        <f>'TES2 adjs'!AC34</f>
        <v>-4406.627020827287</v>
      </c>
      <c r="E40" s="291">
        <f t="shared" si="1"/>
        <v>4406.627020827287</v>
      </c>
      <c r="F40" s="285">
        <f>'TES2 adjs'!AC50</f>
        <v>-658050</v>
      </c>
      <c r="G40" s="7"/>
      <c r="H40" s="7"/>
      <c r="I40" s="13"/>
    </row>
    <row r="41" spans="1:9" ht="15">
      <c r="A41" s="1">
        <v>33</v>
      </c>
      <c r="B41" s="228" t="s">
        <v>296</v>
      </c>
      <c r="C41" s="34">
        <f>'TES2 adjs'!AD12</f>
        <v>487124.84661999997</v>
      </c>
      <c r="D41" s="279">
        <f>'TES2 adjs'!AD34</f>
        <v>184868.75054075618</v>
      </c>
      <c r="E41" s="291">
        <f t="shared" si="1"/>
        <v>302256.0960792438</v>
      </c>
      <c r="F41" s="285"/>
      <c r="G41" s="7"/>
      <c r="H41" s="7"/>
      <c r="I41" s="13"/>
    </row>
    <row r="42" spans="1:9" ht="15">
      <c r="A42" s="1">
        <v>34</v>
      </c>
      <c r="B42" s="228" t="s">
        <v>300</v>
      </c>
      <c r="C42" s="34">
        <f>'TES2 adjs'!AE12</f>
        <v>0</v>
      </c>
      <c r="D42" s="279">
        <f>'TES2 adjs'!AE34</f>
        <v>-532590.8478759546</v>
      </c>
      <c r="E42" s="291">
        <f t="shared" si="1"/>
        <v>532590.8478759546</v>
      </c>
      <c r="F42" s="285"/>
      <c r="G42" s="7"/>
      <c r="H42" s="7"/>
      <c r="I42" s="13"/>
    </row>
    <row r="43" spans="1:9" ht="15">
      <c r="A43" s="1">
        <v>35</v>
      </c>
      <c r="B43" s="228" t="s">
        <v>301</v>
      </c>
      <c r="C43" s="34">
        <f>'TES2 adjs'!AF12</f>
        <v>0</v>
      </c>
      <c r="D43" s="279">
        <f>'TES2 adjs'!AF34</f>
        <v>-1195214.7782652525</v>
      </c>
      <c r="E43" s="291">
        <f t="shared" si="1"/>
        <v>1195214.7782652525</v>
      </c>
      <c r="F43" s="285"/>
      <c r="G43" s="7"/>
      <c r="H43" s="7"/>
      <c r="I43" s="13"/>
    </row>
    <row r="44" spans="1:10" ht="15">
      <c r="A44" s="1">
        <v>36</v>
      </c>
      <c r="B44" s="228" t="s">
        <v>302</v>
      </c>
      <c r="C44" s="34">
        <f>'TES2 adjs'!AG12</f>
        <v>-4604169.13227</v>
      </c>
      <c r="D44" s="279">
        <f>'TES2 adjs'!AG34</f>
        <v>-4826213.696175244</v>
      </c>
      <c r="E44" s="291">
        <f t="shared" si="1"/>
        <v>222044.56390524376</v>
      </c>
      <c r="F44" s="285">
        <f>'TES2 adjs'!AG50</f>
        <v>-5775738.717639999</v>
      </c>
      <c r="G44" s="7"/>
      <c r="H44" s="7"/>
      <c r="I44" s="13"/>
      <c r="J44" s="11">
        <f>-SUM(D37:D44)+SUM(C37:C44)</f>
        <v>2648749.441440004</v>
      </c>
    </row>
    <row r="45" spans="1:10" ht="15">
      <c r="A45" s="1">
        <v>37</v>
      </c>
      <c r="B45" s="228" t="s">
        <v>389</v>
      </c>
      <c r="C45" s="34">
        <f>'TES2 adjs'!AH12</f>
        <v>0</v>
      </c>
      <c r="D45" s="279">
        <f>'TES2 adjs'!AH34</f>
        <v>-534241.89</v>
      </c>
      <c r="E45" s="291">
        <f t="shared" si="1"/>
        <v>534241.89</v>
      </c>
      <c r="F45" s="285"/>
      <c r="G45" s="7"/>
      <c r="H45" s="7"/>
      <c r="I45" s="13"/>
      <c r="J45" s="11"/>
    </row>
    <row r="46" spans="1:9" ht="15">
      <c r="A46" s="1">
        <v>38</v>
      </c>
      <c r="B46" s="228" t="s">
        <v>378</v>
      </c>
      <c r="C46" s="34">
        <f>'TES2 adjs'!AI12</f>
        <v>0</v>
      </c>
      <c r="D46" s="279">
        <f>'TES2 adjs'!AI34</f>
        <v>-84395.885301</v>
      </c>
      <c r="E46" s="291">
        <f t="shared" si="1"/>
        <v>84395.885301</v>
      </c>
      <c r="F46" s="285"/>
      <c r="G46" s="7"/>
      <c r="H46" s="7"/>
      <c r="I46" s="13"/>
    </row>
    <row r="47" spans="1:9" ht="15">
      <c r="A47" s="1">
        <v>39</v>
      </c>
      <c r="B47" s="228" t="s">
        <v>379</v>
      </c>
      <c r="C47" s="34">
        <f>'TES2 adjs'!AJ12</f>
        <v>0</v>
      </c>
      <c r="D47" s="279">
        <f>'TES2 adjs'!AJ34</f>
        <v>-69060.350853</v>
      </c>
      <c r="E47" s="291">
        <f t="shared" si="1"/>
        <v>69060.350853</v>
      </c>
      <c r="F47" s="285"/>
      <c r="G47" s="7"/>
      <c r="H47" s="7"/>
      <c r="I47" s="13"/>
    </row>
    <row r="48" spans="1:9" ht="15">
      <c r="A48" s="1">
        <v>40</v>
      </c>
      <c r="B48" s="228" t="s">
        <v>380</v>
      </c>
      <c r="C48" s="34">
        <f>'TES2 adjs'!AK12</f>
        <v>0</v>
      </c>
      <c r="D48" s="279">
        <f>'TES2 adjs'!AK34</f>
        <v>-177771.12958800004</v>
      </c>
      <c r="E48" s="291">
        <f t="shared" si="1"/>
        <v>177771.12958800004</v>
      </c>
      <c r="F48" s="285"/>
      <c r="G48" s="7"/>
      <c r="H48" s="7"/>
      <c r="I48" s="13"/>
    </row>
    <row r="49" spans="1:10" ht="15">
      <c r="A49" s="1">
        <v>41</v>
      </c>
      <c r="B49" s="228" t="s">
        <v>381</v>
      </c>
      <c r="C49" s="34">
        <f>'TES2 adjs'!AL12</f>
        <v>0</v>
      </c>
      <c r="D49" s="279">
        <f>'TES2 adjs'!AL34</f>
        <v>-19270.309734</v>
      </c>
      <c r="E49" s="291">
        <f t="shared" si="1"/>
        <v>19270.309734</v>
      </c>
      <c r="F49" s="285"/>
      <c r="G49" s="7"/>
      <c r="H49" s="7"/>
      <c r="I49" s="13"/>
      <c r="J49" s="11">
        <f>-SUM(D46:D49)+SUM(C46:C49)</f>
        <v>350497.67547600006</v>
      </c>
    </row>
    <row r="50" spans="1:10" ht="15">
      <c r="A50" s="1">
        <v>42</v>
      </c>
      <c r="B50" s="228" t="s">
        <v>382</v>
      </c>
      <c r="C50" s="34">
        <f>'TES2 adjs'!AM12</f>
        <v>0</v>
      </c>
      <c r="D50" s="279">
        <f>'TES2 adjs'!AM34</f>
        <v>-10543.179933000001</v>
      </c>
      <c r="E50" s="291">
        <f t="shared" si="1"/>
        <v>10543.179933000001</v>
      </c>
      <c r="F50" s="285"/>
      <c r="G50" s="7"/>
      <c r="H50" s="7"/>
      <c r="I50" s="13"/>
      <c r="J50" s="11"/>
    </row>
    <row r="51" spans="1:9" ht="15">
      <c r="A51" s="1">
        <v>43</v>
      </c>
      <c r="B51" s="228" t="s">
        <v>383</v>
      </c>
      <c r="C51" s="34">
        <f>'TES2 adjs'!AN12</f>
        <v>0</v>
      </c>
      <c r="D51" s="279">
        <f>'TES2 adjs'!AN34</f>
        <v>-215101.04896800002</v>
      </c>
      <c r="E51" s="291">
        <f t="shared" si="1"/>
        <v>215101.04896800002</v>
      </c>
      <c r="F51" s="285"/>
      <c r="G51" s="7"/>
      <c r="H51" s="7"/>
      <c r="I51" s="13"/>
    </row>
    <row r="52" spans="1:9" ht="15">
      <c r="A52" s="1">
        <v>44</v>
      </c>
      <c r="B52" s="1" t="s">
        <v>258</v>
      </c>
      <c r="C52" s="34"/>
      <c r="D52" s="279"/>
      <c r="E52" s="291"/>
      <c r="F52" s="285"/>
      <c r="G52" s="7"/>
      <c r="H52" s="7"/>
      <c r="I52" s="13"/>
    </row>
    <row r="53" spans="1:9" ht="15" hidden="1">
      <c r="A53" s="1">
        <v>45</v>
      </c>
      <c r="B53" s="1" t="s">
        <v>258</v>
      </c>
      <c r="C53" s="34"/>
      <c r="D53" s="279"/>
      <c r="E53" s="291">
        <f>C53-D53</f>
        <v>0</v>
      </c>
      <c r="F53" s="285"/>
      <c r="G53" s="7"/>
      <c r="H53" s="7"/>
      <c r="I53" s="13"/>
    </row>
    <row r="54" spans="1:9" ht="15" hidden="1">
      <c r="A54" s="1">
        <v>46</v>
      </c>
      <c r="B54" s="1" t="s">
        <v>258</v>
      </c>
      <c r="C54" s="34"/>
      <c r="D54" s="279"/>
      <c r="E54" s="291">
        <f>C54-D54</f>
        <v>0</v>
      </c>
      <c r="F54" s="285"/>
      <c r="G54" s="7"/>
      <c r="H54" s="7"/>
      <c r="I54" s="13"/>
    </row>
    <row r="55" spans="1:9" ht="15" hidden="1">
      <c r="A55" s="1">
        <v>47</v>
      </c>
      <c r="B55" s="1" t="s">
        <v>258</v>
      </c>
      <c r="C55" s="34"/>
      <c r="D55" s="279"/>
      <c r="E55" s="291">
        <f>C55-D55</f>
        <v>0</v>
      </c>
      <c r="F55" s="285"/>
      <c r="G55" s="7"/>
      <c r="H55" s="7"/>
      <c r="I55" s="13"/>
    </row>
    <row r="56" spans="1:9" ht="15" hidden="1">
      <c r="A56" s="1">
        <v>48</v>
      </c>
      <c r="B56" s="1" t="s">
        <v>258</v>
      </c>
      <c r="C56" s="34"/>
      <c r="D56" s="279"/>
      <c r="E56" s="291">
        <f>C56-D56</f>
        <v>0</v>
      </c>
      <c r="F56" s="285"/>
      <c r="G56" s="7"/>
      <c r="H56" s="7"/>
      <c r="I56" s="13"/>
    </row>
    <row r="57" spans="1:10" ht="15" hidden="1">
      <c r="A57" s="1">
        <v>49</v>
      </c>
      <c r="B57" s="1" t="s">
        <v>258</v>
      </c>
      <c r="C57" s="34"/>
      <c r="D57" s="279"/>
      <c r="E57" s="291">
        <f>C57-D57</f>
        <v>0</v>
      </c>
      <c r="F57" s="285"/>
      <c r="G57" s="7"/>
      <c r="H57" s="7"/>
      <c r="I57" s="13"/>
      <c r="J57" s="11">
        <f>-SUM(D51:D57)+SUM(C51:C57)</f>
        <v>215101.04896800002</v>
      </c>
    </row>
    <row r="58" spans="1:10" ht="15" hidden="1">
      <c r="A58" s="1">
        <v>50</v>
      </c>
      <c r="C58" s="34"/>
      <c r="D58" s="279"/>
      <c r="E58" s="291"/>
      <c r="F58" s="285"/>
      <c r="G58" s="7"/>
      <c r="H58" s="7"/>
      <c r="I58" s="13"/>
      <c r="J58" s="11"/>
    </row>
    <row r="59" spans="1:9" ht="15" hidden="1">
      <c r="A59" s="1">
        <v>51</v>
      </c>
      <c r="B59" s="1" t="s">
        <v>258</v>
      </c>
      <c r="C59" s="34"/>
      <c r="D59" s="279"/>
      <c r="E59" s="291">
        <f aca="true" t="shared" si="2" ref="E59:E68">C59-D59</f>
        <v>0</v>
      </c>
      <c r="F59" s="285"/>
      <c r="G59" s="7"/>
      <c r="H59" s="7"/>
      <c r="I59" s="13"/>
    </row>
    <row r="60" spans="1:9" ht="15" hidden="1">
      <c r="A60" s="1">
        <v>52</v>
      </c>
      <c r="B60" s="1" t="s">
        <v>258</v>
      </c>
      <c r="C60" s="34"/>
      <c r="D60" s="279"/>
      <c r="E60" s="291">
        <f t="shared" si="2"/>
        <v>0</v>
      </c>
      <c r="F60" s="285"/>
      <c r="G60" s="7"/>
      <c r="H60" s="7"/>
      <c r="I60" s="13"/>
    </row>
    <row r="61" spans="1:9" ht="15" hidden="1">
      <c r="A61" s="1">
        <v>53</v>
      </c>
      <c r="B61" s="1" t="s">
        <v>258</v>
      </c>
      <c r="C61" s="34"/>
      <c r="D61" s="279"/>
      <c r="E61" s="291">
        <f t="shared" si="2"/>
        <v>0</v>
      </c>
      <c r="F61" s="285"/>
      <c r="G61" s="7"/>
      <c r="H61" s="7"/>
      <c r="I61" s="13"/>
    </row>
    <row r="62" spans="1:9" ht="15" hidden="1">
      <c r="A62" s="1">
        <v>54</v>
      </c>
      <c r="B62" s="1" t="s">
        <v>258</v>
      </c>
      <c r="C62" s="34"/>
      <c r="D62" s="279"/>
      <c r="E62" s="291">
        <f t="shared" si="2"/>
        <v>0</v>
      </c>
      <c r="F62" s="285"/>
      <c r="G62" s="7"/>
      <c r="H62" s="7"/>
      <c r="I62" s="13"/>
    </row>
    <row r="63" spans="1:9" ht="15" hidden="1">
      <c r="A63" s="1">
        <v>55</v>
      </c>
      <c r="B63" s="1" t="s">
        <v>258</v>
      </c>
      <c r="C63" s="34"/>
      <c r="D63" s="279"/>
      <c r="E63" s="291">
        <f t="shared" si="2"/>
        <v>0</v>
      </c>
      <c r="F63" s="285"/>
      <c r="G63" s="7"/>
      <c r="H63" s="7"/>
      <c r="I63" s="13"/>
    </row>
    <row r="64" spans="1:9" ht="15" hidden="1">
      <c r="A64" s="1">
        <v>56</v>
      </c>
      <c r="B64" s="1" t="s">
        <v>258</v>
      </c>
      <c r="C64" s="34"/>
      <c r="D64" s="279"/>
      <c r="E64" s="291">
        <f t="shared" si="2"/>
        <v>0</v>
      </c>
      <c r="F64" s="285"/>
      <c r="G64" s="7"/>
      <c r="H64" s="7"/>
      <c r="I64" s="13"/>
    </row>
    <row r="65" spans="1:9" ht="15" hidden="1">
      <c r="A65" s="1">
        <v>57</v>
      </c>
      <c r="B65" s="1" t="s">
        <v>258</v>
      </c>
      <c r="C65" s="34"/>
      <c r="D65" s="279"/>
      <c r="E65" s="291">
        <f t="shared" si="2"/>
        <v>0</v>
      </c>
      <c r="F65" s="285"/>
      <c r="G65" s="7"/>
      <c r="H65" s="7"/>
      <c r="I65" s="13"/>
    </row>
    <row r="66" spans="1:9" ht="15" hidden="1">
      <c r="A66" s="1">
        <v>58</v>
      </c>
      <c r="B66" s="1" t="s">
        <v>258</v>
      </c>
      <c r="C66" s="34"/>
      <c r="D66" s="279"/>
      <c r="E66" s="291">
        <f t="shared" si="2"/>
        <v>0</v>
      </c>
      <c r="F66" s="285"/>
      <c r="G66" s="7"/>
      <c r="H66" s="7"/>
      <c r="I66" s="13"/>
    </row>
    <row r="67" spans="1:9" ht="15" hidden="1">
      <c r="A67" s="1">
        <v>59</v>
      </c>
      <c r="B67" s="1" t="s">
        <v>258</v>
      </c>
      <c r="C67" s="34"/>
      <c r="D67" s="279"/>
      <c r="E67" s="291">
        <f t="shared" si="2"/>
        <v>0</v>
      </c>
      <c r="F67" s="285"/>
      <c r="G67" s="7"/>
      <c r="H67" s="7"/>
      <c r="I67" s="13"/>
    </row>
    <row r="68" spans="1:9" ht="15" hidden="1">
      <c r="A68" s="1">
        <v>60</v>
      </c>
      <c r="B68" s="1" t="s">
        <v>258</v>
      </c>
      <c r="C68" s="34"/>
      <c r="D68" s="279"/>
      <c r="E68" s="291">
        <f t="shared" si="2"/>
        <v>0</v>
      </c>
      <c r="F68" s="285"/>
      <c r="G68" s="7"/>
      <c r="H68" s="7"/>
      <c r="I68" s="13"/>
    </row>
    <row r="69" spans="1:10" ht="15">
      <c r="A69" s="1">
        <v>61</v>
      </c>
      <c r="B69" s="1" t="s">
        <v>258</v>
      </c>
      <c r="C69" s="34"/>
      <c r="D69" s="279"/>
      <c r="E69" s="291"/>
      <c r="F69" s="285"/>
      <c r="G69" s="7"/>
      <c r="H69" s="7"/>
      <c r="I69" s="13"/>
      <c r="J69" s="11">
        <f>-SUM(D59:D69)+SUM(C59:C69)</f>
        <v>0</v>
      </c>
    </row>
    <row r="70" spans="1:10" ht="15">
      <c r="A70" s="1">
        <v>62</v>
      </c>
      <c r="C70" s="34"/>
      <c r="D70" s="279"/>
      <c r="E70" s="291"/>
      <c r="F70" s="285"/>
      <c r="G70" s="7"/>
      <c r="H70" s="7"/>
      <c r="I70" s="13"/>
      <c r="J70" s="11"/>
    </row>
    <row r="71" spans="1:9" ht="15">
      <c r="A71" s="1">
        <v>63</v>
      </c>
      <c r="B71" s="1" t="s">
        <v>62</v>
      </c>
      <c r="C71" s="43">
        <f>SUM(C15:C69)</f>
        <v>-1808618.938775843</v>
      </c>
      <c r="D71" s="283">
        <f>SUM(D15:D69)</f>
        <v>-8003532.448265619</v>
      </c>
      <c r="E71" s="292">
        <f>SUM(E15:E69)</f>
        <v>6196010.484829125</v>
      </c>
      <c r="F71" s="281">
        <f>SUM(F15:F69)</f>
        <v>-6433788.717639999</v>
      </c>
      <c r="G71" s="45"/>
      <c r="H71" s="45"/>
      <c r="I71" s="46"/>
    </row>
    <row r="72" spans="1:10" ht="15.75" thickBot="1">
      <c r="A72" s="1">
        <v>64</v>
      </c>
      <c r="B72" s="1" t="s">
        <v>68</v>
      </c>
      <c r="C72" s="289">
        <f>C13+C71</f>
        <v>289393388.06122416</v>
      </c>
      <c r="D72" s="284">
        <f aca="true" t="shared" si="3" ref="D72:J72">D13+D71</f>
        <v>245463502.51173443</v>
      </c>
      <c r="E72" s="293">
        <f t="shared" si="3"/>
        <v>43930982.52482909</v>
      </c>
      <c r="F72" s="284">
        <f t="shared" si="3"/>
        <v>582722892.28236</v>
      </c>
      <c r="G72" s="50">
        <f>E72/F72</f>
        <v>0.07538914826696427</v>
      </c>
      <c r="H72" s="50" t="e">
        <f>#REF!/#REF!</f>
        <v>#REF!</v>
      </c>
      <c r="I72" s="51" t="e">
        <f>H72-G72</f>
        <v>#REF!</v>
      </c>
      <c r="J72" s="9">
        <f t="shared" si="3"/>
        <v>0</v>
      </c>
    </row>
    <row r="73" spans="1:9" ht="15.75" thickBot="1">
      <c r="A73" s="1">
        <v>65</v>
      </c>
      <c r="B73" s="1" t="s">
        <v>87</v>
      </c>
      <c r="C73" s="8"/>
      <c r="E73" s="67"/>
      <c r="F73" s="84">
        <f>+E72/F72</f>
        <v>0.07538914826696427</v>
      </c>
      <c r="G73" s="83"/>
      <c r="H73" s="7"/>
      <c r="I73" s="13"/>
    </row>
    <row r="74" spans="1:10" ht="15">
      <c r="A74" s="1">
        <v>66</v>
      </c>
      <c r="B74" s="5"/>
      <c r="C74" s="8"/>
      <c r="D74" s="9" t="s">
        <v>75</v>
      </c>
      <c r="E74"/>
      <c r="F74"/>
      <c r="G74"/>
      <c r="H74"/>
      <c r="I74"/>
      <c r="J74"/>
    </row>
    <row r="75" spans="1:10" ht="15">
      <c r="A75" s="1">
        <v>67</v>
      </c>
      <c r="B75" s="5"/>
      <c r="C75" s="8"/>
      <c r="D75" s="9"/>
      <c r="E75"/>
      <c r="F75"/>
      <c r="G75"/>
      <c r="H75"/>
      <c r="I75"/>
      <c r="J75"/>
    </row>
    <row r="76" spans="1:10" ht="15">
      <c r="A76" s="1">
        <v>68</v>
      </c>
      <c r="B76" s="5"/>
      <c r="C76" s="8"/>
      <c r="D76" s="9"/>
      <c r="E76"/>
      <c r="F76"/>
      <c r="G76"/>
      <c r="H76"/>
      <c r="I76"/>
      <c r="J76"/>
    </row>
    <row r="77" spans="1:10" ht="15.75" thickBot="1">
      <c r="A77" s="1">
        <v>69</v>
      </c>
      <c r="B77" s="5"/>
      <c r="C77" s="17"/>
      <c r="D77" s="9"/>
      <c r="E77"/>
      <c r="F77"/>
      <c r="G77"/>
      <c r="H77"/>
      <c r="I77"/>
      <c r="J77"/>
    </row>
    <row r="78" spans="1:10" ht="15.75" thickBot="1">
      <c r="A78" s="1">
        <v>70</v>
      </c>
      <c r="B78" s="5"/>
      <c r="C78" s="9"/>
      <c r="D78" s="9"/>
      <c r="E78"/>
      <c r="F78"/>
      <c r="G78"/>
      <c r="H78"/>
      <c r="I78"/>
      <c r="J78"/>
    </row>
    <row r="79" spans="1:6" ht="15">
      <c r="A79" s="1">
        <v>71</v>
      </c>
      <c r="B79" s="18" t="s">
        <v>52</v>
      </c>
      <c r="C79" s="19" t="s">
        <v>47</v>
      </c>
      <c r="D79" s="19" t="s">
        <v>49</v>
      </c>
      <c r="F79" s="9"/>
    </row>
    <row r="80" spans="1:6" ht="15">
      <c r="A80" s="1">
        <v>72</v>
      </c>
      <c r="B80" s="16" t="s">
        <v>69</v>
      </c>
      <c r="C80" s="7"/>
      <c r="D80" s="7"/>
      <c r="F80" s="9"/>
    </row>
    <row r="81" spans="1:6" ht="15">
      <c r="A81" s="1">
        <v>73</v>
      </c>
      <c r="B81" s="12" t="s">
        <v>70</v>
      </c>
      <c r="C81" s="20">
        <v>291176744</v>
      </c>
      <c r="D81" s="20">
        <v>579797966</v>
      </c>
      <c r="F81" s="9"/>
    </row>
    <row r="82" spans="1:6" ht="15">
      <c r="A82" s="1">
        <v>74</v>
      </c>
      <c r="B82" s="21" t="s">
        <v>71</v>
      </c>
      <c r="C82" s="20">
        <v>291202007</v>
      </c>
      <c r="D82" s="20">
        <v>589156681</v>
      </c>
      <c r="F82" s="9"/>
    </row>
    <row r="83" spans="1:6" ht="15">
      <c r="A83" s="1">
        <v>75</v>
      </c>
      <c r="B83" s="12" t="s">
        <v>72</v>
      </c>
      <c r="C83" s="20">
        <v>291023989</v>
      </c>
      <c r="D83" s="20">
        <v>543936779</v>
      </c>
      <c r="F83" s="9"/>
    </row>
    <row r="84" spans="1:6" ht="15">
      <c r="A84" s="1">
        <v>76</v>
      </c>
      <c r="B84" s="12" t="s">
        <v>74</v>
      </c>
      <c r="C84" s="20">
        <v>291023989</v>
      </c>
      <c r="D84" s="20">
        <v>544004044</v>
      </c>
      <c r="F84" s="9"/>
    </row>
    <row r="85" spans="1:6" ht="15">
      <c r="A85" s="1">
        <v>77</v>
      </c>
      <c r="B85" s="22" t="s">
        <v>73</v>
      </c>
      <c r="C85" s="20">
        <v>291986820</v>
      </c>
      <c r="D85" s="20">
        <v>536122588</v>
      </c>
      <c r="F85" s="9"/>
    </row>
    <row r="86" spans="1:6" ht="15">
      <c r="A86" s="1">
        <v>78</v>
      </c>
      <c r="B86" s="12" t="s">
        <v>56</v>
      </c>
      <c r="C86" s="20">
        <f>C82-C81</f>
        <v>25263</v>
      </c>
      <c r="D86" s="20">
        <f>D82-D81</f>
        <v>9358715</v>
      </c>
      <c r="F86" s="9"/>
    </row>
    <row r="87" spans="1:6" ht="15">
      <c r="A87" s="1">
        <v>79</v>
      </c>
      <c r="B87" s="12" t="s">
        <v>55</v>
      </c>
      <c r="C87" s="20">
        <f>C83-C81</f>
        <v>-152755</v>
      </c>
      <c r="D87" s="20">
        <f>D83-D81</f>
        <v>-35861187</v>
      </c>
      <c r="F87" s="9"/>
    </row>
    <row r="88" spans="1:6" ht="15.75" thickBot="1">
      <c r="A88" s="1">
        <v>80</v>
      </c>
      <c r="B88" s="23" t="s">
        <v>57</v>
      </c>
      <c r="C88" s="24">
        <f>C83-C82</f>
        <v>-178018</v>
      </c>
      <c r="D88" s="24">
        <f>D83-D82</f>
        <v>-45219902</v>
      </c>
      <c r="F88" s="9"/>
    </row>
  </sheetData>
  <mergeCells count="9">
    <mergeCell ref="G5:I5"/>
    <mergeCell ref="C1:F1"/>
    <mergeCell ref="C2:F2"/>
    <mergeCell ref="C3:F3"/>
    <mergeCell ref="E4:F4"/>
    <mergeCell ref="C6:C7"/>
    <mergeCell ref="D6:D7"/>
    <mergeCell ref="E6:E7"/>
    <mergeCell ref="F6:F7"/>
  </mergeCells>
  <printOptions horizontalCentered="1" verticalCentered="1"/>
  <pageMargins left="0.2" right="0.25" top="0.22" bottom="0.5" header="0.5" footer="0.25"/>
  <pageSetup horizontalDpi="600" verticalDpi="600" orientation="portrait" scale="70" r:id="rId1"/>
  <rowBreaks count="1" manualBreakCount="1"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A1">
      <selection activeCell="A81" sqref="A81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4" width="13.421875" style="0" customWidth="1"/>
    <col min="5" max="5" width="12.28125" style="0" customWidth="1"/>
    <col min="6" max="7" width="13.421875" style="0" customWidth="1"/>
    <col min="8" max="8" width="12.28125" style="0" customWidth="1"/>
    <col min="9" max="9" width="12.57421875" style="0" customWidth="1"/>
    <col min="10" max="10" width="16.57421875" style="0" customWidth="1"/>
    <col min="11" max="11" width="12.8515625" style="0" customWidth="1"/>
    <col min="12" max="12" width="13.421875" style="0" customWidth="1"/>
    <col min="13" max="13" width="16.57421875" style="0" customWidth="1"/>
    <col min="14" max="14" width="12.8515625" style="0" customWidth="1"/>
    <col min="15" max="15" width="12.140625" style="0" customWidth="1"/>
    <col min="16" max="16" width="12.140625" style="0" bestFit="1" customWidth="1"/>
    <col min="17" max="17" width="7.421875" style="0" customWidth="1"/>
  </cols>
  <sheetData>
    <row r="1" spans="1:17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2"/>
      <c r="D2" s="1"/>
      <c r="E2" s="1"/>
      <c r="F2" s="1"/>
      <c r="G2" s="1"/>
      <c r="H2" s="1"/>
      <c r="I2" s="1"/>
      <c r="J2" s="143"/>
      <c r="K2" s="1"/>
      <c r="L2" s="1"/>
      <c r="M2" s="1"/>
      <c r="N2" s="1"/>
      <c r="O2" s="1"/>
      <c r="P2" s="1"/>
      <c r="Q2" s="1"/>
    </row>
    <row r="3" spans="1:17" ht="15">
      <c r="A3" s="1"/>
      <c r="B3" s="3" t="s">
        <v>58</v>
      </c>
      <c r="C3" s="4"/>
      <c r="D3" s="4"/>
      <c r="E3" s="4"/>
      <c r="F3" s="4"/>
      <c r="G3" s="4"/>
      <c r="H3" s="4"/>
      <c r="I3" s="298" t="s">
        <v>220</v>
      </c>
      <c r="J3" s="298"/>
      <c r="K3" s="298"/>
      <c r="L3" s="298"/>
      <c r="M3" s="298"/>
      <c r="N3" s="298"/>
      <c r="O3" s="4"/>
      <c r="P3" s="4"/>
      <c r="Q3" s="4"/>
    </row>
    <row r="4" spans="1:17" ht="15">
      <c r="A4" s="1"/>
      <c r="B4" s="3" t="s">
        <v>59</v>
      </c>
      <c r="C4" s="4"/>
      <c r="D4" s="4"/>
      <c r="E4" s="4"/>
      <c r="F4" s="4"/>
      <c r="G4" s="4"/>
      <c r="H4" s="4"/>
      <c r="I4" s="298" t="s">
        <v>246</v>
      </c>
      <c r="J4" s="298"/>
      <c r="K4" s="298"/>
      <c r="L4" s="298"/>
      <c r="M4" s="298"/>
      <c r="N4" s="298"/>
      <c r="O4" s="4"/>
      <c r="P4" s="4"/>
      <c r="Q4" s="4"/>
    </row>
    <row r="5" spans="1:17" ht="15">
      <c r="A5" s="1"/>
      <c r="B5" s="1"/>
      <c r="C5" s="1"/>
      <c r="D5" s="1"/>
      <c r="E5" s="1"/>
      <c r="F5" s="1"/>
      <c r="G5" s="1"/>
      <c r="H5" s="1"/>
      <c r="I5" s="299" t="s">
        <v>221</v>
      </c>
      <c r="J5" s="299"/>
      <c r="K5" s="299"/>
      <c r="L5" s="299"/>
      <c r="M5" s="299"/>
      <c r="N5" s="299"/>
      <c r="O5" s="1"/>
      <c r="P5" s="1"/>
      <c r="Q5" s="1"/>
    </row>
    <row r="6" spans="1:17" ht="15.75" thickBot="1">
      <c r="A6" s="1"/>
      <c r="B6" s="1"/>
      <c r="C6" s="297" t="s">
        <v>47</v>
      </c>
      <c r="D6" s="297"/>
      <c r="E6" s="297"/>
      <c r="F6" s="298" t="s">
        <v>48</v>
      </c>
      <c r="G6" s="298"/>
      <c r="H6" s="298"/>
      <c r="I6" s="300" t="s">
        <v>78</v>
      </c>
      <c r="J6" s="300"/>
      <c r="K6" s="300"/>
      <c r="L6" s="298" t="s">
        <v>49</v>
      </c>
      <c r="M6" s="298"/>
      <c r="N6" s="298"/>
      <c r="O6" s="297" t="s">
        <v>79</v>
      </c>
      <c r="P6" s="297"/>
      <c r="Q6" s="297"/>
    </row>
    <row r="7" spans="1:17" ht="15">
      <c r="A7" s="1" t="s">
        <v>64</v>
      </c>
      <c r="B7" s="1"/>
      <c r="C7" s="56" t="s">
        <v>76</v>
      </c>
      <c r="D7" s="25" t="s">
        <v>76</v>
      </c>
      <c r="E7" s="26" t="s">
        <v>81</v>
      </c>
      <c r="F7" s="25" t="s">
        <v>76</v>
      </c>
      <c r="G7" s="25" t="s">
        <v>76</v>
      </c>
      <c r="H7" s="25" t="s">
        <v>81</v>
      </c>
      <c r="I7" s="57" t="s">
        <v>76</v>
      </c>
      <c r="J7" s="58" t="s">
        <v>247</v>
      </c>
      <c r="K7" s="59" t="s">
        <v>88</v>
      </c>
      <c r="L7" s="57" t="s">
        <v>76</v>
      </c>
      <c r="M7" s="58" t="s">
        <v>247</v>
      </c>
      <c r="N7" s="59" t="s">
        <v>88</v>
      </c>
      <c r="O7" s="25" t="s">
        <v>76</v>
      </c>
      <c r="P7" s="25" t="s">
        <v>76</v>
      </c>
      <c r="Q7" s="26" t="s">
        <v>81</v>
      </c>
    </row>
    <row r="8" spans="1:17" ht="15.75" thickBot="1">
      <c r="A8" s="7" t="s">
        <v>65</v>
      </c>
      <c r="B8" s="53" t="s">
        <v>53</v>
      </c>
      <c r="C8" s="28" t="s">
        <v>77</v>
      </c>
      <c r="D8" s="27" t="s">
        <v>202</v>
      </c>
      <c r="E8" s="29"/>
      <c r="F8" s="27" t="s">
        <v>77</v>
      </c>
      <c r="G8" s="27" t="s">
        <v>202</v>
      </c>
      <c r="H8" s="27"/>
      <c r="I8" s="60" t="s">
        <v>77</v>
      </c>
      <c r="J8" s="61" t="s">
        <v>89</v>
      </c>
      <c r="K8" s="62"/>
      <c r="L8" s="60" t="s">
        <v>77</v>
      </c>
      <c r="M8" s="61" t="s">
        <v>89</v>
      </c>
      <c r="N8" s="62"/>
      <c r="O8" s="27" t="s">
        <v>77</v>
      </c>
      <c r="P8" s="27" t="s">
        <v>80</v>
      </c>
      <c r="Q8" s="29"/>
    </row>
    <row r="9" spans="1:17" ht="15">
      <c r="A9" s="7"/>
      <c r="B9" s="33" t="s">
        <v>63</v>
      </c>
      <c r="C9" s="52" t="s">
        <v>210</v>
      </c>
      <c r="D9" s="31" t="s">
        <v>215</v>
      </c>
      <c r="E9" s="32" t="s">
        <v>216</v>
      </c>
      <c r="F9" s="31" t="s">
        <v>217</v>
      </c>
      <c r="G9" s="31" t="s">
        <v>218</v>
      </c>
      <c r="H9" s="31" t="s">
        <v>219</v>
      </c>
      <c r="I9" s="193" t="s">
        <v>208</v>
      </c>
      <c r="J9" s="31" t="s">
        <v>209</v>
      </c>
      <c r="K9" s="192" t="s">
        <v>214</v>
      </c>
      <c r="L9" s="31" t="s">
        <v>211</v>
      </c>
      <c r="M9" s="31" t="s">
        <v>212</v>
      </c>
      <c r="N9" s="192" t="s">
        <v>213</v>
      </c>
      <c r="O9" s="30"/>
      <c r="P9" s="30"/>
      <c r="Q9" s="33"/>
    </row>
    <row r="10" spans="1:17" ht="15">
      <c r="A10" s="1">
        <v>1</v>
      </c>
      <c r="B10" s="13" t="s">
        <v>60</v>
      </c>
      <c r="C10" s="34">
        <v>291986820</v>
      </c>
      <c r="D10" s="35">
        <f>+C10</f>
        <v>291986820</v>
      </c>
      <c r="E10" s="36">
        <f>D10-C10</f>
        <v>0</v>
      </c>
      <c r="F10" s="37"/>
      <c r="G10" s="37"/>
      <c r="H10" s="10">
        <f>G10-F10</f>
        <v>0</v>
      </c>
      <c r="I10" s="63"/>
      <c r="J10" s="108"/>
      <c r="K10" s="64"/>
      <c r="L10" s="63"/>
      <c r="M10" s="35"/>
      <c r="N10" s="64">
        <f>M10-L10</f>
        <v>0</v>
      </c>
      <c r="O10" s="7"/>
      <c r="P10" s="7"/>
      <c r="Q10" s="13"/>
    </row>
    <row r="11" spans="1:17" ht="15">
      <c r="A11" s="1">
        <v>2</v>
      </c>
      <c r="B11" s="13" t="s">
        <v>61</v>
      </c>
      <c r="C11" s="34"/>
      <c r="D11" s="35"/>
      <c r="E11" s="13"/>
      <c r="F11" s="37">
        <f>188442144+29290897+4568755+14240125+-271678</f>
        <v>236270243</v>
      </c>
      <c r="G11" s="37">
        <f>+F11</f>
        <v>236270243</v>
      </c>
      <c r="H11" s="10">
        <f>G11-F11</f>
        <v>0</v>
      </c>
      <c r="I11" s="63"/>
      <c r="J11" s="35"/>
      <c r="K11" s="64"/>
      <c r="L11" s="63"/>
      <c r="M11" s="35"/>
      <c r="N11" s="64">
        <f>M11-L11</f>
        <v>0</v>
      </c>
      <c r="O11" s="7"/>
      <c r="P11" s="7"/>
      <c r="Q11" s="13"/>
    </row>
    <row r="12" spans="1:17" ht="15">
      <c r="A12" s="1">
        <v>3</v>
      </c>
      <c r="B12" s="13" t="s">
        <v>67</v>
      </c>
      <c r="C12" s="34"/>
      <c r="D12" s="35"/>
      <c r="E12" s="13"/>
      <c r="F12" s="37">
        <f>18661874-5006291</f>
        <v>13655583</v>
      </c>
      <c r="G12" s="37">
        <f>+F12</f>
        <v>13655583</v>
      </c>
      <c r="H12" s="10">
        <f>G12-F12</f>
        <v>0</v>
      </c>
      <c r="I12" s="63"/>
      <c r="J12" s="35"/>
      <c r="K12" s="64"/>
      <c r="L12" s="63">
        <v>-63538160</v>
      </c>
      <c r="M12" s="35">
        <v>-63538160</v>
      </c>
      <c r="N12" s="64">
        <f>M12-L12</f>
        <v>0</v>
      </c>
      <c r="O12" s="7"/>
      <c r="P12" s="7"/>
      <c r="Q12" s="13"/>
    </row>
    <row r="13" spans="1:17" ht="15">
      <c r="A13" s="1">
        <v>4</v>
      </c>
      <c r="B13" s="13" t="s">
        <v>66</v>
      </c>
      <c r="C13" s="38"/>
      <c r="D13" s="39"/>
      <c r="E13" s="14"/>
      <c r="F13" s="39"/>
      <c r="G13" s="39"/>
      <c r="H13" s="10">
        <f>G13-F13</f>
        <v>0</v>
      </c>
      <c r="I13" s="63"/>
      <c r="J13" s="35"/>
      <c r="K13" s="64"/>
      <c r="L13" s="70">
        <f>999877538-463754950+63538160</f>
        <v>599660748</v>
      </c>
      <c r="M13" s="39">
        <f>999877538-463754950+63538160</f>
        <v>599660748</v>
      </c>
      <c r="N13" s="64">
        <f>M13-L13</f>
        <v>0</v>
      </c>
      <c r="O13" s="15"/>
      <c r="P13" s="15"/>
      <c r="Q13" s="14"/>
    </row>
    <row r="14" spans="1:17" ht="15">
      <c r="A14" s="1">
        <v>5</v>
      </c>
      <c r="B14" s="13" t="s">
        <v>222</v>
      </c>
      <c r="C14" s="40">
        <f>SUM(C10:C13)</f>
        <v>291986820</v>
      </c>
      <c r="D14" s="41">
        <f>SUM(D10:D13)</f>
        <v>291986820</v>
      </c>
      <c r="E14" s="42">
        <f aca="true" t="shared" si="0" ref="E14:E77">D14-C14</f>
        <v>0</v>
      </c>
      <c r="F14" s="41">
        <f>F11+F12</f>
        <v>249925826</v>
      </c>
      <c r="G14" s="41">
        <f>G11+G12</f>
        <v>249925826</v>
      </c>
      <c r="H14" s="41">
        <f>SUM(H10:H13)</f>
        <v>0</v>
      </c>
      <c r="I14" s="65">
        <f aca="true" t="shared" si="1" ref="I14:J73">C14-F14</f>
        <v>42060994</v>
      </c>
      <c r="J14" s="44">
        <f t="shared" si="1"/>
        <v>42060994</v>
      </c>
      <c r="K14" s="66">
        <f>+J14-I14</f>
        <v>0</v>
      </c>
      <c r="L14" s="65">
        <f>SUM(L10:L13)</f>
        <v>536122588</v>
      </c>
      <c r="M14" s="44">
        <f>SUM(M10:M13)</f>
        <v>536122588</v>
      </c>
      <c r="N14" s="71">
        <f>SUM(N10:N13)</f>
        <v>0</v>
      </c>
      <c r="O14" s="45">
        <f>I14/L14</f>
        <v>0.0784540605851138</v>
      </c>
      <c r="P14" s="45">
        <f>J14/M14</f>
        <v>0.0784540605851138</v>
      </c>
      <c r="Q14" s="46">
        <f>P14-O14</f>
        <v>0</v>
      </c>
    </row>
    <row r="15" spans="1:17" ht="15">
      <c r="A15" s="1">
        <v>6</v>
      </c>
      <c r="B15" s="13"/>
      <c r="C15" s="109"/>
      <c r="D15" s="110"/>
      <c r="E15" s="111"/>
      <c r="F15" s="110"/>
      <c r="G15" s="110"/>
      <c r="H15" s="110"/>
      <c r="I15" s="112"/>
      <c r="J15" s="113"/>
      <c r="K15" s="114"/>
      <c r="L15" s="112"/>
      <c r="M15" s="113"/>
      <c r="N15" s="115"/>
      <c r="O15" s="116"/>
      <c r="P15" s="116"/>
      <c r="Q15" s="117"/>
    </row>
    <row r="16" spans="1:17" ht="15">
      <c r="A16" s="1">
        <v>7</v>
      </c>
      <c r="B16" s="13" t="s">
        <v>0</v>
      </c>
      <c r="C16" s="34">
        <v>427926</v>
      </c>
      <c r="D16" s="35">
        <f>+'TES2 adjs'!D$12</f>
        <v>0</v>
      </c>
      <c r="E16" s="36">
        <f t="shared" si="0"/>
        <v>-427926</v>
      </c>
      <c r="F16" s="37">
        <v>149774</v>
      </c>
      <c r="G16" s="37">
        <f>+'TES2 adjs'!D34</f>
        <v>-373525.13902860007</v>
      </c>
      <c r="H16" s="10">
        <f aca="true" t="shared" si="2" ref="H16:H77">G16-F16</f>
        <v>-523299.13902860007</v>
      </c>
      <c r="I16" s="63">
        <f t="shared" si="1"/>
        <v>278152</v>
      </c>
      <c r="J16" s="35">
        <f t="shared" si="1"/>
        <v>373525.13902860007</v>
      </c>
      <c r="K16" s="64">
        <f aca="true" t="shared" si="3" ref="K16:K73">J16-I16</f>
        <v>95373.13902860007</v>
      </c>
      <c r="L16" s="63"/>
      <c r="M16" s="35"/>
      <c r="N16" s="64">
        <f>M16-L16</f>
        <v>0</v>
      </c>
      <c r="O16" s="7"/>
      <c r="P16" s="7"/>
      <c r="Q16" s="13"/>
    </row>
    <row r="17" spans="1:17" ht="15">
      <c r="A17" s="1">
        <v>8</v>
      </c>
      <c r="B17" s="13" t="s">
        <v>1</v>
      </c>
      <c r="C17" s="34">
        <v>1364320</v>
      </c>
      <c r="D17" s="35">
        <f>+'TES2 adjs'!E$12</f>
        <v>0</v>
      </c>
      <c r="E17" s="36">
        <f t="shared" si="0"/>
        <v>-1364320</v>
      </c>
      <c r="F17" s="37">
        <v>477512</v>
      </c>
      <c r="G17" s="37">
        <f>+'TES2 adjs'!E34</f>
        <v>-130048.04984042041</v>
      </c>
      <c r="H17" s="10">
        <f t="shared" si="2"/>
        <v>-607560.0498404204</v>
      </c>
      <c r="I17" s="63">
        <f t="shared" si="1"/>
        <v>886808</v>
      </c>
      <c r="J17" s="35">
        <f t="shared" si="1"/>
        <v>130048.04984042041</v>
      </c>
      <c r="K17" s="64">
        <f t="shared" si="3"/>
        <v>-756759.9501595796</v>
      </c>
      <c r="L17" s="63"/>
      <c r="M17" s="35"/>
      <c r="N17" s="64">
        <f aca="true" t="shared" si="4" ref="N17:N77">M17-L17</f>
        <v>0</v>
      </c>
      <c r="O17" s="7"/>
      <c r="P17" s="7"/>
      <c r="Q17" s="13"/>
    </row>
    <row r="18" spans="1:17" ht="15">
      <c r="A18" s="1">
        <v>9</v>
      </c>
      <c r="B18" s="13" t="s">
        <v>2</v>
      </c>
      <c r="C18" s="34">
        <v>20743729</v>
      </c>
      <c r="D18" s="35">
        <f>+'TES2 adjs'!F12</f>
        <v>0</v>
      </c>
      <c r="E18" s="36">
        <f t="shared" si="0"/>
        <v>-20743729</v>
      </c>
      <c r="F18" s="37">
        <v>7260305</v>
      </c>
      <c r="G18" s="37">
        <f>+'TES2 adjs'!F34</f>
        <v>-46729.270076866596</v>
      </c>
      <c r="H18" s="10">
        <f t="shared" si="2"/>
        <v>-7307034.270076866</v>
      </c>
      <c r="I18" s="63">
        <f t="shared" si="1"/>
        <v>13483424</v>
      </c>
      <c r="J18" s="35">
        <f t="shared" si="1"/>
        <v>46729.270076866596</v>
      </c>
      <c r="K18" s="64">
        <f t="shared" si="3"/>
        <v>-13436694.729923133</v>
      </c>
      <c r="L18" s="63"/>
      <c r="M18" s="35"/>
      <c r="N18" s="64">
        <f t="shared" si="4"/>
        <v>0</v>
      </c>
      <c r="O18" s="7"/>
      <c r="P18" s="7"/>
      <c r="Q18" s="13"/>
    </row>
    <row r="19" spans="1:17" ht="15">
      <c r="A19" s="1">
        <v>10</v>
      </c>
      <c r="B19" s="13" t="s">
        <v>3</v>
      </c>
      <c r="C19" s="34"/>
      <c r="D19" s="35">
        <f>+'TES2 adjs'!G12</f>
        <v>0</v>
      </c>
      <c r="E19" s="36">
        <f t="shared" si="0"/>
        <v>0</v>
      </c>
      <c r="F19" s="37">
        <v>1517514</v>
      </c>
      <c r="G19" s="37">
        <f>+'TES2 adjs'!G34</f>
        <v>-169640.62574159997</v>
      </c>
      <c r="H19" s="10">
        <f t="shared" si="2"/>
        <v>-1687154.6257416</v>
      </c>
      <c r="I19" s="63">
        <f t="shared" si="1"/>
        <v>-1517514</v>
      </c>
      <c r="J19" s="35">
        <f t="shared" si="1"/>
        <v>169640.62574159997</v>
      </c>
      <c r="K19" s="64">
        <f t="shared" si="3"/>
        <v>1687154.6257416</v>
      </c>
      <c r="L19" s="63"/>
      <c r="M19" s="35"/>
      <c r="N19" s="64">
        <f t="shared" si="4"/>
        <v>0</v>
      </c>
      <c r="O19" s="7"/>
      <c r="P19" s="7"/>
      <c r="Q19" s="13"/>
    </row>
    <row r="20" spans="1:17" ht="15">
      <c r="A20" s="1">
        <v>11</v>
      </c>
      <c r="B20" s="13" t="s">
        <v>4</v>
      </c>
      <c r="C20" s="34"/>
      <c r="D20" s="35">
        <f>+'TES2 adjs'!H12</f>
        <v>0</v>
      </c>
      <c r="E20" s="36">
        <f t="shared" si="0"/>
        <v>0</v>
      </c>
      <c r="F20" s="37">
        <v>-211335</v>
      </c>
      <c r="G20" s="37">
        <f>+'TES2 adjs'!H34</f>
        <v>-26458.711203600004</v>
      </c>
      <c r="H20" s="10">
        <f t="shared" si="2"/>
        <v>184876.2887964</v>
      </c>
      <c r="I20" s="63">
        <f t="shared" si="1"/>
        <v>211335</v>
      </c>
      <c r="J20" s="35">
        <f t="shared" si="1"/>
        <v>26458.711203600004</v>
      </c>
      <c r="K20" s="64">
        <f t="shared" si="3"/>
        <v>-184876.2887964</v>
      </c>
      <c r="L20" s="63">
        <v>-2497160</v>
      </c>
      <c r="M20" s="35">
        <f>+'TES2 adjs'!H63</f>
        <v>0</v>
      </c>
      <c r="N20" s="64">
        <f t="shared" si="4"/>
        <v>2497160</v>
      </c>
      <c r="O20" s="7"/>
      <c r="P20" s="7"/>
      <c r="Q20" s="13"/>
    </row>
    <row r="21" spans="1:17" ht="15">
      <c r="A21" s="1">
        <v>12</v>
      </c>
      <c r="B21" s="13" t="s">
        <v>5</v>
      </c>
      <c r="C21" s="34">
        <v>-1888738</v>
      </c>
      <c r="D21" s="35">
        <f>+'TES2 adjs'!I12</f>
        <v>0</v>
      </c>
      <c r="E21" s="36">
        <f t="shared" si="0"/>
        <v>1888738</v>
      </c>
      <c r="F21" s="37">
        <v>-664284</v>
      </c>
      <c r="G21" s="37">
        <f>+'TES2 adjs'!I34</f>
        <v>-95273.13705</v>
      </c>
      <c r="H21" s="10">
        <f t="shared" si="2"/>
        <v>569010.86295</v>
      </c>
      <c r="I21" s="63">
        <f t="shared" si="1"/>
        <v>-1224454</v>
      </c>
      <c r="J21" s="35">
        <f t="shared" si="1"/>
        <v>95273.13705</v>
      </c>
      <c r="K21" s="64">
        <f t="shared" si="3"/>
        <v>1319727.13705</v>
      </c>
      <c r="L21" s="63">
        <v>495844</v>
      </c>
      <c r="M21" s="35">
        <f>+'TES2 adjs'!I63</f>
        <v>0</v>
      </c>
      <c r="N21" s="64">
        <f t="shared" si="4"/>
        <v>-495844</v>
      </c>
      <c r="O21" s="7"/>
      <c r="P21" s="7"/>
      <c r="Q21" s="13"/>
    </row>
    <row r="22" spans="1:17" ht="15">
      <c r="A22" s="1">
        <v>13</v>
      </c>
      <c r="B22" s="13" t="s">
        <v>6</v>
      </c>
      <c r="C22" s="34">
        <v>-7612696</v>
      </c>
      <c r="D22" s="35">
        <f>+'TES2 adjs'!J12</f>
        <v>0</v>
      </c>
      <c r="E22" s="36">
        <f t="shared" si="0"/>
        <v>7612696</v>
      </c>
      <c r="F22" s="37">
        <v>-2664444</v>
      </c>
      <c r="G22" s="37">
        <f>+'TES2 adjs'!J34</f>
        <v>-114327.76446</v>
      </c>
      <c r="H22" s="10">
        <f t="shared" si="2"/>
        <v>2550116.23554</v>
      </c>
      <c r="I22" s="63">
        <f t="shared" si="1"/>
        <v>-4948252</v>
      </c>
      <c r="J22" s="35">
        <f t="shared" si="1"/>
        <v>114327.76446</v>
      </c>
      <c r="K22" s="64">
        <f t="shared" si="3"/>
        <v>5062579.76446</v>
      </c>
      <c r="L22" s="63"/>
      <c r="M22" s="35"/>
      <c r="N22" s="64">
        <f t="shared" si="4"/>
        <v>0</v>
      </c>
      <c r="O22" s="7"/>
      <c r="P22" s="7"/>
      <c r="Q22" s="13"/>
    </row>
    <row r="23" spans="1:17" ht="15">
      <c r="A23" s="1">
        <v>14</v>
      </c>
      <c r="B23" s="13" t="s">
        <v>7</v>
      </c>
      <c r="C23" s="34">
        <v>-5499045</v>
      </c>
      <c r="D23" s="35">
        <f>+'TES2 adjs'!K12</f>
        <v>0</v>
      </c>
      <c r="E23" s="36">
        <f t="shared" si="0"/>
        <v>5499045</v>
      </c>
      <c r="F23" s="37">
        <v>-1029566</v>
      </c>
      <c r="G23" s="37">
        <f>+'TES2 adjs'!K34</f>
        <v>-97995.22667999999</v>
      </c>
      <c r="H23" s="10">
        <f t="shared" si="2"/>
        <v>931570.77332</v>
      </c>
      <c r="I23" s="63">
        <f t="shared" si="1"/>
        <v>-4469479</v>
      </c>
      <c r="J23" s="35">
        <f t="shared" si="1"/>
        <v>97995.22667999999</v>
      </c>
      <c r="K23" s="64">
        <f t="shared" si="3"/>
        <v>4567474.22668</v>
      </c>
      <c r="L23" s="63"/>
      <c r="M23" s="35"/>
      <c r="N23" s="64">
        <f t="shared" si="4"/>
        <v>0</v>
      </c>
      <c r="O23" s="7"/>
      <c r="P23" s="7"/>
      <c r="Q23" s="13"/>
    </row>
    <row r="24" spans="1:17" ht="15">
      <c r="A24" s="1">
        <v>15</v>
      </c>
      <c r="B24" s="13"/>
      <c r="C24" s="34"/>
      <c r="D24" s="35"/>
      <c r="E24" s="36"/>
      <c r="F24" s="37"/>
      <c r="G24" s="37"/>
      <c r="H24" s="10"/>
      <c r="I24" s="63"/>
      <c r="J24" s="35"/>
      <c r="K24" s="64"/>
      <c r="L24" s="63"/>
      <c r="M24" s="35"/>
      <c r="N24" s="64"/>
      <c r="O24" s="7"/>
      <c r="P24" s="7"/>
      <c r="Q24" s="13"/>
    </row>
    <row r="25" spans="1:17" ht="15">
      <c r="A25" s="1">
        <v>16</v>
      </c>
      <c r="B25" s="13" t="s">
        <v>8</v>
      </c>
      <c r="C25" s="34"/>
      <c r="D25" s="35">
        <f>+'TES2 adjs'!L12</f>
        <v>-20383.379668716974</v>
      </c>
      <c r="E25" s="36">
        <f t="shared" si="0"/>
        <v>-20383.379668716974</v>
      </c>
      <c r="F25" s="37">
        <v>-43356</v>
      </c>
      <c r="G25" s="37">
        <f>+'TES2 adjs'!L34</f>
        <v>-41966.86694558175</v>
      </c>
      <c r="H25" s="10">
        <f t="shared" si="2"/>
        <v>1389.1330544182492</v>
      </c>
      <c r="I25" s="63">
        <f t="shared" si="1"/>
        <v>43356</v>
      </c>
      <c r="J25" s="35">
        <f t="shared" si="1"/>
        <v>21583.487276864777</v>
      </c>
      <c r="K25" s="64">
        <f t="shared" si="3"/>
        <v>-21772.512723135223</v>
      </c>
      <c r="L25" s="63">
        <v>-171</v>
      </c>
      <c r="M25" s="35">
        <f>+'TES2 adjs'!L63</f>
        <v>0</v>
      </c>
      <c r="N25" s="64">
        <f t="shared" si="4"/>
        <v>171</v>
      </c>
      <c r="O25" s="7"/>
      <c r="P25" s="7"/>
      <c r="Q25" s="13"/>
    </row>
    <row r="26" spans="1:17" ht="15">
      <c r="A26" s="1">
        <v>17</v>
      </c>
      <c r="B26" s="13" t="s">
        <v>9</v>
      </c>
      <c r="C26" s="34"/>
      <c r="D26" s="35">
        <f>+'TES2 adjs'!M12</f>
        <v>1439573.6377094642</v>
      </c>
      <c r="E26" s="36">
        <f t="shared" si="0"/>
        <v>1439573.6377094642</v>
      </c>
      <c r="F26" s="37">
        <v>1338571</v>
      </c>
      <c r="G26" s="37">
        <f>+'TES2 adjs'!M34</f>
        <v>919600.3544964103</v>
      </c>
      <c r="H26" s="10">
        <f t="shared" si="2"/>
        <v>-418970.64550358965</v>
      </c>
      <c r="I26" s="63">
        <f t="shared" si="1"/>
        <v>-1338571</v>
      </c>
      <c r="J26" s="35">
        <f t="shared" si="1"/>
        <v>519973.28321305383</v>
      </c>
      <c r="K26" s="64">
        <f t="shared" si="3"/>
        <v>1858544.2832130538</v>
      </c>
      <c r="L26" s="63"/>
      <c r="M26" s="35"/>
      <c r="N26" s="64">
        <f t="shared" si="4"/>
        <v>0</v>
      </c>
      <c r="O26" s="7"/>
      <c r="P26" s="7"/>
      <c r="Q26" s="13"/>
    </row>
    <row r="27" spans="1:17" ht="15">
      <c r="A27" s="1">
        <v>18</v>
      </c>
      <c r="B27" s="13" t="s">
        <v>10</v>
      </c>
      <c r="C27" s="34">
        <v>-58475</v>
      </c>
      <c r="D27" s="35">
        <f>+'TES2 adjs'!N12</f>
        <v>0</v>
      </c>
      <c r="E27" s="36">
        <f t="shared" si="0"/>
        <v>58475</v>
      </c>
      <c r="F27" s="37">
        <v>-70966</v>
      </c>
      <c r="G27" s="37">
        <f>+'TES2 adjs'!N34</f>
        <v>0</v>
      </c>
      <c r="H27" s="10">
        <f t="shared" si="2"/>
        <v>70966</v>
      </c>
      <c r="I27" s="63">
        <f t="shared" si="1"/>
        <v>12491</v>
      </c>
      <c r="J27" s="35">
        <f t="shared" si="1"/>
        <v>0</v>
      </c>
      <c r="K27" s="64">
        <f t="shared" si="3"/>
        <v>-12491</v>
      </c>
      <c r="L27" s="63"/>
      <c r="M27" s="35"/>
      <c r="N27" s="64">
        <f t="shared" si="4"/>
        <v>0</v>
      </c>
      <c r="O27" s="7"/>
      <c r="P27" s="7"/>
      <c r="Q27" s="13"/>
    </row>
    <row r="28" spans="1:17" ht="15">
      <c r="A28" s="1">
        <v>19</v>
      </c>
      <c r="B28" s="13" t="s">
        <v>11</v>
      </c>
      <c r="C28" s="34"/>
      <c r="D28" s="35"/>
      <c r="E28" s="36">
        <f t="shared" si="0"/>
        <v>0</v>
      </c>
      <c r="F28" s="37">
        <v>-85230</v>
      </c>
      <c r="G28" s="37">
        <f>+'TES2 adjs'!O34</f>
        <v>8077.662634456963</v>
      </c>
      <c r="H28" s="10">
        <f t="shared" si="2"/>
        <v>93307.66263445697</v>
      </c>
      <c r="I28" s="63">
        <f t="shared" si="1"/>
        <v>85230</v>
      </c>
      <c r="J28" s="35">
        <f t="shared" si="1"/>
        <v>-8077.662634456963</v>
      </c>
      <c r="K28" s="64">
        <f t="shared" si="3"/>
        <v>-93307.66263445697</v>
      </c>
      <c r="L28" s="63"/>
      <c r="M28" s="35"/>
      <c r="N28" s="64">
        <f t="shared" si="4"/>
        <v>0</v>
      </c>
      <c r="O28" s="7"/>
      <c r="P28" s="7"/>
      <c r="Q28" s="13"/>
    </row>
    <row r="29" spans="1:17" ht="15">
      <c r="A29" s="1">
        <v>20</v>
      </c>
      <c r="B29" s="13" t="s">
        <v>12</v>
      </c>
      <c r="C29" s="34"/>
      <c r="D29" s="35"/>
      <c r="E29" s="36">
        <f t="shared" si="0"/>
        <v>0</v>
      </c>
      <c r="F29" s="37">
        <f>-246409-131882</f>
        <v>-378291</v>
      </c>
      <c r="G29" s="37">
        <f>+'TES2 adjs'!P34</f>
        <v>53687.42254608099</v>
      </c>
      <c r="H29" s="10">
        <f t="shared" si="2"/>
        <v>431978.422546081</v>
      </c>
      <c r="I29" s="63">
        <f t="shared" si="1"/>
        <v>378291</v>
      </c>
      <c r="J29" s="35">
        <f t="shared" si="1"/>
        <v>-53687.42254608099</v>
      </c>
      <c r="K29" s="64">
        <f t="shared" si="3"/>
        <v>-431978.422546081</v>
      </c>
      <c r="L29" s="63"/>
      <c r="M29" s="35"/>
      <c r="N29" s="64">
        <f t="shared" si="4"/>
        <v>0</v>
      </c>
      <c r="O29" s="7"/>
      <c r="P29" s="7"/>
      <c r="Q29" s="13"/>
    </row>
    <row r="30" spans="1:17" ht="15">
      <c r="A30" s="1">
        <v>21</v>
      </c>
      <c r="B30" s="13" t="s">
        <v>13</v>
      </c>
      <c r="C30" s="34"/>
      <c r="D30" s="35"/>
      <c r="E30" s="36">
        <f t="shared" si="0"/>
        <v>0</v>
      </c>
      <c r="F30" s="37">
        <f>381426+204146</f>
        <v>585572</v>
      </c>
      <c r="G30" s="37">
        <f>+'TES2 adjs'!R34</f>
        <v>1782.1414945729375</v>
      </c>
      <c r="H30" s="10">
        <f t="shared" si="2"/>
        <v>-583789.858505427</v>
      </c>
      <c r="I30" s="63">
        <f t="shared" si="1"/>
        <v>-585572</v>
      </c>
      <c r="J30" s="35">
        <f t="shared" si="1"/>
        <v>-1782.1414945729375</v>
      </c>
      <c r="K30" s="64">
        <f t="shared" si="3"/>
        <v>583789.858505427</v>
      </c>
      <c r="L30" s="63"/>
      <c r="M30" s="35"/>
      <c r="N30" s="64">
        <f t="shared" si="4"/>
        <v>0</v>
      </c>
      <c r="O30" s="7"/>
      <c r="P30" s="7"/>
      <c r="Q30" s="13"/>
    </row>
    <row r="31" spans="1:17" ht="15">
      <c r="A31" s="1">
        <v>22</v>
      </c>
      <c r="B31" s="13" t="s">
        <v>14</v>
      </c>
      <c r="C31" s="34"/>
      <c r="D31" s="35"/>
      <c r="E31" s="36">
        <f t="shared" si="0"/>
        <v>0</v>
      </c>
      <c r="F31" s="37">
        <v>27045</v>
      </c>
      <c r="G31" s="37">
        <f>+'TES2 adjs'!T34</f>
        <v>685.1661552250048</v>
      </c>
      <c r="H31" s="10">
        <f t="shared" si="2"/>
        <v>-26359.833844774996</v>
      </c>
      <c r="I31" s="63">
        <f t="shared" si="1"/>
        <v>-27045</v>
      </c>
      <c r="J31" s="35">
        <f t="shared" si="1"/>
        <v>-685.1661552250048</v>
      </c>
      <c r="K31" s="64">
        <f t="shared" si="3"/>
        <v>26359.833844774996</v>
      </c>
      <c r="L31" s="63"/>
      <c r="M31" s="35"/>
      <c r="N31" s="64">
        <f t="shared" si="4"/>
        <v>0</v>
      </c>
      <c r="O31" s="7"/>
      <c r="P31" s="7"/>
      <c r="Q31" s="13"/>
    </row>
    <row r="32" spans="1:17" ht="15">
      <c r="A32" s="1">
        <v>23</v>
      </c>
      <c r="B32" s="13" t="s">
        <v>15</v>
      </c>
      <c r="C32" s="34"/>
      <c r="D32" s="35"/>
      <c r="E32" s="36">
        <f t="shared" si="0"/>
        <v>0</v>
      </c>
      <c r="F32" s="37">
        <v>-892530</v>
      </c>
      <c r="G32" s="37">
        <f>+'TES2 adjs'!U34</f>
        <v>-4589.619116149658</v>
      </c>
      <c r="H32" s="10">
        <f t="shared" si="2"/>
        <v>887940.3808838504</v>
      </c>
      <c r="I32" s="63">
        <f t="shared" si="1"/>
        <v>892530</v>
      </c>
      <c r="J32" s="35">
        <f t="shared" si="1"/>
        <v>4589.619116149658</v>
      </c>
      <c r="K32" s="64">
        <f t="shared" si="3"/>
        <v>-887940.3808838504</v>
      </c>
      <c r="L32" s="63"/>
      <c r="M32" s="35"/>
      <c r="N32" s="64">
        <f t="shared" si="4"/>
        <v>0</v>
      </c>
      <c r="O32" s="7"/>
      <c r="P32" s="7"/>
      <c r="Q32" s="13"/>
    </row>
    <row r="33" spans="1:17" ht="15">
      <c r="A33" s="1">
        <v>24</v>
      </c>
      <c r="B33" s="13" t="s">
        <v>16</v>
      </c>
      <c r="C33" s="34"/>
      <c r="D33" s="35"/>
      <c r="E33" s="36">
        <f t="shared" si="0"/>
        <v>0</v>
      </c>
      <c r="F33" s="37">
        <v>-151992</v>
      </c>
      <c r="G33" s="37">
        <f>+'TES2 adjs'!V34</f>
        <v>2760.982698846701</v>
      </c>
      <c r="H33" s="10">
        <f t="shared" si="2"/>
        <v>154752.9826988467</v>
      </c>
      <c r="I33" s="63">
        <f t="shared" si="1"/>
        <v>151992</v>
      </c>
      <c r="J33" s="35">
        <f t="shared" si="1"/>
        <v>-2760.982698846701</v>
      </c>
      <c r="K33" s="64">
        <f t="shared" si="3"/>
        <v>-154752.9826988467</v>
      </c>
      <c r="L33" s="63"/>
      <c r="M33" s="35"/>
      <c r="N33" s="64">
        <f t="shared" si="4"/>
        <v>0</v>
      </c>
      <c r="O33" s="7"/>
      <c r="P33" s="7"/>
      <c r="Q33" s="13"/>
    </row>
    <row r="34" spans="1:17" ht="15">
      <c r="A34" s="1">
        <v>25</v>
      </c>
      <c r="B34" s="13" t="s">
        <v>17</v>
      </c>
      <c r="C34" s="34"/>
      <c r="D34" s="35"/>
      <c r="E34" s="36">
        <f t="shared" si="0"/>
        <v>0</v>
      </c>
      <c r="F34" s="37">
        <v>-152712</v>
      </c>
      <c r="G34" s="37">
        <f>+'TES2 adjs'!W34</f>
        <v>-1030.6143766710145</v>
      </c>
      <c r="H34" s="10">
        <f t="shared" si="2"/>
        <v>151681.385623329</v>
      </c>
      <c r="I34" s="63">
        <f t="shared" si="1"/>
        <v>152712</v>
      </c>
      <c r="J34" s="35">
        <f t="shared" si="1"/>
        <v>1030.6143766710145</v>
      </c>
      <c r="K34" s="64">
        <f t="shared" si="3"/>
        <v>-151681.385623329</v>
      </c>
      <c r="L34" s="63"/>
      <c r="M34" s="35"/>
      <c r="N34" s="64">
        <f t="shared" si="4"/>
        <v>0</v>
      </c>
      <c r="O34" s="7"/>
      <c r="P34" s="7"/>
      <c r="Q34" s="13"/>
    </row>
    <row r="35" spans="1:17" ht="15">
      <c r="A35" s="1">
        <v>26</v>
      </c>
      <c r="B35" s="13" t="s">
        <v>18</v>
      </c>
      <c r="C35" s="34"/>
      <c r="D35" s="35"/>
      <c r="E35" s="36">
        <f t="shared" si="0"/>
        <v>0</v>
      </c>
      <c r="F35" s="37">
        <v>-261971</v>
      </c>
      <c r="G35" s="37">
        <f>+'TES2 adjs'!X34</f>
        <v>-32690.91145017915</v>
      </c>
      <c r="H35" s="10">
        <f t="shared" si="2"/>
        <v>229280.08854982085</v>
      </c>
      <c r="I35" s="63">
        <f t="shared" si="1"/>
        <v>261971</v>
      </c>
      <c r="J35" s="35">
        <f t="shared" si="1"/>
        <v>32690.91145017915</v>
      </c>
      <c r="K35" s="64">
        <f t="shared" si="3"/>
        <v>-229280.08854982085</v>
      </c>
      <c r="L35" s="63"/>
      <c r="M35" s="35"/>
      <c r="N35" s="64">
        <f t="shared" si="4"/>
        <v>0</v>
      </c>
      <c r="O35" s="7"/>
      <c r="P35" s="7"/>
      <c r="Q35" s="13"/>
    </row>
    <row r="36" spans="1:17" ht="15">
      <c r="A36" s="1">
        <v>27</v>
      </c>
      <c r="B36" s="13" t="s">
        <v>19</v>
      </c>
      <c r="C36" s="34"/>
      <c r="D36" s="35"/>
      <c r="E36" s="36">
        <f t="shared" si="0"/>
        <v>0</v>
      </c>
      <c r="F36" s="37">
        <v>-565256</v>
      </c>
      <c r="G36" s="37">
        <f>+'TES2 adjs'!Y34</f>
        <v>11016.514359563964</v>
      </c>
      <c r="H36" s="10">
        <f t="shared" si="2"/>
        <v>576272.5143595639</v>
      </c>
      <c r="I36" s="63">
        <f t="shared" si="1"/>
        <v>565256</v>
      </c>
      <c r="J36" s="35">
        <f t="shared" si="1"/>
        <v>-11016.514359563964</v>
      </c>
      <c r="K36" s="64">
        <f t="shared" si="3"/>
        <v>-576272.5143595639</v>
      </c>
      <c r="L36" s="63"/>
      <c r="M36" s="35"/>
      <c r="N36" s="64">
        <f t="shared" si="4"/>
        <v>0</v>
      </c>
      <c r="O36" s="7"/>
      <c r="P36" s="7"/>
      <c r="Q36" s="13"/>
    </row>
    <row r="37" spans="1:17" ht="15">
      <c r="A37" s="1">
        <v>28</v>
      </c>
      <c r="B37" s="13" t="s">
        <v>82</v>
      </c>
      <c r="C37" s="34"/>
      <c r="D37" s="35"/>
      <c r="E37" s="36"/>
      <c r="F37" s="37"/>
      <c r="G37" s="37">
        <f>+'TES2 adjs'!Z34</f>
        <v>-69002.84889058859</v>
      </c>
      <c r="H37" s="10">
        <f t="shared" si="2"/>
        <v>-69002.84889058859</v>
      </c>
      <c r="I37" s="63"/>
      <c r="J37" s="35">
        <f t="shared" si="1"/>
        <v>69002.84889058859</v>
      </c>
      <c r="K37" s="64">
        <f t="shared" si="3"/>
        <v>69002.84889058859</v>
      </c>
      <c r="L37" s="63"/>
      <c r="M37" s="35">
        <f>+'TES2 adjs'!Z63</f>
        <v>0</v>
      </c>
      <c r="N37" s="64">
        <f t="shared" si="4"/>
        <v>0</v>
      </c>
      <c r="O37" s="7"/>
      <c r="P37" s="7"/>
      <c r="Q37" s="13"/>
    </row>
    <row r="38" spans="1:17" ht="15">
      <c r="A38" s="1">
        <v>29</v>
      </c>
      <c r="B38" s="13" t="s">
        <v>90</v>
      </c>
      <c r="C38" s="34"/>
      <c r="D38" s="35"/>
      <c r="E38" s="36"/>
      <c r="F38" s="37"/>
      <c r="G38" s="37">
        <f>+'TES2 adjs'!AA34</f>
        <v>-154941.19705321768</v>
      </c>
      <c r="H38" s="10">
        <f t="shared" si="2"/>
        <v>-154941.19705321768</v>
      </c>
      <c r="I38" s="63"/>
      <c r="J38" s="35">
        <f t="shared" si="1"/>
        <v>154941.19705321768</v>
      </c>
      <c r="K38" s="64">
        <f t="shared" si="3"/>
        <v>154941.19705321768</v>
      </c>
      <c r="L38" s="63"/>
      <c r="M38" s="35"/>
      <c r="N38" s="64">
        <f t="shared" si="4"/>
        <v>0</v>
      </c>
      <c r="O38" s="7"/>
      <c r="P38" s="7"/>
      <c r="Q38" s="13"/>
    </row>
    <row r="39" spans="1:17" ht="15">
      <c r="A39" s="1">
        <v>30</v>
      </c>
      <c r="B39" s="13"/>
      <c r="C39" s="34"/>
      <c r="D39" s="35"/>
      <c r="E39" s="36"/>
      <c r="F39" s="37"/>
      <c r="G39" s="37"/>
      <c r="H39" s="10"/>
      <c r="I39" s="63"/>
      <c r="J39" s="35"/>
      <c r="K39" s="64"/>
      <c r="L39" s="63"/>
      <c r="M39" s="35"/>
      <c r="N39" s="64"/>
      <c r="O39" s="7"/>
      <c r="P39" s="7"/>
      <c r="Q39" s="13"/>
    </row>
    <row r="40" spans="1:17" ht="15">
      <c r="A40" s="1">
        <v>31</v>
      </c>
      <c r="B40" s="13" t="s">
        <v>46</v>
      </c>
      <c r="C40" s="34">
        <v>25717207</v>
      </c>
      <c r="D40" s="35">
        <f>+'TES2 adjs'!AB12</f>
        <v>0</v>
      </c>
      <c r="E40" s="36">
        <f t="shared" si="0"/>
        <v>-25717207</v>
      </c>
      <c r="F40" s="37">
        <v>32729028</v>
      </c>
      <c r="G40" s="37">
        <f>+'TES2 adjs'!AB34</f>
        <v>-168292.48234967573</v>
      </c>
      <c r="H40" s="10">
        <f t="shared" si="2"/>
        <v>-32897320.482349675</v>
      </c>
      <c r="I40" s="63">
        <f t="shared" si="1"/>
        <v>-7011821</v>
      </c>
      <c r="J40" s="35">
        <f t="shared" si="1"/>
        <v>168292.48234967573</v>
      </c>
      <c r="K40" s="64">
        <f t="shared" si="3"/>
        <v>7180113.482349676</v>
      </c>
      <c r="L40" s="63"/>
      <c r="M40" s="35"/>
      <c r="N40" s="64">
        <f t="shared" si="4"/>
        <v>0</v>
      </c>
      <c r="O40" s="7"/>
      <c r="P40" s="7"/>
      <c r="Q40" s="13"/>
    </row>
    <row r="41" spans="1:17" ht="15">
      <c r="A41" s="1">
        <v>32</v>
      </c>
      <c r="B41" s="13" t="s">
        <v>20</v>
      </c>
      <c r="C41" s="34"/>
      <c r="D41" s="35">
        <f>+'TES2 adjs'!AC12</f>
        <v>0</v>
      </c>
      <c r="E41" s="36">
        <f t="shared" si="0"/>
        <v>0</v>
      </c>
      <c r="F41" s="37">
        <v>-660569</v>
      </c>
      <c r="G41" s="37">
        <f>+'TES2 adjs'!AC34</f>
        <v>-4406.627020827287</v>
      </c>
      <c r="H41" s="10">
        <f t="shared" si="2"/>
        <v>656162.3729791727</v>
      </c>
      <c r="I41" s="63">
        <f t="shared" si="1"/>
        <v>660569</v>
      </c>
      <c r="J41" s="35">
        <f t="shared" si="1"/>
        <v>4406.627020827287</v>
      </c>
      <c r="K41" s="64">
        <f t="shared" si="3"/>
        <v>-656162.3729791727</v>
      </c>
      <c r="L41" s="63">
        <v>-11092337</v>
      </c>
      <c r="M41" s="35">
        <f>+'TES2 adjs'!AC63</f>
        <v>-658050</v>
      </c>
      <c r="N41" s="64">
        <f t="shared" si="4"/>
        <v>10434287</v>
      </c>
      <c r="O41" s="7"/>
      <c r="P41" s="7"/>
      <c r="Q41" s="13"/>
    </row>
    <row r="42" spans="1:17" ht="15">
      <c r="A42" s="1">
        <v>33</v>
      </c>
      <c r="B42" s="13" t="s">
        <v>21</v>
      </c>
      <c r="C42" s="34">
        <v>-33799</v>
      </c>
      <c r="D42" s="35">
        <f>+'TES2 adjs'!AD12</f>
        <v>487124.84661999997</v>
      </c>
      <c r="E42" s="36">
        <f t="shared" si="0"/>
        <v>520923.84661999997</v>
      </c>
      <c r="F42" s="37">
        <v>427247</v>
      </c>
      <c r="G42" s="37">
        <f>+'TES2 adjs'!AD34</f>
        <v>184868.75054075618</v>
      </c>
      <c r="H42" s="10">
        <f t="shared" si="2"/>
        <v>-242378.24945924382</v>
      </c>
      <c r="I42" s="63">
        <f t="shared" si="1"/>
        <v>-461046</v>
      </c>
      <c r="J42" s="35">
        <f t="shared" si="1"/>
        <v>302256.0960792438</v>
      </c>
      <c r="K42" s="64">
        <f t="shared" si="3"/>
        <v>763302.0960792438</v>
      </c>
      <c r="L42" s="63">
        <v>-366503</v>
      </c>
      <c r="M42" s="35">
        <f>+'TES2 adjs'!AD63</f>
        <v>0</v>
      </c>
      <c r="N42" s="64">
        <f t="shared" si="4"/>
        <v>366503</v>
      </c>
      <c r="O42" s="7"/>
      <c r="P42" s="7"/>
      <c r="Q42" s="13"/>
    </row>
    <row r="43" spans="1:17" ht="15">
      <c r="A43" s="1">
        <v>34</v>
      </c>
      <c r="B43" s="13" t="s">
        <v>22</v>
      </c>
      <c r="C43" s="34"/>
      <c r="D43" s="35"/>
      <c r="E43" s="36">
        <f t="shared" si="0"/>
        <v>0</v>
      </c>
      <c r="F43" s="37">
        <v>-879267</v>
      </c>
      <c r="G43" s="37">
        <f>+'TES2 adjs'!AE34</f>
        <v>-532590.8478759546</v>
      </c>
      <c r="H43" s="10">
        <f t="shared" si="2"/>
        <v>346676.1521240454</v>
      </c>
      <c r="I43" s="63">
        <f t="shared" si="1"/>
        <v>879267</v>
      </c>
      <c r="J43" s="35">
        <f t="shared" si="1"/>
        <v>532590.8478759546</v>
      </c>
      <c r="K43" s="64">
        <f t="shared" si="3"/>
        <v>-346676.1521240454</v>
      </c>
      <c r="L43" s="63"/>
      <c r="M43" s="35"/>
      <c r="N43" s="64">
        <f t="shared" si="4"/>
        <v>0</v>
      </c>
      <c r="O43" s="7"/>
      <c r="P43" s="7"/>
      <c r="Q43" s="13"/>
    </row>
    <row r="44" spans="1:17" ht="15">
      <c r="A44" s="1">
        <v>35</v>
      </c>
      <c r="B44" s="13" t="s">
        <v>50</v>
      </c>
      <c r="C44" s="34"/>
      <c r="D44" s="35"/>
      <c r="E44" s="36">
        <f t="shared" si="0"/>
        <v>0</v>
      </c>
      <c r="F44" s="37">
        <v>0</v>
      </c>
      <c r="G44" s="37">
        <f>+'TES2 adjs'!AF34</f>
        <v>-1195214.7782652525</v>
      </c>
      <c r="H44" s="10">
        <f t="shared" si="2"/>
        <v>-1195214.7782652525</v>
      </c>
      <c r="I44" s="63">
        <f t="shared" si="1"/>
        <v>0</v>
      </c>
      <c r="J44" s="35">
        <f t="shared" si="1"/>
        <v>1195214.7782652525</v>
      </c>
      <c r="K44" s="64">
        <f t="shared" si="3"/>
        <v>1195214.7782652525</v>
      </c>
      <c r="L44" s="63"/>
      <c r="M44" s="35"/>
      <c r="N44" s="64">
        <f t="shared" si="4"/>
        <v>0</v>
      </c>
      <c r="O44" s="7"/>
      <c r="P44" s="7"/>
      <c r="Q44" s="13"/>
    </row>
    <row r="45" spans="1:17" ht="15">
      <c r="A45" s="1">
        <v>36</v>
      </c>
      <c r="B45" s="13" t="s">
        <v>23</v>
      </c>
      <c r="C45" s="34"/>
      <c r="D45" s="35"/>
      <c r="E45" s="36">
        <f t="shared" si="0"/>
        <v>0</v>
      </c>
      <c r="F45" s="37">
        <v>98286</v>
      </c>
      <c r="G45" s="37">
        <f>+'TES2 adjs'!AG34</f>
        <v>-4826213.696175244</v>
      </c>
      <c r="H45" s="10">
        <f t="shared" si="2"/>
        <v>-4924499.696175244</v>
      </c>
      <c r="I45" s="63">
        <f t="shared" si="1"/>
        <v>-98286</v>
      </c>
      <c r="J45" s="35">
        <f t="shared" si="1"/>
        <v>4826213.696175244</v>
      </c>
      <c r="K45" s="64">
        <f t="shared" si="3"/>
        <v>4924499.696175244</v>
      </c>
      <c r="L45" s="63"/>
      <c r="M45" s="35"/>
      <c r="N45" s="64">
        <f t="shared" si="4"/>
        <v>0</v>
      </c>
      <c r="O45" s="7"/>
      <c r="P45" s="7"/>
      <c r="Q45" s="13"/>
    </row>
    <row r="46" spans="1:17" ht="15">
      <c r="A46" s="1">
        <v>37</v>
      </c>
      <c r="B46" s="13" t="s">
        <v>24</v>
      </c>
      <c r="C46" s="34"/>
      <c r="D46" s="35"/>
      <c r="E46" s="36">
        <f t="shared" si="0"/>
        <v>0</v>
      </c>
      <c r="F46" s="37">
        <v>13552887</v>
      </c>
      <c r="G46" s="37" t="e">
        <f>+'TES2 adjs'!#REF!</f>
        <v>#REF!</v>
      </c>
      <c r="H46" s="10" t="e">
        <f t="shared" si="2"/>
        <v>#REF!</v>
      </c>
      <c r="I46" s="63">
        <f t="shared" si="1"/>
        <v>-13552887</v>
      </c>
      <c r="J46" s="35" t="e">
        <f t="shared" si="1"/>
        <v>#REF!</v>
      </c>
      <c r="K46" s="64" t="e">
        <f t="shared" si="3"/>
        <v>#REF!</v>
      </c>
      <c r="L46" s="63"/>
      <c r="M46" s="35"/>
      <c r="N46" s="64">
        <f t="shared" si="4"/>
        <v>0</v>
      </c>
      <c r="O46" s="7"/>
      <c r="P46" s="7"/>
      <c r="Q46" s="13"/>
    </row>
    <row r="47" spans="1:17" ht="15">
      <c r="A47" s="1">
        <v>38</v>
      </c>
      <c r="B47" s="13" t="s">
        <v>25</v>
      </c>
      <c r="C47" s="34"/>
      <c r="D47" s="35"/>
      <c r="E47" s="36">
        <f t="shared" si="0"/>
        <v>0</v>
      </c>
      <c r="F47" s="37"/>
      <c r="G47" s="37" t="e">
        <f>+'TES2 adjs'!#REF!</f>
        <v>#REF!</v>
      </c>
      <c r="H47" s="10" t="e">
        <f t="shared" si="2"/>
        <v>#REF!</v>
      </c>
      <c r="I47" s="63">
        <f t="shared" si="1"/>
        <v>0</v>
      </c>
      <c r="J47" s="35" t="e">
        <f t="shared" si="1"/>
        <v>#REF!</v>
      </c>
      <c r="K47" s="64" t="e">
        <f t="shared" si="3"/>
        <v>#REF!</v>
      </c>
      <c r="L47" s="63"/>
      <c r="M47" s="35"/>
      <c r="N47" s="64">
        <f t="shared" si="4"/>
        <v>0</v>
      </c>
      <c r="O47" s="7"/>
      <c r="P47" s="7"/>
      <c r="Q47" s="13"/>
    </row>
    <row r="48" spans="1:17" ht="15">
      <c r="A48" s="1">
        <v>39</v>
      </c>
      <c r="B48" s="13" t="s">
        <v>83</v>
      </c>
      <c r="C48" s="34"/>
      <c r="D48" s="35"/>
      <c r="E48" s="36"/>
      <c r="F48" s="37"/>
      <c r="G48" s="37" t="e">
        <f>+'TES2 adjs'!#REF!</f>
        <v>#REF!</v>
      </c>
      <c r="H48" s="10" t="e">
        <f t="shared" si="2"/>
        <v>#REF!</v>
      </c>
      <c r="I48" s="63">
        <f>C48-F48</f>
        <v>0</v>
      </c>
      <c r="J48" s="35" t="e">
        <f>D48-G48</f>
        <v>#REF!</v>
      </c>
      <c r="K48" s="64" t="e">
        <f>J48-I48</f>
        <v>#REF!</v>
      </c>
      <c r="L48" s="63"/>
      <c r="M48" s="35"/>
      <c r="N48" s="64">
        <f t="shared" si="4"/>
        <v>0</v>
      </c>
      <c r="O48" s="7"/>
      <c r="P48" s="7"/>
      <c r="Q48" s="13"/>
    </row>
    <row r="49" spans="1:17" ht="15">
      <c r="A49" s="1">
        <v>40</v>
      </c>
      <c r="B49" s="13"/>
      <c r="C49" s="34"/>
      <c r="D49" s="35"/>
      <c r="E49" s="36"/>
      <c r="F49" s="37"/>
      <c r="G49" s="37"/>
      <c r="H49" s="10"/>
      <c r="I49" s="63"/>
      <c r="J49" s="35"/>
      <c r="K49" s="64"/>
      <c r="L49" s="63"/>
      <c r="M49" s="35"/>
      <c r="N49" s="64"/>
      <c r="O49" s="7"/>
      <c r="P49" s="7"/>
      <c r="Q49" s="13"/>
    </row>
    <row r="50" spans="1:17" ht="15">
      <c r="A50" s="1">
        <v>41</v>
      </c>
      <c r="B50" s="13" t="s">
        <v>26</v>
      </c>
      <c r="C50" s="34"/>
      <c r="D50" s="35"/>
      <c r="E50" s="36">
        <f t="shared" si="0"/>
        <v>0</v>
      </c>
      <c r="F50" s="37">
        <v>55538</v>
      </c>
      <c r="G50" s="37" t="e">
        <f>+'TES2 adjs'!#REF!</f>
        <v>#REF!</v>
      </c>
      <c r="H50" s="10" t="e">
        <f t="shared" si="2"/>
        <v>#REF!</v>
      </c>
      <c r="I50" s="63">
        <f t="shared" si="1"/>
        <v>-55538</v>
      </c>
      <c r="J50" s="35" t="e">
        <f t="shared" si="1"/>
        <v>#REF!</v>
      </c>
      <c r="K50" s="64" t="e">
        <f t="shared" si="3"/>
        <v>#REF!</v>
      </c>
      <c r="L50" s="63"/>
      <c r="M50" s="35"/>
      <c r="N50" s="64">
        <f t="shared" si="4"/>
        <v>0</v>
      </c>
      <c r="O50" s="7"/>
      <c r="P50" s="7"/>
      <c r="Q50" s="13"/>
    </row>
    <row r="51" spans="1:17" ht="15">
      <c r="A51" s="1">
        <v>42</v>
      </c>
      <c r="B51" s="13" t="s">
        <v>27</v>
      </c>
      <c r="C51" s="34"/>
      <c r="D51" s="35"/>
      <c r="E51" s="36">
        <f t="shared" si="0"/>
        <v>0</v>
      </c>
      <c r="F51" s="37"/>
      <c r="G51" s="37" t="e">
        <f>+'TES2 adjs'!#REF!</f>
        <v>#REF!</v>
      </c>
      <c r="H51" s="10" t="e">
        <f t="shared" si="2"/>
        <v>#REF!</v>
      </c>
      <c r="I51" s="63">
        <f t="shared" si="1"/>
        <v>0</v>
      </c>
      <c r="J51" s="35" t="e">
        <f t="shared" si="1"/>
        <v>#REF!</v>
      </c>
      <c r="K51" s="64" t="e">
        <f t="shared" si="3"/>
        <v>#REF!</v>
      </c>
      <c r="L51" s="63">
        <v>-10786</v>
      </c>
      <c r="M51" s="35" t="e">
        <f>+'TES2 adjs'!#REF!</f>
        <v>#REF!</v>
      </c>
      <c r="N51" s="64" t="e">
        <f t="shared" si="4"/>
        <v>#REF!</v>
      </c>
      <c r="O51" s="7"/>
      <c r="P51" s="7"/>
      <c r="Q51" s="13"/>
    </row>
    <row r="52" spans="1:17" ht="15">
      <c r="A52" s="1">
        <v>43</v>
      </c>
      <c r="B52" s="13" t="s">
        <v>28</v>
      </c>
      <c r="C52" s="34"/>
      <c r="D52" s="35"/>
      <c r="E52" s="36">
        <f t="shared" si="0"/>
        <v>0</v>
      </c>
      <c r="F52" s="37">
        <v>-1276929</v>
      </c>
      <c r="G52" s="37" t="e">
        <f>+'TES2 adjs'!#REF!</f>
        <v>#REF!</v>
      </c>
      <c r="H52" s="10" t="e">
        <f t="shared" si="2"/>
        <v>#REF!</v>
      </c>
      <c r="I52" s="63">
        <f t="shared" si="1"/>
        <v>1276929</v>
      </c>
      <c r="J52" s="35" t="e">
        <f t="shared" si="1"/>
        <v>#REF!</v>
      </c>
      <c r="K52" s="64" t="e">
        <f t="shared" si="3"/>
        <v>#REF!</v>
      </c>
      <c r="L52" s="63"/>
      <c r="M52" s="35"/>
      <c r="N52" s="64">
        <f t="shared" si="4"/>
        <v>0</v>
      </c>
      <c r="O52" s="7"/>
      <c r="P52" s="7"/>
      <c r="Q52" s="13"/>
    </row>
    <row r="53" spans="1:17" ht="15">
      <c r="A53" s="1">
        <v>44</v>
      </c>
      <c r="B53" s="13" t="s">
        <v>29</v>
      </c>
      <c r="C53" s="34"/>
      <c r="D53" s="35"/>
      <c r="E53" s="36">
        <f t="shared" si="0"/>
        <v>0</v>
      </c>
      <c r="F53" s="37"/>
      <c r="G53" s="37" t="e">
        <f>+'TES2 adjs'!#REF!</f>
        <v>#REF!</v>
      </c>
      <c r="H53" s="10" t="e">
        <f t="shared" si="2"/>
        <v>#REF!</v>
      </c>
      <c r="I53" s="63">
        <f t="shared" si="1"/>
        <v>0</v>
      </c>
      <c r="J53" s="35" t="e">
        <f t="shared" si="1"/>
        <v>#REF!</v>
      </c>
      <c r="K53" s="64" t="e">
        <f t="shared" si="3"/>
        <v>#REF!</v>
      </c>
      <c r="L53" s="63">
        <v>247961</v>
      </c>
      <c r="M53" s="35" t="e">
        <f>+'TES2 adjs'!#REF!</f>
        <v>#REF!</v>
      </c>
      <c r="N53" s="64" t="e">
        <f t="shared" si="4"/>
        <v>#REF!</v>
      </c>
      <c r="O53" s="7"/>
      <c r="P53" s="7"/>
      <c r="Q53" s="13"/>
    </row>
    <row r="54" spans="1:17" ht="15">
      <c r="A54" s="1">
        <v>45</v>
      </c>
      <c r="B54" s="13"/>
      <c r="C54" s="34"/>
      <c r="D54" s="35"/>
      <c r="E54" s="36"/>
      <c r="F54" s="37"/>
      <c r="G54" s="37"/>
      <c r="H54" s="10"/>
      <c r="I54" s="63"/>
      <c r="J54" s="35"/>
      <c r="K54" s="64"/>
      <c r="L54" s="63"/>
      <c r="M54" s="35"/>
      <c r="N54" s="64"/>
      <c r="O54" s="7"/>
      <c r="P54" s="7"/>
      <c r="Q54" s="13"/>
    </row>
    <row r="55" spans="1:17" ht="15">
      <c r="A55" s="1">
        <v>46</v>
      </c>
      <c r="B55" s="13" t="s">
        <v>30</v>
      </c>
      <c r="C55" s="34"/>
      <c r="D55" s="35"/>
      <c r="E55" s="36">
        <f t="shared" si="0"/>
        <v>0</v>
      </c>
      <c r="F55" s="37">
        <v>293771</v>
      </c>
      <c r="G55" s="37" t="e">
        <f>+'TES2 adjs'!#REF!</f>
        <v>#REF!</v>
      </c>
      <c r="H55" s="10" t="e">
        <f t="shared" si="2"/>
        <v>#REF!</v>
      </c>
      <c r="I55" s="63">
        <f t="shared" si="1"/>
        <v>-293771</v>
      </c>
      <c r="J55" s="35" t="e">
        <f t="shared" si="1"/>
        <v>#REF!</v>
      </c>
      <c r="K55" s="64" t="e">
        <f t="shared" si="3"/>
        <v>#REF!</v>
      </c>
      <c r="L55" s="63"/>
      <c r="M55" s="35"/>
      <c r="N55" s="64">
        <f t="shared" si="4"/>
        <v>0</v>
      </c>
      <c r="O55" s="7"/>
      <c r="P55" s="7"/>
      <c r="Q55" s="13"/>
    </row>
    <row r="56" spans="1:17" ht="15">
      <c r="A56" s="1">
        <v>47</v>
      </c>
      <c r="B56" s="13" t="s">
        <v>31</v>
      </c>
      <c r="C56" s="34"/>
      <c r="D56" s="35"/>
      <c r="E56" s="36">
        <f t="shared" si="0"/>
        <v>0</v>
      </c>
      <c r="F56" s="37">
        <v>367878</v>
      </c>
      <c r="G56" s="37" t="e">
        <f>+'TES2 adjs'!#REF!</f>
        <v>#REF!</v>
      </c>
      <c r="H56" s="10" t="e">
        <f t="shared" si="2"/>
        <v>#REF!</v>
      </c>
      <c r="I56" s="63">
        <f t="shared" si="1"/>
        <v>-367878</v>
      </c>
      <c r="J56" s="35" t="e">
        <f t="shared" si="1"/>
        <v>#REF!</v>
      </c>
      <c r="K56" s="64" t="e">
        <f t="shared" si="3"/>
        <v>#REF!</v>
      </c>
      <c r="L56" s="63">
        <v>2855541</v>
      </c>
      <c r="M56" s="35" t="e">
        <f>+'TES2 adjs'!#REF!</f>
        <v>#REF!</v>
      </c>
      <c r="N56" s="64" t="e">
        <f t="shared" si="4"/>
        <v>#REF!</v>
      </c>
      <c r="O56" s="7"/>
      <c r="P56" s="7"/>
      <c r="Q56" s="13"/>
    </row>
    <row r="57" spans="1:17" ht="15">
      <c r="A57" s="1">
        <v>48</v>
      </c>
      <c r="B57" s="13" t="s">
        <v>223</v>
      </c>
      <c r="C57" s="34"/>
      <c r="D57" s="35"/>
      <c r="E57" s="36">
        <f t="shared" si="0"/>
        <v>0</v>
      </c>
      <c r="F57" s="37"/>
      <c r="G57" s="37" t="e">
        <f>+'TES2 adjs'!#REF!</f>
        <v>#REF!</v>
      </c>
      <c r="H57" s="10" t="e">
        <f t="shared" si="2"/>
        <v>#REF!</v>
      </c>
      <c r="I57" s="63">
        <f t="shared" si="1"/>
        <v>0</v>
      </c>
      <c r="J57" s="35" t="e">
        <f t="shared" si="1"/>
        <v>#REF!</v>
      </c>
      <c r="K57" s="64" t="e">
        <f t="shared" si="3"/>
        <v>#REF!</v>
      </c>
      <c r="L57" s="63">
        <v>-3477692</v>
      </c>
      <c r="M57" s="35" t="e">
        <f>+'TES2 adjs'!#REF!</f>
        <v>#REF!</v>
      </c>
      <c r="N57" s="64" t="e">
        <f t="shared" si="4"/>
        <v>#REF!</v>
      </c>
      <c r="O57" s="7"/>
      <c r="P57" s="7"/>
      <c r="Q57" s="13"/>
    </row>
    <row r="58" spans="1:17" ht="15">
      <c r="A58" s="1">
        <v>49</v>
      </c>
      <c r="B58" s="13" t="s">
        <v>32</v>
      </c>
      <c r="C58" s="34"/>
      <c r="D58" s="35"/>
      <c r="E58" s="36">
        <f t="shared" si="0"/>
        <v>0</v>
      </c>
      <c r="F58" s="37">
        <v>401894</v>
      </c>
      <c r="G58" s="37" t="e">
        <f>+'TES2 adjs'!#REF!</f>
        <v>#REF!</v>
      </c>
      <c r="H58" s="10" t="e">
        <f t="shared" si="2"/>
        <v>#REF!</v>
      </c>
      <c r="I58" s="63">
        <f t="shared" si="1"/>
        <v>-401894</v>
      </c>
      <c r="J58" s="35" t="e">
        <f t="shared" si="1"/>
        <v>#REF!</v>
      </c>
      <c r="K58" s="64" t="e">
        <f t="shared" si="3"/>
        <v>#REF!</v>
      </c>
      <c r="L58" s="63">
        <v>311868</v>
      </c>
      <c r="M58" s="35" t="e">
        <f>+'TES2 adjs'!#REF!</f>
        <v>#REF!</v>
      </c>
      <c r="N58" s="64" t="e">
        <f t="shared" si="4"/>
        <v>#REF!</v>
      </c>
      <c r="O58" s="7"/>
      <c r="P58" s="7"/>
      <c r="Q58" s="13"/>
    </row>
    <row r="59" spans="1:17" ht="15">
      <c r="A59" s="1">
        <v>50</v>
      </c>
      <c r="B59" s="13" t="s">
        <v>33</v>
      </c>
      <c r="C59" s="34"/>
      <c r="D59" s="35"/>
      <c r="E59" s="36">
        <f t="shared" si="0"/>
        <v>0</v>
      </c>
      <c r="F59" s="37">
        <v>-186337</v>
      </c>
      <c r="G59" s="37" t="e">
        <f>+'TES2 adjs'!#REF!</f>
        <v>#REF!</v>
      </c>
      <c r="H59" s="10" t="e">
        <f t="shared" si="2"/>
        <v>#REF!</v>
      </c>
      <c r="I59" s="63">
        <f t="shared" si="1"/>
        <v>186337</v>
      </c>
      <c r="J59" s="35" t="e">
        <f t="shared" si="1"/>
        <v>#REF!</v>
      </c>
      <c r="K59" s="64" t="e">
        <f t="shared" si="3"/>
        <v>#REF!</v>
      </c>
      <c r="L59" s="63"/>
      <c r="M59" s="35"/>
      <c r="N59" s="64">
        <f t="shared" si="4"/>
        <v>0</v>
      </c>
      <c r="O59" s="7"/>
      <c r="P59" s="7"/>
      <c r="Q59" s="13"/>
    </row>
    <row r="60" spans="1:17" ht="15">
      <c r="A60" s="1">
        <v>51</v>
      </c>
      <c r="B60" s="13" t="s">
        <v>34</v>
      </c>
      <c r="C60" s="34"/>
      <c r="D60" s="35"/>
      <c r="E60" s="36">
        <f t="shared" si="0"/>
        <v>0</v>
      </c>
      <c r="F60" s="37">
        <v>80484</v>
      </c>
      <c r="G60" s="37" t="e">
        <f>+'TES2 adjs'!#REF!</f>
        <v>#REF!</v>
      </c>
      <c r="H60" s="10" t="e">
        <f t="shared" si="2"/>
        <v>#REF!</v>
      </c>
      <c r="I60" s="63">
        <f t="shared" si="1"/>
        <v>-80484</v>
      </c>
      <c r="J60" s="35" t="e">
        <f t="shared" si="1"/>
        <v>#REF!</v>
      </c>
      <c r="K60" s="64" t="e">
        <f t="shared" si="3"/>
        <v>#REF!</v>
      </c>
      <c r="L60" s="63"/>
      <c r="M60" s="35"/>
      <c r="N60" s="64">
        <f t="shared" si="4"/>
        <v>0</v>
      </c>
      <c r="O60" s="7"/>
      <c r="P60" s="7"/>
      <c r="Q60" s="13"/>
    </row>
    <row r="61" spans="1:17" ht="15">
      <c r="A61" s="1">
        <v>52</v>
      </c>
      <c r="B61" s="13" t="s">
        <v>35</v>
      </c>
      <c r="C61" s="34"/>
      <c r="D61" s="35"/>
      <c r="E61" s="36">
        <f t="shared" si="0"/>
        <v>0</v>
      </c>
      <c r="F61" s="37">
        <v>1159454</v>
      </c>
      <c r="G61" s="37" t="e">
        <f>+'TES2 adjs'!#REF!</f>
        <v>#REF!</v>
      </c>
      <c r="H61" s="10" t="e">
        <f t="shared" si="2"/>
        <v>#REF!</v>
      </c>
      <c r="I61" s="63">
        <f t="shared" si="1"/>
        <v>-1159454</v>
      </c>
      <c r="J61" s="35" t="e">
        <f t="shared" si="1"/>
        <v>#REF!</v>
      </c>
      <c r="K61" s="64" t="e">
        <f t="shared" si="3"/>
        <v>#REF!</v>
      </c>
      <c r="L61" s="63">
        <v>4637815</v>
      </c>
      <c r="M61" s="35" t="e">
        <f>+'TES2 adjs'!#REF!</f>
        <v>#REF!</v>
      </c>
      <c r="N61" s="64" t="e">
        <f t="shared" si="4"/>
        <v>#REF!</v>
      </c>
      <c r="O61" s="7"/>
      <c r="P61" s="7"/>
      <c r="Q61" s="13"/>
    </row>
    <row r="62" spans="1:17" ht="15">
      <c r="A62" s="1">
        <v>53</v>
      </c>
      <c r="B62" s="13"/>
      <c r="C62" s="34"/>
      <c r="D62" s="35"/>
      <c r="E62" s="36"/>
      <c r="F62" s="37"/>
      <c r="G62" s="37"/>
      <c r="H62" s="10"/>
      <c r="I62" s="63"/>
      <c r="J62" s="35"/>
      <c r="K62" s="64"/>
      <c r="L62" s="63"/>
      <c r="M62" s="35"/>
      <c r="N62" s="64"/>
      <c r="O62" s="7"/>
      <c r="P62" s="7"/>
      <c r="Q62" s="13"/>
    </row>
    <row r="63" spans="1:17" ht="15">
      <c r="A63" s="1">
        <v>54</v>
      </c>
      <c r="B63" s="13" t="s">
        <v>36</v>
      </c>
      <c r="C63" s="34"/>
      <c r="D63" s="35"/>
      <c r="E63" s="36">
        <f t="shared" si="0"/>
        <v>0</v>
      </c>
      <c r="F63" s="37"/>
      <c r="G63" s="37" t="e">
        <f>+'TES2 adjs'!#REF!</f>
        <v>#REF!</v>
      </c>
      <c r="H63" s="10" t="e">
        <f t="shared" si="2"/>
        <v>#REF!</v>
      </c>
      <c r="I63" s="63">
        <f t="shared" si="1"/>
        <v>0</v>
      </c>
      <c r="J63" s="35" t="e">
        <f t="shared" si="1"/>
        <v>#REF!</v>
      </c>
      <c r="K63" s="64" t="e">
        <f t="shared" si="3"/>
        <v>#REF!</v>
      </c>
      <c r="L63" s="63">
        <v>-1685506</v>
      </c>
      <c r="M63" s="35" t="e">
        <f>+'TES2 adjs'!#REF!</f>
        <v>#REF!</v>
      </c>
      <c r="N63" s="64" t="e">
        <f t="shared" si="4"/>
        <v>#REF!</v>
      </c>
      <c r="O63" s="7"/>
      <c r="P63" s="7"/>
      <c r="Q63" s="13"/>
    </row>
    <row r="64" spans="1:17" ht="15">
      <c r="A64" s="1">
        <v>55</v>
      </c>
      <c r="B64" s="13" t="s">
        <v>37</v>
      </c>
      <c r="C64" s="34"/>
      <c r="D64" s="35"/>
      <c r="E64" s="36">
        <f t="shared" si="0"/>
        <v>0</v>
      </c>
      <c r="F64" s="37"/>
      <c r="G64" s="37" t="e">
        <f>+'TES2 adjs'!#REF!</f>
        <v>#REF!</v>
      </c>
      <c r="H64" s="10" t="e">
        <f t="shared" si="2"/>
        <v>#REF!</v>
      </c>
      <c r="I64" s="63">
        <f t="shared" si="1"/>
        <v>0</v>
      </c>
      <c r="J64" s="35" t="e">
        <f t="shared" si="1"/>
        <v>#REF!</v>
      </c>
      <c r="K64" s="64" t="e">
        <f t="shared" si="3"/>
        <v>#REF!</v>
      </c>
      <c r="L64" s="63"/>
      <c r="M64" s="35" t="e">
        <f>+'TES2 adjs'!#REF!</f>
        <v>#REF!</v>
      </c>
      <c r="N64" s="64" t="e">
        <f t="shared" si="4"/>
        <v>#REF!</v>
      </c>
      <c r="O64" s="7"/>
      <c r="P64" s="7"/>
      <c r="Q64" s="13"/>
    </row>
    <row r="65" spans="1:17" ht="15">
      <c r="A65" s="1">
        <v>56</v>
      </c>
      <c r="B65" s="13" t="s">
        <v>38</v>
      </c>
      <c r="C65" s="34"/>
      <c r="D65" s="35"/>
      <c r="E65" s="36">
        <f t="shared" si="0"/>
        <v>0</v>
      </c>
      <c r="F65" s="37"/>
      <c r="G65" s="37" t="e">
        <f>+'TES2 adjs'!#REF!</f>
        <v>#REF!</v>
      </c>
      <c r="H65" s="10" t="e">
        <f t="shared" si="2"/>
        <v>#REF!</v>
      </c>
      <c r="I65" s="63">
        <f t="shared" si="1"/>
        <v>0</v>
      </c>
      <c r="J65" s="35" t="e">
        <f t="shared" si="1"/>
        <v>#REF!</v>
      </c>
      <c r="K65" s="64" t="e">
        <f t="shared" si="3"/>
        <v>#REF!</v>
      </c>
      <c r="L65" s="63">
        <v>12035889</v>
      </c>
      <c r="M65" s="35" t="e">
        <f>+'TES2 adjs'!#REF!</f>
        <v>#REF!</v>
      </c>
      <c r="N65" s="64" t="e">
        <f t="shared" si="4"/>
        <v>#REF!</v>
      </c>
      <c r="O65" s="7"/>
      <c r="P65" s="7"/>
      <c r="Q65" s="13"/>
    </row>
    <row r="66" spans="1:17" ht="15">
      <c r="A66" s="1">
        <v>57</v>
      </c>
      <c r="B66" s="13" t="s">
        <v>39</v>
      </c>
      <c r="C66" s="34"/>
      <c r="D66" s="35"/>
      <c r="E66" s="36">
        <f t="shared" si="0"/>
        <v>0</v>
      </c>
      <c r="F66" s="37">
        <v>-21450</v>
      </c>
      <c r="G66" s="37" t="e">
        <f>+'TES2 adjs'!#REF!</f>
        <v>#REF!</v>
      </c>
      <c r="H66" s="10" t="e">
        <f t="shared" si="2"/>
        <v>#REF!</v>
      </c>
      <c r="I66" s="63">
        <f t="shared" si="1"/>
        <v>21450</v>
      </c>
      <c r="J66" s="35" t="e">
        <f t="shared" si="1"/>
        <v>#REF!</v>
      </c>
      <c r="K66" s="64" t="e">
        <f t="shared" si="3"/>
        <v>#REF!</v>
      </c>
      <c r="L66" s="63">
        <v>-580839</v>
      </c>
      <c r="M66" s="35" t="e">
        <f>+'TES2 adjs'!#REF!</f>
        <v>#REF!</v>
      </c>
      <c r="N66" s="64" t="e">
        <f t="shared" si="4"/>
        <v>#REF!</v>
      </c>
      <c r="O66" s="7"/>
      <c r="P66" s="7"/>
      <c r="Q66" s="13"/>
    </row>
    <row r="67" spans="1:17" ht="15">
      <c r="A67" s="1">
        <v>58</v>
      </c>
      <c r="B67" s="13" t="s">
        <v>40</v>
      </c>
      <c r="C67" s="34"/>
      <c r="D67" s="35"/>
      <c r="E67" s="36">
        <f t="shared" si="0"/>
        <v>0</v>
      </c>
      <c r="F67" s="37"/>
      <c r="G67" s="37" t="e">
        <f>+'TES2 adjs'!#REF!</f>
        <v>#REF!</v>
      </c>
      <c r="H67" s="10" t="e">
        <f t="shared" si="2"/>
        <v>#REF!</v>
      </c>
      <c r="I67" s="63">
        <f t="shared" si="1"/>
        <v>0</v>
      </c>
      <c r="J67" s="35" t="e">
        <f t="shared" si="1"/>
        <v>#REF!</v>
      </c>
      <c r="K67" s="64" t="e">
        <f t="shared" si="3"/>
        <v>#REF!</v>
      </c>
      <c r="L67" s="63">
        <v>0</v>
      </c>
      <c r="M67" s="35" t="e">
        <f>+'TES2 adjs'!#REF!</f>
        <v>#REF!</v>
      </c>
      <c r="N67" s="64" t="e">
        <f t="shared" si="4"/>
        <v>#REF!</v>
      </c>
      <c r="O67" s="7"/>
      <c r="P67" s="7"/>
      <c r="Q67" s="13"/>
    </row>
    <row r="68" spans="1:17" ht="15">
      <c r="A68" s="1">
        <v>59</v>
      </c>
      <c r="B68" s="13" t="s">
        <v>41</v>
      </c>
      <c r="C68" s="34"/>
      <c r="D68" s="35"/>
      <c r="E68" s="36">
        <f t="shared" si="0"/>
        <v>0</v>
      </c>
      <c r="F68" s="37"/>
      <c r="G68" s="37" t="e">
        <f>+'TES2 adjs'!#REF!</f>
        <v>#REF!</v>
      </c>
      <c r="H68" s="10" t="e">
        <f t="shared" si="2"/>
        <v>#REF!</v>
      </c>
      <c r="I68" s="63">
        <f t="shared" si="1"/>
        <v>0</v>
      </c>
      <c r="J68" s="35" t="e">
        <f t="shared" si="1"/>
        <v>#REF!</v>
      </c>
      <c r="K68" s="64" t="e">
        <f t="shared" si="3"/>
        <v>#REF!</v>
      </c>
      <c r="L68" s="63">
        <v>-1089233</v>
      </c>
      <c r="M68" s="35" t="e">
        <f>+'TES2 adjs'!#REF!</f>
        <v>#REF!</v>
      </c>
      <c r="N68" s="64" t="e">
        <f t="shared" si="4"/>
        <v>#REF!</v>
      </c>
      <c r="O68" s="7"/>
      <c r="P68" s="7"/>
      <c r="Q68" s="13"/>
    </row>
    <row r="69" spans="1:17" ht="15">
      <c r="A69" s="1">
        <v>60</v>
      </c>
      <c r="B69" s="13" t="s">
        <v>42</v>
      </c>
      <c r="C69" s="34"/>
      <c r="D69" s="35"/>
      <c r="E69" s="36">
        <f t="shared" si="0"/>
        <v>0</v>
      </c>
      <c r="F69" s="37"/>
      <c r="G69" s="37" t="e">
        <f>+'TES2 adjs'!#REF!</f>
        <v>#REF!</v>
      </c>
      <c r="H69" s="10" t="e">
        <f t="shared" si="2"/>
        <v>#REF!</v>
      </c>
      <c r="I69" s="63">
        <f t="shared" si="1"/>
        <v>0</v>
      </c>
      <c r="J69" s="35" t="e">
        <f t="shared" si="1"/>
        <v>#REF!</v>
      </c>
      <c r="K69" s="64" t="e">
        <f t="shared" si="3"/>
        <v>#REF!</v>
      </c>
      <c r="L69" s="63">
        <v>-133198</v>
      </c>
      <c r="M69" s="35" t="e">
        <f>+'TES2 adjs'!#REF!</f>
        <v>#REF!</v>
      </c>
      <c r="N69" s="64" t="e">
        <f t="shared" si="4"/>
        <v>#REF!</v>
      </c>
      <c r="O69" s="7"/>
      <c r="P69" s="7"/>
      <c r="Q69" s="13"/>
    </row>
    <row r="70" spans="1:17" ht="15">
      <c r="A70" s="1">
        <v>61</v>
      </c>
      <c r="B70" s="13" t="s">
        <v>43</v>
      </c>
      <c r="C70" s="34"/>
      <c r="D70" s="35"/>
      <c r="E70" s="36">
        <f t="shared" si="0"/>
        <v>0</v>
      </c>
      <c r="F70" s="37">
        <v>-107968</v>
      </c>
      <c r="G70" s="37" t="e">
        <f>+'TES2 adjs'!#REF!</f>
        <v>#REF!</v>
      </c>
      <c r="H70" s="10" t="e">
        <f t="shared" si="2"/>
        <v>#REF!</v>
      </c>
      <c r="I70" s="63">
        <f t="shared" si="1"/>
        <v>107968</v>
      </c>
      <c r="J70" s="35" t="e">
        <f t="shared" si="1"/>
        <v>#REF!</v>
      </c>
      <c r="K70" s="64" t="e">
        <f t="shared" si="3"/>
        <v>#REF!</v>
      </c>
      <c r="L70" s="63">
        <v>-733458.49</v>
      </c>
      <c r="M70" s="35" t="e">
        <f>+'TES2 adjs'!#REF!</f>
        <v>#REF!</v>
      </c>
      <c r="N70" s="64" t="e">
        <f t="shared" si="4"/>
        <v>#REF!</v>
      </c>
      <c r="O70" s="7"/>
      <c r="P70" s="7"/>
      <c r="Q70" s="13"/>
    </row>
    <row r="71" spans="1:17" ht="15">
      <c r="A71" s="1">
        <v>62</v>
      </c>
      <c r="B71" s="13" t="s">
        <v>44</v>
      </c>
      <c r="C71" s="34"/>
      <c r="D71" s="35"/>
      <c r="E71" s="36">
        <f t="shared" si="0"/>
        <v>0</v>
      </c>
      <c r="F71" s="37">
        <v>217248</v>
      </c>
      <c r="G71" s="37" t="e">
        <f>+'TES2 adjs'!#REF!</f>
        <v>#REF!</v>
      </c>
      <c r="H71" s="10" t="e">
        <f t="shared" si="2"/>
        <v>#REF!</v>
      </c>
      <c r="I71" s="63">
        <f t="shared" si="1"/>
        <v>-217248</v>
      </c>
      <c r="J71" s="35" t="e">
        <f t="shared" si="1"/>
        <v>#REF!</v>
      </c>
      <c r="K71" s="64" t="e">
        <f t="shared" si="3"/>
        <v>#REF!</v>
      </c>
      <c r="L71" s="63">
        <v>13333779</v>
      </c>
      <c r="M71" s="35" t="e">
        <f>+'TES2 adjs'!#REF!</f>
        <v>#REF!</v>
      </c>
      <c r="N71" s="64" t="e">
        <f t="shared" si="4"/>
        <v>#REF!</v>
      </c>
      <c r="O71" s="7"/>
      <c r="P71" s="7"/>
      <c r="Q71" s="13"/>
    </row>
    <row r="72" spans="1:17" ht="15">
      <c r="A72" s="1">
        <v>63</v>
      </c>
      <c r="B72" s="13" t="s">
        <v>45</v>
      </c>
      <c r="C72" s="34"/>
      <c r="D72" s="35"/>
      <c r="E72" s="36">
        <f t="shared" si="0"/>
        <v>0</v>
      </c>
      <c r="F72" s="37"/>
      <c r="G72" s="37" t="e">
        <f>+'TES2 adjs'!#REF!</f>
        <v>#REF!</v>
      </c>
      <c r="H72" s="10" t="e">
        <f t="shared" si="2"/>
        <v>#REF!</v>
      </c>
      <c r="I72" s="63">
        <f t="shared" si="1"/>
        <v>0</v>
      </c>
      <c r="J72" s="35" t="e">
        <f t="shared" si="1"/>
        <v>#REF!</v>
      </c>
      <c r="K72" s="64" t="e">
        <f t="shared" si="3"/>
        <v>#REF!</v>
      </c>
      <c r="L72" s="63">
        <v>-1160769.49</v>
      </c>
      <c r="M72" s="35" t="e">
        <f>+'TES2 adjs'!#REF!</f>
        <v>#REF!</v>
      </c>
      <c r="N72" s="64" t="e">
        <f t="shared" si="4"/>
        <v>#REF!</v>
      </c>
      <c r="O72" s="7"/>
      <c r="P72" s="7"/>
      <c r="Q72" s="13"/>
    </row>
    <row r="73" spans="1:17" ht="15">
      <c r="A73" s="1">
        <v>64</v>
      </c>
      <c r="B73" s="13" t="s">
        <v>51</v>
      </c>
      <c r="C73" s="34"/>
      <c r="D73" s="35"/>
      <c r="E73" s="36">
        <f t="shared" si="0"/>
        <v>0</v>
      </c>
      <c r="F73" s="37"/>
      <c r="G73" s="37" t="e">
        <f>+'TES2 adjs'!#REF!</f>
        <v>#REF!</v>
      </c>
      <c r="H73" s="10" t="e">
        <f t="shared" si="2"/>
        <v>#REF!</v>
      </c>
      <c r="I73" s="63">
        <f t="shared" si="1"/>
        <v>0</v>
      </c>
      <c r="J73" s="35" t="e">
        <f t="shared" si="1"/>
        <v>#REF!</v>
      </c>
      <c r="K73" s="64" t="e">
        <f t="shared" si="3"/>
        <v>#REF!</v>
      </c>
      <c r="L73" s="63">
        <v>1299091</v>
      </c>
      <c r="M73" s="35" t="e">
        <f>+'TES2 adjs'!#REF!</f>
        <v>#REF!</v>
      </c>
      <c r="N73" s="64" t="e">
        <f t="shared" si="4"/>
        <v>#REF!</v>
      </c>
      <c r="O73" s="7"/>
      <c r="P73" s="7"/>
      <c r="Q73" s="13"/>
    </row>
    <row r="74" spans="1:17" ht="15">
      <c r="A74" s="1">
        <v>65</v>
      </c>
      <c r="B74" s="13" t="s">
        <v>84</v>
      </c>
      <c r="C74" s="34"/>
      <c r="D74" s="35"/>
      <c r="E74" s="36">
        <f t="shared" si="0"/>
        <v>0</v>
      </c>
      <c r="F74" s="37"/>
      <c r="G74" s="37" t="e">
        <f>+'TES2 adjs'!#REF!</f>
        <v>#REF!</v>
      </c>
      <c r="H74" s="10" t="e">
        <f t="shared" si="2"/>
        <v>#REF!</v>
      </c>
      <c r="I74" s="63">
        <f aca="true" t="shared" si="5" ref="I74:J77">C74-F74</f>
        <v>0</v>
      </c>
      <c r="J74" s="35" t="e">
        <f t="shared" si="5"/>
        <v>#REF!</v>
      </c>
      <c r="K74" s="64" t="e">
        <f>J74-I74</f>
        <v>#REF!</v>
      </c>
      <c r="L74" s="63"/>
      <c r="M74" s="35" t="e">
        <f>+'TES2 adjs'!#REF!</f>
        <v>#REF!</v>
      </c>
      <c r="N74" s="64" t="e">
        <f t="shared" si="4"/>
        <v>#REF!</v>
      </c>
      <c r="O74" s="7"/>
      <c r="P74" s="7"/>
      <c r="Q74" s="13"/>
    </row>
    <row r="75" spans="1:17" ht="15">
      <c r="A75" s="1">
        <v>66</v>
      </c>
      <c r="B75" s="13" t="s">
        <v>85</v>
      </c>
      <c r="C75" s="34"/>
      <c r="D75" s="35"/>
      <c r="E75" s="36">
        <f t="shared" si="0"/>
        <v>0</v>
      </c>
      <c r="F75" s="37"/>
      <c r="G75" s="37" t="e">
        <f>+'TES2 adjs'!#REF!</f>
        <v>#REF!</v>
      </c>
      <c r="H75" s="10" t="e">
        <f t="shared" si="2"/>
        <v>#REF!</v>
      </c>
      <c r="I75" s="63">
        <f t="shared" si="5"/>
        <v>0</v>
      </c>
      <c r="J75" s="35" t="e">
        <f t="shared" si="5"/>
        <v>#REF!</v>
      </c>
      <c r="K75" s="64" t="e">
        <f>J75-I75</f>
        <v>#REF!</v>
      </c>
      <c r="L75" s="63"/>
      <c r="M75" s="35" t="e">
        <f>+'TES2 adjs'!#REF!</f>
        <v>#REF!</v>
      </c>
      <c r="N75" s="64" t="e">
        <f t="shared" si="4"/>
        <v>#REF!</v>
      </c>
      <c r="O75" s="7"/>
      <c r="P75" s="7"/>
      <c r="Q75" s="13"/>
    </row>
    <row r="76" spans="1:17" ht="15">
      <c r="A76" s="1">
        <v>67</v>
      </c>
      <c r="B76" s="13" t="s">
        <v>86</v>
      </c>
      <c r="C76" s="34"/>
      <c r="D76" s="35"/>
      <c r="E76" s="36">
        <f t="shared" si="0"/>
        <v>0</v>
      </c>
      <c r="F76" s="37"/>
      <c r="G76" s="37" t="e">
        <f>+'TES2 adjs'!#REF!</f>
        <v>#REF!</v>
      </c>
      <c r="H76" s="10" t="e">
        <f t="shared" si="2"/>
        <v>#REF!</v>
      </c>
      <c r="I76" s="63">
        <f t="shared" si="5"/>
        <v>0</v>
      </c>
      <c r="J76" s="35" t="e">
        <f t="shared" si="5"/>
        <v>#REF!</v>
      </c>
      <c r="K76" s="64" t="e">
        <f>J76-I76</f>
        <v>#REF!</v>
      </c>
      <c r="L76" s="63"/>
      <c r="M76" s="35" t="e">
        <f>+'TES2 adjs'!#REF!</f>
        <v>#REF!</v>
      </c>
      <c r="N76" s="64" t="e">
        <f t="shared" si="4"/>
        <v>#REF!</v>
      </c>
      <c r="O76" s="7"/>
      <c r="P76" s="7"/>
      <c r="Q76" s="13"/>
    </row>
    <row r="77" spans="1:17" ht="15.75" thickBot="1">
      <c r="A77" s="1">
        <v>68</v>
      </c>
      <c r="C77" s="34"/>
      <c r="D77" s="35"/>
      <c r="E77" s="36">
        <f t="shared" si="0"/>
        <v>0</v>
      </c>
      <c r="F77" s="37"/>
      <c r="G77" s="37"/>
      <c r="H77" s="10">
        <f t="shared" si="2"/>
        <v>0</v>
      </c>
      <c r="I77" s="67">
        <f t="shared" si="5"/>
        <v>0</v>
      </c>
      <c r="J77" s="68">
        <f t="shared" si="5"/>
        <v>0</v>
      </c>
      <c r="K77" s="69">
        <f>J77-I77</f>
        <v>0</v>
      </c>
      <c r="L77" s="67"/>
      <c r="M77" s="68"/>
      <c r="N77" s="69">
        <f t="shared" si="4"/>
        <v>0</v>
      </c>
      <c r="O77" s="7"/>
      <c r="P77" s="7"/>
      <c r="Q77" s="13"/>
    </row>
    <row r="78" spans="1:17" ht="15.75" thickBot="1">
      <c r="A78" s="1">
        <v>69</v>
      </c>
      <c r="B78" s="13" t="s">
        <v>62</v>
      </c>
      <c r="C78" s="43">
        <f aca="true" t="shared" si="6" ref="C78:N78">SUM(C16:C77)</f>
        <v>33160429</v>
      </c>
      <c r="D78" s="43">
        <f t="shared" si="6"/>
        <v>1906315.104660747</v>
      </c>
      <c r="E78" s="43">
        <f t="shared" si="6"/>
        <v>-31254113.89533925</v>
      </c>
      <c r="F78" s="43">
        <f t="shared" si="6"/>
        <v>50435555</v>
      </c>
      <c r="G78" s="43" t="e">
        <f t="shared" si="6"/>
        <v>#REF!</v>
      </c>
      <c r="H78" s="43" t="e">
        <f t="shared" si="6"/>
        <v>#REF!</v>
      </c>
      <c r="I78" s="72">
        <f t="shared" si="6"/>
        <v>-17275126</v>
      </c>
      <c r="J78" s="73" t="e">
        <f t="shared" si="6"/>
        <v>#REF!</v>
      </c>
      <c r="K78" s="74" t="e">
        <f t="shared" si="6"/>
        <v>#REF!</v>
      </c>
      <c r="L78" s="72">
        <f t="shared" si="6"/>
        <v>12390135.02</v>
      </c>
      <c r="M78" s="73" t="e">
        <f t="shared" si="6"/>
        <v>#REF!</v>
      </c>
      <c r="N78" s="74" t="e">
        <f t="shared" si="6"/>
        <v>#REF!</v>
      </c>
      <c r="O78" s="45"/>
      <c r="P78" s="45"/>
      <c r="Q78" s="46"/>
    </row>
    <row r="79" spans="1:17" ht="15.75" thickBot="1">
      <c r="A79" s="1">
        <v>70</v>
      </c>
      <c r="B79" s="13" t="s">
        <v>68</v>
      </c>
      <c r="C79" s="47">
        <f aca="true" t="shared" si="7" ref="C79:N79">C14+C78</f>
        <v>325147249</v>
      </c>
      <c r="D79" s="48">
        <f t="shared" si="7"/>
        <v>293893135.10466075</v>
      </c>
      <c r="E79" s="49">
        <f t="shared" si="7"/>
        <v>-31254113.89533925</v>
      </c>
      <c r="F79" s="48">
        <f t="shared" si="7"/>
        <v>300361381</v>
      </c>
      <c r="G79" s="48" t="e">
        <f t="shared" si="7"/>
        <v>#REF!</v>
      </c>
      <c r="H79" s="48" t="e">
        <f t="shared" si="7"/>
        <v>#REF!</v>
      </c>
      <c r="I79" s="75">
        <f t="shared" si="7"/>
        <v>24785868</v>
      </c>
      <c r="J79" s="76" t="e">
        <f t="shared" si="7"/>
        <v>#REF!</v>
      </c>
      <c r="K79" s="77" t="e">
        <f t="shared" si="7"/>
        <v>#REF!</v>
      </c>
      <c r="L79" s="75">
        <f t="shared" si="7"/>
        <v>548512723.02</v>
      </c>
      <c r="M79" s="76" t="e">
        <f t="shared" si="7"/>
        <v>#REF!</v>
      </c>
      <c r="N79" s="77" t="e">
        <f t="shared" si="7"/>
        <v>#REF!</v>
      </c>
      <c r="O79" s="50">
        <f>I79/L79</f>
        <v>0.045187407620253604</v>
      </c>
      <c r="P79" s="54" t="e">
        <f>J79/M79</f>
        <v>#REF!</v>
      </c>
      <c r="Q79" s="51" t="e">
        <f>P79-O79</f>
        <v>#REF!</v>
      </c>
    </row>
    <row r="80" spans="1:14" ht="16.5" thickBot="1" thickTop="1">
      <c r="A80" s="1">
        <v>71</v>
      </c>
      <c r="B80" s="55" t="s">
        <v>87</v>
      </c>
      <c r="I80" s="78"/>
      <c r="J80" s="79"/>
      <c r="K80" s="80"/>
      <c r="L80" s="81">
        <f>+I79/L79</f>
        <v>0.045187407620253604</v>
      </c>
      <c r="M80" s="85" t="e">
        <f>+J79/M79</f>
        <v>#REF!</v>
      </c>
      <c r="N80" s="80"/>
    </row>
  </sheetData>
  <mergeCells count="8">
    <mergeCell ref="O6:Q6"/>
    <mergeCell ref="C6:E6"/>
    <mergeCell ref="F6:H6"/>
    <mergeCell ref="I6:K6"/>
    <mergeCell ref="I3:N3"/>
    <mergeCell ref="I4:N4"/>
    <mergeCell ref="I5:N5"/>
    <mergeCell ref="L6:N6"/>
  </mergeCells>
  <printOptions horizontalCentered="1" verticalCentered="1"/>
  <pageMargins left="1.25" right="0.5" top="0.75" bottom="0.75" header="0.5" footer="0.5"/>
  <pageSetup fitToHeight="1" fitToWidth="1" horizontalDpi="600" verticalDpi="600" orientation="portrait" scale="61" r:id="rId1"/>
  <headerFooter alignWithMargins="0">
    <oddHeader>&amp;R&amp;"Palatino Linotype,Regular"Exhibit _____ (TES-3)
Docket No. UE-032065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C8" sqref="C8"/>
    </sheetView>
  </sheetViews>
  <sheetFormatPr defaultColWidth="9.140625" defaultRowHeight="12.75"/>
  <cols>
    <col min="1" max="1" width="4.00390625" style="0" bestFit="1" customWidth="1"/>
    <col min="2" max="2" width="30.7109375" style="0" customWidth="1"/>
    <col min="3" max="3" width="16.28125" style="0" bestFit="1" customWidth="1"/>
    <col min="4" max="4" width="22.28125" style="0" bestFit="1" customWidth="1"/>
    <col min="5" max="5" width="16.8515625" style="0" bestFit="1" customWidth="1"/>
    <col min="6" max="6" width="11.421875" style="0" customWidth="1"/>
    <col min="7" max="7" width="16.8515625" style="0" bestFit="1" customWidth="1"/>
  </cols>
  <sheetData>
    <row r="1" spans="1:10" ht="15">
      <c r="A1" s="1"/>
      <c r="B1" s="149" t="s">
        <v>165</v>
      </c>
      <c r="C1" s="90"/>
      <c r="D1" s="125"/>
      <c r="E1" s="150"/>
      <c r="F1" s="1"/>
      <c r="G1" s="90"/>
      <c r="H1" s="90"/>
      <c r="I1" s="1"/>
      <c r="J1" s="1"/>
    </row>
    <row r="2" spans="1:10" ht="15">
      <c r="A2" s="1"/>
      <c r="B2" s="90" t="s">
        <v>166</v>
      </c>
      <c r="C2" s="90"/>
      <c r="D2" s="90"/>
      <c r="E2" s="90"/>
      <c r="F2" s="90"/>
      <c r="G2" s="90"/>
      <c r="H2" s="90"/>
      <c r="I2" s="1"/>
      <c r="J2" s="1"/>
    </row>
    <row r="3" spans="1:10" ht="15">
      <c r="A3" s="1"/>
      <c r="B3" s="151" t="s">
        <v>204</v>
      </c>
      <c r="C3" s="90"/>
      <c r="D3" s="150"/>
      <c r="E3" s="90"/>
      <c r="F3" s="90"/>
      <c r="G3" s="90"/>
      <c r="H3" s="90"/>
      <c r="I3" s="1"/>
      <c r="J3" s="1"/>
    </row>
    <row r="4" spans="1:10" ht="15">
      <c r="A4" s="1"/>
      <c r="B4" s="150"/>
      <c r="C4" s="152" t="s">
        <v>167</v>
      </c>
      <c r="D4" s="152" t="s">
        <v>168</v>
      </c>
      <c r="E4" s="152" t="s">
        <v>169</v>
      </c>
      <c r="F4" s="152" t="s">
        <v>170</v>
      </c>
      <c r="G4" s="152" t="s">
        <v>171</v>
      </c>
      <c r="H4" s="152"/>
      <c r="I4" s="152"/>
      <c r="J4" s="1"/>
    </row>
    <row r="5" spans="1:10" ht="15">
      <c r="A5" s="1"/>
      <c r="B5" s="90"/>
      <c r="C5" s="121" t="s">
        <v>172</v>
      </c>
      <c r="D5" s="121" t="s">
        <v>96</v>
      </c>
      <c r="E5" s="121" t="s">
        <v>173</v>
      </c>
      <c r="F5" s="121" t="s">
        <v>174</v>
      </c>
      <c r="G5" s="121" t="s">
        <v>175</v>
      </c>
      <c r="H5" s="121"/>
      <c r="I5" s="121"/>
      <c r="J5" s="1"/>
    </row>
    <row r="6" spans="1:10" ht="15">
      <c r="A6" s="1"/>
      <c r="B6" s="125"/>
      <c r="C6" s="121" t="s">
        <v>176</v>
      </c>
      <c r="D6" s="121" t="s">
        <v>98</v>
      </c>
      <c r="E6" s="121" t="s">
        <v>177</v>
      </c>
      <c r="F6" s="121" t="s">
        <v>81</v>
      </c>
      <c r="G6" s="121" t="s">
        <v>99</v>
      </c>
      <c r="H6" s="121"/>
      <c r="I6" s="121"/>
      <c r="J6" s="1"/>
    </row>
    <row r="7" spans="1:10" ht="15">
      <c r="A7" s="1"/>
      <c r="B7" s="125" t="s">
        <v>103</v>
      </c>
      <c r="C7" s="90"/>
      <c r="D7" s="90"/>
      <c r="E7" s="121"/>
      <c r="F7" s="179">
        <f>F8/E8</f>
        <v>-0.06499983011456965</v>
      </c>
      <c r="G7" s="90"/>
      <c r="H7" s="121"/>
      <c r="I7" s="1"/>
      <c r="J7" s="1"/>
    </row>
    <row r="8" spans="1:10" ht="15">
      <c r="A8" s="1">
        <v>1</v>
      </c>
      <c r="B8" s="90" t="s">
        <v>104</v>
      </c>
      <c r="C8" s="154">
        <v>183665820</v>
      </c>
      <c r="D8" s="155">
        <f>+'TES2 adjs'!C8</f>
        <v>0</v>
      </c>
      <c r="E8" s="155">
        <f>+C8+D8</f>
        <v>183665820</v>
      </c>
      <c r="F8" s="155">
        <f>rrc!D21</f>
        <v>-11938247.09785313</v>
      </c>
      <c r="G8" s="155">
        <f>+F8+E8</f>
        <v>171727572.90214688</v>
      </c>
      <c r="H8" s="155"/>
      <c r="I8" s="93"/>
      <c r="J8" s="1"/>
    </row>
    <row r="9" spans="1:10" ht="15">
      <c r="A9" s="1">
        <v>2</v>
      </c>
      <c r="B9" s="90" t="s">
        <v>105</v>
      </c>
      <c r="C9" s="136">
        <v>0</v>
      </c>
      <c r="D9" s="155">
        <f>+'TES2 adjs'!C9</f>
        <v>0</v>
      </c>
      <c r="E9" s="136">
        <f>+C9+D9</f>
        <v>0</v>
      </c>
      <c r="F9" s="136">
        <v>0</v>
      </c>
      <c r="G9" s="136">
        <f>+F9+E9</f>
        <v>0</v>
      </c>
      <c r="H9" s="136"/>
      <c r="I9" s="95"/>
      <c r="J9" s="1"/>
    </row>
    <row r="10" spans="1:10" ht="15">
      <c r="A10" s="1">
        <v>3</v>
      </c>
      <c r="B10" s="90" t="s">
        <v>106</v>
      </c>
      <c r="C10" s="136">
        <v>91649561</v>
      </c>
      <c r="D10" s="155">
        <f>+'TES2 adjs'!C10</f>
        <v>-2295743.785395843</v>
      </c>
      <c r="E10" s="136">
        <f>+C10+D10</f>
        <v>89353817.21460415</v>
      </c>
      <c r="F10" s="136">
        <v>0</v>
      </c>
      <c r="G10" s="136">
        <f>+F10+E10</f>
        <v>89353817.21460415</v>
      </c>
      <c r="H10" s="136"/>
      <c r="I10" s="95"/>
      <c r="J10" s="1"/>
    </row>
    <row r="11" spans="1:10" ht="15">
      <c r="A11" s="1">
        <v>4</v>
      </c>
      <c r="B11" s="90" t="s">
        <v>107</v>
      </c>
      <c r="C11" s="136">
        <v>16671439</v>
      </c>
      <c r="D11" s="155">
        <f>+'TES2 adjs'!C11</f>
        <v>487124.84661999997</v>
      </c>
      <c r="E11" s="136">
        <f>+C11+D11</f>
        <v>17158563.84662</v>
      </c>
      <c r="F11" s="136">
        <v>0</v>
      </c>
      <c r="G11" s="136">
        <f>+F11+E11</f>
        <v>17158563.84662</v>
      </c>
      <c r="H11" s="136"/>
      <c r="I11" s="95"/>
      <c r="J11" s="1"/>
    </row>
    <row r="12" spans="1:10" ht="15">
      <c r="A12" s="1">
        <v>5</v>
      </c>
      <c r="B12" s="156" t="s">
        <v>108</v>
      </c>
      <c r="C12" s="157">
        <f>SUM(C8:C11)</f>
        <v>291986820</v>
      </c>
      <c r="D12" s="157">
        <f>SUM(D8:D11)</f>
        <v>-1808618.938775843</v>
      </c>
      <c r="E12" s="157">
        <f>SUM(E8:E11)</f>
        <v>290178201.06122416</v>
      </c>
      <c r="F12" s="157">
        <f>SUM(F8:F11)</f>
        <v>-11938247.09785313</v>
      </c>
      <c r="G12" s="157">
        <f>SUM(G8:G11)</f>
        <v>278239953.96337104</v>
      </c>
      <c r="H12" s="158"/>
      <c r="I12" s="158"/>
      <c r="J12" s="1"/>
    </row>
    <row r="13" spans="1:10" ht="15">
      <c r="A13" s="1">
        <v>6</v>
      </c>
      <c r="B13" s="90"/>
      <c r="C13" s="136"/>
      <c r="D13" s="136"/>
      <c r="E13" s="136"/>
      <c r="F13" s="136"/>
      <c r="G13" s="136"/>
      <c r="H13" s="136"/>
      <c r="I13" s="1"/>
      <c r="J13" s="1"/>
    </row>
    <row r="14" spans="1:10" ht="15">
      <c r="A14" s="1">
        <v>7</v>
      </c>
      <c r="B14" s="125" t="s">
        <v>109</v>
      </c>
      <c r="C14" s="136"/>
      <c r="D14" s="136"/>
      <c r="E14" s="136"/>
      <c r="F14" s="136"/>
      <c r="G14" s="136"/>
      <c r="H14" s="136"/>
      <c r="I14" s="1"/>
      <c r="J14" s="1"/>
    </row>
    <row r="15" spans="1:10" ht="15">
      <c r="A15" s="1">
        <v>8</v>
      </c>
      <c r="B15" s="90" t="s">
        <v>110</v>
      </c>
      <c r="C15" s="136">
        <v>45883059</v>
      </c>
      <c r="D15" s="155">
        <f>+'TES2 adjs'!C15</f>
        <v>-5478895.660071811</v>
      </c>
      <c r="E15" s="136">
        <f aca="true" t="shared" si="0" ref="E15:E24">+C15+D15</f>
        <v>40404163.33992819</v>
      </c>
      <c r="F15" s="136"/>
      <c r="G15" s="136">
        <f aca="true" t="shared" si="1" ref="G15:G24">+F15+E15</f>
        <v>40404163.33992819</v>
      </c>
      <c r="H15" s="136"/>
      <c r="I15" s="95"/>
      <c r="J15" s="1"/>
    </row>
    <row r="16" spans="1:10" ht="15">
      <c r="A16" s="1">
        <v>9</v>
      </c>
      <c r="B16" s="90" t="s">
        <v>111</v>
      </c>
      <c r="C16" s="136">
        <v>0</v>
      </c>
      <c r="D16" s="155">
        <f>+'TES2 adjs'!C16</f>
        <v>0</v>
      </c>
      <c r="E16" s="136">
        <f t="shared" si="0"/>
        <v>0</v>
      </c>
      <c r="F16" s="136"/>
      <c r="G16" s="136">
        <f t="shared" si="1"/>
        <v>0</v>
      </c>
      <c r="H16" s="136"/>
      <c r="I16" s="95"/>
      <c r="J16" s="1"/>
    </row>
    <row r="17" spans="1:10" ht="15">
      <c r="A17" s="1">
        <v>10</v>
      </c>
      <c r="B17" s="90" t="s">
        <v>112</v>
      </c>
      <c r="C17" s="136">
        <v>4514149</v>
      </c>
      <c r="D17" s="155">
        <f>+'TES2 adjs'!C17</f>
        <v>0</v>
      </c>
      <c r="E17" s="136">
        <f t="shared" si="0"/>
        <v>4514149</v>
      </c>
      <c r="F17" s="136"/>
      <c r="G17" s="136">
        <f t="shared" si="1"/>
        <v>4514149</v>
      </c>
      <c r="H17" s="136"/>
      <c r="I17" s="95"/>
      <c r="J17" s="1"/>
    </row>
    <row r="18" spans="1:10" ht="15">
      <c r="A18" s="1">
        <v>11</v>
      </c>
      <c r="B18" s="90" t="s">
        <v>113</v>
      </c>
      <c r="C18" s="136">
        <v>91927801</v>
      </c>
      <c r="D18" s="155">
        <f>+'TES2 adjs'!C18</f>
        <v>-5183318.115115053</v>
      </c>
      <c r="E18" s="136">
        <f t="shared" si="0"/>
        <v>86744482.88488495</v>
      </c>
      <c r="F18" s="136"/>
      <c r="G18" s="136">
        <f t="shared" si="1"/>
        <v>86744482.88488495</v>
      </c>
      <c r="H18" s="136"/>
      <c r="I18" s="95"/>
      <c r="J18" s="1"/>
    </row>
    <row r="19" spans="1:10" ht="15">
      <c r="A19" s="1">
        <v>12</v>
      </c>
      <c r="B19" s="90" t="s">
        <v>114</v>
      </c>
      <c r="C19" s="136">
        <v>8515167</v>
      </c>
      <c r="D19" s="155">
        <f>+'TES2 adjs'!C19</f>
        <v>26367.59548458021</v>
      </c>
      <c r="E19" s="136">
        <f t="shared" si="0"/>
        <v>8541534.59548458</v>
      </c>
      <c r="F19" s="136"/>
      <c r="G19" s="136">
        <f t="shared" si="1"/>
        <v>8541534.59548458</v>
      </c>
      <c r="H19" s="136"/>
      <c r="I19" s="95"/>
      <c r="J19" s="1"/>
    </row>
    <row r="20" spans="1:10" ht="15">
      <c r="A20" s="1">
        <v>13</v>
      </c>
      <c r="B20" s="90" t="s">
        <v>115</v>
      </c>
      <c r="C20" s="136">
        <v>7000004</v>
      </c>
      <c r="D20" s="155">
        <f>+'TES2 adjs'!C20</f>
        <v>0</v>
      </c>
      <c r="E20" s="136">
        <f t="shared" si="0"/>
        <v>7000004</v>
      </c>
      <c r="F20" s="136"/>
      <c r="G20" s="136">
        <f t="shared" si="1"/>
        <v>7000004</v>
      </c>
      <c r="H20" s="136"/>
      <c r="I20" s="95"/>
      <c r="J20" s="1"/>
    </row>
    <row r="21" spans="1:10" ht="15">
      <c r="A21" s="1">
        <v>14</v>
      </c>
      <c r="B21" s="90" t="s">
        <v>116</v>
      </c>
      <c r="C21" s="136">
        <v>7948906</v>
      </c>
      <c r="D21" s="155">
        <f>+'TES2 adjs'!C21</f>
        <v>0</v>
      </c>
      <c r="E21" s="136">
        <f t="shared" si="0"/>
        <v>7948906</v>
      </c>
      <c r="F21" s="136">
        <f>F8*'cf'!C9</f>
        <v>-81055.56815082974</v>
      </c>
      <c r="G21" s="136">
        <f t="shared" si="1"/>
        <v>7867850.4318491705</v>
      </c>
      <c r="H21" s="136"/>
      <c r="I21" s="95"/>
      <c r="J21" s="1"/>
    </row>
    <row r="22" spans="1:10" ht="15">
      <c r="A22" s="1">
        <v>15</v>
      </c>
      <c r="B22" s="90" t="s">
        <v>117</v>
      </c>
      <c r="C22" s="136">
        <v>213426.45</v>
      </c>
      <c r="D22" s="155">
        <f>+'TES2 adjs'!C22</f>
        <v>0</v>
      </c>
      <c r="E22" s="136">
        <f t="shared" si="0"/>
        <v>213426.45</v>
      </c>
      <c r="F22" s="136"/>
      <c r="G22" s="136">
        <f t="shared" si="1"/>
        <v>213426.45</v>
      </c>
      <c r="H22" s="136"/>
      <c r="I22" s="95"/>
      <c r="J22" s="1"/>
    </row>
    <row r="23" spans="1:10" ht="15">
      <c r="A23" s="1">
        <v>16</v>
      </c>
      <c r="B23" s="90" t="s">
        <v>118</v>
      </c>
      <c r="C23" s="136">
        <v>50208</v>
      </c>
      <c r="D23" s="155">
        <f>+'TES2 adjs'!C23</f>
        <v>0</v>
      </c>
      <c r="E23" s="136">
        <f t="shared" si="0"/>
        <v>50208</v>
      </c>
      <c r="F23" s="136"/>
      <c r="G23" s="136">
        <f t="shared" si="1"/>
        <v>50208</v>
      </c>
      <c r="H23" s="136"/>
      <c r="I23" s="95"/>
      <c r="J23" s="1"/>
    </row>
    <row r="24" spans="1:10" ht="15">
      <c r="A24" s="1">
        <v>17</v>
      </c>
      <c r="B24" s="136" t="s">
        <v>119</v>
      </c>
      <c r="C24" s="136">
        <v>22389424</v>
      </c>
      <c r="D24" s="155">
        <f>+'TES2 adjs'!C24</f>
        <v>-928527.3</v>
      </c>
      <c r="E24" s="136">
        <f t="shared" si="0"/>
        <v>21460896.7</v>
      </c>
      <c r="F24" s="136"/>
      <c r="G24" s="136">
        <f t="shared" si="1"/>
        <v>21460896.7</v>
      </c>
      <c r="H24" s="159"/>
      <c r="I24" s="95"/>
      <c r="J24" s="1"/>
    </row>
    <row r="25" spans="1:10" ht="15">
      <c r="A25" s="1">
        <v>18</v>
      </c>
      <c r="B25" s="160" t="s">
        <v>120</v>
      </c>
      <c r="C25" s="161">
        <f>SUM(C15:C24)</f>
        <v>188442144.45</v>
      </c>
      <c r="D25" s="161">
        <f>SUM(D15:D24)</f>
        <v>-11564373.479702283</v>
      </c>
      <c r="E25" s="161">
        <f>SUM(E15:E24)</f>
        <v>176877770.9702977</v>
      </c>
      <c r="F25" s="161">
        <f>SUM(F15:F24)</f>
        <v>-81055.56815082974</v>
      </c>
      <c r="G25" s="161">
        <f>SUM(G15:G24)</f>
        <v>176796715.40214688</v>
      </c>
      <c r="H25" s="162"/>
      <c r="I25" s="161"/>
      <c r="J25" s="1"/>
    </row>
    <row r="26" spans="1:10" ht="15">
      <c r="A26" s="1">
        <v>19</v>
      </c>
      <c r="B26" s="90" t="s">
        <v>121</v>
      </c>
      <c r="C26" s="136">
        <v>29290897</v>
      </c>
      <c r="D26" s="155">
        <f>+'TES2 adjs'!C26</f>
        <v>-46706.10776</v>
      </c>
      <c r="E26" s="136">
        <f>+C26+D26</f>
        <v>29244190.89224</v>
      </c>
      <c r="F26" s="136"/>
      <c r="G26" s="136">
        <f>+F26+E26</f>
        <v>29244190.89224</v>
      </c>
      <c r="H26" s="136"/>
      <c r="I26" s="95"/>
      <c r="J26" s="1"/>
    </row>
    <row r="27" spans="1:10" ht="15">
      <c r="A27" s="1">
        <v>20</v>
      </c>
      <c r="B27" s="90" t="s">
        <v>101</v>
      </c>
      <c r="C27" s="136">
        <v>4568755</v>
      </c>
      <c r="D27" s="155">
        <f>+'TES2 adjs'!C27</f>
        <v>0</v>
      </c>
      <c r="E27" s="136">
        <f>+C27+D27</f>
        <v>4568755</v>
      </c>
      <c r="F27" s="136"/>
      <c r="G27" s="136">
        <f>+F27+E27</f>
        <v>4568755</v>
      </c>
      <c r="H27" s="136"/>
      <c r="I27" s="95"/>
      <c r="J27" s="1"/>
    </row>
    <row r="28" spans="1:10" ht="15">
      <c r="A28" s="1">
        <v>21</v>
      </c>
      <c r="B28" s="90" t="s">
        <v>122</v>
      </c>
      <c r="C28" s="136">
        <v>14240125</v>
      </c>
      <c r="D28" s="155">
        <f>+'TES2 adjs'!C28</f>
        <v>-181444.82841999998</v>
      </c>
      <c r="E28" s="136">
        <f>+C28+D28</f>
        <v>14058680.17158</v>
      </c>
      <c r="F28" s="136">
        <f>('cf'!C10+'cf'!C11+'cf'!C12)*F8</f>
        <v>-495413.8548989629</v>
      </c>
      <c r="G28" s="136">
        <f>+F28+E28</f>
        <v>13563266.316681037</v>
      </c>
      <c r="H28" s="136"/>
      <c r="I28" s="95"/>
      <c r="J28" s="1"/>
    </row>
    <row r="29" spans="1:10" ht="15">
      <c r="A29" s="1">
        <v>22</v>
      </c>
      <c r="B29" s="90" t="s">
        <v>123</v>
      </c>
      <c r="C29" s="136">
        <v>18661874</v>
      </c>
      <c r="D29" s="159">
        <f>D82</f>
        <v>3335722.6589560322</v>
      </c>
      <c r="E29" s="136">
        <f>E82</f>
        <v>21997596.851456035</v>
      </c>
      <c r="F29" s="136">
        <f>F82</f>
        <v>-3976622.1861811676</v>
      </c>
      <c r="G29" s="136">
        <f>G82</f>
        <v>18020974.665274866</v>
      </c>
      <c r="H29" s="159"/>
      <c r="I29" s="95"/>
      <c r="J29" s="1"/>
    </row>
    <row r="30" spans="1:10" ht="15">
      <c r="A30" s="1">
        <v>23</v>
      </c>
      <c r="B30" s="90" t="s">
        <v>124</v>
      </c>
      <c r="C30" s="136">
        <v>0</v>
      </c>
      <c r="D30" s="136">
        <f>D79</f>
        <v>453269.3086606325</v>
      </c>
      <c r="E30" s="136">
        <f>E79</f>
        <v>453269.3086606325</v>
      </c>
      <c r="F30" s="136">
        <f>F79</f>
        <v>0</v>
      </c>
      <c r="G30" s="136">
        <f>G79</f>
        <v>453269.3086606325</v>
      </c>
      <c r="H30" s="159"/>
      <c r="I30" s="95"/>
      <c r="J30" s="1"/>
    </row>
    <row r="31" spans="1:10" ht="15">
      <c r="A31" s="1">
        <v>24</v>
      </c>
      <c r="B31" s="90" t="s">
        <v>125</v>
      </c>
      <c r="C31" s="136">
        <v>-5006291</v>
      </c>
      <c r="D31" s="155">
        <f>+'TES2 adjs'!C31</f>
        <v>0</v>
      </c>
      <c r="E31" s="136">
        <f>+C31+D31</f>
        <v>-5006291</v>
      </c>
      <c r="F31" s="136"/>
      <c r="G31" s="136">
        <f>+F31+E31</f>
        <v>-5006291</v>
      </c>
      <c r="H31" s="136"/>
      <c r="I31" s="95"/>
      <c r="J31" s="1"/>
    </row>
    <row r="32" spans="1:10" ht="15">
      <c r="A32" s="1">
        <v>25</v>
      </c>
      <c r="B32" s="90" t="s">
        <v>126</v>
      </c>
      <c r="C32" s="136">
        <v>0</v>
      </c>
      <c r="D32" s="155">
        <f>+'TES2 adjs'!C32</f>
        <v>0</v>
      </c>
      <c r="E32" s="136">
        <f>+C32+D32</f>
        <v>0</v>
      </c>
      <c r="F32" s="136"/>
      <c r="G32" s="136">
        <f>+F32+E32</f>
        <v>0</v>
      </c>
      <c r="H32" s="136"/>
      <c r="I32" s="95"/>
      <c r="J32" s="1"/>
    </row>
    <row r="33" spans="1:10" ht="15">
      <c r="A33" s="1">
        <v>26</v>
      </c>
      <c r="B33" s="90" t="s">
        <v>127</v>
      </c>
      <c r="C33" s="136">
        <v>-271678</v>
      </c>
      <c r="D33" s="155">
        <f>+'TES2 adjs'!C33</f>
        <v>0</v>
      </c>
      <c r="E33" s="136">
        <f>+C33+D33</f>
        <v>-271678</v>
      </c>
      <c r="F33" s="136"/>
      <c r="G33" s="136">
        <f>+F33+E33</f>
        <v>-271678</v>
      </c>
      <c r="H33" s="136"/>
      <c r="I33" s="95"/>
      <c r="J33" s="1"/>
    </row>
    <row r="34" spans="1:10" ht="15">
      <c r="A34" s="1">
        <v>27</v>
      </c>
      <c r="B34" s="163" t="s">
        <v>128</v>
      </c>
      <c r="C34" s="141">
        <f>SUM(C25:C33)</f>
        <v>249925826.45</v>
      </c>
      <c r="D34" s="142">
        <f>SUM(D25:D33)</f>
        <v>-8003532.448265617</v>
      </c>
      <c r="E34" s="141">
        <f>SUM(E25:E33)</f>
        <v>241922294.19423434</v>
      </c>
      <c r="F34" s="141">
        <f>SUM(F25:F33)</f>
        <v>-4553091.60923096</v>
      </c>
      <c r="G34" s="141">
        <f>SUM(G25:G33)</f>
        <v>237369202.58500338</v>
      </c>
      <c r="H34" s="142"/>
      <c r="I34" s="141"/>
      <c r="J34" s="1"/>
    </row>
    <row r="35" spans="1:10" ht="15">
      <c r="A35" s="1">
        <v>28</v>
      </c>
      <c r="B35" s="90"/>
      <c r="C35" s="136"/>
      <c r="D35" s="136"/>
      <c r="E35" s="136"/>
      <c r="F35" s="136"/>
      <c r="G35" s="136"/>
      <c r="H35" s="136"/>
      <c r="I35" s="1"/>
      <c r="J35" s="1"/>
    </row>
    <row r="36" spans="1:10" ht="15.75" thickBot="1">
      <c r="A36" s="1">
        <v>29</v>
      </c>
      <c r="B36" s="133" t="s">
        <v>129</v>
      </c>
      <c r="C36" s="164">
        <f>C12-C34</f>
        <v>42060993.55000001</v>
      </c>
      <c r="D36" s="165">
        <f>D12-D34</f>
        <v>6194913.509489774</v>
      </c>
      <c r="E36" s="164">
        <f>E12-E34</f>
        <v>48255906.86698982</v>
      </c>
      <c r="F36" s="164">
        <f>F12-F34</f>
        <v>-7385155.48862217</v>
      </c>
      <c r="G36" s="164">
        <f>G12-G34</f>
        <v>40870751.37836766</v>
      </c>
      <c r="H36" s="166"/>
      <c r="I36" s="167"/>
      <c r="J36" s="1"/>
    </row>
    <row r="37" spans="1:10" ht="15.75" thickTop="1">
      <c r="A37" s="1">
        <v>30</v>
      </c>
      <c r="B37" s="90"/>
      <c r="C37" s="136"/>
      <c r="D37" s="136"/>
      <c r="E37" s="136"/>
      <c r="F37" s="136"/>
      <c r="G37" s="136"/>
      <c r="H37" s="136"/>
      <c r="I37" s="1"/>
      <c r="J37" s="1"/>
    </row>
    <row r="38" spans="1:10" ht="15">
      <c r="A38" s="1">
        <v>31</v>
      </c>
      <c r="B38" s="125" t="s">
        <v>130</v>
      </c>
      <c r="C38" s="136"/>
      <c r="D38" s="136"/>
      <c r="E38" s="136"/>
      <c r="F38" s="136"/>
      <c r="G38" s="136"/>
      <c r="H38" s="136"/>
      <c r="I38" s="1"/>
      <c r="J38" s="1"/>
    </row>
    <row r="39" spans="1:10" ht="15">
      <c r="A39" s="1">
        <v>32</v>
      </c>
      <c r="B39" s="90" t="s">
        <v>131</v>
      </c>
      <c r="C39" s="136">
        <v>954909991</v>
      </c>
      <c r="D39" s="155">
        <f>+'TES2 adjs'!C39</f>
        <v>-6433788.717639999</v>
      </c>
      <c r="E39" s="136">
        <f aca="true" t="shared" si="2" ref="E39:E49">+C39+D39</f>
        <v>948476202.28236</v>
      </c>
      <c r="F39" s="136"/>
      <c r="G39" s="136">
        <f aca="true" t="shared" si="3" ref="G39:G49">+F39+E39</f>
        <v>948476202.28236</v>
      </c>
      <c r="H39" s="136"/>
      <c r="I39" s="95"/>
      <c r="J39" s="1"/>
    </row>
    <row r="40" spans="1:10" ht="15">
      <c r="A40" s="1">
        <v>33</v>
      </c>
      <c r="B40" s="90" t="s">
        <v>132</v>
      </c>
      <c r="C40" s="136">
        <v>232432</v>
      </c>
      <c r="D40" s="155">
        <f>+'TES2 adjs'!C40</f>
        <v>0</v>
      </c>
      <c r="E40" s="136">
        <f t="shared" si="2"/>
        <v>232432</v>
      </c>
      <c r="F40" s="136"/>
      <c r="G40" s="136">
        <f t="shared" si="3"/>
        <v>232432</v>
      </c>
      <c r="H40" s="136"/>
      <c r="I40" s="95"/>
      <c r="J40" s="1"/>
    </row>
    <row r="41" spans="1:10" ht="15">
      <c r="A41" s="1">
        <v>34</v>
      </c>
      <c r="B41" s="90" t="s">
        <v>133</v>
      </c>
      <c r="C41" s="136">
        <v>19757129</v>
      </c>
      <c r="D41" s="155">
        <f>+'TES2 adjs'!C41</f>
        <v>0</v>
      </c>
      <c r="E41" s="136">
        <f t="shared" si="2"/>
        <v>19757129</v>
      </c>
      <c r="F41" s="136"/>
      <c r="G41" s="136">
        <f t="shared" si="3"/>
        <v>19757129</v>
      </c>
      <c r="H41" s="136"/>
      <c r="I41" s="95"/>
      <c r="J41" s="1"/>
    </row>
    <row r="42" spans="1:10" ht="15">
      <c r="A42" s="1">
        <v>35</v>
      </c>
      <c r="B42" s="90" t="s">
        <v>134</v>
      </c>
      <c r="C42" s="136">
        <v>117184</v>
      </c>
      <c r="D42" s="155">
        <f>+'TES2 adjs'!C42</f>
        <v>0</v>
      </c>
      <c r="E42" s="136">
        <f t="shared" si="2"/>
        <v>117184</v>
      </c>
      <c r="F42" s="136"/>
      <c r="G42" s="136">
        <f t="shared" si="3"/>
        <v>117184</v>
      </c>
      <c r="H42" s="136"/>
      <c r="I42" s="95"/>
      <c r="J42" s="1"/>
    </row>
    <row r="43" spans="1:10" ht="15">
      <c r="A43" s="1">
        <v>36</v>
      </c>
      <c r="B43" s="90" t="s">
        <v>135</v>
      </c>
      <c r="C43" s="136">
        <v>0</v>
      </c>
      <c r="D43" s="155">
        <f>+'TES2 adjs'!C43</f>
        <v>0</v>
      </c>
      <c r="E43" s="136">
        <f t="shared" si="2"/>
        <v>0</v>
      </c>
      <c r="F43" s="136"/>
      <c r="G43" s="136">
        <f t="shared" si="3"/>
        <v>0</v>
      </c>
      <c r="H43" s="136"/>
      <c r="I43" s="95"/>
      <c r="J43" s="1"/>
    </row>
    <row r="44" spans="1:10" ht="15">
      <c r="A44" s="1">
        <v>37</v>
      </c>
      <c r="B44" s="90" t="s">
        <v>136</v>
      </c>
      <c r="C44" s="136">
        <v>1371645</v>
      </c>
      <c r="D44" s="155">
        <f>+'TES2 adjs'!C44</f>
        <v>0</v>
      </c>
      <c r="E44" s="136">
        <f t="shared" si="2"/>
        <v>1371645</v>
      </c>
      <c r="F44" s="136"/>
      <c r="G44" s="136">
        <f t="shared" si="3"/>
        <v>1371645</v>
      </c>
      <c r="H44" s="136"/>
      <c r="I44" s="95"/>
      <c r="J44" s="1"/>
    </row>
    <row r="45" spans="1:10" ht="15">
      <c r="A45" s="1">
        <v>38</v>
      </c>
      <c r="B45" s="90" t="s">
        <v>137</v>
      </c>
      <c r="C45" s="136">
        <v>5011089</v>
      </c>
      <c r="D45" s="155">
        <f>+'TES2 adjs'!C45</f>
        <v>0</v>
      </c>
      <c r="E45" s="136">
        <f t="shared" si="2"/>
        <v>5011089</v>
      </c>
      <c r="F45" s="136"/>
      <c r="G45" s="136">
        <f t="shared" si="3"/>
        <v>5011089</v>
      </c>
      <c r="H45" s="136"/>
      <c r="I45" s="95"/>
      <c r="J45" s="1"/>
    </row>
    <row r="46" spans="1:10" ht="15">
      <c r="A46" s="1">
        <v>39</v>
      </c>
      <c r="B46" s="90" t="s">
        <v>138</v>
      </c>
      <c r="C46" s="136">
        <v>5730712</v>
      </c>
      <c r="D46" s="155">
        <f>+'TES2 adjs'!C46</f>
        <v>0</v>
      </c>
      <c r="E46" s="136">
        <f t="shared" si="2"/>
        <v>5730712</v>
      </c>
      <c r="F46" s="136"/>
      <c r="G46" s="136">
        <f t="shared" si="3"/>
        <v>5730712</v>
      </c>
      <c r="H46" s="136"/>
      <c r="I46" s="95"/>
      <c r="J46" s="1"/>
    </row>
    <row r="47" spans="1:10" ht="15">
      <c r="A47" s="1">
        <v>40</v>
      </c>
      <c r="B47" s="90" t="s">
        <v>102</v>
      </c>
      <c r="C47" s="136">
        <v>8605878</v>
      </c>
      <c r="D47" s="155">
        <f>+'TES2 adjs'!C47</f>
        <v>0</v>
      </c>
      <c r="E47" s="136">
        <f t="shared" si="2"/>
        <v>8605878</v>
      </c>
      <c r="F47" s="136"/>
      <c r="G47" s="136">
        <f t="shared" si="3"/>
        <v>8605878</v>
      </c>
      <c r="H47" s="136"/>
      <c r="I47" s="95"/>
      <c r="J47" s="1"/>
    </row>
    <row r="48" spans="1:10" ht="15">
      <c r="A48" s="1">
        <v>41</v>
      </c>
      <c r="B48" s="90" t="s">
        <v>139</v>
      </c>
      <c r="C48" s="136">
        <v>2642033</v>
      </c>
      <c r="D48" s="155">
        <f>+'TES2 adjs'!C48</f>
        <v>0</v>
      </c>
      <c r="E48" s="136">
        <f t="shared" si="2"/>
        <v>2642033</v>
      </c>
      <c r="F48" s="136"/>
      <c r="G48" s="136">
        <f t="shared" si="3"/>
        <v>2642033</v>
      </c>
      <c r="H48" s="136"/>
      <c r="I48" s="95"/>
      <c r="J48" s="1"/>
    </row>
    <row r="49" spans="1:10" ht="15">
      <c r="A49" s="1">
        <v>42</v>
      </c>
      <c r="B49" s="90" t="s">
        <v>140</v>
      </c>
      <c r="C49" s="136">
        <v>1499446</v>
      </c>
      <c r="D49" s="155">
        <f>+'TES2 adjs'!C49</f>
        <v>0</v>
      </c>
      <c r="E49" s="136">
        <f t="shared" si="2"/>
        <v>1499446</v>
      </c>
      <c r="F49" s="136"/>
      <c r="G49" s="136">
        <f t="shared" si="3"/>
        <v>1499446</v>
      </c>
      <c r="H49" s="136"/>
      <c r="I49" s="95"/>
      <c r="J49" s="1"/>
    </row>
    <row r="50" spans="1:10" ht="15">
      <c r="A50" s="1">
        <v>43</v>
      </c>
      <c r="B50" s="168" t="s">
        <v>141</v>
      </c>
      <c r="C50" s="141">
        <f>SUM(C39:C49)</f>
        <v>999877539</v>
      </c>
      <c r="D50" s="141">
        <f>SUM(D39:D49)</f>
        <v>-6433788.717639999</v>
      </c>
      <c r="E50" s="141">
        <f>SUM(E39:E49)</f>
        <v>993443750.28236</v>
      </c>
      <c r="F50" s="141">
        <f>SUM(F39:F49)</f>
        <v>0</v>
      </c>
      <c r="G50" s="141">
        <f>SUM(G39:G49)</f>
        <v>993443750.28236</v>
      </c>
      <c r="H50" s="141"/>
      <c r="I50" s="141"/>
      <c r="J50" s="1"/>
    </row>
    <row r="51" spans="1:10" ht="15">
      <c r="A51" s="1">
        <v>44</v>
      </c>
      <c r="B51" s="90"/>
      <c r="C51" s="136"/>
      <c r="D51" s="136"/>
      <c r="E51" s="136"/>
      <c r="F51" s="136"/>
      <c r="G51" s="136"/>
      <c r="H51" s="136"/>
      <c r="I51" s="1"/>
      <c r="J51" s="1"/>
    </row>
    <row r="52" spans="1:10" ht="15">
      <c r="A52" s="1">
        <v>45</v>
      </c>
      <c r="B52" s="125" t="s">
        <v>142</v>
      </c>
      <c r="C52" s="136"/>
      <c r="D52" s="136"/>
      <c r="E52" s="136"/>
      <c r="F52" s="136"/>
      <c r="G52" s="136"/>
      <c r="H52" s="136"/>
      <c r="I52" s="1"/>
      <c r="J52" s="1"/>
    </row>
    <row r="53" spans="1:10" ht="15">
      <c r="A53" s="1">
        <v>46</v>
      </c>
      <c r="B53" s="90" t="s">
        <v>143</v>
      </c>
      <c r="C53" s="136">
        <v>-367655362</v>
      </c>
      <c r="D53" s="155">
        <f>+'TES2 adjs'!C53</f>
        <v>0</v>
      </c>
      <c r="E53" s="136">
        <f aca="true" t="shared" si="4" ref="E53:E59">+C53+D53</f>
        <v>-367655362</v>
      </c>
      <c r="F53" s="136"/>
      <c r="G53" s="136">
        <f aca="true" t="shared" si="5" ref="G53:G59">+F53+E53</f>
        <v>-367655362</v>
      </c>
      <c r="H53" s="136"/>
      <c r="I53" s="95"/>
      <c r="J53" s="1"/>
    </row>
    <row r="54" spans="1:10" ht="15">
      <c r="A54" s="1">
        <v>47</v>
      </c>
      <c r="B54" s="90" t="s">
        <v>144</v>
      </c>
      <c r="C54" s="136">
        <v>-20418050</v>
      </c>
      <c r="D54" s="155">
        <f>+'TES2 adjs'!C54</f>
        <v>0</v>
      </c>
      <c r="E54" s="136">
        <f t="shared" si="4"/>
        <v>-20418050</v>
      </c>
      <c r="F54" s="136"/>
      <c r="G54" s="136">
        <f t="shared" si="5"/>
        <v>-20418050</v>
      </c>
      <c r="H54" s="136"/>
      <c r="I54" s="95"/>
      <c r="J54" s="1"/>
    </row>
    <row r="55" spans="1:10" ht="15">
      <c r="A55" s="1">
        <v>48</v>
      </c>
      <c r="B55" s="90" t="s">
        <v>145</v>
      </c>
      <c r="C55" s="136">
        <v>-63538160</v>
      </c>
      <c r="D55" s="155">
        <f>+'TES2 adjs'!C55</f>
        <v>0</v>
      </c>
      <c r="E55" s="136">
        <f t="shared" si="4"/>
        <v>-63538160</v>
      </c>
      <c r="F55" s="136"/>
      <c r="G55" s="136">
        <f t="shared" si="5"/>
        <v>-63538160</v>
      </c>
      <c r="H55" s="136"/>
      <c r="I55" s="95"/>
      <c r="J55" s="1"/>
    </row>
    <row r="56" spans="1:10" ht="15">
      <c r="A56" s="1">
        <v>49</v>
      </c>
      <c r="B56" s="90" t="s">
        <v>146</v>
      </c>
      <c r="C56" s="136">
        <v>-2595292</v>
      </c>
      <c r="D56" s="155">
        <f>+'TES2 adjs'!C56</f>
        <v>0</v>
      </c>
      <c r="E56" s="136">
        <f t="shared" si="4"/>
        <v>-2595292</v>
      </c>
      <c r="F56" s="136"/>
      <c r="G56" s="136">
        <f t="shared" si="5"/>
        <v>-2595292</v>
      </c>
      <c r="H56" s="136"/>
      <c r="I56" s="95"/>
      <c r="J56" s="1"/>
    </row>
    <row r="57" spans="1:10" ht="15">
      <c r="A57" s="1">
        <v>50</v>
      </c>
      <c r="B57" s="90" t="s">
        <v>147</v>
      </c>
      <c r="C57" s="136">
        <v>588523</v>
      </c>
      <c r="D57" s="155">
        <f>+'TES2 adjs'!C57</f>
        <v>0</v>
      </c>
      <c r="E57" s="136">
        <f t="shared" si="4"/>
        <v>588523</v>
      </c>
      <c r="F57" s="136"/>
      <c r="G57" s="136">
        <f t="shared" si="5"/>
        <v>588523</v>
      </c>
      <c r="H57" s="136"/>
      <c r="I57" s="95"/>
      <c r="J57" s="1"/>
    </row>
    <row r="58" spans="1:10" ht="15">
      <c r="A58" s="1">
        <v>51</v>
      </c>
      <c r="B58" s="90" t="s">
        <v>148</v>
      </c>
      <c r="C58" s="136">
        <v>0</v>
      </c>
      <c r="D58" s="155">
        <f>+'TES2 adjs'!C58</f>
        <v>0</v>
      </c>
      <c r="E58" s="136">
        <f t="shared" si="4"/>
        <v>0</v>
      </c>
      <c r="F58" s="136"/>
      <c r="G58" s="136">
        <f t="shared" si="5"/>
        <v>0</v>
      </c>
      <c r="H58" s="136"/>
      <c r="I58" s="95"/>
      <c r="J58" s="1"/>
    </row>
    <row r="59" spans="1:10" ht="15">
      <c r="A59" s="1">
        <v>52</v>
      </c>
      <c r="B59" s="90" t="s">
        <v>149</v>
      </c>
      <c r="C59" s="136">
        <v>-10136609</v>
      </c>
      <c r="D59" s="155">
        <f>+'TES2 adjs'!C59</f>
        <v>0</v>
      </c>
      <c r="E59" s="136">
        <f t="shared" si="4"/>
        <v>-10136609</v>
      </c>
      <c r="F59" s="136"/>
      <c r="G59" s="136">
        <f t="shared" si="5"/>
        <v>-10136609</v>
      </c>
      <c r="H59" s="136"/>
      <c r="I59" s="95"/>
      <c r="J59" s="1"/>
    </row>
    <row r="60" spans="1:10" ht="15">
      <c r="A60" s="1">
        <v>53</v>
      </c>
      <c r="B60" s="90"/>
      <c r="C60" s="136"/>
      <c r="D60" s="136"/>
      <c r="E60" s="136"/>
      <c r="F60" s="136"/>
      <c r="G60" s="136"/>
      <c r="H60" s="136"/>
      <c r="I60" s="1"/>
      <c r="J60" s="1"/>
    </row>
    <row r="61" spans="1:10" ht="15">
      <c r="A61" s="1">
        <v>54</v>
      </c>
      <c r="B61" s="168" t="s">
        <v>178</v>
      </c>
      <c r="C61" s="141">
        <f>SUM(C53:C60)</f>
        <v>-463754950</v>
      </c>
      <c r="D61" s="141">
        <f>SUM(D53:D60)</f>
        <v>0</v>
      </c>
      <c r="E61" s="141">
        <f>SUM(E53:E60)</f>
        <v>-463754950</v>
      </c>
      <c r="F61" s="141">
        <f>SUM(F53:F60)</f>
        <v>0</v>
      </c>
      <c r="G61" s="141">
        <f>SUM(G53:G60)</f>
        <v>-463754950</v>
      </c>
      <c r="H61" s="141"/>
      <c r="I61" s="141"/>
      <c r="J61" s="1"/>
    </row>
    <row r="62" spans="1:10" ht="15">
      <c r="A62" s="1">
        <v>55</v>
      </c>
      <c r="B62" s="90"/>
      <c r="C62" s="136"/>
      <c r="D62" s="136"/>
      <c r="E62" s="136"/>
      <c r="F62" s="136"/>
      <c r="G62" s="136"/>
      <c r="H62" s="136"/>
      <c r="I62" s="1"/>
      <c r="J62" s="1"/>
    </row>
    <row r="63" spans="1:10" ht="15.75" thickBot="1">
      <c r="A63" s="1">
        <v>56</v>
      </c>
      <c r="B63" s="133" t="s">
        <v>151</v>
      </c>
      <c r="C63" s="169">
        <f>C50+C61</f>
        <v>536122589</v>
      </c>
      <c r="D63" s="169">
        <f>D50+D61</f>
        <v>-6433788.717639999</v>
      </c>
      <c r="E63" s="169">
        <f>E50+E61</f>
        <v>529688800.28235996</v>
      </c>
      <c r="F63" s="169">
        <f>F50+F61</f>
        <v>0</v>
      </c>
      <c r="G63" s="169">
        <f>G50+G61</f>
        <v>529688800.28235996</v>
      </c>
      <c r="H63" s="170"/>
      <c r="I63" s="170"/>
      <c r="J63" s="1"/>
    </row>
    <row r="64" spans="1:10" ht="15.75" thickTop="1">
      <c r="A64" s="1">
        <v>57</v>
      </c>
      <c r="B64" s="90"/>
      <c r="C64" s="136"/>
      <c r="D64" s="136"/>
      <c r="E64" s="136"/>
      <c r="F64" s="136"/>
      <c r="G64" s="136"/>
      <c r="H64" s="136"/>
      <c r="I64" s="1"/>
      <c r="J64" s="1"/>
    </row>
    <row r="65" spans="1:10" ht="15.75" thickBot="1">
      <c r="A65" s="1">
        <v>58</v>
      </c>
      <c r="B65" s="137" t="s">
        <v>87</v>
      </c>
      <c r="C65" s="171">
        <f>C36/C63</f>
        <v>0.0784540595994175</v>
      </c>
      <c r="D65" s="139"/>
      <c r="E65" s="171">
        <f>E36/E63</f>
        <v>0.09110237339597545</v>
      </c>
      <c r="F65" s="139"/>
      <c r="G65" s="171">
        <f>G36/G63</f>
        <v>0.07715993118333027</v>
      </c>
      <c r="H65" s="139"/>
      <c r="I65" s="171"/>
      <c r="J65" s="1"/>
    </row>
    <row r="66" spans="1:10" ht="15.75" thickBot="1">
      <c r="A66" s="1">
        <v>59</v>
      </c>
      <c r="B66" s="137"/>
      <c r="C66" s="171"/>
      <c r="D66" s="139"/>
      <c r="E66" s="171"/>
      <c r="F66" s="139"/>
      <c r="G66" s="171"/>
      <c r="H66" s="139"/>
      <c r="I66" s="171"/>
      <c r="J66" s="1"/>
    </row>
    <row r="67" spans="1:10" ht="15">
      <c r="A67" s="1">
        <v>60</v>
      </c>
      <c r="B67" s="90"/>
      <c r="C67" s="90"/>
      <c r="D67" s="90"/>
      <c r="E67" s="90"/>
      <c r="F67" s="90"/>
      <c r="G67" s="90"/>
      <c r="H67" s="90"/>
      <c r="I67" s="1"/>
      <c r="J67" s="1"/>
    </row>
    <row r="68" spans="1:10" ht="15">
      <c r="A68" s="1">
        <v>61</v>
      </c>
      <c r="B68" s="90" t="s">
        <v>152</v>
      </c>
      <c r="C68" s="90"/>
      <c r="D68" s="90" t="s">
        <v>153</v>
      </c>
      <c r="E68" s="90"/>
      <c r="F68" s="140">
        <f>4.54%-0.0454</f>
        <v>0</v>
      </c>
      <c r="G68" s="90"/>
      <c r="H68" s="90"/>
      <c r="I68" s="1"/>
      <c r="J68" s="1"/>
    </row>
    <row r="69" spans="1:10" ht="15">
      <c r="A69" s="1">
        <v>62</v>
      </c>
      <c r="B69" s="90" t="s">
        <v>179</v>
      </c>
      <c r="C69" s="90"/>
      <c r="D69" s="90" t="s">
        <v>154</v>
      </c>
      <c r="E69" s="90"/>
      <c r="F69" s="140">
        <v>0.35</v>
      </c>
      <c r="G69" s="90"/>
      <c r="H69" s="90"/>
      <c r="I69" s="1"/>
      <c r="J69" s="1"/>
    </row>
    <row r="70" spans="1:10" ht="15">
      <c r="A70" s="1">
        <v>63</v>
      </c>
      <c r="B70" s="90"/>
      <c r="C70" s="90"/>
      <c r="D70" s="90"/>
      <c r="E70" s="90"/>
      <c r="F70" s="140"/>
      <c r="G70" s="90"/>
      <c r="H70" s="90"/>
      <c r="I70" s="1"/>
      <c r="J70" s="1"/>
    </row>
    <row r="71" spans="1:10" ht="15">
      <c r="A71" s="1">
        <v>64</v>
      </c>
      <c r="B71" s="90" t="s">
        <v>155</v>
      </c>
      <c r="C71" s="136">
        <f>C12-C34+C29+C30+C31</f>
        <v>55716576.55000001</v>
      </c>
      <c r="D71" s="136">
        <f>D12-D25-D26-D27-D28-D33</f>
        <v>9983905.477106439</v>
      </c>
      <c r="E71" s="136">
        <f>E12-E25-E26-E27-E28-E33</f>
        <v>65700482.027106464</v>
      </c>
      <c r="F71" s="136">
        <f>F12-F25-F26-F27-F28-F33</f>
        <v>-11361777.674803337</v>
      </c>
      <c r="G71" s="136">
        <f>G12-G25-G26-G27-G28-G33</f>
        <v>54338704.352303125</v>
      </c>
      <c r="H71" s="136"/>
      <c r="I71" s="136"/>
      <c r="J71" s="1"/>
    </row>
    <row r="72" spans="1:10" ht="15">
      <c r="A72" s="1">
        <v>65</v>
      </c>
      <c r="B72" s="90" t="s">
        <v>156</v>
      </c>
      <c r="C72" s="136"/>
      <c r="D72" s="136"/>
      <c r="E72" s="136"/>
      <c r="F72" s="136"/>
      <c r="G72" s="136"/>
      <c r="H72" s="136"/>
      <c r="I72" s="95"/>
      <c r="J72" s="1"/>
    </row>
    <row r="73" spans="1:10" ht="15">
      <c r="A73" s="1">
        <v>66</v>
      </c>
      <c r="B73" s="90" t="s">
        <v>157</v>
      </c>
      <c r="C73" s="136">
        <v>0</v>
      </c>
      <c r="D73" s="155">
        <f>+'TES2 adjs'!C72</f>
        <v>0</v>
      </c>
      <c r="E73" s="136">
        <f>+C73+D73</f>
        <v>0</v>
      </c>
      <c r="F73" s="136">
        <v>0</v>
      </c>
      <c r="G73" s="136">
        <f>+F73+E73</f>
        <v>0</v>
      </c>
      <c r="H73" s="136"/>
      <c r="I73" s="95"/>
      <c r="J73" s="1"/>
    </row>
    <row r="74" spans="1:10" ht="15">
      <c r="A74" s="1">
        <v>67</v>
      </c>
      <c r="B74" s="90" t="s">
        <v>97</v>
      </c>
      <c r="C74" s="136">
        <v>19224153</v>
      </c>
      <c r="D74" s="155">
        <f>+'TES2 adjs'!C73</f>
        <v>0</v>
      </c>
      <c r="E74" s="136">
        <f>+C74+D74</f>
        <v>19224153</v>
      </c>
      <c r="F74" s="136">
        <v>0</v>
      </c>
      <c r="G74" s="136">
        <f>+F74+E74</f>
        <v>19224153</v>
      </c>
      <c r="H74" s="136"/>
      <c r="I74" s="95"/>
      <c r="J74" s="1"/>
    </row>
    <row r="75" spans="1:10" ht="15">
      <c r="A75" s="1">
        <v>68</v>
      </c>
      <c r="B75" s="90" t="s">
        <v>158</v>
      </c>
      <c r="C75" s="136">
        <v>59951312</v>
      </c>
      <c r="D75" s="155">
        <f>+'TES2 adjs'!C74</f>
        <v>0</v>
      </c>
      <c r="E75" s="136">
        <f>+C75+D75</f>
        <v>59951312</v>
      </c>
      <c r="F75" s="136">
        <v>0</v>
      </c>
      <c r="G75" s="136">
        <f>+F75+E75</f>
        <v>59951312</v>
      </c>
      <c r="H75" s="136"/>
      <c r="I75" s="95"/>
      <c r="J75" s="1"/>
    </row>
    <row r="76" spans="1:10" ht="15">
      <c r="A76" s="1">
        <v>69</v>
      </c>
      <c r="B76" s="90" t="s">
        <v>159</v>
      </c>
      <c r="C76" s="172">
        <v>43124095</v>
      </c>
      <c r="D76" s="173">
        <f>+'TES2 adjs'!C75</f>
        <v>0</v>
      </c>
      <c r="E76" s="172">
        <f>+C76+D76</f>
        <v>43124095</v>
      </c>
      <c r="F76" s="172">
        <v>0</v>
      </c>
      <c r="G76" s="172">
        <f>+F76+E76</f>
        <v>43124095</v>
      </c>
      <c r="H76" s="172"/>
      <c r="I76" s="96"/>
      <c r="J76" s="1"/>
    </row>
    <row r="77" spans="1:10" ht="15">
      <c r="A77" s="1">
        <v>70</v>
      </c>
      <c r="B77" s="90"/>
      <c r="C77" s="136"/>
      <c r="D77" s="136"/>
      <c r="E77" s="136"/>
      <c r="F77" s="136"/>
      <c r="G77" s="136"/>
      <c r="H77" s="136"/>
      <c r="I77" s="136"/>
      <c r="J77" s="1"/>
    </row>
    <row r="78" spans="1:10" ht="15">
      <c r="A78" s="1">
        <v>71</v>
      </c>
      <c r="B78" s="90" t="s">
        <v>160</v>
      </c>
      <c r="C78" s="136">
        <f>C71-C72-C73-C74+C75-C76</f>
        <v>53319640.55000001</v>
      </c>
      <c r="D78" s="136">
        <f>D71-D72-D73-D74+D75-D76</f>
        <v>9983905.477106439</v>
      </c>
      <c r="E78" s="136">
        <f>E71-E72-E73-E74+E75-E76</f>
        <v>63303546.027106464</v>
      </c>
      <c r="F78" s="136">
        <f>F71-SUM(F72:F76)</f>
        <v>-11361777.674803337</v>
      </c>
      <c r="G78" s="136">
        <f>G71-SUM(G72:G76)</f>
        <v>-67960855.64769688</v>
      </c>
      <c r="H78" s="136"/>
      <c r="I78" s="136"/>
      <c r="J78" s="1"/>
    </row>
    <row r="79" spans="1:10" ht="15">
      <c r="A79" s="1">
        <v>72</v>
      </c>
      <c r="B79" s="90" t="s">
        <v>161</v>
      </c>
      <c r="C79" s="136">
        <v>0</v>
      </c>
      <c r="D79" s="155">
        <f>+'TES2 adjs'!C78</f>
        <v>453269.3086606325</v>
      </c>
      <c r="E79" s="136">
        <f>+C79+D79</f>
        <v>453269.3086606325</v>
      </c>
      <c r="F79" s="136">
        <f>F78*$F$68</f>
        <v>0</v>
      </c>
      <c r="G79" s="136">
        <f>+F79+E79</f>
        <v>453269.3086606325</v>
      </c>
      <c r="H79" s="136"/>
      <c r="I79" s="136"/>
      <c r="J79" s="1"/>
    </row>
    <row r="80" spans="1:10" ht="15">
      <c r="A80" s="1">
        <v>73</v>
      </c>
      <c r="B80" s="141" t="s">
        <v>162</v>
      </c>
      <c r="C80" s="141">
        <f>C78-C79</f>
        <v>53319640.55000001</v>
      </c>
      <c r="D80" s="141">
        <f>D78-D79</f>
        <v>9530636.168445807</v>
      </c>
      <c r="E80" s="141">
        <f>E78-E79</f>
        <v>62850276.71844583</v>
      </c>
      <c r="F80" s="141">
        <f>F78-F79</f>
        <v>-11361777.674803337</v>
      </c>
      <c r="G80" s="141">
        <f>G78-G79</f>
        <v>-68414124.95635751</v>
      </c>
      <c r="H80" s="141"/>
      <c r="I80" s="141"/>
      <c r="J80" s="1"/>
    </row>
    <row r="81" spans="1:10" ht="15">
      <c r="A81" s="1">
        <v>74</v>
      </c>
      <c r="B81" s="90" t="s">
        <v>163</v>
      </c>
      <c r="C81" s="136">
        <v>0</v>
      </c>
      <c r="D81" s="155">
        <f>+'TES2 adjs'!C80</f>
        <v>0</v>
      </c>
      <c r="E81" s="136">
        <f>+C81+D81</f>
        <v>0</v>
      </c>
      <c r="F81" s="136">
        <v>0</v>
      </c>
      <c r="G81" s="136">
        <f>+E81+F81</f>
        <v>0</v>
      </c>
      <c r="H81" s="136"/>
      <c r="I81" s="136"/>
      <c r="J81" s="1"/>
    </row>
    <row r="82" spans="1:10" ht="15.75" thickBot="1">
      <c r="A82" s="1">
        <v>75</v>
      </c>
      <c r="B82" s="170" t="s">
        <v>180</v>
      </c>
      <c r="C82" s="170">
        <f>C80*$F$69</f>
        <v>18661874.192500003</v>
      </c>
      <c r="D82" s="170">
        <f>D80*$F$69+D81</f>
        <v>3335722.6589560322</v>
      </c>
      <c r="E82" s="170">
        <f>+C82+D82</f>
        <v>21997596.851456035</v>
      </c>
      <c r="F82" s="170">
        <f>F80*$F$69+F81</f>
        <v>-3976622.1861811676</v>
      </c>
      <c r="G82" s="170">
        <f>+E82+F82</f>
        <v>18020974.665274866</v>
      </c>
      <c r="H82" s="170"/>
      <c r="I82" s="97"/>
      <c r="J82" s="1"/>
    </row>
    <row r="83" spans="1:10" ht="15.75" thickTop="1">
      <c r="A83" s="1">
        <v>76</v>
      </c>
      <c r="B83" s="174"/>
      <c r="C83" s="175"/>
      <c r="D83" s="175"/>
      <c r="E83" s="175"/>
      <c r="F83" s="175"/>
      <c r="G83" s="175"/>
      <c r="H83" s="175"/>
      <c r="I83" s="88"/>
      <c r="J83" s="1"/>
    </row>
    <row r="84" spans="1:10" ht="15">
      <c r="A84" s="150"/>
      <c r="B84" s="150"/>
      <c r="C84" s="150"/>
      <c r="D84" s="150"/>
      <c r="E84" s="150"/>
      <c r="F84" s="150"/>
      <c r="G84" s="1"/>
      <c r="H84" s="3"/>
      <c r="I84" s="3"/>
      <c r="J84" s="3"/>
    </row>
    <row r="85" spans="1:10" ht="15">
      <c r="A85" s="150"/>
      <c r="B85" s="150"/>
      <c r="C85" s="150"/>
      <c r="D85" s="150"/>
      <c r="E85" s="150"/>
      <c r="F85" s="150"/>
      <c r="G85" s="176"/>
      <c r="H85" s="177"/>
      <c r="I85" s="177"/>
      <c r="J85" s="178"/>
    </row>
    <row r="86" spans="1:10" ht="15">
      <c r="A86" s="150"/>
      <c r="B86" s="150"/>
      <c r="C86" s="150"/>
      <c r="D86" s="150"/>
      <c r="E86" s="150"/>
      <c r="F86" s="150"/>
      <c r="G86" s="1"/>
      <c r="H86" s="177"/>
      <c r="I86" s="177"/>
      <c r="J86" s="178"/>
    </row>
    <row r="87" spans="1:10" ht="15">
      <c r="A87" s="150"/>
      <c r="B87" s="150"/>
      <c r="C87" s="150"/>
      <c r="D87" s="150"/>
      <c r="E87" s="150"/>
      <c r="F87" s="150"/>
      <c r="G87" s="176"/>
      <c r="H87" s="177"/>
      <c r="I87" s="177"/>
      <c r="J87" s="178"/>
    </row>
    <row r="88" spans="1:10" ht="15">
      <c r="A88" s="150"/>
      <c r="B88" s="150"/>
      <c r="C88" s="150"/>
      <c r="D88" s="150"/>
      <c r="E88" s="150"/>
      <c r="F88" s="150"/>
      <c r="G88" s="149"/>
      <c r="H88" s="153"/>
      <c r="I88" s="153"/>
      <c r="J88" s="178"/>
    </row>
    <row r="89" spans="1:10" ht="15.75" thickBot="1">
      <c r="A89" s="150"/>
      <c r="B89" s="150"/>
      <c r="C89" s="150"/>
      <c r="D89" s="150"/>
      <c r="E89" s="150"/>
      <c r="F89" s="150"/>
      <c r="G89" s="125"/>
      <c r="H89" s="179"/>
      <c r="I89" s="180"/>
      <c r="J89" s="181"/>
    </row>
    <row r="90" spans="1:10" ht="15.75" thickTop="1">
      <c r="A90" s="1">
        <v>83</v>
      </c>
      <c r="B90" s="182"/>
      <c r="C90" s="182"/>
      <c r="D90" s="99"/>
      <c r="E90" s="99"/>
      <c r="F90" s="182"/>
      <c r="G90" s="182"/>
      <c r="H90" s="182"/>
      <c r="I90" s="99"/>
      <c r="J90" s="1"/>
    </row>
    <row r="91" spans="1:10" ht="15">
      <c r="A91" s="1">
        <v>84</v>
      </c>
      <c r="B91" s="125"/>
      <c r="C91" s="90"/>
      <c r="D91" s="90"/>
      <c r="E91" s="90"/>
      <c r="F91" s="90"/>
      <c r="G91" s="90"/>
      <c r="H91" s="90"/>
      <c r="I91" s="1"/>
      <c r="J91" s="1"/>
    </row>
    <row r="92" spans="1:10" ht="15">
      <c r="A92" s="150"/>
      <c r="B92" s="150"/>
      <c r="C92" s="150"/>
      <c r="D92" s="150"/>
      <c r="E92" s="150"/>
      <c r="F92" s="150"/>
      <c r="G92" s="150"/>
      <c r="H92" s="150"/>
      <c r="I92" s="150"/>
      <c r="J92" s="1"/>
    </row>
    <row r="93" spans="1:10" ht="15">
      <c r="A93" s="150"/>
      <c r="B93" s="150"/>
      <c r="C93" s="150"/>
      <c r="D93" s="150"/>
      <c r="E93" s="150"/>
      <c r="F93" s="150"/>
      <c r="G93" s="150"/>
      <c r="H93" s="150"/>
      <c r="I93" s="150"/>
      <c r="J93" s="1"/>
    </row>
    <row r="94" spans="1:10" ht="15">
      <c r="A94" s="150"/>
      <c r="B94" s="150"/>
      <c r="C94" s="150"/>
      <c r="D94" s="150"/>
      <c r="E94" s="150"/>
      <c r="F94" s="150"/>
      <c r="G94" s="150"/>
      <c r="H94" s="150"/>
      <c r="I94" s="150"/>
      <c r="J94" s="1"/>
    </row>
    <row r="95" spans="1:10" ht="15">
      <c r="A95" s="150"/>
      <c r="B95" s="150"/>
      <c r="C95" s="150"/>
      <c r="D95" s="150"/>
      <c r="E95" s="150"/>
      <c r="F95" s="150"/>
      <c r="G95" s="150"/>
      <c r="H95" s="150"/>
      <c r="I95" s="150"/>
      <c r="J95" s="1"/>
    </row>
    <row r="96" spans="1:10" ht="15">
      <c r="A96" s="150"/>
      <c r="B96" s="150"/>
      <c r="C96" s="150"/>
      <c r="D96" s="150"/>
      <c r="E96" s="150"/>
      <c r="F96" s="150"/>
      <c r="G96" s="150"/>
      <c r="H96" s="150"/>
      <c r="I96" s="150"/>
      <c r="J96" s="1"/>
    </row>
    <row r="97" spans="1:10" ht="15">
      <c r="A97" s="150"/>
      <c r="B97" s="150"/>
      <c r="C97" s="150"/>
      <c r="D97" s="150"/>
      <c r="E97" s="150"/>
      <c r="F97" s="150"/>
      <c r="G97" s="150"/>
      <c r="H97" s="150"/>
      <c r="I97" s="150"/>
      <c r="J97" s="1"/>
    </row>
    <row r="98" spans="1:10" ht="15">
      <c r="A98" s="150"/>
      <c r="B98" s="150"/>
      <c r="C98" s="150"/>
      <c r="D98" s="150"/>
      <c r="E98" s="150"/>
      <c r="F98" s="150"/>
      <c r="G98" s="150"/>
      <c r="H98" s="150"/>
      <c r="I98" s="150"/>
      <c r="J98" s="1"/>
    </row>
    <row r="99" spans="1:10" ht="15">
      <c r="A99" s="150"/>
      <c r="B99" s="150"/>
      <c r="C99" s="150"/>
      <c r="D99" s="150"/>
      <c r="E99" s="150"/>
      <c r="F99" s="150"/>
      <c r="G99" s="150"/>
      <c r="H99" s="150"/>
      <c r="I99" s="150"/>
      <c r="J99" s="1"/>
    </row>
    <row r="100" spans="1:10" ht="15">
      <c r="A100" s="150"/>
      <c r="B100" s="150"/>
      <c r="C100" s="150"/>
      <c r="D100" s="150"/>
      <c r="E100" s="150"/>
      <c r="F100" s="150"/>
      <c r="G100" s="150"/>
      <c r="H100" s="150"/>
      <c r="I100" s="150"/>
      <c r="J100" s="1"/>
    </row>
    <row r="101" spans="1:10" ht="15">
      <c r="A101" s="150"/>
      <c r="B101" s="150"/>
      <c r="C101" s="150"/>
      <c r="D101" s="150"/>
      <c r="E101" s="150"/>
      <c r="F101" s="150"/>
      <c r="G101" s="150"/>
      <c r="H101" s="150"/>
      <c r="I101" s="150"/>
      <c r="J101" s="7"/>
    </row>
    <row r="102" spans="1:10" ht="15">
      <c r="A102" s="150"/>
      <c r="B102" s="150"/>
      <c r="C102" s="150"/>
      <c r="D102" s="150"/>
      <c r="E102" s="150"/>
      <c r="F102" s="150"/>
      <c r="G102" s="150"/>
      <c r="H102" s="150"/>
      <c r="I102" s="150"/>
      <c r="J102" s="7"/>
    </row>
    <row r="103" spans="1:10" ht="15">
      <c r="A103" s="150"/>
      <c r="B103" s="150"/>
      <c r="C103" s="150"/>
      <c r="D103" s="150"/>
      <c r="E103" s="150"/>
      <c r="F103" s="150"/>
      <c r="G103" s="150"/>
      <c r="H103" s="150"/>
      <c r="I103" s="150"/>
      <c r="J103" s="1"/>
    </row>
    <row r="104" spans="1:10" ht="15">
      <c r="A104" s="1">
        <v>97</v>
      </c>
      <c r="B104" s="125"/>
      <c r="C104" s="136"/>
      <c r="D104" s="136"/>
      <c r="E104" s="136"/>
      <c r="F104" s="136"/>
      <c r="G104" s="136"/>
      <c r="H104" s="136"/>
      <c r="I104" s="1"/>
      <c r="J104" s="1"/>
    </row>
    <row r="105" spans="1:10" ht="15">
      <c r="A105" s="150"/>
      <c r="B105" s="150"/>
      <c r="C105" s="150"/>
      <c r="D105" s="150"/>
      <c r="E105" s="136"/>
      <c r="F105" s="136"/>
      <c r="G105" s="136"/>
      <c r="H105" s="136"/>
      <c r="I105" s="95"/>
      <c r="J105" s="1"/>
    </row>
    <row r="106" spans="1:10" ht="15">
      <c r="A106" s="150"/>
      <c r="B106" s="150"/>
      <c r="C106" s="150"/>
      <c r="D106" s="150"/>
      <c r="E106" s="136"/>
      <c r="F106" s="136"/>
      <c r="G106" s="136"/>
      <c r="H106" s="136"/>
      <c r="I106" s="95"/>
      <c r="J106" s="1"/>
    </row>
    <row r="107" spans="1:10" ht="15">
      <c r="A107" s="150"/>
      <c r="B107" s="150"/>
      <c r="C107" s="150"/>
      <c r="D107" s="150"/>
      <c r="E107" s="136"/>
      <c r="F107" s="183"/>
      <c r="G107" s="136"/>
      <c r="H107" s="136"/>
      <c r="I107" s="95"/>
      <c r="J107" s="1"/>
    </row>
    <row r="108" spans="1:10" ht="15">
      <c r="A108" s="150"/>
      <c r="B108" s="150"/>
      <c r="C108" s="150"/>
      <c r="D108" s="150"/>
      <c r="E108" s="136"/>
      <c r="F108" s="136"/>
      <c r="G108" s="136"/>
      <c r="H108" s="136"/>
      <c r="I108" s="95"/>
      <c r="J108" s="1"/>
    </row>
    <row r="109" spans="1:10" ht="15">
      <c r="A109" s="150"/>
      <c r="B109" s="150"/>
      <c r="C109" s="150"/>
      <c r="D109" s="150"/>
      <c r="E109" s="136"/>
      <c r="F109" s="136"/>
      <c r="G109" s="136"/>
      <c r="H109" s="136"/>
      <c r="I109" s="95"/>
      <c r="J109" s="1"/>
    </row>
    <row r="110" spans="1:10" ht="15">
      <c r="A110" s="150"/>
      <c r="B110" s="150"/>
      <c r="C110" s="150"/>
      <c r="D110" s="150"/>
      <c r="E110" s="136"/>
      <c r="F110" s="136"/>
      <c r="G110" s="136"/>
      <c r="H110" s="136"/>
      <c r="I110" s="95"/>
      <c r="J110" s="1"/>
    </row>
    <row r="111" spans="1:10" ht="15">
      <c r="A111" s="150"/>
      <c r="B111" s="150"/>
      <c r="C111" s="150"/>
      <c r="D111" s="150"/>
      <c r="E111" s="136"/>
      <c r="F111" s="136"/>
      <c r="G111" s="136"/>
      <c r="H111" s="136"/>
      <c r="I111" s="95"/>
      <c r="J111" s="1"/>
    </row>
    <row r="112" spans="1:10" ht="15">
      <c r="A112" s="150"/>
      <c r="B112" s="150"/>
      <c r="C112" s="150"/>
      <c r="D112" s="150"/>
      <c r="E112" s="136"/>
      <c r="F112" s="136"/>
      <c r="G112" s="136"/>
      <c r="H112" s="136"/>
      <c r="I112" s="95"/>
      <c r="J112" s="1"/>
    </row>
    <row r="113" spans="1:10" ht="15">
      <c r="A113" s="1"/>
      <c r="B113" s="90"/>
      <c r="C113" s="136"/>
      <c r="D113" s="136"/>
      <c r="E113" s="136"/>
      <c r="F113" s="136"/>
      <c r="G113" s="136"/>
      <c r="H113" s="136"/>
      <c r="I113" s="95"/>
      <c r="J113" s="1"/>
    </row>
  </sheetData>
  <printOptions horizontalCentered="1" verticalCentered="1"/>
  <pageMargins left="1.25" right="0.25" top="0.75" bottom="0.75" header="0.25" footer="0.25"/>
  <pageSetup fitToHeight="1" fitToWidth="1" horizontalDpi="600" verticalDpi="600" orientation="portrait" scale="72" r:id="rId1"/>
  <headerFooter alignWithMargins="0">
    <oddHeader>&amp;R&amp;"Palatino Linotype,Regular"Exhibit _____ (TES-2)
Docket No. UE-032065
page &amp;P of &amp;N
</oddHeader>
    <oddFooter>&amp;L&amp;"Palatino Linotype,Regular"&amp;8Source:  Response to Staff DR 213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D21"/>
  <sheetViews>
    <sheetView workbookViewId="0" topLeftCell="A1">
      <selection activeCell="B15" sqref="B1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1.421875" style="0" bestFit="1" customWidth="1"/>
  </cols>
  <sheetData>
    <row r="7" spans="1:4" ht="15">
      <c r="A7" s="1"/>
      <c r="B7" s="103" t="s">
        <v>195</v>
      </c>
      <c r="C7" s="94"/>
      <c r="D7" s="94"/>
    </row>
    <row r="8" spans="1:4" ht="15">
      <c r="A8" s="1"/>
      <c r="B8" s="103"/>
      <c r="C8" s="94"/>
      <c r="D8" s="94"/>
    </row>
    <row r="9" spans="1:4" ht="15">
      <c r="A9" s="1"/>
      <c r="B9" s="89" t="s">
        <v>196</v>
      </c>
      <c r="C9" s="94"/>
      <c r="D9" s="94">
        <f>'t2sum'!E63</f>
        <v>529688800.28235996</v>
      </c>
    </row>
    <row r="10" spans="1:4" ht="15">
      <c r="A10" s="1"/>
      <c r="B10" s="89"/>
      <c r="C10" s="94"/>
      <c r="D10" s="94"/>
    </row>
    <row r="11" spans="1:4" ht="15">
      <c r="A11" s="1"/>
      <c r="B11" s="89" t="s">
        <v>197</v>
      </c>
      <c r="C11" s="94"/>
      <c r="D11" s="98">
        <f>'cc'!E11</f>
        <v>0.07716</v>
      </c>
    </row>
    <row r="12" spans="1:4" ht="15">
      <c r="A12" s="1"/>
      <c r="B12" s="89"/>
      <c r="C12" s="94"/>
      <c r="D12" s="98"/>
    </row>
    <row r="13" spans="1:4" ht="15">
      <c r="A13" s="1"/>
      <c r="B13" s="89" t="s">
        <v>198</v>
      </c>
      <c r="C13" s="94"/>
      <c r="D13" s="94">
        <f>D11*D9</f>
        <v>40870787.8297869</v>
      </c>
    </row>
    <row r="14" spans="1:4" ht="15">
      <c r="A14" s="1"/>
      <c r="B14" s="89"/>
      <c r="C14" s="94"/>
      <c r="D14" s="94"/>
    </row>
    <row r="15" spans="1:4" ht="15">
      <c r="A15" s="1"/>
      <c r="B15" s="89" t="s">
        <v>199</v>
      </c>
      <c r="C15" s="94"/>
      <c r="D15" s="94">
        <f>'t2sum'!E36</f>
        <v>48255906.86698982</v>
      </c>
    </row>
    <row r="16" spans="1:4" ht="15">
      <c r="A16" s="1"/>
      <c r="B16" s="89"/>
      <c r="C16" s="94"/>
      <c r="D16" s="94"/>
    </row>
    <row r="17" spans="1:4" ht="15">
      <c r="A17" s="1"/>
      <c r="B17" s="89" t="s">
        <v>200</v>
      </c>
      <c r="C17" s="94"/>
      <c r="D17" s="104">
        <f>D13-D15</f>
        <v>-7385119.0372029245</v>
      </c>
    </row>
    <row r="18" spans="1:4" ht="15">
      <c r="A18" s="1"/>
      <c r="B18" s="89"/>
      <c r="C18" s="94"/>
      <c r="D18" s="104"/>
    </row>
    <row r="19" spans="1:4" ht="15">
      <c r="A19" s="1"/>
      <c r="B19" s="89" t="s">
        <v>229</v>
      </c>
      <c r="C19" s="94"/>
      <c r="D19" s="98">
        <f>'cf'!C17</f>
        <v>0.61861</v>
      </c>
    </row>
    <row r="20" spans="1:4" ht="15">
      <c r="A20" s="1"/>
      <c r="B20" s="89"/>
      <c r="C20" s="94"/>
      <c r="D20" s="100"/>
    </row>
    <row r="21" spans="1:4" ht="15.75" thickBot="1">
      <c r="A21" s="1"/>
      <c r="B21" s="89" t="s">
        <v>201</v>
      </c>
      <c r="C21" s="94"/>
      <c r="D21" s="105">
        <f>D17/D19</f>
        <v>-11938247.09785313</v>
      </c>
    </row>
    <row r="22" ht="13.5" thickTop="1"/>
  </sheetData>
  <printOptions horizontalCentered="1" verticalCentered="1"/>
  <pageMargins left="1.25" right="0.75" top="1" bottom="1" header="0.5" footer="0.5"/>
  <pageSetup horizontalDpi="600" verticalDpi="600" orientation="portrait" r:id="rId1"/>
  <headerFooter alignWithMargins="0">
    <oddHeader>&amp;R&amp;"Palatino Linotype,Regular"Exhibit _____ (TES-2)
Docket No. UE-032065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39"/>
  <sheetViews>
    <sheetView workbookViewId="0" topLeftCell="A1">
      <selection activeCell="C14" sqref="C14"/>
    </sheetView>
  </sheetViews>
  <sheetFormatPr defaultColWidth="9.140625" defaultRowHeight="12.75"/>
  <cols>
    <col min="1" max="1" width="3.28125" style="0" bestFit="1" customWidth="1"/>
    <col min="2" max="2" width="58.421875" style="0" bestFit="1" customWidth="1"/>
    <col min="3" max="3" width="14.421875" style="0" bestFit="1" customWidth="1"/>
    <col min="4" max="4" width="3.00390625" style="0" bestFit="1" customWidth="1"/>
    <col min="5" max="5" width="19.57421875" style="0" bestFit="1" customWidth="1"/>
    <col min="6" max="6" width="12.7109375" style="0" bestFit="1" customWidth="1"/>
    <col min="7" max="7" width="10.00390625" style="0" bestFit="1" customWidth="1"/>
  </cols>
  <sheetData>
    <row r="6" spans="1:8" ht="18">
      <c r="A6" s="194"/>
      <c r="B6" s="208" t="s">
        <v>185</v>
      </c>
      <c r="C6" s="209"/>
      <c r="D6" s="210"/>
      <c r="E6" s="89"/>
      <c r="F6" s="89"/>
      <c r="G6" s="89"/>
      <c r="H6" s="1"/>
    </row>
    <row r="7" spans="1:8" ht="18">
      <c r="A7" s="194">
        <v>1</v>
      </c>
      <c r="B7" s="205" t="s">
        <v>155</v>
      </c>
      <c r="C7" s="211">
        <v>1</v>
      </c>
      <c r="D7" s="210"/>
      <c r="H7" s="1"/>
    </row>
    <row r="8" spans="1:8" ht="18">
      <c r="A8" s="194">
        <v>2</v>
      </c>
      <c r="B8" s="212" t="s">
        <v>186</v>
      </c>
      <c r="C8" s="211"/>
      <c r="D8" s="213"/>
      <c r="H8" s="91"/>
    </row>
    <row r="9" spans="1:8" ht="18">
      <c r="A9" s="194">
        <v>3</v>
      </c>
      <c r="B9" s="202" t="s">
        <v>187</v>
      </c>
      <c r="C9" s="211">
        <f>+C26</f>
        <v>0.006789570318527421</v>
      </c>
      <c r="D9" s="214" t="s">
        <v>234</v>
      </c>
      <c r="H9" s="92"/>
    </row>
    <row r="10" spans="1:8" ht="18">
      <c r="A10" s="194">
        <v>4</v>
      </c>
      <c r="B10" s="202" t="s">
        <v>188</v>
      </c>
      <c r="C10" s="211">
        <v>0.001131</v>
      </c>
      <c r="D10" s="214"/>
      <c r="H10" s="92"/>
    </row>
    <row r="11" spans="1:8" ht="18">
      <c r="A11" s="194">
        <v>5</v>
      </c>
      <c r="B11" s="202" t="s">
        <v>189</v>
      </c>
      <c r="C11" s="211">
        <f>C34</f>
        <v>0.03846703994156343</v>
      </c>
      <c r="D11" s="214" t="s">
        <v>235</v>
      </c>
      <c r="H11" s="1"/>
    </row>
    <row r="12" spans="1:8" ht="18">
      <c r="A12" s="194">
        <v>6</v>
      </c>
      <c r="B12" s="202" t="s">
        <v>190</v>
      </c>
      <c r="C12" s="188">
        <v>0.0019</v>
      </c>
      <c r="D12" s="189" t="s">
        <v>236</v>
      </c>
      <c r="H12" s="95"/>
    </row>
    <row r="13" spans="1:8" ht="18">
      <c r="A13" s="194">
        <v>7</v>
      </c>
      <c r="B13" s="212" t="s">
        <v>192</v>
      </c>
      <c r="C13" s="211">
        <f>C7-SUM(C9:C12)</f>
        <v>0.9517123897399091</v>
      </c>
      <c r="D13" s="190"/>
      <c r="H13" s="95"/>
    </row>
    <row r="14" spans="1:8" ht="18">
      <c r="A14" s="194">
        <v>8</v>
      </c>
      <c r="B14" s="191" t="s">
        <v>227</v>
      </c>
      <c r="C14" s="211">
        <f>C13*'t2sum'!$F$68</f>
        <v>0</v>
      </c>
      <c r="D14" s="215"/>
      <c r="H14" s="95"/>
    </row>
    <row r="15" spans="1:8" ht="18">
      <c r="A15" s="194">
        <v>9</v>
      </c>
      <c r="B15" s="212" t="s">
        <v>192</v>
      </c>
      <c r="C15" s="216">
        <f>C13-C14</f>
        <v>0.9517123897399091</v>
      </c>
      <c r="D15" s="217"/>
      <c r="H15" s="102"/>
    </row>
    <row r="16" spans="1:8" ht="18">
      <c r="A16" s="194">
        <v>10</v>
      </c>
      <c r="B16" s="202" t="s">
        <v>194</v>
      </c>
      <c r="C16" s="218">
        <f>C15*0.35</f>
        <v>0.33309933640896816</v>
      </c>
      <c r="D16" s="217"/>
      <c r="H16" s="101"/>
    </row>
    <row r="17" spans="1:8" ht="18.75" thickBot="1">
      <c r="A17" s="194">
        <v>11</v>
      </c>
      <c r="B17" s="212" t="s">
        <v>228</v>
      </c>
      <c r="C17" s="219">
        <f>ROUND(C15-C16,5)</f>
        <v>0.61861</v>
      </c>
      <c r="D17" s="215"/>
      <c r="H17" s="1"/>
    </row>
    <row r="18" spans="1:4" ht="18.75" thickTop="1">
      <c r="A18" s="194">
        <v>12</v>
      </c>
      <c r="B18" s="194"/>
      <c r="C18" s="194"/>
      <c r="D18" s="194"/>
    </row>
    <row r="19" spans="1:4" ht="18">
      <c r="A19" s="194">
        <v>13</v>
      </c>
      <c r="B19" s="194" t="s">
        <v>207</v>
      </c>
      <c r="C19" s="194"/>
      <c r="D19" s="194"/>
    </row>
    <row r="20" spans="1:4" ht="18">
      <c r="A20" s="194">
        <v>14</v>
      </c>
      <c r="B20" s="202" t="s">
        <v>205</v>
      </c>
      <c r="C20" s="220">
        <f>+C9</f>
        <v>0.006789570318527421</v>
      </c>
      <c r="D20" s="194"/>
    </row>
    <row r="21" spans="1:4" ht="18">
      <c r="A21" s="194">
        <v>15</v>
      </c>
      <c r="B21" s="221" t="s">
        <v>206</v>
      </c>
      <c r="C21" s="221">
        <f>SUM(C10:C12)</f>
        <v>0.04149803994156343</v>
      </c>
      <c r="D21" s="194"/>
    </row>
    <row r="22" spans="1:4" ht="18">
      <c r="A22" s="194">
        <v>16</v>
      </c>
      <c r="B22" s="214"/>
      <c r="C22" s="214"/>
      <c r="D22" s="194"/>
    </row>
    <row r="23" spans="1:4" ht="18">
      <c r="A23" s="194"/>
      <c r="B23" s="205" t="s">
        <v>243</v>
      </c>
      <c r="C23" s="214"/>
      <c r="D23" s="194"/>
    </row>
    <row r="24" spans="1:4" ht="18">
      <c r="A24" s="194"/>
      <c r="B24" s="194" t="s">
        <v>240</v>
      </c>
      <c r="C24" s="222">
        <f>+'t2sum'!E8</f>
        <v>183665820</v>
      </c>
      <c r="D24" s="194"/>
    </row>
    <row r="25" spans="1:4" ht="18">
      <c r="A25" s="194"/>
      <c r="B25" s="194" t="s">
        <v>241</v>
      </c>
      <c r="C25" s="223">
        <v>1247012</v>
      </c>
      <c r="D25" s="194"/>
    </row>
    <row r="26" spans="1:4" ht="18.75" thickBot="1">
      <c r="A26" s="194"/>
      <c r="B26" s="224" t="s">
        <v>244</v>
      </c>
      <c r="C26" s="225">
        <f>+C25/C24</f>
        <v>0.006789570318527421</v>
      </c>
      <c r="D26" s="194"/>
    </row>
    <row r="27" spans="1:4" ht="18.75" thickTop="1">
      <c r="A27" s="194"/>
      <c r="B27" s="214"/>
      <c r="C27" s="214"/>
      <c r="D27" s="194"/>
    </row>
    <row r="28" spans="1:4" ht="18">
      <c r="A28" s="194"/>
      <c r="B28" s="214"/>
      <c r="C28" s="214"/>
      <c r="D28" s="194"/>
    </row>
    <row r="29" spans="1:4" ht="18">
      <c r="A29" s="194">
        <v>17</v>
      </c>
      <c r="B29" s="205" t="s">
        <v>238</v>
      </c>
      <c r="C29" s="214"/>
      <c r="D29" s="194"/>
    </row>
    <row r="30" spans="1:4" ht="18">
      <c r="A30" s="194">
        <v>18</v>
      </c>
      <c r="B30" s="202" t="s">
        <v>224</v>
      </c>
      <c r="C30" s="190">
        <v>1</v>
      </c>
      <c r="D30" s="194"/>
    </row>
    <row r="31" spans="1:4" ht="18">
      <c r="A31" s="194">
        <v>19</v>
      </c>
      <c r="B31" s="226" t="s">
        <v>191</v>
      </c>
      <c r="C31" s="190">
        <f>C9</f>
        <v>0.006789570318527421</v>
      </c>
      <c r="D31" s="194"/>
    </row>
    <row r="32" spans="1:4" ht="18">
      <c r="A32" s="194">
        <v>20</v>
      </c>
      <c r="B32" s="226" t="s">
        <v>225</v>
      </c>
      <c r="C32" s="190">
        <f>C30-C31</f>
        <v>0.9932104296814726</v>
      </c>
      <c r="D32" s="194"/>
    </row>
    <row r="33" spans="1:4" ht="18">
      <c r="A33" s="194">
        <v>21</v>
      </c>
      <c r="B33" s="226" t="s">
        <v>226</v>
      </c>
      <c r="C33" s="190">
        <v>0.03873</v>
      </c>
      <c r="D33" s="194"/>
    </row>
    <row r="34" spans="1:4" ht="18.75" thickBot="1">
      <c r="A34" s="194">
        <v>22</v>
      </c>
      <c r="B34" s="217" t="s">
        <v>193</v>
      </c>
      <c r="C34" s="227">
        <f>C32*C33</f>
        <v>0.03846703994156343</v>
      </c>
      <c r="D34" s="194"/>
    </row>
    <row r="35" spans="1:4" ht="18.75" thickTop="1">
      <c r="A35" s="194"/>
      <c r="B35" s="217"/>
      <c r="C35" s="217"/>
      <c r="D35" s="194"/>
    </row>
    <row r="36" spans="1:4" ht="18">
      <c r="A36" s="194"/>
      <c r="B36" s="215" t="s">
        <v>237</v>
      </c>
      <c r="C36" s="215"/>
      <c r="D36" s="194"/>
    </row>
    <row r="37" spans="1:4" ht="18">
      <c r="A37" s="194"/>
      <c r="B37" s="215" t="s">
        <v>239</v>
      </c>
      <c r="C37" s="194"/>
      <c r="D37" s="194"/>
    </row>
    <row r="38" spans="1:4" ht="18">
      <c r="A38" s="194"/>
      <c r="B38" s="215" t="s">
        <v>242</v>
      </c>
      <c r="C38" s="194"/>
      <c r="D38" s="194"/>
    </row>
    <row r="39" spans="1:4" ht="18">
      <c r="A39" s="194"/>
      <c r="B39" s="194"/>
      <c r="C39" s="194"/>
      <c r="D39" s="194"/>
    </row>
  </sheetData>
  <printOptions horizontalCentered="1" verticalCentered="1"/>
  <pageMargins left="1.25" right="0.75" top="1" bottom="1" header="0.5" footer="0.5"/>
  <pageSetup horizontalDpi="600" verticalDpi="600" orientation="portrait" r:id="rId1"/>
  <headerFooter alignWithMargins="0">
    <oddHeader>&amp;R&amp;"Palatino Linotype,Regular"Exhibit _____ (TES-2)
Docket No. UE-032065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96"/>
  <sheetViews>
    <sheetView view="pageBreakPreview" zoomScale="60" workbookViewId="0" topLeftCell="A3">
      <pane xSplit="2" ySplit="4" topLeftCell="F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P18" sqref="P18"/>
    </sheetView>
  </sheetViews>
  <sheetFormatPr defaultColWidth="12.7109375" defaultRowHeight="12.75"/>
  <cols>
    <col min="1" max="1" width="3.00390625" style="0" customWidth="1"/>
    <col min="2" max="2" width="34.7109375" style="0" customWidth="1"/>
    <col min="3" max="3" width="15.7109375" style="0" customWidth="1"/>
    <col min="4" max="4" width="16.7109375" style="0" customWidth="1"/>
    <col min="5" max="5" width="15.140625" style="0" customWidth="1"/>
    <col min="6" max="6" width="12.7109375" style="0" customWidth="1"/>
    <col min="7" max="7" width="14.140625" style="0" customWidth="1"/>
    <col min="8" max="8" width="12.57421875" style="0" customWidth="1"/>
    <col min="9" max="9" width="13.140625" style="0" bestFit="1" customWidth="1"/>
    <col min="10" max="10" width="15.8515625" style="0" customWidth="1"/>
    <col min="11" max="11" width="13.7109375" style="0" bestFit="1" customWidth="1"/>
    <col min="12" max="12" width="15.7109375" style="0" customWidth="1"/>
    <col min="13" max="13" width="12.140625" style="0" customWidth="1"/>
    <col min="14" max="14" width="1.28515625" style="0" customWidth="1"/>
    <col min="15" max="15" width="13.140625" style="0" bestFit="1" customWidth="1"/>
    <col min="16" max="16" width="16.28125" style="0" customWidth="1"/>
    <col min="17" max="17" width="15.28125" style="0" customWidth="1"/>
    <col min="18" max="18" width="17.57421875" style="0" bestFit="1" customWidth="1"/>
    <col min="19" max="19" width="15.00390625" style="0" bestFit="1" customWidth="1"/>
    <col min="20" max="20" width="16.140625" style="0" bestFit="1" customWidth="1"/>
    <col min="21" max="21" width="15.421875" style="0" customWidth="1"/>
    <col min="22" max="22" width="19.140625" style="0" customWidth="1"/>
    <col min="23" max="23" width="16.7109375" style="0" customWidth="1"/>
    <col min="24" max="24" width="19.57421875" style="0" customWidth="1"/>
    <col min="25" max="25" width="12.57421875" style="0" bestFit="1" customWidth="1"/>
    <col min="26" max="26" width="17.421875" style="0" customWidth="1"/>
    <col min="27" max="27" width="16.7109375" style="0" customWidth="1"/>
    <col min="28" max="28" width="20.140625" style="0" bestFit="1" customWidth="1"/>
    <col min="29" max="29" width="11.8515625" style="0" customWidth="1"/>
    <col min="30" max="30" width="18.8515625" style="0" customWidth="1"/>
    <col min="31" max="31" width="14.8515625" style="0" customWidth="1"/>
    <col min="32" max="32" width="16.421875" style="0" customWidth="1"/>
    <col min="33" max="37" width="20.140625" style="0" customWidth="1"/>
    <col min="38" max="38" width="18.00390625" style="0" customWidth="1"/>
    <col min="39" max="39" width="20.140625" style="0" customWidth="1"/>
    <col min="40" max="40" width="21.28125" style="0" customWidth="1"/>
  </cols>
  <sheetData>
    <row r="1" spans="2:42" ht="15">
      <c r="B1" s="125"/>
      <c r="C1" s="90"/>
      <c r="D1" s="90" t="s">
        <v>91</v>
      </c>
      <c r="E1" s="90"/>
      <c r="F1" s="301" t="s">
        <v>92</v>
      </c>
      <c r="G1" s="301"/>
      <c r="H1" s="301"/>
      <c r="I1" s="30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5">
      <c r="B2" s="125"/>
      <c r="C2" s="90"/>
      <c r="D2" s="126"/>
      <c r="E2" s="90"/>
      <c r="F2" s="301" t="s">
        <v>93</v>
      </c>
      <c r="G2" s="301"/>
      <c r="H2" s="301"/>
      <c r="I2" s="30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5">
      <c r="B3" s="127"/>
      <c r="C3" s="90"/>
      <c r="D3" s="90"/>
      <c r="E3" s="90"/>
      <c r="F3" s="90"/>
      <c r="G3" s="90"/>
      <c r="H3" s="90"/>
      <c r="I3" s="9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15">
      <c r="B4" s="90"/>
      <c r="C4" s="3" t="s">
        <v>95</v>
      </c>
      <c r="D4" s="118">
        <v>1</v>
      </c>
      <c r="E4" s="118">
        <f>D4+1</f>
        <v>2</v>
      </c>
      <c r="F4" s="118">
        <f aca="true" t="shared" si="0" ref="F4:AG4">E4+1</f>
        <v>3</v>
      </c>
      <c r="G4" s="118">
        <f t="shared" si="0"/>
        <v>4</v>
      </c>
      <c r="H4" s="118">
        <f t="shared" si="0"/>
        <v>5</v>
      </c>
      <c r="I4" s="118">
        <f t="shared" si="0"/>
        <v>6</v>
      </c>
      <c r="J4" s="118">
        <f t="shared" si="0"/>
        <v>7</v>
      </c>
      <c r="K4" s="118">
        <f t="shared" si="0"/>
        <v>8</v>
      </c>
      <c r="L4" s="118">
        <f t="shared" si="0"/>
        <v>9</v>
      </c>
      <c r="M4" s="118">
        <f t="shared" si="0"/>
        <v>10</v>
      </c>
      <c r="N4" s="118">
        <f t="shared" si="0"/>
        <v>11</v>
      </c>
      <c r="O4" s="118">
        <f>M4+1</f>
        <v>11</v>
      </c>
      <c r="P4" s="118">
        <f t="shared" si="0"/>
        <v>12</v>
      </c>
      <c r="Q4" s="118">
        <f t="shared" si="0"/>
        <v>13</v>
      </c>
      <c r="R4" s="118">
        <f t="shared" si="0"/>
        <v>14</v>
      </c>
      <c r="S4" s="118">
        <f t="shared" si="0"/>
        <v>15</v>
      </c>
      <c r="T4" s="118">
        <f t="shared" si="0"/>
        <v>16</v>
      </c>
      <c r="U4" s="118">
        <f t="shared" si="0"/>
        <v>17</v>
      </c>
      <c r="V4" s="118">
        <f t="shared" si="0"/>
        <v>18</v>
      </c>
      <c r="W4" s="118">
        <f t="shared" si="0"/>
        <v>19</v>
      </c>
      <c r="X4" s="118">
        <f t="shared" si="0"/>
        <v>20</v>
      </c>
      <c r="Y4" s="118">
        <f t="shared" si="0"/>
        <v>21</v>
      </c>
      <c r="Z4" s="118">
        <f t="shared" si="0"/>
        <v>22</v>
      </c>
      <c r="AA4" s="118">
        <f t="shared" si="0"/>
        <v>23</v>
      </c>
      <c r="AB4" s="118">
        <f t="shared" si="0"/>
        <v>24</v>
      </c>
      <c r="AC4" s="118">
        <f t="shared" si="0"/>
        <v>25</v>
      </c>
      <c r="AD4" s="118">
        <f t="shared" si="0"/>
        <v>26</v>
      </c>
      <c r="AE4" s="118">
        <f t="shared" si="0"/>
        <v>27</v>
      </c>
      <c r="AF4" s="118">
        <f t="shared" si="0"/>
        <v>28</v>
      </c>
      <c r="AG4" s="118">
        <f t="shared" si="0"/>
        <v>29</v>
      </c>
      <c r="AH4" s="118">
        <v>30</v>
      </c>
      <c r="AI4" s="118">
        <v>31</v>
      </c>
      <c r="AJ4" s="118">
        <v>32</v>
      </c>
      <c r="AK4" s="118">
        <v>33</v>
      </c>
      <c r="AL4" s="118">
        <v>34</v>
      </c>
      <c r="AM4" s="118">
        <v>35</v>
      </c>
      <c r="AN4" s="118">
        <v>36</v>
      </c>
      <c r="AO4" s="1"/>
      <c r="AP4" s="1"/>
    </row>
    <row r="5" spans="2:42" ht="15">
      <c r="B5" s="90"/>
      <c r="C5" s="3" t="s">
        <v>96</v>
      </c>
      <c r="D5" s="231" t="s">
        <v>249</v>
      </c>
      <c r="E5" s="231" t="s">
        <v>331</v>
      </c>
      <c r="F5" s="231" t="s">
        <v>251</v>
      </c>
      <c r="G5" s="231" t="s">
        <v>252</v>
      </c>
      <c r="H5" s="231" t="s">
        <v>253</v>
      </c>
      <c r="I5" s="232" t="s">
        <v>259</v>
      </c>
      <c r="J5" s="232" t="s">
        <v>261</v>
      </c>
      <c r="K5" s="233" t="s">
        <v>333</v>
      </c>
      <c r="L5" s="231" t="s">
        <v>263</v>
      </c>
      <c r="M5" s="231" t="s">
        <v>280</v>
      </c>
      <c r="N5" s="231"/>
      <c r="O5" s="231" t="s">
        <v>266</v>
      </c>
      <c r="P5" s="231" t="s">
        <v>267</v>
      </c>
      <c r="Q5" s="231" t="s">
        <v>268</v>
      </c>
      <c r="R5" s="231" t="s">
        <v>282</v>
      </c>
      <c r="S5" s="231" t="s">
        <v>270</v>
      </c>
      <c r="T5" s="231" t="s">
        <v>284</v>
      </c>
      <c r="U5" s="231" t="s">
        <v>334</v>
      </c>
      <c r="V5" s="231" t="s">
        <v>287</v>
      </c>
      <c r="W5" s="231" t="s">
        <v>288</v>
      </c>
      <c r="X5" s="231" t="s">
        <v>291</v>
      </c>
      <c r="Y5" s="231" t="s">
        <v>289</v>
      </c>
      <c r="Z5" s="231" t="s">
        <v>376</v>
      </c>
      <c r="AA5" s="231" t="s">
        <v>292</v>
      </c>
      <c r="AB5" s="231" t="s">
        <v>293</v>
      </c>
      <c r="AC5" s="231" t="s">
        <v>297</v>
      </c>
      <c r="AD5" s="231" t="s">
        <v>299</v>
      </c>
      <c r="AE5" s="3" t="s">
        <v>303</v>
      </c>
      <c r="AF5" s="3" t="s">
        <v>305</v>
      </c>
      <c r="AG5" s="3" t="s">
        <v>307</v>
      </c>
      <c r="AH5" s="3" t="s">
        <v>388</v>
      </c>
      <c r="AI5" s="3" t="s">
        <v>378</v>
      </c>
      <c r="AJ5" s="3" t="s">
        <v>379</v>
      </c>
      <c r="AK5" s="3" t="s">
        <v>380</v>
      </c>
      <c r="AL5" s="3" t="s">
        <v>381</v>
      </c>
      <c r="AM5" s="3" t="s">
        <v>384</v>
      </c>
      <c r="AN5" s="3" t="s">
        <v>386</v>
      </c>
      <c r="AO5" s="1"/>
      <c r="AP5" s="1"/>
    </row>
    <row r="6" spans="2:42" ht="15">
      <c r="B6" s="125"/>
      <c r="C6" s="121" t="s">
        <v>98</v>
      </c>
      <c r="D6" s="121" t="s">
        <v>100</v>
      </c>
      <c r="E6" s="121" t="s">
        <v>332</v>
      </c>
      <c r="F6" s="121" t="s">
        <v>258</v>
      </c>
      <c r="G6" s="121" t="s">
        <v>337</v>
      </c>
      <c r="H6" s="121" t="s">
        <v>258</v>
      </c>
      <c r="I6" s="121" t="s">
        <v>260</v>
      </c>
      <c r="J6" s="121" t="s">
        <v>260</v>
      </c>
      <c r="K6" s="3" t="s">
        <v>262</v>
      </c>
      <c r="L6" s="3" t="s">
        <v>258</v>
      </c>
      <c r="M6" s="3" t="s">
        <v>281</v>
      </c>
      <c r="N6" s="3"/>
      <c r="O6" s="3" t="s">
        <v>258</v>
      </c>
      <c r="P6" s="3" t="s">
        <v>258</v>
      </c>
      <c r="Q6" s="3"/>
      <c r="R6" s="3" t="s">
        <v>283</v>
      </c>
      <c r="S6" s="3"/>
      <c r="T6" s="3" t="s">
        <v>285</v>
      </c>
      <c r="U6" s="3" t="s">
        <v>283</v>
      </c>
      <c r="V6" s="3" t="s">
        <v>283</v>
      </c>
      <c r="W6" s="3" t="s">
        <v>283</v>
      </c>
      <c r="X6" s="3" t="s">
        <v>286</v>
      </c>
      <c r="Y6" s="3" t="s">
        <v>290</v>
      </c>
      <c r="Z6" s="3" t="s">
        <v>100</v>
      </c>
      <c r="AA6" s="3" t="s">
        <v>100</v>
      </c>
      <c r="AB6" s="3" t="s">
        <v>294</v>
      </c>
      <c r="AC6" s="3" t="s">
        <v>335</v>
      </c>
      <c r="AD6" s="3" t="s">
        <v>298</v>
      </c>
      <c r="AE6" s="3" t="s">
        <v>304</v>
      </c>
      <c r="AF6" s="3" t="s">
        <v>306</v>
      </c>
      <c r="AG6" s="3" t="s">
        <v>308</v>
      </c>
      <c r="AH6" s="3" t="s">
        <v>100</v>
      </c>
      <c r="AI6" s="3"/>
      <c r="AJ6" s="3"/>
      <c r="AK6" s="3"/>
      <c r="AL6" s="3"/>
      <c r="AM6" s="3" t="s">
        <v>385</v>
      </c>
      <c r="AN6" s="3" t="s">
        <v>387</v>
      </c>
      <c r="AO6" s="1"/>
      <c r="AP6" s="1"/>
    </row>
    <row r="7" spans="2:42" ht="15">
      <c r="B7" s="125" t="s">
        <v>103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"/>
      <c r="AP7" s="1"/>
    </row>
    <row r="8" spans="1:42" ht="15">
      <c r="A8">
        <v>1</v>
      </c>
      <c r="B8" s="90" t="s">
        <v>104</v>
      </c>
      <c r="C8" s="37">
        <f>SUM(D8:AN8)</f>
        <v>0</v>
      </c>
      <c r="D8" s="128"/>
      <c r="E8" s="128"/>
      <c r="F8" s="128"/>
      <c r="G8" s="128"/>
      <c r="H8" s="128"/>
      <c r="I8" s="128"/>
      <c r="J8" s="128"/>
      <c r="K8" s="128"/>
      <c r="L8" s="302"/>
      <c r="M8" s="302"/>
      <c r="N8" s="302"/>
      <c r="O8" s="302"/>
      <c r="P8" s="302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"/>
      <c r="AP8" s="1"/>
    </row>
    <row r="9" spans="1:42" ht="15">
      <c r="A9">
        <v>2</v>
      </c>
      <c r="B9" s="90" t="s">
        <v>105</v>
      </c>
      <c r="C9" s="37">
        <f>SUM(D9:AN9)</f>
        <v>0</v>
      </c>
      <c r="D9" s="128"/>
      <c r="E9" s="128"/>
      <c r="F9" s="128"/>
      <c r="G9" s="128"/>
      <c r="H9" s="128"/>
      <c r="I9" s="128"/>
      <c r="J9" s="128"/>
      <c r="K9" s="128"/>
      <c r="L9" s="302"/>
      <c r="M9" s="302"/>
      <c r="N9" s="302"/>
      <c r="O9" s="302"/>
      <c r="P9" s="302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"/>
      <c r="AP9" s="1"/>
    </row>
    <row r="10" spans="1:42" ht="15">
      <c r="A10">
        <v>3</v>
      </c>
      <c r="B10" s="90" t="s">
        <v>106</v>
      </c>
      <c r="C10" s="37">
        <f>SUM(D10:AN10)</f>
        <v>-2295743.785395843</v>
      </c>
      <c r="D10" s="128"/>
      <c r="E10" s="128"/>
      <c r="F10" s="128"/>
      <c r="G10" s="128"/>
      <c r="H10" s="128"/>
      <c r="I10" s="128"/>
      <c r="J10" s="128"/>
      <c r="K10" s="128"/>
      <c r="L10" s="306">
        <v>-20383.379668716974</v>
      </c>
      <c r="M10" s="302">
        <v>1439573.6377094642</v>
      </c>
      <c r="N10" s="302"/>
      <c r="O10" s="303">
        <v>413052.2840339166</v>
      </c>
      <c r="P10" s="302">
        <v>91721.34577337856</v>
      </c>
      <c r="Q10" s="128">
        <v>26407.239794296976</v>
      </c>
      <c r="R10" s="128">
        <v>118470.95228282164</v>
      </c>
      <c r="S10" s="128">
        <v>11090.649402527637</v>
      </c>
      <c r="T10" s="128">
        <v>18664.041020706034</v>
      </c>
      <c r="U10" s="128">
        <v>57870.13037007324</v>
      </c>
      <c r="V10" s="264">
        <v>20175.654838240727</v>
      </c>
      <c r="W10" s="264">
        <v>25049.14375825898</v>
      </c>
      <c r="X10" s="128"/>
      <c r="Y10" s="264">
        <v>106733.64755919005</v>
      </c>
      <c r="Z10" s="128"/>
      <c r="AA10" s="128"/>
      <c r="AB10" s="128"/>
      <c r="AC10" s="128"/>
      <c r="AD10" s="128"/>
      <c r="AE10" s="128"/>
      <c r="AF10" s="128"/>
      <c r="AG10" s="128">
        <f>'Gadby WV'!I28</f>
        <v>-4604169.13227</v>
      </c>
      <c r="AH10" s="128"/>
      <c r="AI10" s="128"/>
      <c r="AJ10" s="128"/>
      <c r="AK10" s="128"/>
      <c r="AL10" s="128"/>
      <c r="AM10" s="128"/>
      <c r="AN10" s="128"/>
      <c r="AO10" s="1"/>
      <c r="AP10" s="1"/>
    </row>
    <row r="11" spans="1:42" ht="15">
      <c r="A11">
        <v>4</v>
      </c>
      <c r="B11" s="90" t="s">
        <v>107</v>
      </c>
      <c r="C11" s="37">
        <f>SUM(D11:AN11)</f>
        <v>487124.84661999997</v>
      </c>
      <c r="D11" s="128"/>
      <c r="E11" s="128"/>
      <c r="F11" s="128"/>
      <c r="G11" s="128"/>
      <c r="H11" s="128"/>
      <c r="I11" s="128"/>
      <c r="J11" s="128"/>
      <c r="K11" s="128"/>
      <c r="L11" s="304"/>
      <c r="M11" s="302"/>
      <c r="N11" s="302"/>
      <c r="O11" s="302"/>
      <c r="P11" s="302"/>
      <c r="Q11" s="128"/>
      <c r="R11" s="128"/>
      <c r="S11" s="128"/>
      <c r="T11" s="128"/>
      <c r="U11" s="128"/>
      <c r="X11" s="128"/>
      <c r="Z11" s="128"/>
      <c r="AA11" s="128"/>
      <c r="AB11" s="128"/>
      <c r="AC11" s="128"/>
      <c r="AD11" s="128">
        <f>-'Table 1'!H51</f>
        <v>487124.84661999997</v>
      </c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"/>
      <c r="AP11" s="1"/>
    </row>
    <row r="12" spans="1:42" ht="15">
      <c r="A12">
        <v>5</v>
      </c>
      <c r="B12" s="125" t="s">
        <v>108</v>
      </c>
      <c r="C12" s="130">
        <f aca="true" t="shared" si="1" ref="C12:AG12">SUM(C8:C11)</f>
        <v>-1808618.938775843</v>
      </c>
      <c r="D12" s="130">
        <f t="shared" si="1"/>
        <v>0</v>
      </c>
      <c r="E12" s="130">
        <f t="shared" si="1"/>
        <v>0</v>
      </c>
      <c r="F12" s="130">
        <f t="shared" si="1"/>
        <v>0</v>
      </c>
      <c r="G12" s="130"/>
      <c r="H12" s="130">
        <f t="shared" si="1"/>
        <v>0</v>
      </c>
      <c r="I12" s="130">
        <f t="shared" si="1"/>
        <v>0</v>
      </c>
      <c r="J12" s="130">
        <f t="shared" si="1"/>
        <v>0</v>
      </c>
      <c r="K12" s="130">
        <f t="shared" si="1"/>
        <v>0</v>
      </c>
      <c r="L12" s="305">
        <f t="shared" si="1"/>
        <v>-20383.379668716974</v>
      </c>
      <c r="M12" s="305">
        <f>M10</f>
        <v>1439573.6377094642</v>
      </c>
      <c r="N12" s="305"/>
      <c r="O12" s="305">
        <f t="shared" si="1"/>
        <v>413052.2840339166</v>
      </c>
      <c r="P12" s="305">
        <f t="shared" si="1"/>
        <v>91721.34577337856</v>
      </c>
      <c r="Q12" s="130">
        <f t="shared" si="1"/>
        <v>26407.239794296976</v>
      </c>
      <c r="R12" s="130">
        <f t="shared" si="1"/>
        <v>118470.95228282164</v>
      </c>
      <c r="S12" s="130">
        <f t="shared" si="1"/>
        <v>11090.649402527637</v>
      </c>
      <c r="T12" s="130">
        <f t="shared" si="1"/>
        <v>18664.041020706034</v>
      </c>
      <c r="U12" s="130">
        <f t="shared" si="1"/>
        <v>57870.13037007324</v>
      </c>
      <c r="V12" s="130">
        <f t="shared" si="1"/>
        <v>20175.654838240727</v>
      </c>
      <c r="W12" s="130">
        <f t="shared" si="1"/>
        <v>25049.14375825898</v>
      </c>
      <c r="X12" s="130">
        <f t="shared" si="1"/>
        <v>0</v>
      </c>
      <c r="Y12" s="130">
        <f t="shared" si="1"/>
        <v>106733.64755919005</v>
      </c>
      <c r="Z12" s="130">
        <f t="shared" si="1"/>
        <v>0</v>
      </c>
      <c r="AA12" s="130">
        <f t="shared" si="1"/>
        <v>0</v>
      </c>
      <c r="AB12" s="130">
        <f t="shared" si="1"/>
        <v>0</v>
      </c>
      <c r="AC12" s="130">
        <f t="shared" si="1"/>
        <v>0</v>
      </c>
      <c r="AD12" s="130">
        <f t="shared" si="1"/>
        <v>487124.84661999997</v>
      </c>
      <c r="AE12" s="130">
        <f t="shared" si="1"/>
        <v>0</v>
      </c>
      <c r="AF12" s="130">
        <f t="shared" si="1"/>
        <v>0</v>
      </c>
      <c r="AG12" s="130">
        <f t="shared" si="1"/>
        <v>-4604169.13227</v>
      </c>
      <c r="AH12" s="130"/>
      <c r="AI12" s="130">
        <f aca="true" t="shared" si="2" ref="AI12:AN12">SUM(AI8:AI11)</f>
        <v>0</v>
      </c>
      <c r="AJ12" s="130">
        <f t="shared" si="2"/>
        <v>0</v>
      </c>
      <c r="AK12" s="130">
        <f t="shared" si="2"/>
        <v>0</v>
      </c>
      <c r="AL12" s="130">
        <f t="shared" si="2"/>
        <v>0</v>
      </c>
      <c r="AM12" s="130">
        <f t="shared" si="2"/>
        <v>0</v>
      </c>
      <c r="AN12" s="130">
        <f t="shared" si="2"/>
        <v>0</v>
      </c>
      <c r="AO12" s="1"/>
      <c r="AP12" s="1"/>
    </row>
    <row r="13" spans="1:42" ht="15">
      <c r="A13">
        <v>6</v>
      </c>
      <c r="B13" s="90"/>
      <c r="C13" s="128"/>
      <c r="D13" s="128"/>
      <c r="E13" s="128"/>
      <c r="F13" s="128"/>
      <c r="G13" s="128"/>
      <c r="H13" s="128"/>
      <c r="I13" s="128"/>
      <c r="J13" s="128"/>
      <c r="K13" s="128"/>
      <c r="L13" s="304"/>
      <c r="M13" s="302"/>
      <c r="N13" s="302"/>
      <c r="O13" s="302"/>
      <c r="P13" s="302"/>
      <c r="Q13" s="128"/>
      <c r="R13" s="128"/>
      <c r="S13" s="128"/>
      <c r="T13" s="128"/>
      <c r="U13" s="128"/>
      <c r="X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"/>
      <c r="AP13" s="1"/>
    </row>
    <row r="14" spans="1:42" ht="15">
      <c r="A14">
        <v>7</v>
      </c>
      <c r="B14" s="125" t="s">
        <v>109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304"/>
      <c r="M14" s="302"/>
      <c r="N14" s="302"/>
      <c r="O14" s="302"/>
      <c r="P14" s="302"/>
      <c r="Q14" s="128"/>
      <c r="R14" s="128"/>
      <c r="S14" s="128"/>
      <c r="T14" s="128"/>
      <c r="U14" s="128"/>
      <c r="X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"/>
      <c r="AP14" s="1"/>
    </row>
    <row r="15" spans="1:42" ht="15">
      <c r="A15">
        <v>8</v>
      </c>
      <c r="B15" s="90" t="s">
        <v>110</v>
      </c>
      <c r="C15" s="37">
        <f aca="true" t="shared" si="3" ref="C15:C33">SUM(D15:AN15)</f>
        <v>-5478895.660071811</v>
      </c>
      <c r="D15" s="128"/>
      <c r="E15" s="128"/>
      <c r="F15" s="128"/>
      <c r="G15" s="128"/>
      <c r="H15" s="128"/>
      <c r="I15" s="128"/>
      <c r="J15" s="128"/>
      <c r="K15" s="128"/>
      <c r="L15" s="303">
        <v>8803.985142328682</v>
      </c>
      <c r="M15" s="302">
        <v>417068.89551022847</v>
      </c>
      <c r="N15" s="302"/>
      <c r="O15" s="303">
        <v>6694.402083844594</v>
      </c>
      <c r="P15" s="302">
        <v>61297.45308717471</v>
      </c>
      <c r="Q15" s="128">
        <v>6576.292499441844</v>
      </c>
      <c r="R15" s="128">
        <v>1266.0971614114505</v>
      </c>
      <c r="S15" s="128">
        <v>-5198.302970035936</v>
      </c>
      <c r="T15" s="128">
        <v>624.0490112376427</v>
      </c>
      <c r="U15" s="128">
        <v>-1759.5812894712656</v>
      </c>
      <c r="V15" s="264">
        <v>6613.122665021655</v>
      </c>
      <c r="W15" s="264">
        <v>1941.9703271677768</v>
      </c>
      <c r="X15" s="128"/>
      <c r="Y15" s="264">
        <v>8472.079600526391</v>
      </c>
      <c r="Z15" s="128"/>
      <c r="AA15" s="128"/>
      <c r="AB15" s="128">
        <f>'Table 1'!H42</f>
        <v>-271225.1323142609</v>
      </c>
      <c r="AC15" s="128"/>
      <c r="AD15" s="128"/>
      <c r="AE15" s="128">
        <f>'Table 1'!H54</f>
        <v>-858339.131776426</v>
      </c>
      <c r="AF15" s="128"/>
      <c r="AG15" s="128">
        <f>'Gadby WV'!I24</f>
        <v>-4000731.85881</v>
      </c>
      <c r="AH15" s="128">
        <v>-861000</v>
      </c>
      <c r="AI15" s="128"/>
      <c r="AJ15" s="128"/>
      <c r="AK15" s="128"/>
      <c r="AL15" s="128"/>
      <c r="AM15" s="128"/>
      <c r="AN15" s="128"/>
      <c r="AO15" s="1"/>
      <c r="AP15" s="1"/>
    </row>
    <row r="16" spans="1:42" ht="15">
      <c r="A16">
        <v>9</v>
      </c>
      <c r="B16" s="90" t="s">
        <v>111</v>
      </c>
      <c r="C16" s="37">
        <f t="shared" si="3"/>
        <v>0</v>
      </c>
      <c r="D16" s="128"/>
      <c r="E16" s="128"/>
      <c r="F16" s="128"/>
      <c r="G16" s="128"/>
      <c r="H16" s="128"/>
      <c r="I16" s="128"/>
      <c r="J16" s="128"/>
      <c r="K16" s="128"/>
      <c r="L16" s="304"/>
      <c r="M16" s="302"/>
      <c r="N16" s="302"/>
      <c r="O16" s="304"/>
      <c r="P16" s="302"/>
      <c r="Q16" s="128"/>
      <c r="R16" s="128"/>
      <c r="S16" s="128"/>
      <c r="T16" s="128"/>
      <c r="U16" s="128"/>
      <c r="X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"/>
      <c r="AP16" s="1"/>
    </row>
    <row r="17" spans="1:42" ht="15">
      <c r="A17">
        <v>10</v>
      </c>
      <c r="B17" s="90" t="s">
        <v>112</v>
      </c>
      <c r="C17" s="37">
        <f t="shared" si="3"/>
        <v>0</v>
      </c>
      <c r="D17" s="128"/>
      <c r="E17" s="128"/>
      <c r="F17" s="128"/>
      <c r="G17" s="128"/>
      <c r="H17" s="128"/>
      <c r="I17" s="128"/>
      <c r="J17" s="128"/>
      <c r="K17" s="128"/>
      <c r="L17" s="304"/>
      <c r="M17" s="302"/>
      <c r="N17" s="302"/>
      <c r="O17" s="304"/>
      <c r="P17" s="302"/>
      <c r="Q17" s="128"/>
      <c r="R17" s="128"/>
      <c r="S17" s="128"/>
      <c r="T17" s="128"/>
      <c r="U17" s="128"/>
      <c r="X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"/>
      <c r="AP17" s="1"/>
    </row>
    <row r="18" spans="1:42" ht="15">
      <c r="A18">
        <v>11</v>
      </c>
      <c r="B18" s="90" t="s">
        <v>113</v>
      </c>
      <c r="C18" s="37">
        <f t="shared" si="3"/>
        <v>-5183318.115115053</v>
      </c>
      <c r="D18" s="128">
        <f>'Table 1'!H10</f>
        <v>-601984.14</v>
      </c>
      <c r="E18" s="128">
        <f>'Table 1'!H15</f>
        <v>-209589.27596</v>
      </c>
      <c r="F18" s="128">
        <f>'Table 1'!H16</f>
        <v>-75310.27103880256</v>
      </c>
      <c r="G18" s="128">
        <f>'Table 1'!H17</f>
        <v>-273397.83999999997</v>
      </c>
      <c r="H18" s="128">
        <f>'Table 1'!H18</f>
        <v>-42641.64</v>
      </c>
      <c r="I18" s="128">
        <f>'Table 1'!H19</f>
        <v>-153545</v>
      </c>
      <c r="J18" s="128">
        <f>'Table 1'!H20</f>
        <v>-184254</v>
      </c>
      <c r="K18" s="128">
        <f>'Table 1'!H21</f>
        <v>-157932</v>
      </c>
      <c r="L18" s="303">
        <v>-63201.98044248001</v>
      </c>
      <c r="M18" s="302">
        <v>179451.41495870653</v>
      </c>
      <c r="N18" s="302"/>
      <c r="O18" s="306">
        <v>-257147.81477801455</v>
      </c>
      <c r="P18" s="302">
        <v>-33889.24092756049</v>
      </c>
      <c r="Q18" s="128">
        <v>-21242.494528103834</v>
      </c>
      <c r="R18" s="128">
        <v>-73498.39335408025</v>
      </c>
      <c r="S18" s="128">
        <v>10796.616978571687</v>
      </c>
      <c r="T18" s="128">
        <v>-11338.980263483165</v>
      </c>
      <c r="U18" s="128">
        <v>-43878.47115355022</v>
      </c>
      <c r="V18" s="264">
        <v>-13274.819361664255</v>
      </c>
      <c r="W18" s="264">
        <v>-19819.687922620906</v>
      </c>
      <c r="X18" s="128">
        <f>'Table 1'!H38</f>
        <v>-52685.63788325219</v>
      </c>
      <c r="Y18" s="264">
        <v>-57534.44565284388</v>
      </c>
      <c r="Z18" s="128">
        <f>'Table 1'!H40</f>
        <v>-111207.02814</v>
      </c>
      <c r="AA18" s="128">
        <f>'Table 1'!H41</f>
        <v>-249707.80681915532</v>
      </c>
      <c r="AB18" s="128"/>
      <c r="AC18" s="128"/>
      <c r="AD18" s="128"/>
      <c r="AE18" s="128"/>
      <c r="AF18" s="128">
        <f>'Table 1'!H55</f>
        <v>-1926243.41772672</v>
      </c>
      <c r="AG18" s="128">
        <f>'Gadby WV'!I25</f>
        <v>-740241.7611</v>
      </c>
      <c r="AH18" s="128"/>
      <c r="AI18" s="128"/>
      <c r="AJ18" s="128"/>
      <c r="AK18" s="128"/>
      <c r="AL18" s="128"/>
      <c r="AM18" s="128"/>
      <c r="AN18" s="128"/>
      <c r="AO18" s="1"/>
      <c r="AP18" s="1"/>
    </row>
    <row r="19" spans="1:42" ht="15">
      <c r="A19">
        <v>12</v>
      </c>
      <c r="B19" s="90" t="s">
        <v>114</v>
      </c>
      <c r="C19" s="37">
        <f t="shared" si="3"/>
        <v>26367.59548458021</v>
      </c>
      <c r="D19" s="128"/>
      <c r="E19" s="128"/>
      <c r="F19" s="128"/>
      <c r="G19" s="128"/>
      <c r="H19" s="128"/>
      <c r="I19" s="128"/>
      <c r="J19" s="128"/>
      <c r="K19" s="128"/>
      <c r="L19" s="303">
        <v>-769.9695784236269</v>
      </c>
      <c r="M19" s="302">
        <v>5049.035127757436</v>
      </c>
      <c r="N19" s="302"/>
      <c r="O19" s="303">
        <v>10836.64259432188</v>
      </c>
      <c r="P19" s="302">
        <v>3016.5402322472046</v>
      </c>
      <c r="Q19" s="128">
        <v>1089.5629565408908</v>
      </c>
      <c r="R19" s="128">
        <v>2644.116518087887</v>
      </c>
      <c r="S19" s="128">
        <v>49.01251513328002</v>
      </c>
      <c r="T19" s="128">
        <v>403.6868284141285</v>
      </c>
      <c r="U19" s="128">
        <v>2846.2068163455447</v>
      </c>
      <c r="V19" s="264">
        <v>-1228.6481418141623</v>
      </c>
      <c r="W19" s="264">
        <v>895.9533053471193</v>
      </c>
      <c r="X19" s="128"/>
      <c r="Y19" s="264">
        <v>1535.4563106226278</v>
      </c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"/>
      <c r="AP19" s="1"/>
    </row>
    <row r="20" spans="1:42" ht="15">
      <c r="A20">
        <v>13</v>
      </c>
      <c r="B20" s="90" t="s">
        <v>115</v>
      </c>
      <c r="C20" s="37">
        <f t="shared" si="3"/>
        <v>0</v>
      </c>
      <c r="D20" s="128"/>
      <c r="E20" s="128"/>
      <c r="F20" s="128"/>
      <c r="G20" s="128"/>
      <c r="H20" s="128"/>
      <c r="I20" s="128"/>
      <c r="J20" s="128"/>
      <c r="K20" s="128"/>
      <c r="L20" s="302"/>
      <c r="M20" s="302"/>
      <c r="N20" s="302"/>
      <c r="O20" s="302"/>
      <c r="P20" s="302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"/>
      <c r="AP20" s="1"/>
    </row>
    <row r="21" spans="1:42" ht="15">
      <c r="A21">
        <v>14</v>
      </c>
      <c r="B21" s="90" t="s">
        <v>116</v>
      </c>
      <c r="C21" s="37">
        <f t="shared" si="3"/>
        <v>0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"/>
      <c r="AP21" s="1"/>
    </row>
    <row r="22" spans="1:42" ht="15">
      <c r="A22">
        <v>15</v>
      </c>
      <c r="B22" s="90" t="s">
        <v>117</v>
      </c>
      <c r="C22" s="37">
        <f t="shared" si="3"/>
        <v>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"/>
      <c r="AP22" s="1"/>
    </row>
    <row r="23" spans="1:42" ht="15">
      <c r="A23">
        <v>16</v>
      </c>
      <c r="B23" s="90" t="s">
        <v>118</v>
      </c>
      <c r="C23" s="37">
        <f t="shared" si="3"/>
        <v>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"/>
      <c r="AP23" s="1"/>
    </row>
    <row r="24" spans="1:42" ht="15">
      <c r="A24">
        <v>17</v>
      </c>
      <c r="B24" s="90" t="s">
        <v>119</v>
      </c>
      <c r="C24" s="37">
        <f t="shared" si="3"/>
        <v>-928527.3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>
        <v>-136014.9</v>
      </c>
      <c r="AJ24" s="128">
        <v>-111299.7</v>
      </c>
      <c r="AK24" s="128">
        <v>-286501.2</v>
      </c>
      <c r="AL24" s="128">
        <v>-31056.6</v>
      </c>
      <c r="AM24" s="128">
        <v>-16991.7</v>
      </c>
      <c r="AN24" s="128">
        <v>-346663.2</v>
      </c>
      <c r="AO24" s="1"/>
      <c r="AP24" s="1"/>
    </row>
    <row r="25" spans="1:42" ht="15">
      <c r="A25">
        <v>18</v>
      </c>
      <c r="B25" s="125" t="s">
        <v>120</v>
      </c>
      <c r="C25" s="131">
        <f aca="true" t="shared" si="4" ref="C25:AH25">SUM(C15:C24)</f>
        <v>-11564373.479702283</v>
      </c>
      <c r="D25" s="131">
        <f t="shared" si="4"/>
        <v>-601984.14</v>
      </c>
      <c r="E25" s="131">
        <f t="shared" si="4"/>
        <v>-209589.27596</v>
      </c>
      <c r="F25" s="131">
        <f t="shared" si="4"/>
        <v>-75310.27103880256</v>
      </c>
      <c r="G25" s="131">
        <f t="shared" si="4"/>
        <v>-273397.83999999997</v>
      </c>
      <c r="H25" s="131">
        <f t="shared" si="4"/>
        <v>-42641.64</v>
      </c>
      <c r="I25" s="131">
        <f t="shared" si="4"/>
        <v>-153545</v>
      </c>
      <c r="J25" s="131">
        <f t="shared" si="4"/>
        <v>-184254</v>
      </c>
      <c r="K25" s="131">
        <f t="shared" si="4"/>
        <v>-157932</v>
      </c>
      <c r="L25" s="131">
        <f t="shared" si="4"/>
        <v>-55167.96487857495</v>
      </c>
      <c r="M25" s="131">
        <f t="shared" si="4"/>
        <v>601569.3455966924</v>
      </c>
      <c r="N25" s="131"/>
      <c r="O25" s="131">
        <f t="shared" si="4"/>
        <v>-239616.77009984807</v>
      </c>
      <c r="P25" s="131">
        <f t="shared" si="4"/>
        <v>30424.752391861428</v>
      </c>
      <c r="Q25" s="131">
        <f t="shared" si="4"/>
        <v>-13576.639072121101</v>
      </c>
      <c r="R25" s="131">
        <f t="shared" si="4"/>
        <v>-69588.17967458091</v>
      </c>
      <c r="S25" s="131">
        <f t="shared" si="4"/>
        <v>5647.326523669031</v>
      </c>
      <c r="T25" s="131">
        <f t="shared" si="4"/>
        <v>-10311.244423831393</v>
      </c>
      <c r="U25" s="131">
        <f t="shared" si="4"/>
        <v>-42791.84562667594</v>
      </c>
      <c r="V25" s="131">
        <f t="shared" si="4"/>
        <v>-7890.344838456762</v>
      </c>
      <c r="W25" s="131">
        <f t="shared" si="4"/>
        <v>-16981.76429010601</v>
      </c>
      <c r="X25" s="131">
        <f t="shared" si="4"/>
        <v>-52685.63788325219</v>
      </c>
      <c r="Y25" s="131">
        <f t="shared" si="4"/>
        <v>-47526.909741694864</v>
      </c>
      <c r="Z25" s="131">
        <f t="shared" si="4"/>
        <v>-111207.02814</v>
      </c>
      <c r="AA25" s="131">
        <f t="shared" si="4"/>
        <v>-249707.80681915532</v>
      </c>
      <c r="AB25" s="131">
        <f t="shared" si="4"/>
        <v>-271225.1323142609</v>
      </c>
      <c r="AC25" s="131">
        <f t="shared" si="4"/>
        <v>0</v>
      </c>
      <c r="AD25" s="131">
        <f t="shared" si="4"/>
        <v>0</v>
      </c>
      <c r="AE25" s="131">
        <f t="shared" si="4"/>
        <v>-858339.131776426</v>
      </c>
      <c r="AF25" s="131">
        <f t="shared" si="4"/>
        <v>-1926243.41772672</v>
      </c>
      <c r="AG25" s="131">
        <f t="shared" si="4"/>
        <v>-4740973.61991</v>
      </c>
      <c r="AH25" s="131">
        <f t="shared" si="4"/>
        <v>-861000</v>
      </c>
      <c r="AI25" s="131">
        <f aca="true" t="shared" si="5" ref="AI25:AN25">SUM(AI15:AI24)</f>
        <v>-136014.9</v>
      </c>
      <c r="AJ25" s="131">
        <f t="shared" si="5"/>
        <v>-111299.7</v>
      </c>
      <c r="AK25" s="131">
        <f t="shared" si="5"/>
        <v>-286501.2</v>
      </c>
      <c r="AL25" s="131">
        <f t="shared" si="5"/>
        <v>-31056.6</v>
      </c>
      <c r="AM25" s="131">
        <f t="shared" si="5"/>
        <v>-16991.7</v>
      </c>
      <c r="AN25" s="131">
        <f t="shared" si="5"/>
        <v>-346663.2</v>
      </c>
      <c r="AO25" s="1"/>
      <c r="AP25" s="1"/>
    </row>
    <row r="26" spans="1:42" ht="15">
      <c r="A26">
        <v>19</v>
      </c>
      <c r="B26" s="90" t="s">
        <v>121</v>
      </c>
      <c r="C26" s="37">
        <f t="shared" si="3"/>
        <v>-46706.10776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>
        <v>0</v>
      </c>
      <c r="X26" s="128"/>
      <c r="Y26" s="128"/>
      <c r="Z26" s="128"/>
      <c r="AA26" s="128"/>
      <c r="AB26" s="128"/>
      <c r="AC26" s="128">
        <f>-'Gadby WV'!D26</f>
        <v>-4777.115873761859</v>
      </c>
      <c r="AD26" s="128"/>
      <c r="AE26" s="128"/>
      <c r="AF26" s="128"/>
      <c r="AG26" s="128">
        <f>'Gadby WV'!I27</f>
        <v>-41928.99188623814</v>
      </c>
      <c r="AH26" s="128"/>
      <c r="AI26" s="128"/>
      <c r="AJ26" s="128"/>
      <c r="AK26" s="128"/>
      <c r="AL26" s="128"/>
      <c r="AM26" s="128"/>
      <c r="AN26" s="128"/>
      <c r="AO26" s="1"/>
      <c r="AP26" s="1"/>
    </row>
    <row r="27" spans="1:42" ht="15">
      <c r="A27">
        <v>20</v>
      </c>
      <c r="B27" s="90" t="s">
        <v>101</v>
      </c>
      <c r="C27" s="37">
        <f t="shared" si="3"/>
        <v>0</v>
      </c>
      <c r="D27" s="128"/>
      <c r="E27" s="128"/>
      <c r="F27" s="128"/>
      <c r="G27" s="128"/>
      <c r="H27" s="128"/>
      <c r="I27" s="128"/>
      <c r="J27" s="128"/>
      <c r="K27" s="128"/>
      <c r="L27" s="128">
        <v>0</v>
      </c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0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"/>
      <c r="AP27" s="1"/>
    </row>
    <row r="28" spans="1:42" ht="15">
      <c r="A28">
        <v>21</v>
      </c>
      <c r="B28" s="90" t="s">
        <v>122</v>
      </c>
      <c r="C28" s="37">
        <f t="shared" si="3"/>
        <v>-181444.82841999998</v>
      </c>
      <c r="D28" s="128">
        <f>D8*'cf'!$C$21</f>
        <v>0</v>
      </c>
      <c r="E28" s="128">
        <f>E8*'cf'!$C$21</f>
        <v>0</v>
      </c>
      <c r="F28" s="128">
        <f>F8*'cf'!$C$21</f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>
        <v>0</v>
      </c>
      <c r="X28" s="128"/>
      <c r="Y28" s="128"/>
      <c r="Z28" s="128"/>
      <c r="AA28" s="128"/>
      <c r="AB28" s="128"/>
      <c r="AC28" s="128">
        <f>-'Gadby WV'!D27</f>
        <v>-2324.734310491373</v>
      </c>
      <c r="AD28" s="128"/>
      <c r="AE28" s="128"/>
      <c r="AF28" s="128"/>
      <c r="AG28" s="128">
        <f>'Gadby WV'!I26</f>
        <v>-179120.09410950862</v>
      </c>
      <c r="AH28" s="128"/>
      <c r="AI28" s="128"/>
      <c r="AJ28" s="128"/>
      <c r="AK28" s="128"/>
      <c r="AL28" s="128"/>
      <c r="AM28" s="128"/>
      <c r="AN28" s="128"/>
      <c r="AO28" s="1"/>
      <c r="AP28" s="1"/>
    </row>
    <row r="29" spans="1:42" ht="15">
      <c r="A29">
        <v>22</v>
      </c>
      <c r="B29" s="90" t="s">
        <v>123</v>
      </c>
      <c r="C29" s="37">
        <f t="shared" si="3"/>
        <v>3335722.658956033</v>
      </c>
      <c r="D29" s="128">
        <f aca="true" t="shared" si="6" ref="D29:M29">D81</f>
        <v>201128.9210154</v>
      </c>
      <c r="E29" s="128">
        <f t="shared" si="6"/>
        <v>70025.8729909956</v>
      </c>
      <c r="F29" s="128">
        <f t="shared" si="6"/>
        <v>25161.914656774323</v>
      </c>
      <c r="G29" s="128">
        <f t="shared" si="6"/>
        <v>91344.95232239999</v>
      </c>
      <c r="H29" s="128">
        <f t="shared" si="6"/>
        <v>14246.998340399998</v>
      </c>
      <c r="I29" s="128">
        <f t="shared" si="6"/>
        <v>51300.919949999996</v>
      </c>
      <c r="J29" s="128">
        <f t="shared" si="6"/>
        <v>61561.10394</v>
      </c>
      <c r="K29" s="128">
        <f t="shared" si="6"/>
        <v>52766.66052</v>
      </c>
      <c r="L29" s="128">
        <f t="shared" si="6"/>
        <v>11621.87776446565</v>
      </c>
      <c r="M29" s="128">
        <f t="shared" si="6"/>
        <v>279985.6140377982</v>
      </c>
      <c r="N29" s="128"/>
      <c r="O29" s="128">
        <f aca="true" t="shared" si="7" ref="O29:AN29">O81</f>
        <v>218063.2576766321</v>
      </c>
      <c r="P29" s="128">
        <f t="shared" si="7"/>
        <v>20479.804814698688</v>
      </c>
      <c r="Q29" s="128">
        <f t="shared" si="7"/>
        <v>13359.013768058943</v>
      </c>
      <c r="R29" s="128">
        <f t="shared" si="7"/>
        <v>62832.43657828777</v>
      </c>
      <c r="S29" s="128">
        <f t="shared" si="7"/>
        <v>1818.6686070554488</v>
      </c>
      <c r="T29" s="128">
        <f t="shared" si="7"/>
        <v>9680.932619874398</v>
      </c>
      <c r="U29" s="128">
        <f t="shared" si="7"/>
        <v>33632.17280027387</v>
      </c>
      <c r="V29" s="128">
        <f t="shared" si="7"/>
        <v>9377.131151981397</v>
      </c>
      <c r="W29" s="128">
        <f t="shared" si="7"/>
        <v>14042.946688039225</v>
      </c>
      <c r="X29" s="128">
        <f t="shared" si="7"/>
        <v>17602.798473173385</v>
      </c>
      <c r="Y29" s="128">
        <f t="shared" si="7"/>
        <v>51539.99479979865</v>
      </c>
      <c r="Z29" s="128">
        <f t="shared" si="7"/>
        <v>37155.380171855395</v>
      </c>
      <c r="AA29" s="128">
        <f t="shared" si="7"/>
        <v>83429.87533634798</v>
      </c>
      <c r="AB29" s="128">
        <f t="shared" si="7"/>
        <v>90619.0289575177</v>
      </c>
      <c r="AC29" s="128">
        <f t="shared" si="7"/>
        <v>2372.799165060847</v>
      </c>
      <c r="AD29" s="128">
        <f t="shared" si="7"/>
        <v>162753.28250420818</v>
      </c>
      <c r="AE29" s="128">
        <f t="shared" si="7"/>
        <v>286779.68731782166</v>
      </c>
      <c r="AF29" s="128">
        <f t="shared" si="7"/>
        <v>643577.1882966744</v>
      </c>
      <c r="AG29" s="128">
        <f t="shared" si="7"/>
        <v>119562.45748743934</v>
      </c>
      <c r="AH29" s="128">
        <f t="shared" si="7"/>
        <v>287668.70999999996</v>
      </c>
      <c r="AI29" s="128">
        <f t="shared" si="7"/>
        <v>45443.938238999996</v>
      </c>
      <c r="AJ29" s="128">
        <f t="shared" si="7"/>
        <v>37186.342766999995</v>
      </c>
      <c r="AK29" s="128">
        <f t="shared" si="7"/>
        <v>95722.91593199999</v>
      </c>
      <c r="AL29" s="128">
        <f t="shared" si="7"/>
        <v>10376.320625999999</v>
      </c>
      <c r="AM29" s="128">
        <f t="shared" si="7"/>
        <v>5677.096887</v>
      </c>
      <c r="AN29" s="128">
        <f t="shared" si="7"/>
        <v>115823.641752</v>
      </c>
      <c r="AO29" s="1"/>
      <c r="AP29" s="1"/>
    </row>
    <row r="30" spans="1:42" ht="15">
      <c r="A30">
        <v>23</v>
      </c>
      <c r="B30" s="90" t="s">
        <v>124</v>
      </c>
      <c r="C30" s="37">
        <f t="shared" si="3"/>
        <v>453269.3086606325</v>
      </c>
      <c r="D30" s="128">
        <f aca="true" t="shared" si="8" ref="D30:M30">D78</f>
        <v>27330.079956</v>
      </c>
      <c r="E30" s="128">
        <f t="shared" si="8"/>
        <v>9515.353128584</v>
      </c>
      <c r="F30" s="128">
        <f t="shared" si="8"/>
        <v>3419.0863051616366</v>
      </c>
      <c r="G30" s="128">
        <f t="shared" si="8"/>
        <v>12412.261935999999</v>
      </c>
      <c r="H30" s="128">
        <f t="shared" si="8"/>
        <v>1935.930456</v>
      </c>
      <c r="I30" s="128">
        <f t="shared" si="8"/>
        <v>6970.943</v>
      </c>
      <c r="J30" s="128">
        <f t="shared" si="8"/>
        <v>8365.1316</v>
      </c>
      <c r="K30" s="128">
        <f t="shared" si="8"/>
        <v>7170.112800000001</v>
      </c>
      <c r="L30" s="128">
        <f t="shared" si="8"/>
        <v>1579.2201685275522</v>
      </c>
      <c r="M30" s="128">
        <f t="shared" si="8"/>
        <v>38045.39486191984</v>
      </c>
      <c r="N30" s="128"/>
      <c r="O30" s="128">
        <f aca="true" t="shared" si="9" ref="O30:AN30">O78</f>
        <v>29631.17505767292</v>
      </c>
      <c r="P30" s="128">
        <f t="shared" si="9"/>
        <v>2782.865339520878</v>
      </c>
      <c r="Q30" s="128">
        <f t="shared" si="9"/>
        <v>1815.2681005353807</v>
      </c>
      <c r="R30" s="128">
        <f t="shared" si="9"/>
        <v>8537.884590866077</v>
      </c>
      <c r="S30" s="128">
        <f t="shared" si="9"/>
        <v>247.12685870018072</v>
      </c>
      <c r="T30" s="128">
        <f t="shared" si="9"/>
        <v>1315.4779591819993</v>
      </c>
      <c r="U30" s="128">
        <f t="shared" si="9"/>
        <v>4570.053710252413</v>
      </c>
      <c r="V30" s="128">
        <f t="shared" si="9"/>
        <v>1274.196385322066</v>
      </c>
      <c r="W30" s="128">
        <f t="shared" si="9"/>
        <v>1908.2032253957707</v>
      </c>
      <c r="X30" s="128">
        <f t="shared" si="9"/>
        <v>2391.9279598996495</v>
      </c>
      <c r="Y30" s="128">
        <f t="shared" si="9"/>
        <v>7003.429301460175</v>
      </c>
      <c r="Z30" s="128">
        <f t="shared" si="9"/>
        <v>5048.799077556</v>
      </c>
      <c r="AA30" s="128">
        <f t="shared" si="9"/>
        <v>11336.734429589653</v>
      </c>
      <c r="AB30" s="128">
        <f t="shared" si="9"/>
        <v>12313.621007067444</v>
      </c>
      <c r="AC30" s="128">
        <f t="shared" si="9"/>
        <v>322.42399836509674</v>
      </c>
      <c r="AD30" s="128">
        <f t="shared" si="9"/>
        <v>22115.468036548</v>
      </c>
      <c r="AE30" s="128">
        <f t="shared" si="9"/>
        <v>38968.59658264974</v>
      </c>
      <c r="AF30" s="128">
        <f t="shared" si="9"/>
        <v>87451.45116479309</v>
      </c>
      <c r="AG30" s="128">
        <f t="shared" si="9"/>
        <v>16246.552243062903</v>
      </c>
      <c r="AH30" s="128">
        <f t="shared" si="9"/>
        <v>39089.4</v>
      </c>
      <c r="AI30" s="128">
        <f t="shared" si="9"/>
        <v>6175.07646</v>
      </c>
      <c r="AJ30" s="128">
        <f t="shared" si="9"/>
        <v>5053.00638</v>
      </c>
      <c r="AK30" s="128">
        <f t="shared" si="9"/>
        <v>13007.154480000001</v>
      </c>
      <c r="AL30" s="128">
        <f t="shared" si="9"/>
        <v>1409.96964</v>
      </c>
      <c r="AM30" s="128">
        <f t="shared" si="9"/>
        <v>771.4231800000001</v>
      </c>
      <c r="AN30" s="128">
        <f t="shared" si="9"/>
        <v>15738.509280000002</v>
      </c>
      <c r="AO30" s="1"/>
      <c r="AP30" s="1"/>
    </row>
    <row r="31" spans="1:42" ht="15">
      <c r="A31">
        <v>24</v>
      </c>
      <c r="B31" s="90" t="s">
        <v>125</v>
      </c>
      <c r="C31" s="37">
        <f t="shared" si="3"/>
        <v>0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"/>
      <c r="AP31" s="1"/>
    </row>
    <row r="32" spans="1:42" ht="15">
      <c r="A32">
        <v>25</v>
      </c>
      <c r="B32" s="90" t="s">
        <v>126</v>
      </c>
      <c r="C32" s="37">
        <f t="shared" si="3"/>
        <v>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"/>
      <c r="AP32" s="1"/>
    </row>
    <row r="33" spans="1:42" ht="15">
      <c r="A33">
        <v>26</v>
      </c>
      <c r="B33" s="90" t="s">
        <v>127</v>
      </c>
      <c r="C33" s="37">
        <f t="shared" si="3"/>
        <v>0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"/>
      <c r="AP33" s="1"/>
    </row>
    <row r="34" spans="1:42" ht="15.75" thickBot="1">
      <c r="A34">
        <v>27</v>
      </c>
      <c r="B34" s="125" t="s">
        <v>128</v>
      </c>
      <c r="C34" s="134">
        <f>SUM(D34:AN34)</f>
        <v>-8003532.448265619</v>
      </c>
      <c r="D34" s="132">
        <f>SUM(D25:D33)</f>
        <v>-373525.13902860007</v>
      </c>
      <c r="E34" s="132">
        <f aca="true" t="shared" si="10" ref="E34:AG34">SUM(E25:E33)</f>
        <v>-130048.04984042041</v>
      </c>
      <c r="F34" s="132">
        <f t="shared" si="10"/>
        <v>-46729.270076866596</v>
      </c>
      <c r="G34" s="132">
        <f t="shared" si="10"/>
        <v>-169640.62574159997</v>
      </c>
      <c r="H34" s="132">
        <f t="shared" si="10"/>
        <v>-26458.711203600004</v>
      </c>
      <c r="I34" s="132">
        <f t="shared" si="10"/>
        <v>-95273.13705</v>
      </c>
      <c r="J34" s="132">
        <f t="shared" si="10"/>
        <v>-114327.76446</v>
      </c>
      <c r="K34" s="132">
        <f t="shared" si="10"/>
        <v>-97995.22667999999</v>
      </c>
      <c r="L34" s="132">
        <f t="shared" si="10"/>
        <v>-41966.86694558175</v>
      </c>
      <c r="M34" s="132">
        <f t="shared" si="10"/>
        <v>919600.3544964103</v>
      </c>
      <c r="N34" s="132"/>
      <c r="O34" s="132">
        <f t="shared" si="10"/>
        <v>8077.662634456963</v>
      </c>
      <c r="P34" s="132">
        <f t="shared" si="10"/>
        <v>53687.42254608099</v>
      </c>
      <c r="Q34" s="132">
        <f t="shared" si="10"/>
        <v>1597.642796473223</v>
      </c>
      <c r="R34" s="132">
        <f t="shared" si="10"/>
        <v>1782.1414945729375</v>
      </c>
      <c r="S34" s="132">
        <f t="shared" si="10"/>
        <v>7713.121989424661</v>
      </c>
      <c r="T34" s="132">
        <f t="shared" si="10"/>
        <v>685.1661552250048</v>
      </c>
      <c r="U34" s="132">
        <f t="shared" si="10"/>
        <v>-4589.619116149658</v>
      </c>
      <c r="V34" s="132">
        <f t="shared" si="10"/>
        <v>2760.982698846701</v>
      </c>
      <c r="W34" s="132">
        <f t="shared" si="10"/>
        <v>-1030.6143766710145</v>
      </c>
      <c r="X34" s="132">
        <f t="shared" si="10"/>
        <v>-32690.91145017915</v>
      </c>
      <c r="Y34" s="132">
        <f t="shared" si="10"/>
        <v>11016.514359563964</v>
      </c>
      <c r="Z34" s="132">
        <f t="shared" si="10"/>
        <v>-69002.84889058859</v>
      </c>
      <c r="AA34" s="132">
        <f t="shared" si="10"/>
        <v>-154941.19705321768</v>
      </c>
      <c r="AB34" s="132">
        <f t="shared" si="10"/>
        <v>-168292.48234967573</v>
      </c>
      <c r="AC34" s="132">
        <f t="shared" si="10"/>
        <v>-4406.627020827287</v>
      </c>
      <c r="AD34" s="132">
        <f t="shared" si="10"/>
        <v>184868.75054075618</v>
      </c>
      <c r="AE34" s="132">
        <f t="shared" si="10"/>
        <v>-532590.8478759546</v>
      </c>
      <c r="AF34" s="132">
        <f t="shared" si="10"/>
        <v>-1195214.7782652525</v>
      </c>
      <c r="AG34" s="132">
        <f t="shared" si="10"/>
        <v>-4826213.696175244</v>
      </c>
      <c r="AH34" s="132">
        <f aca="true" t="shared" si="11" ref="AH34:AN34">SUM(AH25:AH33)</f>
        <v>-534241.89</v>
      </c>
      <c r="AI34" s="132">
        <f t="shared" si="11"/>
        <v>-84395.885301</v>
      </c>
      <c r="AJ34" s="132">
        <f t="shared" si="11"/>
        <v>-69060.350853</v>
      </c>
      <c r="AK34" s="132">
        <f t="shared" si="11"/>
        <v>-177771.12958800004</v>
      </c>
      <c r="AL34" s="132">
        <f t="shared" si="11"/>
        <v>-19270.309734</v>
      </c>
      <c r="AM34" s="132">
        <f t="shared" si="11"/>
        <v>-10543.179933000001</v>
      </c>
      <c r="AN34" s="132">
        <f t="shared" si="11"/>
        <v>-215101.04896800002</v>
      </c>
      <c r="AO34" s="1"/>
      <c r="AP34" s="1"/>
    </row>
    <row r="35" spans="1:42" ht="16.5" thickBot="1" thickTop="1">
      <c r="A35">
        <v>28</v>
      </c>
      <c r="B35" s="90"/>
      <c r="C35" s="134">
        <f>C11-C33</f>
        <v>487124.84661999997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"/>
      <c r="AP35" s="1"/>
    </row>
    <row r="36" spans="1:42" ht="16.5" thickBot="1" thickTop="1">
      <c r="A36">
        <v>29</v>
      </c>
      <c r="B36" s="133" t="s">
        <v>129</v>
      </c>
      <c r="C36" s="134">
        <f>C12-C34</f>
        <v>6194913.509489776</v>
      </c>
      <c r="D36" s="134">
        <f aca="true" t="shared" si="12" ref="D36:M36">D12-D34</f>
        <v>373525.13902860007</v>
      </c>
      <c r="E36" s="134">
        <f t="shared" si="12"/>
        <v>130048.04984042041</v>
      </c>
      <c r="F36" s="134">
        <f t="shared" si="12"/>
        <v>46729.270076866596</v>
      </c>
      <c r="G36" s="134">
        <f t="shared" si="12"/>
        <v>169640.62574159997</v>
      </c>
      <c r="H36" s="134">
        <f t="shared" si="12"/>
        <v>26458.711203600004</v>
      </c>
      <c r="I36" s="134">
        <f t="shared" si="12"/>
        <v>95273.13705</v>
      </c>
      <c r="J36" s="134">
        <f t="shared" si="12"/>
        <v>114327.76446</v>
      </c>
      <c r="K36" s="134">
        <f t="shared" si="12"/>
        <v>97995.22667999999</v>
      </c>
      <c r="L36" s="134">
        <f t="shared" si="12"/>
        <v>21583.487276864777</v>
      </c>
      <c r="M36" s="134">
        <f t="shared" si="12"/>
        <v>519973.28321305383</v>
      </c>
      <c r="N36" s="134"/>
      <c r="O36" s="134">
        <f aca="true" t="shared" si="13" ref="O36:AN36">O12-O34</f>
        <v>404974.62139945966</v>
      </c>
      <c r="P36" s="134">
        <f t="shared" si="13"/>
        <v>38033.92322729757</v>
      </c>
      <c r="Q36" s="134">
        <f t="shared" si="13"/>
        <v>24809.596997823755</v>
      </c>
      <c r="R36" s="134">
        <f t="shared" si="13"/>
        <v>116688.81078824871</v>
      </c>
      <c r="S36" s="134">
        <f t="shared" si="13"/>
        <v>3377.5274131029764</v>
      </c>
      <c r="T36" s="134">
        <f t="shared" si="13"/>
        <v>17978.87486548103</v>
      </c>
      <c r="U36" s="134">
        <f t="shared" si="13"/>
        <v>62459.7494862229</v>
      </c>
      <c r="V36" s="134">
        <f t="shared" si="13"/>
        <v>17414.672139394024</v>
      </c>
      <c r="W36" s="134">
        <f t="shared" si="13"/>
        <v>26079.758134929994</v>
      </c>
      <c r="X36" s="134">
        <f t="shared" si="13"/>
        <v>32690.91145017915</v>
      </c>
      <c r="Y36" s="134">
        <f t="shared" si="13"/>
        <v>95717.13319962609</v>
      </c>
      <c r="Z36" s="134">
        <f t="shared" si="13"/>
        <v>69002.84889058859</v>
      </c>
      <c r="AA36" s="134">
        <f t="shared" si="13"/>
        <v>154941.19705321768</v>
      </c>
      <c r="AB36" s="134">
        <f t="shared" si="13"/>
        <v>168292.48234967573</v>
      </c>
      <c r="AC36" s="134">
        <f t="shared" si="13"/>
        <v>4406.627020827287</v>
      </c>
      <c r="AD36" s="134">
        <f t="shared" si="13"/>
        <v>302256.0960792438</v>
      </c>
      <c r="AE36" s="134">
        <f t="shared" si="13"/>
        <v>532590.8478759546</v>
      </c>
      <c r="AF36" s="134">
        <f t="shared" si="13"/>
        <v>1195214.7782652525</v>
      </c>
      <c r="AG36" s="134">
        <f t="shared" si="13"/>
        <v>222044.56390524376</v>
      </c>
      <c r="AH36" s="134">
        <f>AH12-AH34</f>
        <v>534241.89</v>
      </c>
      <c r="AI36" s="134">
        <f t="shared" si="13"/>
        <v>84395.885301</v>
      </c>
      <c r="AJ36" s="134">
        <f t="shared" si="13"/>
        <v>69060.350853</v>
      </c>
      <c r="AK36" s="134">
        <f t="shared" si="13"/>
        <v>177771.12958800004</v>
      </c>
      <c r="AL36" s="134">
        <f t="shared" si="13"/>
        <v>19270.309734</v>
      </c>
      <c r="AM36" s="134">
        <f t="shared" si="13"/>
        <v>10543.179933000001</v>
      </c>
      <c r="AN36" s="134">
        <f t="shared" si="13"/>
        <v>215101.04896800002</v>
      </c>
      <c r="AO36" s="1"/>
      <c r="AP36" s="1"/>
    </row>
    <row r="37" spans="1:42" ht="15.75" thickTop="1">
      <c r="A37">
        <v>30</v>
      </c>
      <c r="B37" s="273"/>
      <c r="C37" s="3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"/>
      <c r="AP37" s="1"/>
    </row>
    <row r="38" spans="1:42" ht="15">
      <c r="A38">
        <v>31</v>
      </c>
      <c r="B38" s="125" t="s">
        <v>130</v>
      </c>
      <c r="C38" s="3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O38" s="1"/>
      <c r="AP38" s="1"/>
    </row>
    <row r="39" spans="1:42" ht="15">
      <c r="A39">
        <v>32</v>
      </c>
      <c r="B39" s="90" t="s">
        <v>131</v>
      </c>
      <c r="C39" s="37">
        <f aca="true" t="shared" si="14" ref="C39:C49">SUM(D39:AN39)</f>
        <v>-6433788.717639999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f>-'Gadby WV'!D25</f>
        <v>-658050</v>
      </c>
      <c r="AD39" s="128"/>
      <c r="AE39" s="128"/>
      <c r="AF39" s="128"/>
      <c r="AG39" s="128">
        <f>'Gadby WV'!I29</f>
        <v>-5775738.717639999</v>
      </c>
      <c r="AH39" s="128"/>
      <c r="AI39" s="128"/>
      <c r="AJ39" s="128"/>
      <c r="AK39" s="128"/>
      <c r="AL39" s="128"/>
      <c r="AM39" s="128"/>
      <c r="AN39" s="128"/>
      <c r="AO39" s="1"/>
      <c r="AP39" s="1"/>
    </row>
    <row r="40" spans="1:42" ht="15">
      <c r="A40">
        <v>33</v>
      </c>
      <c r="B40" s="90" t="s">
        <v>132</v>
      </c>
      <c r="C40" s="37">
        <f t="shared" si="14"/>
        <v>0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"/>
      <c r="AP40" s="1"/>
    </row>
    <row r="41" spans="1:42" ht="15">
      <c r="A41">
        <v>34</v>
      </c>
      <c r="B41" s="90" t="s">
        <v>133</v>
      </c>
      <c r="C41" s="37">
        <f t="shared" si="14"/>
        <v>0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"/>
      <c r="AP41" s="1"/>
    </row>
    <row r="42" spans="1:42" ht="15">
      <c r="A42">
        <v>35</v>
      </c>
      <c r="B42" s="90" t="s">
        <v>134</v>
      </c>
      <c r="C42" s="37">
        <f t="shared" si="14"/>
        <v>0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"/>
      <c r="AP42" s="1"/>
    </row>
    <row r="43" spans="1:42" ht="15">
      <c r="A43">
        <v>36</v>
      </c>
      <c r="B43" s="90" t="s">
        <v>135</v>
      </c>
      <c r="C43" s="37">
        <f t="shared" si="14"/>
        <v>0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"/>
      <c r="AP43" s="1"/>
    </row>
    <row r="44" spans="1:42" ht="15">
      <c r="A44">
        <v>37</v>
      </c>
      <c r="B44" s="90" t="s">
        <v>136</v>
      </c>
      <c r="C44" s="37">
        <f t="shared" si="14"/>
        <v>0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"/>
      <c r="AP44" s="1"/>
    </row>
    <row r="45" spans="1:42" ht="15">
      <c r="A45">
        <v>38</v>
      </c>
      <c r="B45" s="90" t="s">
        <v>137</v>
      </c>
      <c r="C45" s="37">
        <f t="shared" si="14"/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"/>
      <c r="AP45" s="1"/>
    </row>
    <row r="46" spans="1:42" ht="15">
      <c r="A46">
        <v>39</v>
      </c>
      <c r="B46" s="90" t="s">
        <v>138</v>
      </c>
      <c r="C46" s="37">
        <f t="shared" si="14"/>
        <v>0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"/>
      <c r="AP46" s="1"/>
    </row>
    <row r="47" spans="1:42" ht="15">
      <c r="A47">
        <v>40</v>
      </c>
      <c r="B47" s="90" t="s">
        <v>102</v>
      </c>
      <c r="C47" s="37">
        <f t="shared" si="14"/>
        <v>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"/>
      <c r="AP47" s="1"/>
    </row>
    <row r="48" spans="1:42" ht="15">
      <c r="A48">
        <v>41</v>
      </c>
      <c r="B48" s="90" t="s">
        <v>139</v>
      </c>
      <c r="C48" s="37">
        <f t="shared" si="14"/>
        <v>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"/>
      <c r="AP48" s="1"/>
    </row>
    <row r="49" spans="1:42" ht="15">
      <c r="A49">
        <v>42</v>
      </c>
      <c r="B49" s="90" t="s">
        <v>140</v>
      </c>
      <c r="C49" s="37">
        <f t="shared" si="14"/>
        <v>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"/>
      <c r="AP49" s="1"/>
    </row>
    <row r="50" spans="1:42" ht="15">
      <c r="A50">
        <v>43</v>
      </c>
      <c r="B50" s="125" t="s">
        <v>141</v>
      </c>
      <c r="C50" s="132">
        <f>SUM(D50:AG50)</f>
        <v>-6433788.717639999</v>
      </c>
      <c r="D50" s="132">
        <f aca="true" t="shared" si="15" ref="D50:AF50">SUM(D39:D49)</f>
        <v>0</v>
      </c>
      <c r="E50" s="132">
        <f t="shared" si="15"/>
        <v>0</v>
      </c>
      <c r="F50" s="132">
        <f t="shared" si="15"/>
        <v>0</v>
      </c>
      <c r="G50" s="132"/>
      <c r="H50" s="132">
        <f t="shared" si="15"/>
        <v>0</v>
      </c>
      <c r="I50" s="132">
        <f t="shared" si="15"/>
        <v>0</v>
      </c>
      <c r="J50" s="132">
        <f t="shared" si="15"/>
        <v>0</v>
      </c>
      <c r="K50" s="132">
        <f t="shared" si="15"/>
        <v>0</v>
      </c>
      <c r="L50" s="132">
        <f t="shared" si="15"/>
        <v>0</v>
      </c>
      <c r="M50" s="132">
        <f t="shared" si="15"/>
        <v>0</v>
      </c>
      <c r="N50" s="132">
        <f t="shared" si="15"/>
        <v>0</v>
      </c>
      <c r="O50" s="132">
        <f t="shared" si="15"/>
        <v>0</v>
      </c>
      <c r="P50" s="132">
        <f t="shared" si="15"/>
        <v>0</v>
      </c>
      <c r="Q50" s="132">
        <f t="shared" si="15"/>
        <v>0</v>
      </c>
      <c r="R50" s="132">
        <f t="shared" si="15"/>
        <v>0</v>
      </c>
      <c r="S50" s="132">
        <f t="shared" si="15"/>
        <v>0</v>
      </c>
      <c r="T50" s="132">
        <f t="shared" si="15"/>
        <v>0</v>
      </c>
      <c r="U50" s="132">
        <f t="shared" si="15"/>
        <v>0</v>
      </c>
      <c r="V50" s="132">
        <f t="shared" si="15"/>
        <v>0</v>
      </c>
      <c r="W50" s="132">
        <f t="shared" si="15"/>
        <v>0</v>
      </c>
      <c r="X50" s="132">
        <f t="shared" si="15"/>
        <v>0</v>
      </c>
      <c r="Y50" s="132">
        <f t="shared" si="15"/>
        <v>0</v>
      </c>
      <c r="Z50" s="132">
        <f t="shared" si="15"/>
        <v>0</v>
      </c>
      <c r="AA50" s="132">
        <f t="shared" si="15"/>
        <v>0</v>
      </c>
      <c r="AB50" s="132">
        <f t="shared" si="15"/>
        <v>0</v>
      </c>
      <c r="AC50" s="132">
        <f t="shared" si="15"/>
        <v>-658050</v>
      </c>
      <c r="AD50" s="132">
        <f t="shared" si="15"/>
        <v>0</v>
      </c>
      <c r="AE50" s="132">
        <f t="shared" si="15"/>
        <v>0</v>
      </c>
      <c r="AF50" s="132">
        <f t="shared" si="15"/>
        <v>0</v>
      </c>
      <c r="AG50" s="132">
        <f>SUM(AG39:AG49)</f>
        <v>-5775738.717639999</v>
      </c>
      <c r="AH50" s="132"/>
      <c r="AI50" s="132"/>
      <c r="AJ50" s="132"/>
      <c r="AK50" s="132"/>
      <c r="AL50" s="132"/>
      <c r="AM50" s="132"/>
      <c r="AN50" s="132"/>
      <c r="AO50" s="1"/>
      <c r="AP50" s="1"/>
    </row>
    <row r="51" spans="1:42" ht="15">
      <c r="A51">
        <v>44</v>
      </c>
      <c r="B51" s="90"/>
      <c r="C51" s="3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"/>
      <c r="AP51" s="1"/>
    </row>
    <row r="52" spans="1:42" ht="15">
      <c r="A52">
        <v>45</v>
      </c>
      <c r="B52" s="125" t="s">
        <v>142</v>
      </c>
      <c r="C52" s="3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"/>
      <c r="AP52" s="1"/>
    </row>
    <row r="53" spans="1:42" ht="15">
      <c r="A53">
        <v>46</v>
      </c>
      <c r="B53" s="90" t="s">
        <v>143</v>
      </c>
      <c r="C53" s="37">
        <f aca="true" t="shared" si="16" ref="C53:C59">SUM(D53:AN53)</f>
        <v>0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"/>
      <c r="AP53" s="1"/>
    </row>
    <row r="54" spans="1:42" ht="15">
      <c r="A54">
        <v>47</v>
      </c>
      <c r="B54" s="90" t="s">
        <v>144</v>
      </c>
      <c r="C54" s="37">
        <f t="shared" si="16"/>
        <v>0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"/>
      <c r="AP54" s="1"/>
    </row>
    <row r="55" spans="1:42" ht="15">
      <c r="A55">
        <v>48</v>
      </c>
      <c r="B55" s="90" t="s">
        <v>145</v>
      </c>
      <c r="C55" s="37">
        <f t="shared" si="16"/>
        <v>0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"/>
      <c r="AP55" s="1"/>
    </row>
    <row r="56" spans="1:42" ht="15">
      <c r="A56">
        <v>49</v>
      </c>
      <c r="B56" s="90" t="s">
        <v>146</v>
      </c>
      <c r="C56" s="37">
        <f t="shared" si="16"/>
        <v>0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"/>
      <c r="AP56" s="1"/>
    </row>
    <row r="57" spans="1:42" ht="15">
      <c r="A57">
        <v>50</v>
      </c>
      <c r="B57" s="90" t="s">
        <v>147</v>
      </c>
      <c r="C57" s="37">
        <f t="shared" si="16"/>
        <v>0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"/>
      <c r="AP57" s="1"/>
    </row>
    <row r="58" spans="1:42" ht="15">
      <c r="A58">
        <v>51</v>
      </c>
      <c r="B58" s="90" t="s">
        <v>148</v>
      </c>
      <c r="C58" s="37">
        <f t="shared" si="16"/>
        <v>0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"/>
      <c r="AP58" s="1"/>
    </row>
    <row r="59" spans="1:42" ht="15">
      <c r="A59">
        <v>52</v>
      </c>
      <c r="B59" s="90" t="s">
        <v>149</v>
      </c>
      <c r="C59" s="37">
        <f t="shared" si="16"/>
        <v>0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"/>
      <c r="AP59" s="1"/>
    </row>
    <row r="60" spans="1:42" ht="15">
      <c r="A60">
        <v>53</v>
      </c>
      <c r="B60" s="90"/>
      <c r="C60" s="3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"/>
      <c r="AP60" s="1"/>
    </row>
    <row r="61" spans="1:42" ht="15">
      <c r="A61">
        <v>54</v>
      </c>
      <c r="B61" s="125" t="s">
        <v>150</v>
      </c>
      <c r="C61" s="132">
        <f aca="true" t="shared" si="17" ref="C61:AG61">SUM(C53:C60)</f>
        <v>0</v>
      </c>
      <c r="D61" s="132">
        <f t="shared" si="17"/>
        <v>0</v>
      </c>
      <c r="E61" s="132">
        <f t="shared" si="17"/>
        <v>0</v>
      </c>
      <c r="F61" s="132">
        <f t="shared" si="17"/>
        <v>0</v>
      </c>
      <c r="G61" s="132"/>
      <c r="H61" s="132">
        <f t="shared" si="17"/>
        <v>0</v>
      </c>
      <c r="I61" s="132">
        <f t="shared" si="17"/>
        <v>0</v>
      </c>
      <c r="J61" s="132">
        <f t="shared" si="17"/>
        <v>0</v>
      </c>
      <c r="K61" s="132">
        <f t="shared" si="17"/>
        <v>0</v>
      </c>
      <c r="L61" s="132">
        <f t="shared" si="17"/>
        <v>0</v>
      </c>
      <c r="M61" s="132">
        <f t="shared" si="17"/>
        <v>0</v>
      </c>
      <c r="N61" s="132">
        <f t="shared" si="17"/>
        <v>0</v>
      </c>
      <c r="O61" s="132">
        <f t="shared" si="17"/>
        <v>0</v>
      </c>
      <c r="P61" s="132">
        <f t="shared" si="17"/>
        <v>0</v>
      </c>
      <c r="Q61" s="132">
        <f t="shared" si="17"/>
        <v>0</v>
      </c>
      <c r="R61" s="132">
        <f t="shared" si="17"/>
        <v>0</v>
      </c>
      <c r="S61" s="132">
        <f t="shared" si="17"/>
        <v>0</v>
      </c>
      <c r="T61" s="132">
        <f t="shared" si="17"/>
        <v>0</v>
      </c>
      <c r="U61" s="132">
        <f t="shared" si="17"/>
        <v>0</v>
      </c>
      <c r="V61" s="132">
        <f t="shared" si="17"/>
        <v>0</v>
      </c>
      <c r="W61" s="132">
        <f t="shared" si="17"/>
        <v>0</v>
      </c>
      <c r="X61" s="132">
        <f t="shared" si="17"/>
        <v>0</v>
      </c>
      <c r="Y61" s="132">
        <f t="shared" si="17"/>
        <v>0</v>
      </c>
      <c r="Z61" s="132">
        <f t="shared" si="17"/>
        <v>0</v>
      </c>
      <c r="AA61" s="132">
        <f t="shared" si="17"/>
        <v>0</v>
      </c>
      <c r="AB61" s="132">
        <f t="shared" si="17"/>
        <v>0</v>
      </c>
      <c r="AC61" s="132">
        <f t="shared" si="17"/>
        <v>0</v>
      </c>
      <c r="AD61" s="132">
        <f t="shared" si="17"/>
        <v>0</v>
      </c>
      <c r="AE61" s="132">
        <f t="shared" si="17"/>
        <v>0</v>
      </c>
      <c r="AF61" s="132">
        <f t="shared" si="17"/>
        <v>0</v>
      </c>
      <c r="AG61" s="132">
        <f t="shared" si="17"/>
        <v>0</v>
      </c>
      <c r="AH61" s="132"/>
      <c r="AI61" s="132"/>
      <c r="AJ61" s="132"/>
      <c r="AK61" s="132"/>
      <c r="AL61" s="132"/>
      <c r="AM61" s="132"/>
      <c r="AN61" s="132"/>
      <c r="AO61" s="1"/>
      <c r="AP61" s="1"/>
    </row>
    <row r="62" spans="1:42" ht="15">
      <c r="A62">
        <v>55</v>
      </c>
      <c r="B62" s="90"/>
      <c r="C62" s="3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"/>
      <c r="AP62" s="1"/>
    </row>
    <row r="63" spans="1:42" ht="15">
      <c r="A63">
        <v>56</v>
      </c>
      <c r="B63" s="127" t="s">
        <v>151</v>
      </c>
      <c r="C63" s="135">
        <f>C50+C61</f>
        <v>-6433788.717639999</v>
      </c>
      <c r="D63" s="135">
        <f>D50+D61</f>
        <v>0</v>
      </c>
      <c r="E63" s="135">
        <f>E50+E61</f>
        <v>0</v>
      </c>
      <c r="F63" s="135">
        <f>F50+F61</f>
        <v>0</v>
      </c>
      <c r="G63" s="135"/>
      <c r="H63" s="135">
        <f aca="true" t="shared" si="18" ref="H63:AG63">H50+H61</f>
        <v>0</v>
      </c>
      <c r="I63" s="135">
        <f t="shared" si="18"/>
        <v>0</v>
      </c>
      <c r="J63" s="135">
        <f t="shared" si="18"/>
        <v>0</v>
      </c>
      <c r="K63" s="135">
        <f t="shared" si="18"/>
        <v>0</v>
      </c>
      <c r="L63" s="135">
        <f t="shared" si="18"/>
        <v>0</v>
      </c>
      <c r="M63" s="135">
        <f t="shared" si="18"/>
        <v>0</v>
      </c>
      <c r="N63" s="135">
        <f t="shared" si="18"/>
        <v>0</v>
      </c>
      <c r="O63" s="135">
        <f t="shared" si="18"/>
        <v>0</v>
      </c>
      <c r="P63" s="135">
        <f t="shared" si="18"/>
        <v>0</v>
      </c>
      <c r="Q63" s="135">
        <f t="shared" si="18"/>
        <v>0</v>
      </c>
      <c r="R63" s="135">
        <f t="shared" si="18"/>
        <v>0</v>
      </c>
      <c r="S63" s="135">
        <f t="shared" si="18"/>
        <v>0</v>
      </c>
      <c r="T63" s="135">
        <f t="shared" si="18"/>
        <v>0</v>
      </c>
      <c r="U63" s="135">
        <f t="shared" si="18"/>
        <v>0</v>
      </c>
      <c r="V63" s="135">
        <f t="shared" si="18"/>
        <v>0</v>
      </c>
      <c r="W63" s="135">
        <f t="shared" si="18"/>
        <v>0</v>
      </c>
      <c r="X63" s="135">
        <f t="shared" si="18"/>
        <v>0</v>
      </c>
      <c r="Y63" s="135">
        <f t="shared" si="18"/>
        <v>0</v>
      </c>
      <c r="Z63" s="135">
        <f t="shared" si="18"/>
        <v>0</v>
      </c>
      <c r="AA63" s="135">
        <f t="shared" si="18"/>
        <v>0</v>
      </c>
      <c r="AB63" s="135">
        <f t="shared" si="18"/>
        <v>0</v>
      </c>
      <c r="AC63" s="135">
        <f t="shared" si="18"/>
        <v>-658050</v>
      </c>
      <c r="AD63" s="135">
        <f t="shared" si="18"/>
        <v>0</v>
      </c>
      <c r="AE63" s="135">
        <f t="shared" si="18"/>
        <v>0</v>
      </c>
      <c r="AF63" s="135">
        <f t="shared" si="18"/>
        <v>0</v>
      </c>
      <c r="AG63" s="135">
        <f t="shared" si="18"/>
        <v>-5775738.717639999</v>
      </c>
      <c r="AH63" s="135"/>
      <c r="AI63" s="135"/>
      <c r="AJ63" s="135"/>
      <c r="AK63" s="135"/>
      <c r="AL63" s="135"/>
      <c r="AM63" s="135"/>
      <c r="AN63" s="135"/>
      <c r="AO63" s="1"/>
      <c r="AP63" s="1"/>
    </row>
    <row r="64" spans="1:42" ht="15">
      <c r="A64" s="184">
        <v>57</v>
      </c>
      <c r="B64" s="90"/>
      <c r="C64" s="1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"/>
      <c r="AP64" s="1"/>
    </row>
    <row r="65" spans="1:42" ht="15.75" thickBot="1">
      <c r="A65" s="184">
        <v>58</v>
      </c>
      <c r="B65" s="137"/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"/>
      <c r="AP65" s="1"/>
    </row>
    <row r="66" spans="1:42" ht="15">
      <c r="A66" s="184">
        <v>59</v>
      </c>
      <c r="B66" s="90"/>
      <c r="C66" s="1"/>
      <c r="D66" s="90"/>
      <c r="E66" s="90"/>
      <c r="F66" s="90"/>
      <c r="G66" s="90"/>
      <c r="H66" s="90"/>
      <c r="I66" s="9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150" customFormat="1" ht="15">
      <c r="A67" s="274">
        <v>60</v>
      </c>
      <c r="B67" s="90" t="s">
        <v>152</v>
      </c>
      <c r="C67" s="1"/>
      <c r="D67" s="90" t="s">
        <v>153</v>
      </c>
      <c r="E67" s="90"/>
      <c r="F67" s="140">
        <f>4.54%</f>
        <v>0.0454</v>
      </c>
      <c r="G67" s="140"/>
      <c r="H67" s="90"/>
      <c r="I67" s="9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150" customFormat="1" ht="15">
      <c r="A68" s="274">
        <v>61</v>
      </c>
      <c r="B68" s="90" t="s">
        <v>94</v>
      </c>
      <c r="C68" s="1"/>
      <c r="D68" s="90" t="s">
        <v>154</v>
      </c>
      <c r="E68" s="90"/>
      <c r="F68" s="140">
        <v>0.35</v>
      </c>
      <c r="G68" s="140"/>
      <c r="H68" s="90"/>
      <c r="I68" s="9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50" customFormat="1" ht="15">
      <c r="A69" s="150">
        <v>62</v>
      </c>
      <c r="B69" s="90"/>
      <c r="C69" s="1"/>
      <c r="D69" s="90"/>
      <c r="E69" s="90"/>
      <c r="F69" s="140"/>
      <c r="G69" s="140"/>
      <c r="H69" s="90"/>
      <c r="I69" s="9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150" customFormat="1" ht="15">
      <c r="A70" s="150">
        <v>63</v>
      </c>
      <c r="B70" s="90" t="s">
        <v>155</v>
      </c>
      <c r="C70" s="128">
        <f>C12-C25-C26-C27-C28-C33</f>
        <v>9983905.477106439</v>
      </c>
      <c r="D70" s="128">
        <f>D12-D25-D26-D27-D28-D33</f>
        <v>601984.14</v>
      </c>
      <c r="E70" s="128">
        <f>E12-E25-E26-E27-E28-E33</f>
        <v>209589.27596</v>
      </c>
      <c r="F70" s="128">
        <f>F12-F25-F26-F27-F28-F33</f>
        <v>75310.27103880256</v>
      </c>
      <c r="G70" s="128">
        <f aca="true" t="shared" si="19" ref="G70:AH70">G12-G25-G26-G27-G28-G33</f>
        <v>273397.83999999997</v>
      </c>
      <c r="H70" s="128">
        <f t="shared" si="19"/>
        <v>42641.64</v>
      </c>
      <c r="I70" s="128">
        <f t="shared" si="19"/>
        <v>153545</v>
      </c>
      <c r="J70" s="128">
        <f t="shared" si="19"/>
        <v>184254</v>
      </c>
      <c r="K70" s="128">
        <f t="shared" si="19"/>
        <v>157932</v>
      </c>
      <c r="L70" s="128">
        <f t="shared" si="19"/>
        <v>34784.58520985798</v>
      </c>
      <c r="M70" s="128">
        <f t="shared" si="19"/>
        <v>838004.2921127718</v>
      </c>
      <c r="N70" s="128">
        <f t="shared" si="19"/>
        <v>0</v>
      </c>
      <c r="O70" s="128">
        <f t="shared" si="19"/>
        <v>652669.0541337647</v>
      </c>
      <c r="P70" s="128">
        <f t="shared" si="19"/>
        <v>61296.59338151713</v>
      </c>
      <c r="Q70" s="128">
        <f t="shared" si="19"/>
        <v>39983.878866418076</v>
      </c>
      <c r="R70" s="128">
        <f t="shared" si="19"/>
        <v>188059.13195740257</v>
      </c>
      <c r="S70" s="128">
        <f t="shared" si="19"/>
        <v>5443.322878858606</v>
      </c>
      <c r="T70" s="128">
        <f t="shared" si="19"/>
        <v>28975.285444537425</v>
      </c>
      <c r="U70" s="128">
        <f t="shared" si="19"/>
        <v>100661.97599674918</v>
      </c>
      <c r="V70" s="128">
        <f t="shared" si="19"/>
        <v>28065.999676697487</v>
      </c>
      <c r="W70" s="128">
        <f t="shared" si="19"/>
        <v>42030.90804836499</v>
      </c>
      <c r="X70" s="128">
        <f t="shared" si="19"/>
        <v>52685.63788325219</v>
      </c>
      <c r="Y70" s="128">
        <f t="shared" si="19"/>
        <v>154260.55730088492</v>
      </c>
      <c r="Z70" s="128">
        <f t="shared" si="19"/>
        <v>111207.02814</v>
      </c>
      <c r="AA70" s="128">
        <f t="shared" si="19"/>
        <v>249707.80681915532</v>
      </c>
      <c r="AB70" s="128">
        <f t="shared" si="19"/>
        <v>271225.1323142609</v>
      </c>
      <c r="AC70" s="128">
        <f t="shared" si="19"/>
        <v>7101.850184253231</v>
      </c>
      <c r="AD70" s="128">
        <f t="shared" si="19"/>
        <v>487124.84661999997</v>
      </c>
      <c r="AE70" s="128">
        <f t="shared" si="19"/>
        <v>858339.131776426</v>
      </c>
      <c r="AF70" s="128">
        <f t="shared" si="19"/>
        <v>1926243.41772672</v>
      </c>
      <c r="AG70" s="128">
        <f t="shared" si="19"/>
        <v>357853.5736357467</v>
      </c>
      <c r="AH70" s="128">
        <f t="shared" si="19"/>
        <v>861000</v>
      </c>
      <c r="AI70" s="128">
        <f aca="true" t="shared" si="20" ref="AI70:AN70">AI12-AI25-AI26-AI27-AI28-AI33</f>
        <v>136014.9</v>
      </c>
      <c r="AJ70" s="128">
        <f t="shared" si="20"/>
        <v>111299.7</v>
      </c>
      <c r="AK70" s="128">
        <f t="shared" si="20"/>
        <v>286501.2</v>
      </c>
      <c r="AL70" s="128">
        <f t="shared" si="20"/>
        <v>31056.6</v>
      </c>
      <c r="AM70" s="128">
        <f t="shared" si="20"/>
        <v>16991.7</v>
      </c>
      <c r="AN70" s="128">
        <f t="shared" si="20"/>
        <v>346663.2</v>
      </c>
      <c r="AO70" s="1"/>
      <c r="AP70" s="1"/>
    </row>
    <row r="71" spans="1:42" s="150" customFormat="1" ht="15">
      <c r="A71" s="150">
        <v>64</v>
      </c>
      <c r="B71" s="90" t="s">
        <v>156</v>
      </c>
      <c r="C71" s="37">
        <f>SUM(D71:AN71)</f>
        <v>0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"/>
      <c r="AP71" s="1"/>
    </row>
    <row r="72" spans="1:42" s="150" customFormat="1" ht="15">
      <c r="A72" s="150">
        <v>65</v>
      </c>
      <c r="B72" s="90" t="s">
        <v>157</v>
      </c>
      <c r="C72" s="37">
        <f>SUM(D72:AN72)</f>
        <v>0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"/>
      <c r="AP72" s="1"/>
    </row>
    <row r="73" spans="1:42" s="150" customFormat="1" ht="15">
      <c r="A73" s="150">
        <v>66</v>
      </c>
      <c r="B73" s="90" t="s">
        <v>97</v>
      </c>
      <c r="C73" s="37">
        <f>SUM(D73:AN73)</f>
        <v>0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"/>
      <c r="AP73" s="1"/>
    </row>
    <row r="74" spans="1:42" s="150" customFormat="1" ht="15">
      <c r="A74" s="150">
        <v>67</v>
      </c>
      <c r="B74" s="90" t="s">
        <v>158</v>
      </c>
      <c r="C74" s="37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"/>
      <c r="AP74" s="1"/>
    </row>
    <row r="75" spans="1:42" s="150" customFormat="1" ht="15">
      <c r="A75" s="150">
        <v>68</v>
      </c>
      <c r="B75" s="90" t="s">
        <v>159</v>
      </c>
      <c r="C75" s="275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1"/>
      <c r="AP75" s="1"/>
    </row>
    <row r="76" spans="1:42" s="150" customFormat="1" ht="15">
      <c r="A76" s="150">
        <v>69</v>
      </c>
      <c r="B76" s="90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"/>
      <c r="AP76" s="1"/>
    </row>
    <row r="77" spans="1:42" s="150" customFormat="1" ht="15">
      <c r="A77" s="150">
        <v>70</v>
      </c>
      <c r="B77" s="90" t="s">
        <v>160</v>
      </c>
      <c r="C77" s="37">
        <f>C70-C71-C72-C73+C74-C75</f>
        <v>9983905.477106439</v>
      </c>
      <c r="D77" s="37">
        <f>D70-D71-D72-D73+D74-D75</f>
        <v>601984.14</v>
      </c>
      <c r="E77" s="37">
        <f>E70-E71-E72-E73+E74-E75</f>
        <v>209589.27596</v>
      </c>
      <c r="F77" s="37">
        <f>F70-F71-F72-F73+F74-F75</f>
        <v>75310.27103880256</v>
      </c>
      <c r="G77" s="37">
        <f aca="true" t="shared" si="21" ref="G77:AH77">G70-G71-G72-G73+G74-G75</f>
        <v>273397.83999999997</v>
      </c>
      <c r="H77" s="37">
        <f t="shared" si="21"/>
        <v>42641.64</v>
      </c>
      <c r="I77" s="37">
        <f t="shared" si="21"/>
        <v>153545</v>
      </c>
      <c r="J77" s="37">
        <f t="shared" si="21"/>
        <v>184254</v>
      </c>
      <c r="K77" s="37">
        <f t="shared" si="21"/>
        <v>157932</v>
      </c>
      <c r="L77" s="37">
        <f t="shared" si="21"/>
        <v>34784.58520985798</v>
      </c>
      <c r="M77" s="37">
        <f t="shared" si="21"/>
        <v>838004.2921127718</v>
      </c>
      <c r="N77" s="37">
        <f t="shared" si="21"/>
        <v>0</v>
      </c>
      <c r="O77" s="37">
        <f t="shared" si="21"/>
        <v>652669.0541337647</v>
      </c>
      <c r="P77" s="37">
        <f t="shared" si="21"/>
        <v>61296.59338151713</v>
      </c>
      <c r="Q77" s="37">
        <f t="shared" si="21"/>
        <v>39983.878866418076</v>
      </c>
      <c r="R77" s="37">
        <f t="shared" si="21"/>
        <v>188059.13195740257</v>
      </c>
      <c r="S77" s="37">
        <f t="shared" si="21"/>
        <v>5443.322878858606</v>
      </c>
      <c r="T77" s="37">
        <f t="shared" si="21"/>
        <v>28975.285444537425</v>
      </c>
      <c r="U77" s="37">
        <f t="shared" si="21"/>
        <v>100661.97599674918</v>
      </c>
      <c r="V77" s="37">
        <f t="shared" si="21"/>
        <v>28065.999676697487</v>
      </c>
      <c r="W77" s="37">
        <f t="shared" si="21"/>
        <v>42030.90804836499</v>
      </c>
      <c r="X77" s="37">
        <f t="shared" si="21"/>
        <v>52685.63788325219</v>
      </c>
      <c r="Y77" s="37">
        <f t="shared" si="21"/>
        <v>154260.55730088492</v>
      </c>
      <c r="Z77" s="37">
        <f t="shared" si="21"/>
        <v>111207.02814</v>
      </c>
      <c r="AA77" s="37">
        <f t="shared" si="21"/>
        <v>249707.80681915532</v>
      </c>
      <c r="AB77" s="37">
        <f t="shared" si="21"/>
        <v>271225.1323142609</v>
      </c>
      <c r="AC77" s="37">
        <f t="shared" si="21"/>
        <v>7101.850184253231</v>
      </c>
      <c r="AD77" s="37">
        <f t="shared" si="21"/>
        <v>487124.84661999997</v>
      </c>
      <c r="AE77" s="37">
        <f t="shared" si="21"/>
        <v>858339.131776426</v>
      </c>
      <c r="AF77" s="37">
        <f t="shared" si="21"/>
        <v>1926243.41772672</v>
      </c>
      <c r="AG77" s="37">
        <f t="shared" si="21"/>
        <v>357853.5736357467</v>
      </c>
      <c r="AH77" s="37">
        <f t="shared" si="21"/>
        <v>861000</v>
      </c>
      <c r="AI77" s="37">
        <f aca="true" t="shared" si="22" ref="AI77:AN77">AI70-AI71-AI72-AI73+AI74-AI75</f>
        <v>136014.9</v>
      </c>
      <c r="AJ77" s="37">
        <f t="shared" si="22"/>
        <v>111299.7</v>
      </c>
      <c r="AK77" s="37">
        <f t="shared" si="22"/>
        <v>286501.2</v>
      </c>
      <c r="AL77" s="37">
        <f t="shared" si="22"/>
        <v>31056.6</v>
      </c>
      <c r="AM77" s="37">
        <f t="shared" si="22"/>
        <v>16991.7</v>
      </c>
      <c r="AN77" s="37">
        <f t="shared" si="22"/>
        <v>346663.2</v>
      </c>
      <c r="AO77" s="1"/>
      <c r="AP77" s="1"/>
    </row>
    <row r="78" spans="1:42" s="150" customFormat="1" ht="15">
      <c r="A78" s="150">
        <v>71</v>
      </c>
      <c r="B78" s="90" t="s">
        <v>161</v>
      </c>
      <c r="C78" s="37">
        <f>SUM(D78:AN78)</f>
        <v>453269.3086606325</v>
      </c>
      <c r="D78" s="128">
        <f aca="true" t="shared" si="23" ref="D78:AG78">D77*$F$67</f>
        <v>27330.079956</v>
      </c>
      <c r="E78" s="128">
        <f t="shared" si="23"/>
        <v>9515.353128584</v>
      </c>
      <c r="F78" s="128">
        <f t="shared" si="23"/>
        <v>3419.0863051616366</v>
      </c>
      <c r="G78" s="128">
        <f t="shared" si="23"/>
        <v>12412.261935999999</v>
      </c>
      <c r="H78" s="128">
        <f t="shared" si="23"/>
        <v>1935.930456</v>
      </c>
      <c r="I78" s="128">
        <f t="shared" si="23"/>
        <v>6970.943</v>
      </c>
      <c r="J78" s="128">
        <f t="shared" si="23"/>
        <v>8365.1316</v>
      </c>
      <c r="K78" s="128">
        <f t="shared" si="23"/>
        <v>7170.112800000001</v>
      </c>
      <c r="L78" s="128">
        <f t="shared" si="23"/>
        <v>1579.2201685275522</v>
      </c>
      <c r="M78" s="128">
        <f t="shared" si="23"/>
        <v>38045.39486191984</v>
      </c>
      <c r="N78" s="128">
        <f t="shared" si="23"/>
        <v>0</v>
      </c>
      <c r="O78" s="128">
        <f t="shared" si="23"/>
        <v>29631.17505767292</v>
      </c>
      <c r="P78" s="128">
        <f t="shared" si="23"/>
        <v>2782.865339520878</v>
      </c>
      <c r="Q78" s="128">
        <f t="shared" si="23"/>
        <v>1815.2681005353807</v>
      </c>
      <c r="R78" s="128">
        <f t="shared" si="23"/>
        <v>8537.884590866077</v>
      </c>
      <c r="S78" s="128">
        <f t="shared" si="23"/>
        <v>247.12685870018072</v>
      </c>
      <c r="T78" s="128">
        <f t="shared" si="23"/>
        <v>1315.4779591819993</v>
      </c>
      <c r="U78" s="128">
        <f t="shared" si="23"/>
        <v>4570.053710252413</v>
      </c>
      <c r="V78" s="128">
        <f t="shared" si="23"/>
        <v>1274.196385322066</v>
      </c>
      <c r="W78" s="128">
        <f t="shared" si="23"/>
        <v>1908.2032253957707</v>
      </c>
      <c r="X78" s="128">
        <f t="shared" si="23"/>
        <v>2391.9279598996495</v>
      </c>
      <c r="Y78" s="128">
        <f t="shared" si="23"/>
        <v>7003.429301460175</v>
      </c>
      <c r="Z78" s="128">
        <f t="shared" si="23"/>
        <v>5048.799077556</v>
      </c>
      <c r="AA78" s="128">
        <f t="shared" si="23"/>
        <v>11336.734429589653</v>
      </c>
      <c r="AB78" s="128">
        <f t="shared" si="23"/>
        <v>12313.621007067444</v>
      </c>
      <c r="AC78" s="128">
        <f t="shared" si="23"/>
        <v>322.42399836509674</v>
      </c>
      <c r="AD78" s="128">
        <f t="shared" si="23"/>
        <v>22115.468036548</v>
      </c>
      <c r="AE78" s="128">
        <f t="shared" si="23"/>
        <v>38968.59658264974</v>
      </c>
      <c r="AF78" s="128">
        <f t="shared" si="23"/>
        <v>87451.45116479309</v>
      </c>
      <c r="AG78" s="128">
        <f t="shared" si="23"/>
        <v>16246.552243062903</v>
      </c>
      <c r="AH78" s="128">
        <f aca="true" t="shared" si="24" ref="AH78:AN78">AH77*$F$67</f>
        <v>39089.4</v>
      </c>
      <c r="AI78" s="128">
        <f t="shared" si="24"/>
        <v>6175.07646</v>
      </c>
      <c r="AJ78" s="128">
        <f t="shared" si="24"/>
        <v>5053.00638</v>
      </c>
      <c r="AK78" s="128">
        <f t="shared" si="24"/>
        <v>13007.154480000001</v>
      </c>
      <c r="AL78" s="128">
        <f t="shared" si="24"/>
        <v>1409.96964</v>
      </c>
      <c r="AM78" s="128">
        <f t="shared" si="24"/>
        <v>771.4231800000001</v>
      </c>
      <c r="AN78" s="128">
        <f t="shared" si="24"/>
        <v>15738.509280000002</v>
      </c>
      <c r="AO78" s="1"/>
      <c r="AP78" s="1"/>
    </row>
    <row r="79" spans="1:42" s="150" customFormat="1" ht="15">
      <c r="A79" s="150">
        <v>72</v>
      </c>
      <c r="B79" s="90" t="s">
        <v>162</v>
      </c>
      <c r="C79" s="132">
        <f aca="true" t="shared" si="25" ref="C79:AG79">C77-C78</f>
        <v>9530636.168445807</v>
      </c>
      <c r="D79" s="132">
        <f t="shared" si="25"/>
        <v>574654.060044</v>
      </c>
      <c r="E79" s="132">
        <f t="shared" si="25"/>
        <v>200073.922831416</v>
      </c>
      <c r="F79" s="132">
        <f t="shared" si="25"/>
        <v>71891.18473364093</v>
      </c>
      <c r="G79" s="132">
        <f t="shared" si="25"/>
        <v>260985.57806399997</v>
      </c>
      <c r="H79" s="132">
        <f t="shared" si="25"/>
        <v>40705.709544</v>
      </c>
      <c r="I79" s="132">
        <f t="shared" si="25"/>
        <v>146574.057</v>
      </c>
      <c r="J79" s="132">
        <f t="shared" si="25"/>
        <v>175888.8684</v>
      </c>
      <c r="K79" s="132">
        <f t="shared" si="25"/>
        <v>150761.8872</v>
      </c>
      <c r="L79" s="132">
        <f t="shared" si="25"/>
        <v>33205.36504133043</v>
      </c>
      <c r="M79" s="132">
        <f t="shared" si="25"/>
        <v>799958.897250852</v>
      </c>
      <c r="N79" s="132">
        <f t="shared" si="25"/>
        <v>0</v>
      </c>
      <c r="O79" s="132">
        <f t="shared" si="25"/>
        <v>623037.8790760918</v>
      </c>
      <c r="P79" s="132">
        <f t="shared" si="25"/>
        <v>58513.728041996255</v>
      </c>
      <c r="Q79" s="132">
        <f t="shared" si="25"/>
        <v>38168.610765882695</v>
      </c>
      <c r="R79" s="132">
        <f t="shared" si="25"/>
        <v>179521.2473665365</v>
      </c>
      <c r="S79" s="132">
        <f t="shared" si="25"/>
        <v>5196.196020158425</v>
      </c>
      <c r="T79" s="132">
        <f t="shared" si="25"/>
        <v>27659.807485355424</v>
      </c>
      <c r="U79" s="132">
        <f t="shared" si="25"/>
        <v>96091.92228649677</v>
      </c>
      <c r="V79" s="132">
        <f t="shared" si="25"/>
        <v>26791.80329137542</v>
      </c>
      <c r="W79" s="132">
        <f t="shared" si="25"/>
        <v>40122.704822969215</v>
      </c>
      <c r="X79" s="132">
        <f t="shared" si="25"/>
        <v>50293.70992335254</v>
      </c>
      <c r="Y79" s="132">
        <f t="shared" si="25"/>
        <v>147257.12799942473</v>
      </c>
      <c r="Z79" s="132">
        <f t="shared" si="25"/>
        <v>106158.22906244399</v>
      </c>
      <c r="AA79" s="132">
        <f t="shared" si="25"/>
        <v>238371.07238956567</v>
      </c>
      <c r="AB79" s="132">
        <f t="shared" si="25"/>
        <v>258911.51130719343</v>
      </c>
      <c r="AC79" s="132">
        <f t="shared" si="25"/>
        <v>6779.426185888135</v>
      </c>
      <c r="AD79" s="132">
        <f t="shared" si="25"/>
        <v>465009.37858345197</v>
      </c>
      <c r="AE79" s="132">
        <f t="shared" si="25"/>
        <v>819370.5351937762</v>
      </c>
      <c r="AF79" s="132">
        <f t="shared" si="25"/>
        <v>1838791.966561927</v>
      </c>
      <c r="AG79" s="132">
        <f t="shared" si="25"/>
        <v>341607.02139268385</v>
      </c>
      <c r="AH79" s="132">
        <f aca="true" t="shared" si="26" ref="AH79:AN79">AH77-AH78</f>
        <v>821910.6</v>
      </c>
      <c r="AI79" s="132">
        <f t="shared" si="26"/>
        <v>129839.82354</v>
      </c>
      <c r="AJ79" s="132">
        <f t="shared" si="26"/>
        <v>106246.69361999999</v>
      </c>
      <c r="AK79" s="132">
        <f t="shared" si="26"/>
        <v>273494.04552</v>
      </c>
      <c r="AL79" s="132">
        <f t="shared" si="26"/>
        <v>29646.63036</v>
      </c>
      <c r="AM79" s="132">
        <f t="shared" si="26"/>
        <v>16220.276820000001</v>
      </c>
      <c r="AN79" s="132">
        <f t="shared" si="26"/>
        <v>330924.69072</v>
      </c>
      <c r="AO79" s="1"/>
      <c r="AP79" s="1"/>
    </row>
    <row r="80" spans="1:42" s="150" customFormat="1" ht="15">
      <c r="A80" s="150">
        <v>73</v>
      </c>
      <c r="B80" s="90" t="s">
        <v>163</v>
      </c>
      <c r="C80" s="37">
        <f>SUM(D80:AN80)</f>
        <v>0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"/>
      <c r="AP80" s="1"/>
    </row>
    <row r="81" spans="1:42" s="150" customFormat="1" ht="15.75" thickBot="1">
      <c r="A81" s="150">
        <v>74</v>
      </c>
      <c r="B81" s="90" t="s">
        <v>164</v>
      </c>
      <c r="C81" s="277">
        <f>SUM(D81:AN81)</f>
        <v>3335722.658956033</v>
      </c>
      <c r="D81" s="278">
        <f>D79*$F$68</f>
        <v>201128.9210154</v>
      </c>
      <c r="E81" s="278">
        <f>E79*$F$68</f>
        <v>70025.8729909956</v>
      </c>
      <c r="F81" s="278">
        <f>F79*$F$68</f>
        <v>25161.914656774323</v>
      </c>
      <c r="G81" s="278">
        <f aca="true" t="shared" si="27" ref="G81:AH81">G79*$F$68</f>
        <v>91344.95232239999</v>
      </c>
      <c r="H81" s="278">
        <f t="shared" si="27"/>
        <v>14246.998340399998</v>
      </c>
      <c r="I81" s="278">
        <f t="shared" si="27"/>
        <v>51300.919949999996</v>
      </c>
      <c r="J81" s="278">
        <f t="shared" si="27"/>
        <v>61561.10394</v>
      </c>
      <c r="K81" s="278">
        <f t="shared" si="27"/>
        <v>52766.66052</v>
      </c>
      <c r="L81" s="278">
        <f t="shared" si="27"/>
        <v>11621.87776446565</v>
      </c>
      <c r="M81" s="278">
        <f t="shared" si="27"/>
        <v>279985.6140377982</v>
      </c>
      <c r="N81" s="278">
        <f t="shared" si="27"/>
        <v>0</v>
      </c>
      <c r="O81" s="278">
        <f t="shared" si="27"/>
        <v>218063.2576766321</v>
      </c>
      <c r="P81" s="278">
        <f t="shared" si="27"/>
        <v>20479.804814698688</v>
      </c>
      <c r="Q81" s="278">
        <f t="shared" si="27"/>
        <v>13359.013768058943</v>
      </c>
      <c r="R81" s="278">
        <f t="shared" si="27"/>
        <v>62832.43657828777</v>
      </c>
      <c r="S81" s="278">
        <f t="shared" si="27"/>
        <v>1818.6686070554488</v>
      </c>
      <c r="T81" s="278">
        <f t="shared" si="27"/>
        <v>9680.932619874398</v>
      </c>
      <c r="U81" s="278">
        <f t="shared" si="27"/>
        <v>33632.17280027387</v>
      </c>
      <c r="V81" s="278">
        <f t="shared" si="27"/>
        <v>9377.131151981397</v>
      </c>
      <c r="W81" s="278">
        <f t="shared" si="27"/>
        <v>14042.946688039225</v>
      </c>
      <c r="X81" s="278">
        <f t="shared" si="27"/>
        <v>17602.798473173385</v>
      </c>
      <c r="Y81" s="278">
        <f t="shared" si="27"/>
        <v>51539.99479979865</v>
      </c>
      <c r="Z81" s="278">
        <f t="shared" si="27"/>
        <v>37155.380171855395</v>
      </c>
      <c r="AA81" s="278">
        <f t="shared" si="27"/>
        <v>83429.87533634798</v>
      </c>
      <c r="AB81" s="278">
        <f t="shared" si="27"/>
        <v>90619.0289575177</v>
      </c>
      <c r="AC81" s="278">
        <f t="shared" si="27"/>
        <v>2372.799165060847</v>
      </c>
      <c r="AD81" s="278">
        <f t="shared" si="27"/>
        <v>162753.28250420818</v>
      </c>
      <c r="AE81" s="278">
        <f t="shared" si="27"/>
        <v>286779.68731782166</v>
      </c>
      <c r="AF81" s="278">
        <f t="shared" si="27"/>
        <v>643577.1882966744</v>
      </c>
      <c r="AG81" s="278">
        <f t="shared" si="27"/>
        <v>119562.45748743934</v>
      </c>
      <c r="AH81" s="278">
        <f t="shared" si="27"/>
        <v>287668.70999999996</v>
      </c>
      <c r="AI81" s="278">
        <f aca="true" t="shared" si="28" ref="AI81:AN81">AI79*$F$68</f>
        <v>45443.938238999996</v>
      </c>
      <c r="AJ81" s="278">
        <f t="shared" si="28"/>
        <v>37186.342766999995</v>
      </c>
      <c r="AK81" s="278">
        <f t="shared" si="28"/>
        <v>95722.91593199999</v>
      </c>
      <c r="AL81" s="278">
        <f t="shared" si="28"/>
        <v>10376.320625999999</v>
      </c>
      <c r="AM81" s="278">
        <f t="shared" si="28"/>
        <v>5677.096887</v>
      </c>
      <c r="AN81" s="278">
        <f t="shared" si="28"/>
        <v>115823.641752</v>
      </c>
      <c r="AO81" s="1"/>
      <c r="AP81" s="1"/>
    </row>
    <row r="82" spans="2:42" ht="15.75" thickTop="1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"/>
      <c r="AP82" s="1"/>
    </row>
    <row r="83" spans="2:42" ht="15">
      <c r="B83" s="143" t="s">
        <v>258</v>
      </c>
      <c r="C83" s="1"/>
      <c r="D83" s="10" t="s">
        <v>258</v>
      </c>
      <c r="E83" s="1"/>
      <c r="F83" s="1"/>
      <c r="G83" s="1"/>
      <c r="H83" s="1"/>
      <c r="I83" s="1"/>
      <c r="J83" s="1"/>
      <c r="K83" s="1"/>
      <c r="L83" s="10" t="s">
        <v>258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>
        <f>SUM(AB81:AN81)</f>
        <v>1903563.4099317219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ht="15">
      <c r="B84" s="1" t="s">
        <v>336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2:42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ht="15">
      <c r="B86" s="14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2:42" ht="15">
      <c r="B87" s="1"/>
      <c r="D87" s="14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ht="15">
      <c r="B88" s="1"/>
      <c r="D88" s="14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2:42" ht="15">
      <c r="B89" s="1"/>
      <c r="D89" s="144"/>
      <c r="E89" s="1"/>
      <c r="F89" s="301"/>
      <c r="G89" s="301"/>
      <c r="H89" s="301"/>
      <c r="I89" s="30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ht="15">
      <c r="B90" s="1"/>
      <c r="D90" s="146"/>
      <c r="E90" s="1"/>
      <c r="F90" s="301"/>
      <c r="G90" s="301"/>
      <c r="H90" s="301"/>
      <c r="I90" s="30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ht="15">
      <c r="B91" s="1"/>
      <c r="D91" s="145"/>
      <c r="E91" s="90"/>
      <c r="F91" s="90"/>
      <c r="G91" s="90"/>
      <c r="H91" s="90"/>
      <c r="I91" s="9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ht="15">
      <c r="B92" s="90"/>
      <c r="D92" s="144"/>
      <c r="E92" s="118"/>
      <c r="F92" s="118"/>
      <c r="G92" s="118"/>
      <c r="H92" s="118"/>
      <c r="I92" s="119"/>
      <c r="J92" s="119"/>
      <c r="K92" s="118"/>
      <c r="L92" s="119"/>
      <c r="M92" s="119"/>
      <c r="N92" s="119"/>
      <c r="O92" s="119"/>
      <c r="P92" s="119"/>
      <c r="Q92" s="119"/>
      <c r="R92" s="119"/>
      <c r="S92" s="119"/>
      <c r="T92" s="119"/>
      <c r="U92" s="120"/>
      <c r="V92" s="120"/>
      <c r="W92" s="120"/>
      <c r="X92" s="120"/>
      <c r="Y92" s="120"/>
      <c r="Z92" s="120"/>
      <c r="AA92" s="120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"/>
      <c r="AP92" s="1"/>
    </row>
    <row r="93" spans="2:42" ht="15">
      <c r="B93" s="90"/>
      <c r="D93" s="147"/>
      <c r="E93" s="121"/>
      <c r="F93" s="121"/>
      <c r="G93" s="121"/>
      <c r="H93" s="121"/>
      <c r="I93" s="12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1"/>
      <c r="AP93" s="1"/>
    </row>
    <row r="94" spans="2:42" ht="15">
      <c r="B94" s="125"/>
      <c r="D94" s="121"/>
      <c r="E94" s="121"/>
      <c r="F94" s="121"/>
      <c r="G94" s="121"/>
      <c r="H94" s="121"/>
      <c r="I94" s="12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1"/>
      <c r="AP94" s="1"/>
    </row>
    <row r="95" spans="2:40" ht="12.75">
      <c r="B95" s="107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</row>
    <row r="96" spans="2:40" ht="12.75">
      <c r="B96" s="86"/>
      <c r="C96" s="87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</row>
  </sheetData>
  <mergeCells count="4">
    <mergeCell ref="F1:I1"/>
    <mergeCell ref="F2:I2"/>
    <mergeCell ref="F89:I89"/>
    <mergeCell ref="F90:I90"/>
  </mergeCells>
  <printOptions/>
  <pageMargins left="0.92" right="0.5" top="0.75" bottom="0.5" header="0.5" footer="0.5"/>
  <pageSetup fitToWidth="0" horizontalDpi="600" verticalDpi="600" orientation="portrait" scale="54" r:id="rId1"/>
  <headerFooter alignWithMargins="0">
    <oddHeader>&amp;R&amp;"Palatino Linotype,Regular"ICNU Bench Request
Part 2
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12"/>
  <sheetViews>
    <sheetView workbookViewId="0" topLeftCell="A1">
      <selection activeCell="B15" sqref="B15"/>
    </sheetView>
  </sheetViews>
  <sheetFormatPr defaultColWidth="9.140625" defaultRowHeight="12.75"/>
  <cols>
    <col min="1" max="1" width="3.28125" style="0" customWidth="1"/>
    <col min="2" max="2" width="34.7109375" style="0" bestFit="1" customWidth="1"/>
    <col min="3" max="3" width="14.7109375" style="0" bestFit="1" customWidth="1"/>
    <col min="4" max="4" width="8.00390625" style="0" customWidth="1"/>
    <col min="5" max="5" width="15.421875" style="0" bestFit="1" customWidth="1"/>
    <col min="6" max="6" width="10.57421875" style="0" customWidth="1"/>
  </cols>
  <sheetData>
    <row r="4" spans="1:7" ht="18">
      <c r="A4" s="194"/>
      <c r="B4" s="195" t="s">
        <v>203</v>
      </c>
      <c r="C4" s="194"/>
      <c r="D4" s="194"/>
      <c r="E4" s="194"/>
      <c r="F4" s="194"/>
      <c r="G4" s="194"/>
    </row>
    <row r="5" spans="1:7" ht="18">
      <c r="A5" s="194"/>
      <c r="B5" s="194"/>
      <c r="C5" s="194"/>
      <c r="D5" s="194"/>
      <c r="E5" s="194"/>
      <c r="F5" s="194"/>
      <c r="G5" s="194"/>
    </row>
    <row r="6" spans="1:7" ht="18">
      <c r="A6" s="194">
        <v>77</v>
      </c>
      <c r="B6" s="196" t="s">
        <v>231</v>
      </c>
      <c r="C6" s="196" t="s">
        <v>181</v>
      </c>
      <c r="D6" s="196"/>
      <c r="E6" s="196" t="s">
        <v>182</v>
      </c>
      <c r="F6" s="196" t="s">
        <v>230</v>
      </c>
      <c r="G6" s="194"/>
    </row>
    <row r="7" spans="1:7" ht="18">
      <c r="A7" s="194">
        <v>78</v>
      </c>
      <c r="B7" s="197" t="s">
        <v>183</v>
      </c>
      <c r="C7" s="198">
        <v>0.5294</v>
      </c>
      <c r="D7" s="199">
        <v>0.06508</v>
      </c>
      <c r="E7" s="200">
        <f>ROUND(D7*C7,6)</f>
        <v>0.034453</v>
      </c>
      <c r="F7" s="194"/>
      <c r="G7" s="194"/>
    </row>
    <row r="8" spans="1:7" ht="18">
      <c r="A8" s="194">
        <v>79</v>
      </c>
      <c r="B8" s="197" t="s">
        <v>184</v>
      </c>
      <c r="C8" s="198">
        <v>0.0154</v>
      </c>
      <c r="D8" s="199">
        <v>0.0274</v>
      </c>
      <c r="E8" s="200">
        <f>ROUND(D8*C8,6)</f>
        <v>0.000422</v>
      </c>
      <c r="F8" s="201">
        <f>+E8+E7</f>
        <v>0.034874999999999996</v>
      </c>
      <c r="G8" s="194"/>
    </row>
    <row r="9" spans="1:7" ht="18">
      <c r="A9" s="194">
        <v>80</v>
      </c>
      <c r="B9" s="197" t="s">
        <v>232</v>
      </c>
      <c r="C9" s="198">
        <v>0.0142</v>
      </c>
      <c r="D9" s="199">
        <v>0.06715</v>
      </c>
      <c r="E9" s="200">
        <f>ROUND(D9*C9,6)</f>
        <v>0.000954</v>
      </c>
      <c r="F9" s="194"/>
      <c r="G9" s="194"/>
    </row>
    <row r="10" spans="1:7" ht="18">
      <c r="A10" s="194">
        <v>81</v>
      </c>
      <c r="B10" s="202" t="s">
        <v>233</v>
      </c>
      <c r="C10" s="203">
        <v>0.4409</v>
      </c>
      <c r="D10" s="204">
        <v>0.09375</v>
      </c>
      <c r="E10" s="200">
        <f>ROUND(D10*C10,6)</f>
        <v>0.041334</v>
      </c>
      <c r="F10" s="194"/>
      <c r="G10" s="194"/>
    </row>
    <row r="11" spans="1:7" ht="18.75" thickBot="1">
      <c r="A11" s="194">
        <v>82</v>
      </c>
      <c r="B11" s="205" t="s">
        <v>203</v>
      </c>
      <c r="C11" s="206">
        <f>SUM(C7:C10)</f>
        <v>0.9999</v>
      </c>
      <c r="D11" s="204"/>
      <c r="E11" s="207">
        <f>ROUND(SUM(E7:E10),5)</f>
        <v>0.07716</v>
      </c>
      <c r="F11" s="194"/>
      <c r="G11" s="194"/>
    </row>
    <row r="12" spans="1:7" ht="18.75" thickTop="1">
      <c r="A12" s="194"/>
      <c r="B12" s="194"/>
      <c r="C12" s="194"/>
      <c r="D12" s="194"/>
      <c r="E12" s="194"/>
      <c r="F12" s="194"/>
      <c r="G12" s="19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N57"/>
  <sheetViews>
    <sheetView workbookViewId="0" topLeftCell="A1">
      <selection activeCell="D30" sqref="D30"/>
    </sheetView>
  </sheetViews>
  <sheetFormatPr defaultColWidth="9.140625" defaultRowHeight="12.75"/>
  <cols>
    <col min="4" max="4" width="12.7109375" style="0" bestFit="1" customWidth="1"/>
    <col min="6" max="6" width="11.7109375" style="0" customWidth="1"/>
    <col min="7" max="7" width="11.421875" style="0" customWidth="1"/>
    <col min="8" max="8" width="1.57421875" style="0" customWidth="1"/>
    <col min="9" max="9" width="11.57421875" style="0" customWidth="1"/>
    <col min="10" max="10" width="10.7109375" style="0" customWidth="1"/>
    <col min="11" max="11" width="2.28125" style="0" customWidth="1"/>
  </cols>
  <sheetData>
    <row r="4" ht="12.75">
      <c r="C4" t="s">
        <v>338</v>
      </c>
    </row>
    <row r="5" ht="12.75">
      <c r="B5" t="s">
        <v>258</v>
      </c>
    </row>
    <row r="6" spans="2:3" ht="12.75">
      <c r="B6" t="s">
        <v>347</v>
      </c>
      <c r="C6" s="266">
        <v>0.08774</v>
      </c>
    </row>
    <row r="7" spans="2:5" ht="12.75">
      <c r="B7" t="s">
        <v>348</v>
      </c>
      <c r="C7" s="266">
        <v>0.08513</v>
      </c>
      <c r="E7" t="s">
        <v>258</v>
      </c>
    </row>
    <row r="9" spans="2:6" ht="12.75">
      <c r="B9" t="s">
        <v>339</v>
      </c>
      <c r="D9" t="s">
        <v>346</v>
      </c>
      <c r="F9" t="s">
        <v>349</v>
      </c>
    </row>
    <row r="11" spans="2:9" ht="12.75">
      <c r="B11" t="s">
        <v>340</v>
      </c>
      <c r="C11">
        <v>73327886</v>
      </c>
      <c r="D11" s="269">
        <f>C11*C6</f>
        <v>6433788.717639999</v>
      </c>
      <c r="F11" t="s">
        <v>350</v>
      </c>
      <c r="G11">
        <v>11552765</v>
      </c>
      <c r="I11">
        <f>G11*$C$6</f>
        <v>1013639.6011</v>
      </c>
    </row>
    <row r="12" spans="2:9" ht="12.75">
      <c r="B12" t="s">
        <v>341</v>
      </c>
      <c r="C12">
        <v>532324</v>
      </c>
      <c r="D12" s="269">
        <f>C12*C6</f>
        <v>46706.10776</v>
      </c>
      <c r="F12" t="s">
        <v>342</v>
      </c>
      <c r="G12">
        <v>1775765</v>
      </c>
      <c r="I12">
        <f>G12*$C$6</f>
        <v>155805.6211</v>
      </c>
    </row>
    <row r="13" spans="2:9" ht="12.75">
      <c r="B13" t="s">
        <v>342</v>
      </c>
      <c r="C13">
        <v>3050717</v>
      </c>
      <c r="D13" s="269">
        <f>C13*C6</f>
        <v>267669.90958</v>
      </c>
      <c r="F13" t="s">
        <v>351</v>
      </c>
      <c r="G13">
        <v>1808933</v>
      </c>
      <c r="I13" s="269">
        <f>G13*$C$6</f>
        <v>158715.78141999998</v>
      </c>
    </row>
    <row r="14" spans="2:6" ht="12.75">
      <c r="B14" t="s">
        <v>343</v>
      </c>
      <c r="C14">
        <v>259050</v>
      </c>
      <c r="D14" s="269">
        <f>C14*C6</f>
        <v>22729.047</v>
      </c>
      <c r="F14" t="s">
        <v>258</v>
      </c>
    </row>
    <row r="15" spans="2:4" ht="12.75">
      <c r="B15" t="s">
        <v>344</v>
      </c>
      <c r="C15">
        <v>0.08743012</v>
      </c>
      <c r="D15">
        <v>0.08743</v>
      </c>
    </row>
    <row r="17" spans="2:9" ht="12.75">
      <c r="B17" t="s">
        <v>345</v>
      </c>
      <c r="C17">
        <f>C15*C11+SUM(C12:C14)</f>
        <v>10253156.87232632</v>
      </c>
      <c r="D17" s="269">
        <f>D15*D11+SUM(D12:D14)</f>
        <v>899611.2119232651</v>
      </c>
      <c r="G17">
        <f>SUM(G11:G13)</f>
        <v>15137463</v>
      </c>
      <c r="I17">
        <f>G17*$C$6</f>
        <v>1328161.00362</v>
      </c>
    </row>
    <row r="18" ht="12.75">
      <c r="D18" s="270" t="s">
        <v>258</v>
      </c>
    </row>
    <row r="20" spans="2:6" ht="12.75">
      <c r="B20" t="s">
        <v>258</v>
      </c>
      <c r="F20" t="s">
        <v>258</v>
      </c>
    </row>
    <row r="23" spans="2:6" ht="12.75">
      <c r="B23" t="s">
        <v>352</v>
      </c>
      <c r="F23" t="s">
        <v>374</v>
      </c>
    </row>
    <row r="24" spans="2:9" ht="12.75">
      <c r="B24" s="271" t="s">
        <v>258</v>
      </c>
      <c r="F24" t="s">
        <v>110</v>
      </c>
      <c r="I24" s="271">
        <f>-(D13+I12+G41+J41)</f>
        <v>-4000731.85881</v>
      </c>
    </row>
    <row r="25" spans="2:9" ht="12.75">
      <c r="B25" t="s">
        <v>340</v>
      </c>
      <c r="C25">
        <v>7500000</v>
      </c>
      <c r="D25" s="271">
        <f>C25*$C$6</f>
        <v>658050</v>
      </c>
      <c r="F25" t="s">
        <v>113</v>
      </c>
      <c r="I25" s="271">
        <f>-(I11-I51)</f>
        <v>-740241.7611</v>
      </c>
    </row>
    <row r="26" spans="2:9" ht="12.75">
      <c r="B26" t="s">
        <v>341</v>
      </c>
      <c r="C26">
        <f>C25/C11*C12</f>
        <v>54446.27164077797</v>
      </c>
      <c r="D26" s="271">
        <f>C26*$C$6</f>
        <v>4777.115873761859</v>
      </c>
      <c r="F26" t="s">
        <v>353</v>
      </c>
      <c r="I26" s="271">
        <f>-(I13+D14-D27)</f>
        <v>-179120.09410950862</v>
      </c>
    </row>
    <row r="27" spans="2:9" ht="12.75">
      <c r="B27" t="s">
        <v>353</v>
      </c>
      <c r="C27">
        <f>C25/C11*C14</f>
        <v>26495.718150118224</v>
      </c>
      <c r="D27" s="271">
        <f>C27*$C$6</f>
        <v>2324.734310491373</v>
      </c>
      <c r="F27" t="s">
        <v>341</v>
      </c>
      <c r="I27" s="271">
        <f>-(D12-D26)</f>
        <v>-41928.99188623814</v>
      </c>
    </row>
    <row r="28" spans="2:9" ht="12.75">
      <c r="B28" t="s">
        <v>344</v>
      </c>
      <c r="C28" s="266">
        <f>C15</f>
        <v>0.08743012</v>
      </c>
      <c r="D28" s="272">
        <f>C28</f>
        <v>0.08743012</v>
      </c>
      <c r="F28" t="s">
        <v>375</v>
      </c>
      <c r="I28" s="271">
        <f>-(G43+J43)</f>
        <v>-4604169.13227</v>
      </c>
    </row>
    <row r="29" spans="2:9" ht="12.75">
      <c r="B29" t="s">
        <v>258</v>
      </c>
      <c r="C29" t="s">
        <v>258</v>
      </c>
      <c r="D29" s="271"/>
      <c r="F29" t="s">
        <v>340</v>
      </c>
      <c r="I29" s="271">
        <f>-(D11-D25)</f>
        <v>-5775738.717639999</v>
      </c>
    </row>
    <row r="30" spans="2:9" ht="12.75">
      <c r="B30" t="s">
        <v>345</v>
      </c>
      <c r="C30">
        <f>C28*C25+C26+C27</f>
        <v>736667.8897908962</v>
      </c>
      <c r="D30" s="271">
        <f>D28*D25+D26+D27</f>
        <v>64635.24065025323</v>
      </c>
      <c r="F30" t="s">
        <v>345</v>
      </c>
      <c r="I30" s="269">
        <f>I29*D28+SUM(I24:I27)-I28</f>
        <v>-862827.1028076578</v>
      </c>
    </row>
    <row r="34" ht="12.75">
      <c r="E34" t="s">
        <v>354</v>
      </c>
    </row>
    <row r="36" ht="12.75">
      <c r="D36" t="s">
        <v>355</v>
      </c>
    </row>
    <row r="38" spans="6:12" ht="12.75">
      <c r="F38" t="s">
        <v>339</v>
      </c>
      <c r="G38" t="s">
        <v>373</v>
      </c>
      <c r="I38" t="s">
        <v>252</v>
      </c>
      <c r="J38" t="s">
        <v>373</v>
      </c>
      <c r="L38" t="s">
        <v>356</v>
      </c>
    </row>
    <row r="39" spans="3:12" ht="12.75">
      <c r="C39" t="s">
        <v>357</v>
      </c>
      <c r="F39" s="271">
        <v>10253157</v>
      </c>
      <c r="G39" s="271">
        <f>D17</f>
        <v>899611.2119232651</v>
      </c>
      <c r="H39" s="271"/>
      <c r="I39" s="271">
        <v>15137463</v>
      </c>
      <c r="J39">
        <f>I17</f>
        <v>1328161.00362</v>
      </c>
      <c r="L39" t="s">
        <v>358</v>
      </c>
    </row>
    <row r="40" spans="6:9" ht="12.75">
      <c r="F40" s="271"/>
      <c r="G40" s="271"/>
      <c r="H40" s="271"/>
      <c r="I40" s="271"/>
    </row>
    <row r="41" spans="3:14" ht="12.75">
      <c r="C41" t="s">
        <v>359</v>
      </c>
      <c r="F41" s="271">
        <v>15046730</v>
      </c>
      <c r="G41" s="271">
        <f>F41*C7</f>
        <v>1280928.1249</v>
      </c>
      <c r="H41" s="271"/>
      <c r="I41" s="271">
        <v>26974371</v>
      </c>
      <c r="J41">
        <f>I41*C7</f>
        <v>2296328.20323</v>
      </c>
      <c r="L41" t="s">
        <v>360</v>
      </c>
      <c r="N41" t="s">
        <v>361</v>
      </c>
    </row>
    <row r="42" spans="6:9" ht="12.75">
      <c r="F42" s="271"/>
      <c r="G42" s="271"/>
      <c r="H42" s="271"/>
      <c r="I42" s="271"/>
    </row>
    <row r="43" spans="3:12" ht="12.75">
      <c r="C43" t="s">
        <v>362</v>
      </c>
      <c r="F43" s="271">
        <v>20731371</v>
      </c>
      <c r="G43" s="271">
        <f>F43*C7</f>
        <v>1764861.61323</v>
      </c>
      <c r="H43" s="271"/>
      <c r="I43" s="271">
        <v>33352608</v>
      </c>
      <c r="J43">
        <f>I43*C7</f>
        <v>2839307.5190399997</v>
      </c>
      <c r="L43" t="s">
        <v>363</v>
      </c>
    </row>
    <row r="44" spans="6:9" ht="12.75">
      <c r="F44" s="271"/>
      <c r="G44" s="271"/>
      <c r="H44" s="271"/>
      <c r="I44" s="271"/>
    </row>
    <row r="45" spans="3:12" ht="12.75">
      <c r="C45" t="s">
        <v>364</v>
      </c>
      <c r="F45" s="271">
        <f>F43-F41-F39</f>
        <v>-4568516</v>
      </c>
      <c r="G45" s="271">
        <f>G43-G41-G39</f>
        <v>-415677.72359326505</v>
      </c>
      <c r="H45" s="271"/>
      <c r="I45" s="271">
        <f>I43-I41-I39</f>
        <v>-8759226</v>
      </c>
      <c r="J45" s="271">
        <f>J43-J41-J39</f>
        <v>-785181.6878100005</v>
      </c>
      <c r="K45" s="271"/>
      <c r="L45" t="s">
        <v>365</v>
      </c>
    </row>
    <row r="46" spans="6:9" ht="12" customHeight="1">
      <c r="F46" s="271"/>
      <c r="G46" s="271"/>
      <c r="H46" s="271"/>
      <c r="I46" s="271"/>
    </row>
    <row r="47" spans="3:12" ht="12.75" hidden="1">
      <c r="C47" t="s">
        <v>366</v>
      </c>
      <c r="F47" s="266" t="s">
        <v>258</v>
      </c>
      <c r="G47" s="271"/>
      <c r="H47" s="271"/>
      <c r="I47" s="266" t="s">
        <v>258</v>
      </c>
      <c r="L47" t="s">
        <v>367</v>
      </c>
    </row>
    <row r="49" spans="3:9" ht="12.75">
      <c r="C49" t="s">
        <v>372</v>
      </c>
      <c r="F49" s="269">
        <f>G45</f>
        <v>-415677.72359326505</v>
      </c>
      <c r="I49" s="269">
        <f>J45</f>
        <v>-785181.6878100005</v>
      </c>
    </row>
    <row r="51" spans="3:12" ht="12.75">
      <c r="C51" t="s">
        <v>368</v>
      </c>
      <c r="F51" s="269">
        <f>-'Table 1'!H50</f>
        <v>64635.24065025323</v>
      </c>
      <c r="I51" s="269">
        <f>-'Table 1'!H17</f>
        <v>273397.83999999997</v>
      </c>
      <c r="L51" t="s">
        <v>310</v>
      </c>
    </row>
    <row r="53" spans="3:9" ht="12.75">
      <c r="C53" t="s">
        <v>369</v>
      </c>
      <c r="F53" s="269">
        <f>F51+F49</f>
        <v>-351042.4829430118</v>
      </c>
      <c r="I53" s="269">
        <f>I51+I49</f>
        <v>-511783.84781000053</v>
      </c>
    </row>
    <row r="55" spans="6:9" ht="12.75">
      <c r="F55" t="s">
        <v>370</v>
      </c>
      <c r="I55" s="269">
        <f>I53+F53</f>
        <v>-862826.3307530123</v>
      </c>
    </row>
    <row r="57" spans="3:9" ht="12.75">
      <c r="C57" t="s">
        <v>371</v>
      </c>
      <c r="F57" s="269" t="s">
        <v>258</v>
      </c>
      <c r="I57" s="269">
        <f>I49+F49</f>
        <v>-1200859.4114032655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C63" sqref="C63"/>
    </sheetView>
  </sheetViews>
  <sheetFormatPr defaultColWidth="9.140625" defaultRowHeight="12.75"/>
  <cols>
    <col min="1" max="1" width="4.140625" style="0" customWidth="1"/>
    <col min="2" max="2" width="18.8515625" style="0" customWidth="1"/>
    <col min="3" max="3" width="14.140625" style="0" bestFit="1" customWidth="1"/>
    <col min="4" max="4" width="15.28125" style="0" bestFit="1" customWidth="1"/>
    <col min="5" max="5" width="1.57421875" style="0" customWidth="1"/>
    <col min="6" max="6" width="12.00390625" style="0" bestFit="1" customWidth="1"/>
    <col min="7" max="7" width="0.5625" style="0" customWidth="1"/>
    <col min="8" max="8" width="11.57421875" style="0" customWidth="1"/>
    <col min="9" max="9" width="15.00390625" style="0" customWidth="1"/>
    <col min="10" max="10" width="15.140625" style="0" customWidth="1"/>
    <col min="11" max="11" width="12.57421875" style="0" customWidth="1"/>
  </cols>
  <sheetData>
    <row r="1" spans="1:11" ht="15">
      <c r="A1" s="234"/>
      <c r="B1" s="234"/>
      <c r="C1" s="234"/>
      <c r="D1" s="234"/>
      <c r="E1" s="228" t="s">
        <v>310</v>
      </c>
      <c r="F1" s="234"/>
      <c r="G1" s="234"/>
      <c r="H1" s="234"/>
      <c r="I1" s="143"/>
      <c r="J1" s="143"/>
      <c r="K1" s="1"/>
    </row>
    <row r="2" spans="1:11" ht="15">
      <c r="A2" s="234"/>
      <c r="B2" s="234"/>
      <c r="C2" s="228" t="s">
        <v>311</v>
      </c>
      <c r="D2" s="228"/>
      <c r="E2" s="234"/>
      <c r="F2" s="234"/>
      <c r="G2" s="234"/>
      <c r="H2" s="234"/>
      <c r="I2" s="143"/>
      <c r="J2" s="143"/>
      <c r="K2" s="1"/>
    </row>
    <row r="3" spans="1:11" ht="15">
      <c r="A3" s="234"/>
      <c r="B3" s="235"/>
      <c r="C3" s="228"/>
      <c r="D3" s="228"/>
      <c r="E3" s="236" t="s">
        <v>312</v>
      </c>
      <c r="F3" s="234"/>
      <c r="G3" s="234"/>
      <c r="H3" s="234"/>
      <c r="I3" s="143"/>
      <c r="J3" s="143"/>
      <c r="K3" s="1"/>
    </row>
    <row r="4" spans="1:11" ht="15">
      <c r="A4" s="234"/>
      <c r="B4" s="237"/>
      <c r="C4" s="234"/>
      <c r="D4" s="234"/>
      <c r="E4" s="234"/>
      <c r="F4" s="234" t="s">
        <v>313</v>
      </c>
      <c r="G4" s="234"/>
      <c r="H4" s="234"/>
      <c r="I4" s="1"/>
      <c r="J4" s="1"/>
      <c r="K4" s="1"/>
    </row>
    <row r="5" spans="1:11" ht="15">
      <c r="A5" s="228"/>
      <c r="B5" s="228"/>
      <c r="C5" s="228"/>
      <c r="D5" s="228"/>
      <c r="E5" s="228"/>
      <c r="F5" s="238" t="s">
        <v>314</v>
      </c>
      <c r="G5" s="228"/>
      <c r="H5" s="228" t="s">
        <v>315</v>
      </c>
      <c r="I5" s="1"/>
      <c r="J5" s="1"/>
      <c r="K5" s="3"/>
    </row>
    <row r="6" spans="1:11" ht="15">
      <c r="A6" s="228"/>
      <c r="B6" s="228"/>
      <c r="C6" s="228"/>
      <c r="D6" s="228"/>
      <c r="E6" s="228"/>
      <c r="F6" s="228" t="s">
        <v>316</v>
      </c>
      <c r="G6" s="228"/>
      <c r="H6" s="228" t="s">
        <v>317</v>
      </c>
      <c r="I6" s="1"/>
      <c r="J6" s="1"/>
      <c r="K6" s="3"/>
    </row>
    <row r="7" spans="1:11" ht="15">
      <c r="A7" s="228"/>
      <c r="B7" s="228" t="s">
        <v>318</v>
      </c>
      <c r="C7" s="228"/>
      <c r="D7" s="228"/>
      <c r="E7" s="228"/>
      <c r="F7" s="228"/>
      <c r="G7" s="228"/>
      <c r="H7" s="239">
        <v>0.08774</v>
      </c>
      <c r="I7" s="1"/>
      <c r="J7" s="1"/>
      <c r="K7" s="1"/>
    </row>
    <row r="8" spans="2:11" ht="15">
      <c r="B8" s="240">
        <v>1</v>
      </c>
      <c r="C8" s="240" t="s">
        <v>319</v>
      </c>
      <c r="D8" s="241"/>
      <c r="E8" s="242"/>
      <c r="F8" s="243">
        <v>553004514</v>
      </c>
      <c r="G8" s="243"/>
      <c r="H8" s="243">
        <f>F8*H7</f>
        <v>48520616.058359995</v>
      </c>
      <c r="I8" s="37"/>
      <c r="J8" s="37"/>
      <c r="K8" s="185"/>
    </row>
    <row r="9" spans="1:11" ht="15">
      <c r="A9" s="228"/>
      <c r="B9" s="228"/>
      <c r="C9" s="228"/>
      <c r="D9" s="228"/>
      <c r="E9" s="228"/>
      <c r="F9" s="228"/>
      <c r="G9" s="228"/>
      <c r="H9" s="268"/>
      <c r="I9" s="37"/>
      <c r="J9" s="37"/>
      <c r="K9" s="185"/>
    </row>
    <row r="10" spans="1:11" ht="15">
      <c r="A10" s="228" t="s">
        <v>320</v>
      </c>
      <c r="B10" s="228"/>
      <c r="C10" s="228"/>
      <c r="D10" s="228"/>
      <c r="E10" s="228"/>
      <c r="F10" s="244">
        <v>-6861000</v>
      </c>
      <c r="G10" s="245"/>
      <c r="H10" s="244">
        <f>F10*$H$7</f>
        <v>-601984.14</v>
      </c>
      <c r="I10" s="37"/>
      <c r="J10" s="37"/>
      <c r="K10" s="185"/>
    </row>
    <row r="11" spans="1:11" ht="15">
      <c r="A11" s="234"/>
      <c r="B11" s="228">
        <v>2</v>
      </c>
      <c r="C11" s="228" t="s">
        <v>248</v>
      </c>
      <c r="D11" s="228"/>
      <c r="E11" s="228"/>
      <c r="F11" s="246">
        <v>-6861000</v>
      </c>
      <c r="G11" s="245"/>
      <c r="H11" s="244">
        <f>H10</f>
        <v>-601984.14</v>
      </c>
      <c r="I11" s="37"/>
      <c r="J11" s="37"/>
      <c r="K11" s="185"/>
    </row>
    <row r="12" spans="1:11" ht="15">
      <c r="A12" s="234"/>
      <c r="B12" s="228"/>
      <c r="C12" s="228" t="s">
        <v>258</v>
      </c>
      <c r="D12" s="228"/>
      <c r="E12" s="228"/>
      <c r="F12" s="244"/>
      <c r="G12" s="245"/>
      <c r="H12" s="244"/>
      <c r="I12" s="37"/>
      <c r="J12" s="37"/>
      <c r="K12" s="185"/>
    </row>
    <row r="13" spans="1:11" ht="15">
      <c r="A13" s="228" t="s">
        <v>321</v>
      </c>
      <c r="B13" s="234"/>
      <c r="C13" s="234"/>
      <c r="D13" s="234"/>
      <c r="E13" s="234"/>
      <c r="F13" s="244">
        <f>SUM(F15:F22)</f>
        <v>-12879709.522894945</v>
      </c>
      <c r="G13" s="245"/>
      <c r="H13" s="244">
        <f>SUM(H15:H22)</f>
        <v>-1096670.0269988026</v>
      </c>
      <c r="I13" s="37"/>
      <c r="J13" s="37"/>
      <c r="K13" s="185"/>
    </row>
    <row r="14" spans="1:11" ht="15">
      <c r="A14" s="228"/>
      <c r="B14" s="234"/>
      <c r="C14" s="234"/>
      <c r="D14" s="234"/>
      <c r="E14" s="234"/>
      <c r="F14" s="247"/>
      <c r="G14" s="245"/>
      <c r="H14" s="245"/>
      <c r="I14" s="37"/>
      <c r="J14" s="37"/>
      <c r="K14" s="185"/>
    </row>
    <row r="15" spans="1:11" ht="15">
      <c r="A15" s="234"/>
      <c r="B15" s="228">
        <v>3.1</v>
      </c>
      <c r="C15" s="228" t="s">
        <v>250</v>
      </c>
      <c r="D15" s="234"/>
      <c r="E15" s="234"/>
      <c r="F15" s="244">
        <v>-2388754</v>
      </c>
      <c r="H15" s="244">
        <f aca="true" t="shared" si="0" ref="H15:H21">F15*$H$7</f>
        <v>-209589.27596</v>
      </c>
      <c r="I15" s="37"/>
      <c r="J15" s="37"/>
      <c r="K15" s="185"/>
    </row>
    <row r="16" spans="1:11" ht="15">
      <c r="A16" s="234"/>
      <c r="B16" s="228">
        <v>3.2</v>
      </c>
      <c r="C16" s="228" t="s">
        <v>251</v>
      </c>
      <c r="D16" s="234"/>
      <c r="E16" s="234"/>
      <c r="F16" s="244">
        <v>-858334.522894946</v>
      </c>
      <c r="H16" s="244">
        <f t="shared" si="0"/>
        <v>-75310.27103880256</v>
      </c>
      <c r="I16" s="37"/>
      <c r="J16" s="37"/>
      <c r="K16" s="185"/>
    </row>
    <row r="17" spans="1:11" ht="15">
      <c r="A17" s="234"/>
      <c r="B17" s="248">
        <v>4</v>
      </c>
      <c r="C17" s="228" t="s">
        <v>252</v>
      </c>
      <c r="D17" s="248"/>
      <c r="E17" s="248"/>
      <c r="F17" s="244">
        <v>-3116000</v>
      </c>
      <c r="G17" s="249"/>
      <c r="H17" s="244">
        <f t="shared" si="0"/>
        <v>-273397.83999999997</v>
      </c>
      <c r="I17" s="37"/>
      <c r="J17" s="37"/>
      <c r="K17" s="185"/>
    </row>
    <row r="18" spans="1:11" ht="15">
      <c r="A18" s="234"/>
      <c r="B18" s="228">
        <v>5</v>
      </c>
      <c r="C18" s="228" t="s">
        <v>253</v>
      </c>
      <c r="D18" s="228"/>
      <c r="E18" s="228"/>
      <c r="F18" s="244">
        <v>-486000</v>
      </c>
      <c r="H18" s="244">
        <f t="shared" si="0"/>
        <v>-42641.64</v>
      </c>
      <c r="I18" s="37"/>
      <c r="J18" s="37"/>
      <c r="K18" s="185"/>
    </row>
    <row r="19" spans="1:11" ht="15">
      <c r="A19" s="234"/>
      <c r="B19" s="228">
        <v>6.1</v>
      </c>
      <c r="C19" s="229" t="s">
        <v>254</v>
      </c>
      <c r="D19" s="228"/>
      <c r="E19" s="228"/>
      <c r="F19" s="244">
        <v>-1750000</v>
      </c>
      <c r="H19" s="244">
        <f t="shared" si="0"/>
        <v>-153545</v>
      </c>
      <c r="I19" s="37"/>
      <c r="J19" s="37"/>
      <c r="K19" s="185"/>
    </row>
    <row r="20" spans="1:11" ht="15">
      <c r="A20" s="234"/>
      <c r="B20" s="228">
        <v>6.2</v>
      </c>
      <c r="C20" s="229" t="s">
        <v>255</v>
      </c>
      <c r="D20" s="228"/>
      <c r="E20" s="228"/>
      <c r="F20" s="244">
        <v>-2100000</v>
      </c>
      <c r="H20" s="244">
        <f t="shared" si="0"/>
        <v>-184254</v>
      </c>
      <c r="I20" s="37"/>
      <c r="J20" s="37"/>
      <c r="K20" s="185"/>
    </row>
    <row r="21" spans="1:11" ht="15">
      <c r="A21" s="234"/>
      <c r="B21" s="228">
        <v>6.3</v>
      </c>
      <c r="C21" s="230" t="s">
        <v>256</v>
      </c>
      <c r="D21" s="228"/>
      <c r="E21" s="228"/>
      <c r="F21" s="244">
        <v>-1800000</v>
      </c>
      <c r="G21" s="250"/>
      <c r="H21" s="244">
        <f t="shared" si="0"/>
        <v>-157932</v>
      </c>
      <c r="I21" s="37"/>
      <c r="J21" s="37"/>
      <c r="K21" s="185"/>
    </row>
    <row r="22" spans="1:11" ht="15">
      <c r="A22" s="234"/>
      <c r="B22" s="228">
        <v>7</v>
      </c>
      <c r="C22" s="228" t="s">
        <v>257</v>
      </c>
      <c r="D22" s="228"/>
      <c r="E22" s="228"/>
      <c r="F22" s="244">
        <v>-380621</v>
      </c>
      <c r="G22" s="245"/>
      <c r="H22" s="244">
        <f>-'TES2 adjs'!L37</f>
        <v>0</v>
      </c>
      <c r="I22" s="265" t="s">
        <v>258</v>
      </c>
      <c r="J22" s="37"/>
      <c r="K22" s="185"/>
    </row>
    <row r="23" spans="1:11" ht="15">
      <c r="A23" s="234"/>
      <c r="B23" s="228"/>
      <c r="C23" s="248"/>
      <c r="D23" s="228"/>
      <c r="E23" s="228"/>
      <c r="F23" s="251"/>
      <c r="G23" s="245"/>
      <c r="H23" s="251"/>
      <c r="I23" s="37"/>
      <c r="J23" s="37"/>
      <c r="K23" s="185"/>
    </row>
    <row r="24" spans="1:11" ht="15">
      <c r="A24" s="228" t="s">
        <v>322</v>
      </c>
      <c r="B24" s="228"/>
      <c r="C24" s="228"/>
      <c r="D24" s="228"/>
      <c r="E24" s="228"/>
      <c r="F24" s="244"/>
      <c r="G24" s="245"/>
      <c r="H24" s="244"/>
      <c r="I24" s="37"/>
      <c r="J24" s="37"/>
      <c r="K24" s="185"/>
    </row>
    <row r="25" spans="1:11" ht="15">
      <c r="A25" s="228"/>
      <c r="B25" s="228"/>
      <c r="C25" s="228"/>
      <c r="D25" s="228"/>
      <c r="E25" s="228"/>
      <c r="F25" s="244"/>
      <c r="G25" s="245"/>
      <c r="H25" s="244"/>
      <c r="I25" s="37"/>
      <c r="J25" s="37"/>
      <c r="K25" s="177"/>
    </row>
    <row r="26" spans="1:11" ht="15">
      <c r="A26" s="228" t="s">
        <v>322</v>
      </c>
      <c r="B26" s="228"/>
      <c r="C26" s="228"/>
      <c r="D26" s="228"/>
      <c r="E26" s="228"/>
      <c r="F26" s="244">
        <v>-33139630.49894749</v>
      </c>
      <c r="G26" s="245"/>
      <c r="H26" s="244">
        <f>SUM(H27:H42)</f>
        <v>-684825.6051566685</v>
      </c>
      <c r="I26" s="10"/>
      <c r="J26" s="10"/>
      <c r="K26" s="3"/>
    </row>
    <row r="27" spans="1:11" ht="15">
      <c r="A27" s="228"/>
      <c r="B27" s="228">
        <v>8</v>
      </c>
      <c r="C27" s="228" t="s">
        <v>264</v>
      </c>
      <c r="D27" s="228"/>
      <c r="E27" s="252"/>
      <c r="F27" s="246">
        <v>-9871166</v>
      </c>
      <c r="G27" s="245"/>
      <c r="H27" s="267">
        <f>-'TES2 adjs'!M37</f>
        <v>0</v>
      </c>
      <c r="I27" s="10" t="s">
        <v>258</v>
      </c>
      <c r="J27" s="10"/>
      <c r="K27" s="3"/>
    </row>
    <row r="28" spans="1:11" ht="15">
      <c r="A28" s="228"/>
      <c r="B28" s="228">
        <v>9</v>
      </c>
      <c r="C28" s="228" t="s">
        <v>265</v>
      </c>
      <c r="D28" s="228"/>
      <c r="F28" s="246"/>
      <c r="G28" s="245"/>
      <c r="H28" s="244"/>
      <c r="I28" s="37"/>
      <c r="J28" s="37"/>
      <c r="K28" s="185"/>
    </row>
    <row r="29" spans="1:11" ht="15">
      <c r="A29" s="234"/>
      <c r="B29" s="228">
        <v>10</v>
      </c>
      <c r="C29" s="228" t="s">
        <v>266</v>
      </c>
      <c r="D29" s="228"/>
      <c r="E29" s="228"/>
      <c r="F29" s="244">
        <v>-7660533</v>
      </c>
      <c r="G29" s="245"/>
      <c r="H29" s="244">
        <f>-'TES2 adjs'!O37</f>
        <v>0</v>
      </c>
      <c r="I29" s="37" t="s">
        <v>258</v>
      </c>
      <c r="J29" s="37"/>
      <c r="K29" s="185"/>
    </row>
    <row r="30" spans="1:11" ht="15">
      <c r="A30" s="234"/>
      <c r="B30" s="228">
        <v>11</v>
      </c>
      <c r="C30" s="228" t="s">
        <v>267</v>
      </c>
      <c r="D30" s="228"/>
      <c r="E30" s="228"/>
      <c r="F30" s="244">
        <v>-719994</v>
      </c>
      <c r="G30" s="228"/>
      <c r="H30" s="244">
        <f>-'TES2 adjs'!P37</f>
        <v>0</v>
      </c>
      <c r="I30" s="37"/>
      <c r="J30" s="37"/>
      <c r="K30" s="185"/>
    </row>
    <row r="31" spans="1:11" ht="15">
      <c r="A31" s="234"/>
      <c r="B31" s="253">
        <v>12.1</v>
      </c>
      <c r="C31" s="228" t="s">
        <v>268</v>
      </c>
      <c r="D31" s="228"/>
      <c r="E31" s="228"/>
      <c r="F31" s="244">
        <v>-468910</v>
      </c>
      <c r="G31" s="245" t="s">
        <v>258</v>
      </c>
      <c r="H31" s="244">
        <f>-'TES2 adjs'!Q37</f>
        <v>0</v>
      </c>
      <c r="I31" s="37"/>
      <c r="J31" s="37"/>
      <c r="K31" s="185"/>
    </row>
    <row r="32" spans="1:11" ht="15">
      <c r="A32" s="234"/>
      <c r="B32" s="253">
        <v>12.2</v>
      </c>
      <c r="C32" s="228" t="s">
        <v>269</v>
      </c>
      <c r="D32" s="228"/>
      <c r="E32" s="228"/>
      <c r="F32" s="244">
        <v>-2207033</v>
      </c>
      <c r="G32" s="245"/>
      <c r="H32" s="244">
        <f>-'TES2 adjs'!R37</f>
        <v>0</v>
      </c>
      <c r="I32" s="37"/>
      <c r="J32" s="37"/>
      <c r="K32" s="185"/>
    </row>
    <row r="33" spans="1:11" ht="15">
      <c r="A33" s="234"/>
      <c r="B33" s="253">
        <v>12.3</v>
      </c>
      <c r="C33" s="228" t="s">
        <v>270</v>
      </c>
      <c r="D33" s="228"/>
      <c r="E33" s="228"/>
      <c r="F33" s="244">
        <v>-70974</v>
      </c>
      <c r="G33" s="245"/>
      <c r="H33" s="244">
        <f>-'TES2 adjs'!S37</f>
        <v>0</v>
      </c>
      <c r="I33" s="37"/>
      <c r="J33" s="37"/>
      <c r="K33" s="185"/>
    </row>
    <row r="34" spans="1:11" ht="15">
      <c r="A34" s="234"/>
      <c r="B34" s="253">
        <v>12.4</v>
      </c>
      <c r="C34" s="228" t="s">
        <v>271</v>
      </c>
      <c r="D34" s="228"/>
      <c r="E34" s="228"/>
      <c r="F34" s="244">
        <v>-340018</v>
      </c>
      <c r="G34" s="245"/>
      <c r="H34" s="244">
        <f>-'TES2 adjs'!T37</f>
        <v>0</v>
      </c>
      <c r="I34" s="37"/>
      <c r="J34" s="37"/>
      <c r="K34" s="185"/>
    </row>
    <row r="35" spans="1:11" ht="15">
      <c r="A35" s="234"/>
      <c r="B35" s="253">
        <v>13.1</v>
      </c>
      <c r="C35" s="228" t="s">
        <v>272</v>
      </c>
      <c r="D35" s="228"/>
      <c r="E35" s="228"/>
      <c r="F35" s="244">
        <v>-1180573</v>
      </c>
      <c r="G35" s="245"/>
      <c r="H35" s="244">
        <f>-'TES2 adjs'!U37</f>
        <v>0</v>
      </c>
      <c r="I35" s="37"/>
      <c r="J35" s="37"/>
      <c r="K35" s="185"/>
    </row>
    <row r="36" spans="1:11" ht="15">
      <c r="A36" s="234"/>
      <c r="B36" s="253">
        <v>13.2</v>
      </c>
      <c r="C36" s="228" t="s">
        <v>273</v>
      </c>
      <c r="D36" s="228"/>
      <c r="E36" s="228"/>
      <c r="F36" s="244">
        <v>-329277</v>
      </c>
      <c r="G36" s="245"/>
      <c r="H36" s="244">
        <f>-'TES2 adjs'!V37</f>
        <v>0</v>
      </c>
      <c r="I36" s="37"/>
      <c r="J36" s="37"/>
      <c r="K36" s="185"/>
    </row>
    <row r="37" spans="1:11" ht="15">
      <c r="A37" s="234"/>
      <c r="B37" s="253">
        <v>13.3</v>
      </c>
      <c r="C37" s="228" t="s">
        <v>274</v>
      </c>
      <c r="D37" s="228"/>
      <c r="E37" s="228"/>
      <c r="F37" s="244">
        <v>-492950</v>
      </c>
      <c r="G37" s="245"/>
      <c r="H37" s="244">
        <f>-'TES2 adjs'!W37</f>
        <v>0</v>
      </c>
      <c r="I37" s="37"/>
      <c r="J37" s="37"/>
      <c r="K37" s="185"/>
    </row>
    <row r="38" spans="1:11" ht="15">
      <c r="A38" s="234"/>
      <c r="B38" s="228">
        <v>14</v>
      </c>
      <c r="C38" s="228" t="s">
        <v>275</v>
      </c>
      <c r="D38" s="228"/>
      <c r="E38" s="228"/>
      <c r="F38" s="244">
        <v>-600474.559872945</v>
      </c>
      <c r="G38" s="245"/>
      <c r="H38" s="244">
        <f>F38*H7</f>
        <v>-52685.63788325219</v>
      </c>
      <c r="I38" s="37"/>
      <c r="J38" s="37"/>
      <c r="K38" s="185"/>
    </row>
    <row r="39" spans="1:11" ht="17.25">
      <c r="A39" s="234"/>
      <c r="B39" s="228">
        <v>15</v>
      </c>
      <c r="C39" s="228" t="s">
        <v>276</v>
      </c>
      <c r="D39" s="228"/>
      <c r="E39" s="228"/>
      <c r="F39" s="244">
        <v>-1811003</v>
      </c>
      <c r="G39" s="245"/>
      <c r="H39" s="244">
        <f>-'TES2 adjs'!Y37</f>
        <v>0</v>
      </c>
      <c r="I39" s="148"/>
      <c r="J39" s="148"/>
      <c r="K39" s="186"/>
    </row>
    <row r="40" spans="1:11" ht="15">
      <c r="A40" s="234"/>
      <c r="B40" s="228">
        <v>16</v>
      </c>
      <c r="C40" s="228" t="s">
        <v>277</v>
      </c>
      <c r="D40" s="228"/>
      <c r="E40" s="228"/>
      <c r="F40" s="244">
        <v>-1267461</v>
      </c>
      <c r="G40" s="228"/>
      <c r="H40" s="244">
        <f>F40*H7</f>
        <v>-111207.02814</v>
      </c>
      <c r="I40" s="37"/>
      <c r="J40" s="37"/>
      <c r="K40" s="185"/>
    </row>
    <row r="41" spans="1:11" ht="15">
      <c r="A41" s="234"/>
      <c r="B41" s="228">
        <v>17</v>
      </c>
      <c r="C41" s="228" t="s">
        <v>278</v>
      </c>
      <c r="D41" s="228"/>
      <c r="E41" s="228"/>
      <c r="F41" s="244">
        <v>-2933252.75248626</v>
      </c>
      <c r="G41" s="228"/>
      <c r="H41" s="244">
        <f>F41*0.08513</f>
        <v>-249707.80681915532</v>
      </c>
      <c r="I41" s="187"/>
      <c r="J41" s="187"/>
      <c r="K41" s="1"/>
    </row>
    <row r="42" spans="1:11" ht="15">
      <c r="A42" s="234"/>
      <c r="B42" s="228">
        <v>18</v>
      </c>
      <c r="C42" s="228" t="s">
        <v>279</v>
      </c>
      <c r="D42" s="228"/>
      <c r="E42" s="228"/>
      <c r="F42" s="244">
        <v>-3186011.1865882874</v>
      </c>
      <c r="G42" s="228"/>
      <c r="H42" s="244">
        <f>F42*0.08513</f>
        <v>-271225.1323142609</v>
      </c>
      <c r="I42" s="1"/>
      <c r="J42" s="1"/>
      <c r="K42" s="1"/>
    </row>
    <row r="43" spans="1:11" ht="15">
      <c r="A43" s="240" t="s">
        <v>323</v>
      </c>
      <c r="B43" s="242"/>
      <c r="C43" s="242"/>
      <c r="D43" s="241"/>
      <c r="E43" s="242"/>
      <c r="F43" s="254">
        <v>-52880340.021842435</v>
      </c>
      <c r="G43" s="254" t="s">
        <v>258</v>
      </c>
      <c r="H43" s="254">
        <f>H26+H13+H10</f>
        <v>-2383479.772155471</v>
      </c>
      <c r="I43" s="1"/>
      <c r="J43" s="1"/>
      <c r="K43" s="1"/>
    </row>
    <row r="44" spans="1:11" ht="15">
      <c r="A44" s="240"/>
      <c r="B44" s="242"/>
      <c r="C44" s="242"/>
      <c r="D44" s="241"/>
      <c r="E44" s="242"/>
      <c r="F44" s="243"/>
      <c r="G44" s="243"/>
      <c r="H44" s="243"/>
      <c r="I44" s="1"/>
      <c r="J44" s="1"/>
      <c r="K44" s="1"/>
    </row>
    <row r="45" spans="1:11" ht="15">
      <c r="A45" s="240" t="s">
        <v>324</v>
      </c>
      <c r="B45" s="242"/>
      <c r="C45" s="255" t="s">
        <v>258</v>
      </c>
      <c r="D45" s="255" t="s">
        <v>258</v>
      </c>
      <c r="E45" s="242"/>
      <c r="F45" s="243">
        <v>500124173.9781576</v>
      </c>
      <c r="G45" s="243"/>
      <c r="H45" s="243">
        <f>H8+H43</f>
        <v>46137136.286204524</v>
      </c>
      <c r="I45" s="1"/>
      <c r="J45" s="1"/>
      <c r="K45" s="1"/>
    </row>
    <row r="46" spans="1:11" ht="15">
      <c r="A46" s="240" t="s">
        <v>258</v>
      </c>
      <c r="B46" s="242"/>
      <c r="C46" s="240"/>
      <c r="D46" s="255"/>
      <c r="E46" s="242"/>
      <c r="F46" s="243"/>
      <c r="G46" s="243"/>
      <c r="H46" s="243"/>
      <c r="I46" s="1"/>
      <c r="J46" s="1"/>
      <c r="K46" s="1"/>
    </row>
    <row r="47" spans="1:11" ht="15">
      <c r="A47" s="228"/>
      <c r="B47" s="234"/>
      <c r="C47" s="234"/>
      <c r="D47" s="252"/>
      <c r="E47" s="234"/>
      <c r="F47" s="244"/>
      <c r="G47" s="244"/>
      <c r="H47" s="244"/>
      <c r="I47" s="1"/>
      <c r="J47" s="1"/>
      <c r="K47" s="1"/>
    </row>
    <row r="48" spans="1:11" ht="15">
      <c r="A48" s="228" t="s">
        <v>325</v>
      </c>
      <c r="B48" s="228"/>
      <c r="C48" s="228"/>
      <c r="D48" s="228"/>
      <c r="E48" s="228"/>
      <c r="F48" s="244"/>
      <c r="G48" s="247"/>
      <c r="H48" s="244"/>
      <c r="I48" s="1"/>
      <c r="J48" s="1"/>
      <c r="K48" s="1"/>
    </row>
    <row r="49" spans="1:11" ht="15">
      <c r="A49" s="234"/>
      <c r="B49" s="228"/>
      <c r="C49" s="228"/>
      <c r="D49" s="228"/>
      <c r="E49" s="228"/>
      <c r="F49" s="244"/>
      <c r="G49" s="245"/>
      <c r="H49" s="244"/>
      <c r="I49" s="1"/>
      <c r="J49" s="1"/>
      <c r="K49" s="1"/>
    </row>
    <row r="50" spans="1:11" ht="15">
      <c r="A50" s="252"/>
      <c r="B50" s="228">
        <v>19</v>
      </c>
      <c r="C50" s="228" t="s">
        <v>295</v>
      </c>
      <c r="D50" s="228"/>
      <c r="E50" s="228"/>
      <c r="F50" s="244">
        <f>-'Gadby WV'!C30</f>
        <v>-736667.8897908962</v>
      </c>
      <c r="G50" s="256" t="s">
        <v>326</v>
      </c>
      <c r="H50" s="244">
        <f>F50*'Gadby WV'!$C$6</f>
        <v>-64635.24065025323</v>
      </c>
      <c r="I50" s="266" t="s">
        <v>258</v>
      </c>
      <c r="J50" s="1"/>
      <c r="K50" s="1"/>
    </row>
    <row r="51" spans="2:11" ht="15">
      <c r="B51" s="228">
        <v>20</v>
      </c>
      <c r="C51" s="228" t="s">
        <v>296</v>
      </c>
      <c r="D51" s="228"/>
      <c r="E51" s="228"/>
      <c r="F51" s="244">
        <v>-5551913</v>
      </c>
      <c r="G51" s="256"/>
      <c r="H51" s="244">
        <f>F51*H7</f>
        <v>-487124.84661999997</v>
      </c>
      <c r="I51" s="266" t="s">
        <v>258</v>
      </c>
      <c r="J51" s="1"/>
      <c r="K51" s="1"/>
    </row>
    <row r="52" spans="1:11" ht="15">
      <c r="A52" s="241"/>
      <c r="B52" s="240" t="s">
        <v>327</v>
      </c>
      <c r="C52" s="241"/>
      <c r="D52" s="241"/>
      <c r="E52" s="240"/>
      <c r="F52" s="243">
        <v>-6676913</v>
      </c>
      <c r="G52" s="257" t="s">
        <v>258</v>
      </c>
      <c r="H52" s="243">
        <f>SUM(H50:H51)</f>
        <v>-551760.0872702532</v>
      </c>
      <c r="I52" s="1"/>
      <c r="J52" s="1"/>
      <c r="K52" s="1"/>
    </row>
    <row r="53" spans="1:11" ht="15">
      <c r="A53" s="258" t="s">
        <v>328</v>
      </c>
      <c r="B53" s="228"/>
      <c r="C53" s="228"/>
      <c r="D53" s="228"/>
      <c r="E53" s="228"/>
      <c r="F53" s="244"/>
      <c r="G53" s="256"/>
      <c r="H53" s="244"/>
      <c r="I53" s="1"/>
      <c r="J53" s="1"/>
      <c r="K53" s="1"/>
    </row>
    <row r="54" spans="1:11" ht="15">
      <c r="A54" s="252"/>
      <c r="B54" s="228">
        <v>22.1</v>
      </c>
      <c r="C54" s="228" t="s">
        <v>300</v>
      </c>
      <c r="D54" s="228"/>
      <c r="E54" s="228"/>
      <c r="F54" s="244">
        <v>0</v>
      </c>
      <c r="G54" s="256"/>
      <c r="H54" s="244">
        <v>-858339.131776426</v>
      </c>
      <c r="I54" s="1"/>
      <c r="J54" s="1"/>
      <c r="K54" s="1"/>
    </row>
    <row r="55" spans="1:11" ht="15">
      <c r="A55" s="252"/>
      <c r="B55" s="228">
        <v>22.2</v>
      </c>
      <c r="C55" s="228" t="s">
        <v>301</v>
      </c>
      <c r="D55" s="228"/>
      <c r="E55" s="228"/>
      <c r="F55" s="244">
        <v>0</v>
      </c>
      <c r="G55" s="259"/>
      <c r="H55" s="260">
        <v>-1926243.41772672</v>
      </c>
      <c r="I55" s="1"/>
      <c r="J55" s="1"/>
      <c r="K55" s="1"/>
    </row>
    <row r="56" spans="1:11" ht="15">
      <c r="A56" s="252"/>
      <c r="B56" s="228">
        <v>23</v>
      </c>
      <c r="C56" s="228" t="s">
        <v>302</v>
      </c>
      <c r="D56" s="228"/>
      <c r="E56" s="228"/>
      <c r="F56" s="244">
        <v>0</v>
      </c>
      <c r="G56" s="259"/>
      <c r="H56" s="244">
        <f>'Gadby WV'!I55</f>
        <v>-862826.3307530123</v>
      </c>
      <c r="I56" s="1"/>
      <c r="J56" s="1"/>
      <c r="K56" s="1"/>
    </row>
    <row r="57" spans="1:11" ht="15">
      <c r="A57" s="241"/>
      <c r="B57" s="240" t="s">
        <v>329</v>
      </c>
      <c r="C57" s="240"/>
      <c r="D57" s="240"/>
      <c r="E57" s="240"/>
      <c r="F57" s="243">
        <v>0</v>
      </c>
      <c r="G57" s="261"/>
      <c r="H57" s="243">
        <f>SUM(H54:H56)</f>
        <v>-3647408.8802561583</v>
      </c>
      <c r="I57" s="1"/>
      <c r="J57" s="1"/>
      <c r="K57" s="1"/>
    </row>
    <row r="58" spans="1:11" ht="15">
      <c r="A58" s="252"/>
      <c r="B58" s="228"/>
      <c r="C58" s="228"/>
      <c r="D58" s="228"/>
      <c r="E58" s="228"/>
      <c r="F58" s="244"/>
      <c r="G58" s="259"/>
      <c r="H58" s="262"/>
      <c r="I58" s="1"/>
      <c r="J58" s="1"/>
      <c r="K58" s="1"/>
    </row>
    <row r="59" spans="1:11" ht="15">
      <c r="A59" s="255" t="s">
        <v>330</v>
      </c>
      <c r="B59" s="241"/>
      <c r="C59" s="241"/>
      <c r="D59" s="241"/>
      <c r="E59" s="241"/>
      <c r="F59" s="263">
        <v>-59557253.021842435</v>
      </c>
      <c r="G59" s="241"/>
      <c r="H59" s="263">
        <f>H57+H52+H43</f>
        <v>-6582648.739681883</v>
      </c>
      <c r="I59" s="1"/>
      <c r="J59" s="1"/>
      <c r="K59" s="1"/>
    </row>
    <row r="60" spans="2:11" ht="15">
      <c r="B60" s="252"/>
      <c r="D60" s="252"/>
      <c r="E60" s="252"/>
      <c r="G60" s="252"/>
      <c r="I60" s="1"/>
      <c r="J60" s="1"/>
      <c r="K60" s="1"/>
    </row>
    <row r="61" spans="9:11" ht="15">
      <c r="I61" s="1"/>
      <c r="J61" s="1"/>
      <c r="K61" s="1"/>
    </row>
    <row r="62" spans="9:11" ht="15">
      <c r="I62" s="1"/>
      <c r="J62" s="1"/>
      <c r="K62" s="1"/>
    </row>
    <row r="63" spans="9:11" ht="15">
      <c r="I63" s="1"/>
      <c r="J63" s="1"/>
      <c r="K63" s="1"/>
    </row>
    <row r="64" spans="9:11" ht="15">
      <c r="I64" s="1"/>
      <c r="J64" s="1"/>
      <c r="K64" s="1"/>
    </row>
    <row r="65" spans="9:11" ht="15">
      <c r="I65" s="1"/>
      <c r="J65" s="1"/>
      <c r="K65" s="1"/>
    </row>
    <row r="66" spans="9:11" ht="15">
      <c r="I66" s="1"/>
      <c r="J66" s="1"/>
      <c r="K66" s="1"/>
    </row>
  </sheetData>
  <printOptions horizontalCentered="1" verticalCentered="1"/>
  <pageMargins left="1" right="0.75" top="1" bottom="1" header="0.5" footer="0.5"/>
  <pageSetup fitToHeight="1" fitToWidth="1" horizontalDpi="600" verticalDpi="600" orientation="portrait" scale="67" r:id="rId1"/>
  <headerFooter alignWithMargins="0">
    <oddHeader>&amp;R&amp;"Palatino Linotype,Regular"Exhibit ____ (TES-5)
Docket No. UE-032065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CWG</cp:lastModifiedBy>
  <cp:lastPrinted>2004-08-20T21:49:21Z</cp:lastPrinted>
  <dcterms:created xsi:type="dcterms:W3CDTF">2003-12-22T18:47:15Z</dcterms:created>
  <dcterms:modified xsi:type="dcterms:W3CDTF">2004-08-20T23:09:48Z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2004-08-27T00:00:00Z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