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225" yWindow="225" windowWidth="15480" windowHeight="11640" firstSheet="1" activeTab="4"/>
  </bookViews>
  <sheets>
    <sheet name="Rate Spread" sheetId="1" r:id="rId1"/>
    <sheet name="Billing Determinants" sheetId="2" r:id="rId2"/>
    <sheet name="Residential Bill Comparison" sheetId="3" r:id="rId3"/>
    <sheet name="Low Income Surcharges" sheetId="4" r:id="rId4"/>
    <sheet name="Low Income Credi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>[6]Jan!#REF!</definedName>
    <definedName name="\A" localSheetId="3">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3">[7]Actual!#REF!</definedName>
    <definedName name="\Q">[8]Actual!#REF!</definedName>
    <definedName name="\R" localSheetId="3">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localSheetId="1" hidden="1">[1]Inputs!#REF!</definedName>
    <definedName name="__123Graph_A" localSheetId="3" hidden="1">[2]Inputs!#REF!</definedName>
    <definedName name="__123Graph_A" localSheetId="0" hidden="1">[3]Inputs!#REF!</definedName>
    <definedName name="__123Graph_A" localSheetId="2" hidden="1">[4]Inputs!#REF!</definedName>
    <definedName name="__123Graph_A" hidden="1">[2]Inputs!#REF!</definedName>
    <definedName name="__123Graph_B" localSheetId="1" hidden="1">[1]Inputs!#REF!</definedName>
    <definedName name="__123Graph_B" localSheetId="3" hidden="1">[2]Inputs!#REF!</definedName>
    <definedName name="__123Graph_B" localSheetId="0" hidden="1">[3]Inputs!#REF!</definedName>
    <definedName name="__123Graph_B" localSheetId="2" hidden="1">[4]Inputs!#REF!</definedName>
    <definedName name="__123Graph_B" hidden="1">[2]Inputs!#REF!</definedName>
    <definedName name="__123Graph_D" localSheetId="1" hidden="1">[1]Inputs!#REF!</definedName>
    <definedName name="__123Graph_D" localSheetId="3" hidden="1">[2]Inputs!#REF!</definedName>
    <definedName name="__123Graph_D" localSheetId="0" hidden="1">[3]Inputs!#REF!</definedName>
    <definedName name="__123Graph_D" localSheetId="2" hidden="1">[4]Inputs!#REF!</definedName>
    <definedName name="__123Graph_D" hidden="1">[2]Inputs!#REF!</definedName>
    <definedName name="_2Price_Ta" localSheetId="3">#REF!</definedName>
    <definedName name="_2Price_Ta">#REF!</definedName>
    <definedName name="_B" localSheetId="3">'[5]Rate Design'!#REF!</definedName>
    <definedName name="_B">'[5]Rate Design'!#REF!</definedName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hidden="1">#REF!</definedName>
    <definedName name="_MEN2" localSheetId="3">[6]Jan!#REF!</definedName>
    <definedName name="_MEN2">[6]Jan!#REF!</definedName>
    <definedName name="_MEN3" localSheetId="3">[6]Jan!#REF!</definedName>
    <definedName name="_MEN3">[6]Jan!#REF!</definedName>
    <definedName name="_Order1" hidden="1">0</definedName>
    <definedName name="_Order2" hidden="1">0</definedName>
    <definedName name="_P" localSheetId="3">#REF!</definedName>
    <definedName name="_P">#REF!</definedName>
    <definedName name="_Sort" localSheetId="3" hidden="1">#REF!</definedName>
    <definedName name="_Sort" hidden="1">#REF!</definedName>
    <definedName name="_TOP1" localSheetId="3">[6]Jan!#REF!</definedName>
    <definedName name="_TOP1">[6]Jan!#REF!</definedName>
    <definedName name="a" localSheetId="1" hidden="1">#REF!</definedName>
    <definedName name="a" localSheetId="0" hidden="1">#REF!</definedName>
    <definedName name="a" localSheetId="2" hidden="1">#REF!</definedName>
    <definedName name="a" hidden="1">'[2]DSM Output'!$J$21:$J$23</definedName>
    <definedName name="Acct108364" localSheetId="3">'[9]Func Study'!#REF!</definedName>
    <definedName name="Acct108364">'[9]Func Study'!#REF!</definedName>
    <definedName name="Acct108364S" localSheetId="3">'[9]Func Study'!#REF!</definedName>
    <definedName name="Acct108364S">'[9]Func Study'!#REF!</definedName>
    <definedName name="Acct228.42TROJD" localSheetId="3">'[10]Func Study'!#REF!</definedName>
    <definedName name="Acct228.42TROJD">'[10]Func Study'!#REF!</definedName>
    <definedName name="Acct22842TROJD" localSheetId="3">'[10]Func Study'!#REF!</definedName>
    <definedName name="Acct22842TROJD">'[10]Func Study'!#REF!</definedName>
    <definedName name="Acct41011" localSheetId="3">'[11]Functional Study'!#REF!</definedName>
    <definedName name="Acct41011">'[12]Functional Study'!#REF!</definedName>
    <definedName name="Acct41011BADDEBT" localSheetId="3">'[11]Functional Study'!#REF!</definedName>
    <definedName name="Acct41011BADDEBT">'[12]Functional Study'!#REF!</definedName>
    <definedName name="Acct41011DITEXP" localSheetId="3">'[11]Functional Study'!#REF!</definedName>
    <definedName name="Acct41011DITEXP">'[12]Functional Study'!#REF!</definedName>
    <definedName name="Acct41011S" localSheetId="3">'[11]Functional Study'!#REF!</definedName>
    <definedName name="Acct41011S">'[12]Functional Study'!#REF!</definedName>
    <definedName name="Acct41011SE" localSheetId="3">'[11]Functional Study'!#REF!</definedName>
    <definedName name="Acct41011SE">'[12]Functional Study'!#REF!</definedName>
    <definedName name="Acct41011SG1" localSheetId="3">'[11]Functional Study'!#REF!</definedName>
    <definedName name="Acct41011SG1">'[12]Functional Study'!#REF!</definedName>
    <definedName name="Acct41011SG2" localSheetId="3">'[11]Functional Study'!#REF!</definedName>
    <definedName name="Acct41011SG2">'[12]Functional Study'!#REF!</definedName>
    <definedName name="ACCT41011SGCT" localSheetId="3">'[11]Functional Study'!#REF!</definedName>
    <definedName name="ACCT41011SGCT">'[12]Functional Study'!#REF!</definedName>
    <definedName name="Acct41011SGPP" localSheetId="3">'[11]Functional Study'!#REF!</definedName>
    <definedName name="Acct41011SGPP">'[12]Functional Study'!#REF!</definedName>
    <definedName name="Acct41011SNP" localSheetId="3">'[11]Functional Study'!#REF!</definedName>
    <definedName name="Acct41011SNP">'[12]Functional Study'!#REF!</definedName>
    <definedName name="ACCT41011SNPD" localSheetId="3">'[11]Functional Study'!#REF!</definedName>
    <definedName name="ACCT41011SNPD">'[12]Functional Study'!#REF!</definedName>
    <definedName name="Acct41011SO" localSheetId="3">'[11]Functional Study'!#REF!</definedName>
    <definedName name="Acct41011SO">'[12]Functional Study'!#REF!</definedName>
    <definedName name="Acct41011TROJP" localSheetId="3">'[11]Functional Study'!#REF!</definedName>
    <definedName name="Acct41011TROJP">'[12]Functional Study'!#REF!</definedName>
    <definedName name="Acct41111" localSheetId="3">'[11]Functional Study'!#REF!</definedName>
    <definedName name="Acct41111">'[12]Functional Study'!#REF!</definedName>
    <definedName name="Acct41111BADDEBT" localSheetId="3">'[11]Functional Study'!#REF!</definedName>
    <definedName name="Acct41111BADDEBT">'[12]Functional Study'!#REF!</definedName>
    <definedName name="Acct41111DITEXP" localSheetId="3">'[11]Functional Study'!#REF!</definedName>
    <definedName name="Acct41111DITEXP">'[12]Functional Study'!#REF!</definedName>
    <definedName name="Acct41111S" localSheetId="3">'[11]Functional Study'!#REF!</definedName>
    <definedName name="Acct41111S">'[12]Functional Study'!#REF!</definedName>
    <definedName name="Acct41111SE" localSheetId="3">'[11]Functional Study'!#REF!</definedName>
    <definedName name="Acct41111SE">'[12]Functional Study'!#REF!</definedName>
    <definedName name="Acct41111SG1" localSheetId="3">'[11]Functional Study'!#REF!</definedName>
    <definedName name="Acct41111SG1">'[12]Functional Study'!#REF!</definedName>
    <definedName name="Acct41111SG2" localSheetId="3">'[11]Functional Study'!#REF!</definedName>
    <definedName name="Acct41111SG2">'[12]Functional Study'!#REF!</definedName>
    <definedName name="Acct41111SG3" localSheetId="3">'[11]Functional Study'!#REF!</definedName>
    <definedName name="Acct41111SG3">'[12]Functional Study'!#REF!</definedName>
    <definedName name="Acct41111SGPP" localSheetId="3">'[11]Functional Study'!#REF!</definedName>
    <definedName name="Acct41111SGPP">'[12]Functional Study'!#REF!</definedName>
    <definedName name="Acct41111SNP" localSheetId="3">'[11]Functional Study'!#REF!</definedName>
    <definedName name="Acct41111SNP">'[12]Functional Study'!#REF!</definedName>
    <definedName name="Acct41111SNTP" localSheetId="3">'[11]Functional Study'!#REF!</definedName>
    <definedName name="Acct41111SNTP">'[12]Functional Study'!#REF!</definedName>
    <definedName name="Acct41111SO" localSheetId="3">'[11]Functional Study'!#REF!</definedName>
    <definedName name="Acct41111SO">'[12]Functional Study'!#REF!</definedName>
    <definedName name="Acct41111TROJP" localSheetId="3">'[11]Functional Study'!#REF!</definedName>
    <definedName name="Acct41111TROJP">'[12]Functional Study'!#REF!</definedName>
    <definedName name="Acct411BADDEBT" localSheetId="3">'[11]Functional Study'!#REF!</definedName>
    <definedName name="Acct411BADDEBT">'[12]Functional Study'!#REF!</definedName>
    <definedName name="Acct411DGP" localSheetId="3">'[11]Functional Study'!#REF!</definedName>
    <definedName name="Acct411DGP">'[12]Functional Study'!#REF!</definedName>
    <definedName name="Acct411DGU" localSheetId="3">'[11]Functional Study'!#REF!</definedName>
    <definedName name="Acct411DGU">'[12]Functional Study'!#REF!</definedName>
    <definedName name="Acct411DITEXP" localSheetId="3">'[11]Functional Study'!#REF!</definedName>
    <definedName name="Acct411DITEXP">'[12]Functional Study'!#REF!</definedName>
    <definedName name="Acct411DNPP" localSheetId="3">'[11]Functional Study'!#REF!</definedName>
    <definedName name="Acct411DNPP">'[12]Functional Study'!#REF!</definedName>
    <definedName name="Acct411DNPTP" localSheetId="3">'[11]Functional Study'!#REF!</definedName>
    <definedName name="Acct411DNPTP">'[12]Functional Study'!#REF!</definedName>
    <definedName name="Acct411S" localSheetId="3">'[11]Functional Study'!#REF!</definedName>
    <definedName name="Acct411S">'[12]Functional Study'!#REF!</definedName>
    <definedName name="Acct411SE" localSheetId="3">'[11]Functional Study'!#REF!</definedName>
    <definedName name="Acct411SE">'[12]Functional Study'!#REF!</definedName>
    <definedName name="Acct411SG" localSheetId="3">'[11]Functional Study'!#REF!</definedName>
    <definedName name="Acct411SG">'[12]Functional Study'!#REF!</definedName>
    <definedName name="Acct411SGPP" localSheetId="3">'[11]Functional Study'!#REF!</definedName>
    <definedName name="Acct411SGPP">'[12]Functional Study'!#REF!</definedName>
    <definedName name="Acct411SO" localSheetId="3">'[11]Functional Study'!#REF!</definedName>
    <definedName name="Acct411SO">'[12]Functional Study'!#REF!</definedName>
    <definedName name="Acct411TROJP" localSheetId="3">'[11]Functional Study'!#REF!</definedName>
    <definedName name="Acct411TROJP">'[12]Functional Study'!#REF!</definedName>
    <definedName name="Acct447DGU">'[10]Func Study'!#REF!</definedName>
    <definedName name="ACCT904SG" localSheetId="3">'[13]Functional Study'!#REF!</definedName>
    <definedName name="ACCT904SG">'[14]Functional Study'!#REF!</definedName>
    <definedName name="AcctTable">[15]Variables!$AK$42:$AK$396</definedName>
    <definedName name="ActualROR">'[10]G+T+D+R+M'!$H$61</definedName>
    <definedName name="Adjs2avg">[16]Inputs!$L$255:'[16]Inputs'!$T$505</definedName>
    <definedName name="APR" localSheetId="1">#REF!</definedName>
    <definedName name="APR" localSheetId="3">[17]Backup!#REF!</definedName>
    <definedName name="APR">[17]Backup!#REF!</definedName>
    <definedName name="APRT" localSheetId="3">#REF!</definedName>
    <definedName name="APRT">#REF!</definedName>
    <definedName name="AUG" localSheetId="1">#REF!</definedName>
    <definedName name="AUG" localSheetId="3">[17]Backup!#REF!</definedName>
    <definedName name="AUG">[17]Backup!#REF!</definedName>
    <definedName name="AUGT" localSheetId="3">#REF!</definedName>
    <definedName name="AUGT">#REF!</definedName>
    <definedName name="AvgFactors">[15]Factors!$B$3:$P$99</definedName>
    <definedName name="BACK1" localSheetId="3">#REF!</definedName>
    <definedName name="BACK1">#REF!</definedName>
    <definedName name="BACK2" localSheetId="3">#REF!</definedName>
    <definedName name="BACK2">#REF!</definedName>
    <definedName name="BACK3" localSheetId="3">#REF!</definedName>
    <definedName name="BACK3">#REF!</definedName>
    <definedName name="BACKUP1">#REF!</definedName>
    <definedName name="BOOKADJ">#REF!</definedName>
    <definedName name="cap">[18]Readings!$B$2</definedName>
    <definedName name="Check" localSheetId="3">#REF!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 localSheetId="3">[19]Invoice!#REF!</definedName>
    <definedName name="_xlnm.Database">[19]Invoice!#REF!</definedName>
    <definedName name="DATE" localSheetId="3">[20]Jan!#REF!</definedName>
    <definedName name="DATE">[20]Jan!#REF!</definedName>
    <definedName name="DEC" localSheetId="1">#REF!</definedName>
    <definedName name="DEC" localSheetId="3">[17]Backup!#REF!</definedName>
    <definedName name="DEC">[17]Backup!#REF!</definedName>
    <definedName name="DECT" localSheetId="3">#REF!</definedName>
    <definedName name="DECT">#REF!</definedName>
    <definedName name="Demand">[10]Inputs!$D$8</definedName>
    <definedName name="Dist_factor" localSheetId="3">#REF!</definedName>
    <definedName name="Dist_factor">#REF!</definedName>
    <definedName name="DistPeakMethod" localSheetId="3">[13]Inputs!#REF!</definedName>
    <definedName name="DistPeakMethod">[14]Inputs!#REF!</definedName>
    <definedName name="DUDE" localSheetId="3" hidden="1">#REF!</definedName>
    <definedName name="DUDE" hidden="1">#REF!</definedName>
    <definedName name="energy">[18]Readings!$B$3</definedName>
    <definedName name="Engy">[10]Inputs!$D$9</definedName>
    <definedName name="f101top" localSheetId="3">#REF!</definedName>
    <definedName name="f101top">#REF!</definedName>
    <definedName name="f104top">#REF!</definedName>
    <definedName name="f138top">#REF!</definedName>
    <definedName name="f140top">#REF!</definedName>
    <definedName name="FactorType">[15]Variables!$AK$2:$AL$12</definedName>
    <definedName name="FACTP" localSheetId="3">#REF!</definedName>
    <definedName name="FACTP">#REF!</definedName>
    <definedName name="FEB" localSheetId="1">#REF!</definedName>
    <definedName name="FEB" localSheetId="3">[17]Backup!#REF!</definedName>
    <definedName name="FEB">[17]Backup!#REF!</definedName>
    <definedName name="FEBT" localSheetId="3">#REF!</definedName>
    <definedName name="FEBT">#REF!</definedName>
    <definedName name="FranchiseTax">[16]Variables!$D$26</definedName>
    <definedName name="Func_Ftrs" localSheetId="3">#REF!</definedName>
    <definedName name="Func_Ftrs">#REF!</definedName>
    <definedName name="Func_GTD_Percents" localSheetId="3">#REF!</definedName>
    <definedName name="Func_GTD_Percents">#REF!</definedName>
    <definedName name="Func_MC" localSheetId="3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 localSheetId="3">[21]Summary!#REF!</definedName>
    <definedName name="INPUT">[22]Summary!#REF!</definedName>
    <definedName name="Instructions" localSheetId="3">#REF!</definedName>
    <definedName name="Instructions">#REF!</definedName>
    <definedName name="JAN" localSheetId="1">#REF!</definedName>
    <definedName name="JAN" localSheetId="3">[17]Backup!#REF!</definedName>
    <definedName name="JAN">[17]Backup!#REF!</definedName>
    <definedName name="JANT" localSheetId="3">#REF!</definedName>
    <definedName name="JANT">#REF!</definedName>
    <definedName name="jjj" localSheetId="3">[23]Inputs!$N$18</definedName>
    <definedName name="jjj">[24]Inputs!$N$18</definedName>
    <definedName name="JUL" localSheetId="1">#REF!</definedName>
    <definedName name="JUL" localSheetId="3">[17]Backup!#REF!</definedName>
    <definedName name="JUL">[17]Backup!#REF!</definedName>
    <definedName name="JULT" localSheetId="3">#REF!</definedName>
    <definedName name="JULT">#REF!</definedName>
    <definedName name="JUN" localSheetId="1">#REF!</definedName>
    <definedName name="JUN" localSheetId="3">[17]Backup!#REF!</definedName>
    <definedName name="JUN">[17]Backup!#REF!</definedName>
    <definedName name="JUNT" localSheetId="3">#REF!</definedName>
    <definedName name="JUNT">#REF!</definedName>
    <definedName name="Jurisdiction">[15]Variables!$AK$15</definedName>
    <definedName name="JurisNumber">[15]Variables!$AL$15</definedName>
    <definedName name="LABORMOD" localSheetId="3">#REF!</definedName>
    <definedName name="LABORMOD">#REF!</definedName>
    <definedName name="LABORROLL" localSheetId="3">#REF!</definedName>
    <definedName name="LABORROLL">#REF!</definedName>
    <definedName name="limcount" hidden="1">1</definedName>
    <definedName name="Line_Ext_Credit" localSheetId="3">#REF!</definedName>
    <definedName name="Line_Ext_Credit">#REF!</definedName>
    <definedName name="LOG" localSheetId="3">[17]Backup!#REF!</definedName>
    <definedName name="LOG">[17]Backup!#REF!</definedName>
    <definedName name="LOSS" localSheetId="3">[17]Backup!#REF!</definedName>
    <definedName name="LOSS">[17]Backup!#REF!</definedName>
    <definedName name="MACTIT" localSheetId="3">#REF!</definedName>
    <definedName name="MACTIT">#REF!</definedName>
    <definedName name="MAR" localSheetId="1">#REF!</definedName>
    <definedName name="MAR" localSheetId="3">[17]Backup!#REF!</definedName>
    <definedName name="MAR">[17]Backup!#REF!</definedName>
    <definedName name="MART" localSheetId="3">#REF!</definedName>
    <definedName name="MART">#REF!</definedName>
    <definedName name="MAY" localSheetId="1">#REF!</definedName>
    <definedName name="MAY" localSheetId="3">[17]Backup!#REF!</definedName>
    <definedName name="MAY">[17]Backup!#REF!</definedName>
    <definedName name="MAYT" localSheetId="3">#REF!</definedName>
    <definedName name="MAYT">#REF!</definedName>
    <definedName name="MCtoREV" localSheetId="3">#REF!</definedName>
    <definedName name="MCtoREV">#REF!</definedName>
    <definedName name="MEN" localSheetId="3">[6]Jan!#REF!</definedName>
    <definedName name="MEN">[6]Jan!#REF!</definedName>
    <definedName name="Menu_Begin" localSheetId="3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[10]Inputs!$C$6</definedName>
    <definedName name="MONTH" localSheetId="3">[17]Backup!#REF!</definedName>
    <definedName name="MONTH">[17]Backup!#REF!</definedName>
    <definedName name="monthlist">[25]Table!$R$2:$S$13</definedName>
    <definedName name="monthtotals">'[25]WA SBC'!$D$40:$O$40</definedName>
    <definedName name="MTKWH" localSheetId="3">#REF!</definedName>
    <definedName name="MTKWH">#REF!</definedName>
    <definedName name="MTR_YR3">[26]Variables!$E$14</definedName>
    <definedName name="MTREV" localSheetId="3">#REF!</definedName>
    <definedName name="MTREV">#REF!</definedName>
    <definedName name="MULT" localSheetId="3">#REF!</definedName>
    <definedName name="MULT">#REF!</definedName>
    <definedName name="NetToGross">[16]Variables!$D$23</definedName>
    <definedName name="NEWMO1" localSheetId="3">[6]Jan!#REF!</definedName>
    <definedName name="NEWMO1">[6]Jan!#REF!</definedName>
    <definedName name="NEWMO2" localSheetId="3">[6]Jan!#REF!</definedName>
    <definedName name="NEWMO2">[6]Jan!#REF!</definedName>
    <definedName name="NEWMONTH" localSheetId="3">[6]Jan!#REF!</definedName>
    <definedName name="NEWMONTH">[6]Jan!#REF!</definedName>
    <definedName name="NORMALIZE" localSheetId="3">#REF!</definedName>
    <definedName name="NORMALIZE">#REF!</definedName>
    <definedName name="NOV" localSheetId="1">#REF!</definedName>
    <definedName name="NOV" localSheetId="3">[17]Backup!#REF!</definedName>
    <definedName name="NOV">[17]Backup!#REF!</definedName>
    <definedName name="NOVT" localSheetId="3">#REF!</definedName>
    <definedName name="NOVT">#REF!</definedName>
    <definedName name="NPC" localSheetId="3">[13]Inputs!$N$18</definedName>
    <definedName name="NPC">[14]Inputs!$N$18</definedName>
    <definedName name="NUM" localSheetId="3">#REF!</definedName>
    <definedName name="NUM">#REF!</definedName>
    <definedName name="OCT" localSheetId="1">#REF!</definedName>
    <definedName name="OCT" localSheetId="3">[17]Backup!#REF!</definedName>
    <definedName name="OCT">[17]Backup!#REF!</definedName>
    <definedName name="OCTT" localSheetId="3">#REF!</definedName>
    <definedName name="OCTT">#REF!</definedName>
    <definedName name="ONE" localSheetId="3">[6]Jan!#REF!</definedName>
    <definedName name="ONE">[6]Jan!#REF!</definedName>
    <definedName name="option">'[27]Dist Misc'!$F$120</definedName>
    <definedName name="Page1" localSheetId="3">#REF!</definedName>
    <definedName name="Page1">#REF!</definedName>
    <definedName name="Page110" localSheetId="3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 localSheetId="3">[28]TransInvest!#REF!</definedName>
    <definedName name="Page62">[28]TransInvest!#REF!</definedName>
    <definedName name="page65" localSheetId="3">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[10]Inputs!$T$5</definedName>
    <definedName name="PMAC" localSheetId="3">[17]Backup!#REF!</definedName>
    <definedName name="PMAC">[17]Backup!#REF!</definedName>
    <definedName name="PRESENT" localSheetId="3">#REF!</definedName>
    <definedName name="PRESENT">#REF!</definedName>
    <definedName name="PRICCHNG" localSheetId="3">#REF!</definedName>
    <definedName name="PRICCHNG">#REF!</definedName>
    <definedName name="_xlnm.Print_Area" localSheetId="1">'Billing Determinants'!$A$1:$L$1082</definedName>
    <definedName name="_xlnm.Print_Area" localSheetId="4">'Low Income Credits'!$A$1:$F$11</definedName>
    <definedName name="_xlnm.Print_Area" localSheetId="3">'Low Income Surcharges'!$A$1:$J$50</definedName>
    <definedName name="_xlnm.Print_Area" localSheetId="0">'Rate Spread'!$A$1:$V$49</definedName>
    <definedName name="_xlnm.Print_Area" localSheetId="2">'Residential Bill Comparison'!$B$3:$N$41</definedName>
    <definedName name="_xlnm.Print_Titles" localSheetId="1">'Billing Determinants'!$1:$11</definedName>
    <definedName name="PTABLES" localSheetId="3">#REF!</definedName>
    <definedName name="PTABLES">#REF!</definedName>
    <definedName name="PTDMOD" localSheetId="3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C_ADJ">#REF!</definedName>
    <definedName name="RESADJ">#REF!</definedName>
    <definedName name="ResourceSupplier">[16]Variables!$D$28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3">#REF!</definedName>
    <definedName name="REV_SCHD">#REF!</definedName>
    <definedName name="Revenue_by_month_take_2" localSheetId="3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chedule" localSheetId="3">[13]Inputs!$N$14</definedName>
    <definedName name="Schedule">[14]Inputs!$N$14</definedName>
    <definedName name="se" localSheetId="3">#REF!</definedName>
    <definedName name="se">#REF!</definedName>
    <definedName name="SECOND" localSheetId="3">[6]Jan!#REF!</definedName>
    <definedName name="SECOND">[6]Jan!#REF!</definedName>
    <definedName name="SEP" localSheetId="1">#REF!</definedName>
    <definedName name="SEP" localSheetId="3">[17]Backup!#REF!</definedName>
    <definedName name="SEP">[17]Backup!#REF!</definedName>
    <definedName name="SEPT" localSheetId="3">#REF!</definedName>
    <definedName name="SEPT">#REF!</definedName>
    <definedName name="SERVICES_3" localSheetId="3">#REF!</definedName>
    <definedName name="SERVICES_3">#REF!</definedName>
    <definedName name="sg" localSheetId="3">#REF!</definedName>
    <definedName name="sg">#REF!</definedName>
    <definedName name="START" localSheetId="3">[6]Jan!#REF!</definedName>
    <definedName name="START">[6]Jan!#REF!</definedName>
    <definedName name="SUM_TAB1" localSheetId="3">#REF!</definedName>
    <definedName name="SUM_TAB1">#REF!</definedName>
    <definedName name="SUM_TAB2">#REF!</definedName>
    <definedName name="SUM_TAB3">#REF!</definedName>
    <definedName name="TABLE_1" localSheetId="1">#REF!</definedName>
    <definedName name="TABLE_1">#REF!</definedName>
    <definedName name="TABLE_2" localSheetId="1">#REF!</definedName>
    <definedName name="TABLE_2">#REF!</definedName>
    <definedName name="TABLE_3">#REF!</definedName>
    <definedName name="TABLE_4" localSheetId="1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 localSheetId="3">#REF!</definedName>
    <definedName name="TABLEA" localSheetId="0">'Rate Spread'!$B$3:$AI$46</definedName>
    <definedName name="TABLEA">#REF!</definedName>
    <definedName name="TABLEONE">#REF!</definedName>
    <definedName name="TargetROR">[10]Inputs!$G$29</definedName>
    <definedName name="TDMOD" localSheetId="3">#REF!</definedName>
    <definedName name="TDMOD">#REF!</definedName>
    <definedName name="TDROLL" localSheetId="3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[29]Transm2!$A$1:$M$461:'[29]10 Yr FC'!$M$47</definedName>
    <definedName name="UAACT115S" localSheetId="3">'[13]Functional Study'!#REF!</definedName>
    <definedName name="UAACT115S">'[14]Functional Study'!#REF!</definedName>
    <definedName name="UACCT115" localSheetId="3">'[13]Functional Study'!#REF!</definedName>
    <definedName name="UACCT115">'[14]Functional Study'!#REF!</definedName>
    <definedName name="UACCT115DGP" localSheetId="3">'[13]Functional Study'!#REF!</definedName>
    <definedName name="UACCT115DGP">'[14]Functional Study'!#REF!</definedName>
    <definedName name="UACCT115SG" localSheetId="3">'[13]Functional Study'!#REF!</definedName>
    <definedName name="UACCT115SG">'[14]Functional Study'!#REF!</definedName>
    <definedName name="UAcct22842Trojd">'[10]Func Study'!#REF!</definedName>
    <definedName name="UACCT41020" localSheetId="3">'[11]Functional Study'!#REF!</definedName>
    <definedName name="UACCT41020">'[12]Functional Study'!#REF!</definedName>
    <definedName name="UACCT41020BADDEBT" localSheetId="3">'[11]Functional Study'!#REF!</definedName>
    <definedName name="UACCT41020BADDEBT">'[12]Functional Study'!#REF!</definedName>
    <definedName name="UACCT41020DITEXP" localSheetId="3">'[11]Functional Study'!#REF!</definedName>
    <definedName name="UACCT41020DITEXP">'[12]Functional Study'!#REF!</definedName>
    <definedName name="UACCT41020DNPU" localSheetId="3">'[11]Functional Study'!#REF!</definedName>
    <definedName name="UACCT41020DNPU">'[12]Functional Study'!#REF!</definedName>
    <definedName name="UACCT41020S" localSheetId="3">'[11]Functional Study'!#REF!</definedName>
    <definedName name="UACCT41020S">'[12]Functional Study'!#REF!</definedName>
    <definedName name="UACCT41020SE" localSheetId="3">'[11]Functional Study'!#REF!</definedName>
    <definedName name="UACCT41020SE">'[12]Functional Study'!#REF!</definedName>
    <definedName name="UACCT41020SG" localSheetId="3">'[11]Functional Study'!#REF!</definedName>
    <definedName name="UACCT41020SG">'[12]Functional Study'!#REF!</definedName>
    <definedName name="UACCT41020SGCT" localSheetId="3">'[11]Functional Study'!#REF!</definedName>
    <definedName name="UACCT41020SGCT">'[12]Functional Study'!#REF!</definedName>
    <definedName name="UACCT41020SGPP" localSheetId="3">'[11]Functional Study'!#REF!</definedName>
    <definedName name="UACCT41020SGPP">'[12]Functional Study'!#REF!</definedName>
    <definedName name="UACCT41020SO" localSheetId="3">'[11]Functional Study'!#REF!</definedName>
    <definedName name="UACCT41020SO">'[12]Functional Study'!#REF!</definedName>
    <definedName name="UACCT41020TROJP" localSheetId="3">'[11]Functional Study'!#REF!</definedName>
    <definedName name="UACCT41020TROJP">'[12]Functional Study'!#REF!</definedName>
    <definedName name="UACCT4102SNPD" localSheetId="3">'[11]Functional Study'!#REF!</definedName>
    <definedName name="UACCT4102SNPD">'[12]Functional Study'!#REF!</definedName>
    <definedName name="UAcct41111" localSheetId="3">'[11]Functional Study'!#REF!</definedName>
    <definedName name="UAcct41111">'[12]Functional Study'!#REF!</definedName>
    <definedName name="UAcct41111Baddebt" localSheetId="3">'[11]Functional Study'!#REF!</definedName>
    <definedName name="UAcct41111Baddebt">'[12]Functional Study'!#REF!</definedName>
    <definedName name="UAcct41111Dgp" localSheetId="3">'[11]Functional Study'!#REF!</definedName>
    <definedName name="UAcct41111Dgp">'[12]Functional Study'!#REF!</definedName>
    <definedName name="UAcct41111Dgu" localSheetId="3">'[11]Functional Study'!#REF!</definedName>
    <definedName name="UAcct41111Dgu">'[12]Functional Study'!#REF!</definedName>
    <definedName name="UAcct41111Ditexp" localSheetId="3">'[11]Functional Study'!#REF!</definedName>
    <definedName name="UAcct41111Ditexp">'[12]Functional Study'!#REF!</definedName>
    <definedName name="UAcct41111Dnpp" localSheetId="3">'[11]Functional Study'!#REF!</definedName>
    <definedName name="UAcct41111Dnpp">'[12]Functional Study'!#REF!</definedName>
    <definedName name="UAcct41111Dnptp" localSheetId="3">'[11]Functional Study'!#REF!</definedName>
    <definedName name="UAcct41111Dnptp">'[12]Functional Study'!#REF!</definedName>
    <definedName name="UAcct41111S" localSheetId="3">'[11]Functional Study'!#REF!</definedName>
    <definedName name="UAcct41111S">'[12]Functional Study'!#REF!</definedName>
    <definedName name="UAcct41111Se" localSheetId="3">'[11]Functional Study'!#REF!</definedName>
    <definedName name="UAcct41111Se">'[12]Functional Study'!#REF!</definedName>
    <definedName name="UAcct41111Sg" localSheetId="3">'[11]Functional Study'!#REF!</definedName>
    <definedName name="UAcct41111Sg">'[12]Functional Study'!#REF!</definedName>
    <definedName name="UAcct41111Sgpp" localSheetId="3">'[11]Functional Study'!#REF!</definedName>
    <definedName name="UAcct41111Sgpp">'[12]Functional Study'!#REF!</definedName>
    <definedName name="UAcct41111So" localSheetId="3">'[11]Functional Study'!#REF!</definedName>
    <definedName name="UAcct41111So">'[12]Functional Study'!#REF!</definedName>
    <definedName name="UAcct41111Trojp" localSheetId="3">'[11]Functional Study'!#REF!</definedName>
    <definedName name="UAcct41111Trojp">'[12]Functional Study'!#REF!</definedName>
    <definedName name="UAcct447CAEE">'[9]Func Study'!#REF!</definedName>
    <definedName name="UAcct447CAGE">'[9]Func Study'!#REF!</definedName>
    <definedName name="UAcct447Dgu">'[10]Func Study'!#REF!</definedName>
    <definedName name="UAcct453CAGE">'[9]Func Study'!#REF!</definedName>
    <definedName name="UAcct453CAGW">'[9]Func Study'!#REF!</definedName>
    <definedName name="UAcct502JBG">'[9]Func Study'!#REF!</definedName>
    <definedName name="UAcct505JBG">'[9]Func Study'!#REF!</definedName>
    <definedName name="UAcct506JBG">'[9]Func Study'!#REF!</definedName>
    <definedName name="UAcct507JBG">'[9]Func Study'!#REF!</definedName>
    <definedName name="UAcct510JBG">'[9]Func Study'!#REF!</definedName>
    <definedName name="UAcct511JBG">'[9]Func Study'!#REF!</definedName>
    <definedName name="UAcct512JBG">'[9]Func Study'!#REF!</definedName>
    <definedName name="UAcct513JBG">'[9]Func Study'!#REF!</definedName>
    <definedName name="UAcct514JBG">'[9]Func Study'!#REF!</definedName>
    <definedName name="UAcct5506SE">'[9]Func Study'!#REF!</definedName>
    <definedName name="UAcct555CAEE">'[9]Func Study'!#REF!</definedName>
    <definedName name="UAcct555CAGE">'[9]Func Study'!#REF!</definedName>
    <definedName name="Uacct904SG" localSheetId="3">'[13]Functional Study'!#REF!</definedName>
    <definedName name="Uacct904SG">'[14]Functional Study'!#REF!</definedName>
    <definedName name="UNBILREV" localSheetId="3">#REF!</definedName>
    <definedName name="UNBILREV">#REF!</definedName>
    <definedName name="UncollectibleAccounts">[16]Variables!$D$25</definedName>
    <definedName name="UtGrossReceipts">[16]Variables!$D$29</definedName>
    <definedName name="ValidAccount">[15]Variables!$AK$43:$AK$369</definedName>
    <definedName name="VAR" localSheetId="3">[17]Backup!#REF!</definedName>
    <definedName name="VAR">[17]Backup!#REF!</definedName>
    <definedName name="VARIABLE" localSheetId="3">[21]Summary!#REF!</definedName>
    <definedName name="VARIABLE">[22]Summary!#REF!</definedName>
    <definedName name="VOUCHER" localSheetId="3">#REF!</definedName>
    <definedName name="VOUCHER">#REF!</definedName>
    <definedName name="WaRevenueTax">[16]Variables!$D$27</definedName>
    <definedName name="WEATHER" localSheetId="3">#REF!</definedName>
    <definedName name="WEATHER">#REF!</definedName>
    <definedName name="WEATHRNORM">#REF!</definedName>
    <definedName name="WIDTH">#REF!</definedName>
    <definedName name="WinterPeak">'[30]Load Data'!$D$9:$H$12,'[30]Load Data'!$D$20:$H$22</definedName>
    <definedName name="WORK1" localSheetId="3">#REF!</definedName>
    <definedName name="WORK1">#REF!</definedName>
    <definedName name="WORK2" localSheetId="3">#REF!</definedName>
    <definedName name="WORK2">#REF!</definedName>
    <definedName name="WORK3" localSheetId="3">#REF!</definedName>
    <definedName name="WORK3">#REF!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'[31]Weather Present'!$K$7</definedName>
    <definedName name="y" localSheetId="1" hidden="1">#REF!</definedName>
    <definedName name="y" localSheetId="0" hidden="1">#REF!</definedName>
    <definedName name="y" localSheetId="2" hidden="1">#REF!</definedName>
    <definedName name="y" hidden="1">'[2]DSM Output'!$B$21:$B$23</definedName>
    <definedName name="Year" localSheetId="3">#REF!</definedName>
    <definedName name="Year">#REF!</definedName>
    <definedName name="YEFactors">[15]Factors!$S$3:$AG$99</definedName>
    <definedName name="z" localSheetId="1" hidden="1">#REF!</definedName>
    <definedName name="z" localSheetId="0" hidden="1">#REF!</definedName>
    <definedName name="z" localSheetId="2" hidden="1">#REF!</definedName>
    <definedName name="z" hidden="1">'[2]DSM Output'!$G$21:$G$23</definedName>
    <definedName name="ZA" localSheetId="3">'[32] annual balance '!#REF!</definedName>
    <definedName name="ZA">'[32] annual balance '!#REF!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91" i="2"/>
  <c r="J586"/>
  <c r="J585"/>
  <c r="L1081"/>
  <c r="I1075"/>
  <c r="L1075"/>
  <c r="C1074"/>
  <c r="C1076"/>
  <c r="C1073"/>
  <c r="J1072"/>
  <c r="C1072"/>
  <c r="L1072"/>
  <c r="F1072"/>
  <c r="I1072"/>
  <c r="J1070"/>
  <c r="L1070"/>
  <c r="I1070"/>
  <c r="F1070"/>
  <c r="J1069"/>
  <c r="N1069"/>
  <c r="C1069"/>
  <c r="F1069"/>
  <c r="J1068"/>
  <c r="N1068"/>
  <c r="C1068"/>
  <c r="F1068"/>
  <c r="J1066"/>
  <c r="N1066"/>
  <c r="I1066"/>
  <c r="F1066"/>
  <c r="J1065"/>
  <c r="L1065"/>
  <c r="I1065"/>
  <c r="F1065"/>
  <c r="J1063"/>
  <c r="N1063"/>
  <c r="I1063"/>
  <c r="F1063"/>
  <c r="J1062"/>
  <c r="L1062"/>
  <c r="I1062"/>
  <c r="F1062"/>
  <c r="J1061"/>
  <c r="N1061"/>
  <c r="I1061"/>
  <c r="F1061"/>
  <c r="J1058"/>
  <c r="L1058"/>
  <c r="I1058"/>
  <c r="F1058"/>
  <c r="J1057"/>
  <c r="L1057"/>
  <c r="N1057"/>
  <c r="I1057"/>
  <c r="F1057"/>
  <c r="J1055"/>
  <c r="L1055"/>
  <c r="I1055"/>
  <c r="F1055"/>
  <c r="J1054"/>
  <c r="N1054"/>
  <c r="C1054"/>
  <c r="F1054"/>
  <c r="J1053"/>
  <c r="N1053"/>
  <c r="C1053"/>
  <c r="F1053"/>
  <c r="J1050"/>
  <c r="N1050"/>
  <c r="I1050"/>
  <c r="F1050"/>
  <c r="J1049"/>
  <c r="C1049"/>
  <c r="L1049"/>
  <c r="F1049"/>
  <c r="I1049"/>
  <c r="J1047"/>
  <c r="L1047"/>
  <c r="I1047"/>
  <c r="F1047"/>
  <c r="J1046"/>
  <c r="N1046"/>
  <c r="C1046"/>
  <c r="F1046"/>
  <c r="J1045"/>
  <c r="N1045"/>
  <c r="N1074"/>
  <c r="C1045"/>
  <c r="F1045"/>
  <c r="F1074"/>
  <c r="F1076"/>
  <c r="I1038"/>
  <c r="L1038"/>
  <c r="N1036"/>
  <c r="C1036"/>
  <c r="C1037"/>
  <c r="C1039"/>
  <c r="C1035"/>
  <c r="N1034"/>
  <c r="L1034"/>
  <c r="I1034"/>
  <c r="F1034"/>
  <c r="N1033"/>
  <c r="N1037"/>
  <c r="L1033"/>
  <c r="I1033"/>
  <c r="F1033"/>
  <c r="I1027"/>
  <c r="I1016"/>
  <c r="I990"/>
  <c r="C1025"/>
  <c r="C1024"/>
  <c r="C1026"/>
  <c r="C1028"/>
  <c r="J1023"/>
  <c r="L1023"/>
  <c r="G1023"/>
  <c r="I1023"/>
  <c r="F1023"/>
  <c r="L1022"/>
  <c r="L1016"/>
  <c r="C1012"/>
  <c r="F1012"/>
  <c r="C1013"/>
  <c r="T1010"/>
  <c r="J1010"/>
  <c r="L1010"/>
  <c r="I1010"/>
  <c r="F1010"/>
  <c r="T1009"/>
  <c r="J1009"/>
  <c r="L1009"/>
  <c r="I1009"/>
  <c r="F1009"/>
  <c r="T1008"/>
  <c r="J1008"/>
  <c r="L1008"/>
  <c r="I1008"/>
  <c r="F1008"/>
  <c r="T1007"/>
  <c r="J1007"/>
  <c r="L1007"/>
  <c r="I1007"/>
  <c r="F1007"/>
  <c r="T1006"/>
  <c r="J1006"/>
  <c r="L1006"/>
  <c r="I1006"/>
  <c r="F1006"/>
  <c r="T1003"/>
  <c r="J1003"/>
  <c r="C1003"/>
  <c r="F1003"/>
  <c r="T1002"/>
  <c r="J1002"/>
  <c r="C1002"/>
  <c r="F1002"/>
  <c r="C998"/>
  <c r="F998"/>
  <c r="C999"/>
  <c r="F999"/>
  <c r="C1000"/>
  <c r="F1000"/>
  <c r="C1001"/>
  <c r="F1001"/>
  <c r="F987"/>
  <c r="T1001"/>
  <c r="J1001"/>
  <c r="L1001"/>
  <c r="I1001"/>
  <c r="T1000"/>
  <c r="J1000"/>
  <c r="L1000"/>
  <c r="I1000"/>
  <c r="T999"/>
  <c r="J999"/>
  <c r="L999"/>
  <c r="I999"/>
  <c r="T998"/>
  <c r="J998"/>
  <c r="L998"/>
  <c r="I998"/>
  <c r="I996"/>
  <c r="F996"/>
  <c r="F1015"/>
  <c r="F1017"/>
  <c r="F990"/>
  <c r="L990"/>
  <c r="C990"/>
  <c r="C988"/>
  <c r="N987"/>
  <c r="N986"/>
  <c r="C986"/>
  <c r="I985"/>
  <c r="F985"/>
  <c r="L979"/>
  <c r="C978"/>
  <c r="C980"/>
  <c r="C977"/>
  <c r="N976"/>
  <c r="L976"/>
  <c r="I976"/>
  <c r="F976"/>
  <c r="N975"/>
  <c r="L975"/>
  <c r="I975"/>
  <c r="I978"/>
  <c r="F975"/>
  <c r="F978"/>
  <c r="F980"/>
  <c r="L974"/>
  <c r="N974"/>
  <c r="N978"/>
  <c r="L978"/>
  <c r="L980"/>
  <c r="P981"/>
  <c r="L968"/>
  <c r="C967"/>
  <c r="C969"/>
  <c r="C966"/>
  <c r="J965"/>
  <c r="N965"/>
  <c r="I965"/>
  <c r="F965"/>
  <c r="J964"/>
  <c r="L964"/>
  <c r="N964"/>
  <c r="I964"/>
  <c r="F964"/>
  <c r="J963"/>
  <c r="N963"/>
  <c r="I963"/>
  <c r="F963"/>
  <c r="J962"/>
  <c r="L962"/>
  <c r="N962"/>
  <c r="I962"/>
  <c r="F962"/>
  <c r="J961"/>
  <c r="N961"/>
  <c r="I961"/>
  <c r="F961"/>
  <c r="J960"/>
  <c r="L960"/>
  <c r="N960"/>
  <c r="I960"/>
  <c r="F960"/>
  <c r="J959"/>
  <c r="N959"/>
  <c r="I959"/>
  <c r="F959"/>
  <c r="J957"/>
  <c r="N957"/>
  <c r="C957"/>
  <c r="L957"/>
  <c r="J956"/>
  <c r="N956"/>
  <c r="C956"/>
  <c r="L956"/>
  <c r="J955"/>
  <c r="N955"/>
  <c r="C955"/>
  <c r="L955"/>
  <c r="J954"/>
  <c r="L954"/>
  <c r="I954"/>
  <c r="F954"/>
  <c r="J953"/>
  <c r="N953"/>
  <c r="I953"/>
  <c r="F953"/>
  <c r="J952"/>
  <c r="C952"/>
  <c r="L952"/>
  <c r="F952"/>
  <c r="I952"/>
  <c r="J951"/>
  <c r="L951"/>
  <c r="I951"/>
  <c r="F951"/>
  <c r="J950"/>
  <c r="L950"/>
  <c r="N950"/>
  <c r="I950"/>
  <c r="F950"/>
  <c r="J949"/>
  <c r="C949"/>
  <c r="L949"/>
  <c r="F949"/>
  <c r="I949"/>
  <c r="J948"/>
  <c r="C948"/>
  <c r="L948"/>
  <c r="F948"/>
  <c r="I948"/>
  <c r="I941"/>
  <c r="L941"/>
  <c r="J939"/>
  <c r="Q939"/>
  <c r="C939"/>
  <c r="F939"/>
  <c r="J938"/>
  <c r="Q938"/>
  <c r="C938"/>
  <c r="F938"/>
  <c r="J936"/>
  <c r="Q936"/>
  <c r="C936"/>
  <c r="F936"/>
  <c r="J935"/>
  <c r="Q935"/>
  <c r="C935"/>
  <c r="F935"/>
  <c r="L934"/>
  <c r="I934"/>
  <c r="F934"/>
  <c r="C933"/>
  <c r="J932"/>
  <c r="Q932"/>
  <c r="I932"/>
  <c r="F932"/>
  <c r="L931"/>
  <c r="I931"/>
  <c r="F931"/>
  <c r="F940"/>
  <c r="F942"/>
  <c r="I924"/>
  <c r="L924"/>
  <c r="I906"/>
  <c r="L906"/>
  <c r="L784"/>
  <c r="L766"/>
  <c r="G887"/>
  <c r="C887"/>
  <c r="I887"/>
  <c r="F887"/>
  <c r="G886"/>
  <c r="C886"/>
  <c r="I886"/>
  <c r="F886"/>
  <c r="G884"/>
  <c r="C884"/>
  <c r="I884"/>
  <c r="F884"/>
  <c r="G883"/>
  <c r="C883"/>
  <c r="I883"/>
  <c r="F883"/>
  <c r="C918"/>
  <c r="G882"/>
  <c r="C882"/>
  <c r="I882"/>
  <c r="F882"/>
  <c r="G880"/>
  <c r="C880"/>
  <c r="I880"/>
  <c r="G827"/>
  <c r="C827"/>
  <c r="I827"/>
  <c r="I915"/>
  <c r="G879"/>
  <c r="C879"/>
  <c r="I879"/>
  <c r="G870"/>
  <c r="C870"/>
  <c r="I870"/>
  <c r="G817"/>
  <c r="C817"/>
  <c r="I817"/>
  <c r="I904"/>
  <c r="F870"/>
  <c r="F817"/>
  <c r="F904"/>
  <c r="G869"/>
  <c r="C869"/>
  <c r="I869"/>
  <c r="G816"/>
  <c r="C816"/>
  <c r="I816"/>
  <c r="I903"/>
  <c r="F869"/>
  <c r="F816"/>
  <c r="F903"/>
  <c r="G867"/>
  <c r="C867"/>
  <c r="I867"/>
  <c r="G814"/>
  <c r="I814"/>
  <c r="I901"/>
  <c r="F867"/>
  <c r="F814"/>
  <c r="F901"/>
  <c r="G866"/>
  <c r="C866"/>
  <c r="I866"/>
  <c r="F866"/>
  <c r="F813"/>
  <c r="F900"/>
  <c r="G865"/>
  <c r="C865"/>
  <c r="I865"/>
  <c r="G812"/>
  <c r="I812"/>
  <c r="I899"/>
  <c r="F865"/>
  <c r="F812"/>
  <c r="F899"/>
  <c r="G863"/>
  <c r="C863"/>
  <c r="I863"/>
  <c r="G810"/>
  <c r="I810"/>
  <c r="I897"/>
  <c r="I775"/>
  <c r="I757"/>
  <c r="F863"/>
  <c r="F810"/>
  <c r="F897"/>
  <c r="C897"/>
  <c r="G862"/>
  <c r="C862"/>
  <c r="I862"/>
  <c r="F862"/>
  <c r="F871"/>
  <c r="C896"/>
  <c r="C851"/>
  <c r="F851"/>
  <c r="C850"/>
  <c r="F850"/>
  <c r="C848"/>
  <c r="F848"/>
  <c r="C847"/>
  <c r="F847"/>
  <c r="C846"/>
  <c r="F846"/>
  <c r="C844"/>
  <c r="F844"/>
  <c r="I844"/>
  <c r="C843"/>
  <c r="F843"/>
  <c r="I843"/>
  <c r="G834"/>
  <c r="C834"/>
  <c r="I834"/>
  <c r="F834"/>
  <c r="G833"/>
  <c r="C833"/>
  <c r="I833"/>
  <c r="F833"/>
  <c r="C835"/>
  <c r="G831"/>
  <c r="C831"/>
  <c r="I831"/>
  <c r="F831"/>
  <c r="G830"/>
  <c r="I830"/>
  <c r="F830"/>
  <c r="G829"/>
  <c r="C829"/>
  <c r="I829"/>
  <c r="F829"/>
  <c r="F827"/>
  <c r="G826"/>
  <c r="C826"/>
  <c r="I826"/>
  <c r="I835"/>
  <c r="F826"/>
  <c r="F835"/>
  <c r="C828"/>
  <c r="C811"/>
  <c r="C793"/>
  <c r="C818"/>
  <c r="G813"/>
  <c r="I813"/>
  <c r="F809"/>
  <c r="F818"/>
  <c r="G809"/>
  <c r="I809"/>
  <c r="I818"/>
  <c r="C799"/>
  <c r="F799"/>
  <c r="I799"/>
  <c r="C798"/>
  <c r="F798"/>
  <c r="C800"/>
  <c r="C796"/>
  <c r="F796"/>
  <c r="I796"/>
  <c r="C795"/>
  <c r="F795"/>
  <c r="I795"/>
  <c r="C792"/>
  <c r="F792"/>
  <c r="C791"/>
  <c r="F791"/>
  <c r="J851"/>
  <c r="I784"/>
  <c r="F784"/>
  <c r="F766"/>
  <c r="C784"/>
  <c r="I766"/>
  <c r="C766"/>
  <c r="N764"/>
  <c r="N763"/>
  <c r="N761"/>
  <c r="N760"/>
  <c r="N759"/>
  <c r="N757"/>
  <c r="N756"/>
  <c r="N765"/>
  <c r="I749"/>
  <c r="L749"/>
  <c r="C748"/>
  <c r="C750"/>
  <c r="F735"/>
  <c r="F736"/>
  <c r="F738"/>
  <c r="F739"/>
  <c r="F740"/>
  <c r="F742"/>
  <c r="F743"/>
  <c r="F744"/>
  <c r="F745"/>
  <c r="F746"/>
  <c r="F747"/>
  <c r="F748"/>
  <c r="F750"/>
  <c r="N744"/>
  <c r="L744"/>
  <c r="I744"/>
  <c r="G743"/>
  <c r="I743"/>
  <c r="G742"/>
  <c r="I742"/>
  <c r="G740"/>
  <c r="I740"/>
  <c r="G739"/>
  <c r="I739"/>
  <c r="G738"/>
  <c r="I738"/>
  <c r="J737"/>
  <c r="C737"/>
  <c r="G736"/>
  <c r="I736"/>
  <c r="G735"/>
  <c r="I735"/>
  <c r="L728"/>
  <c r="I728"/>
  <c r="G726"/>
  <c r="C726"/>
  <c r="I726"/>
  <c r="F726"/>
  <c r="G725"/>
  <c r="C725"/>
  <c r="I725"/>
  <c r="F725"/>
  <c r="F724"/>
  <c r="F723"/>
  <c r="F721"/>
  <c r="F720"/>
  <c r="F718"/>
  <c r="F717"/>
  <c r="F716"/>
  <c r="F715"/>
  <c r="F714"/>
  <c r="F712"/>
  <c r="F711"/>
  <c r="F710"/>
  <c r="F709"/>
  <c r="F707"/>
  <c r="G705"/>
  <c r="G724"/>
  <c r="I724"/>
  <c r="C705"/>
  <c r="F705"/>
  <c r="C654"/>
  <c r="F654"/>
  <c r="F603"/>
  <c r="G704"/>
  <c r="G723"/>
  <c r="I723"/>
  <c r="C704"/>
  <c r="C727"/>
  <c r="C729"/>
  <c r="C702"/>
  <c r="F702"/>
  <c r="C651"/>
  <c r="F651"/>
  <c r="F600"/>
  <c r="C701"/>
  <c r="F701"/>
  <c r="F650"/>
  <c r="F599"/>
  <c r="G699"/>
  <c r="G718"/>
  <c r="I718"/>
  <c r="C699"/>
  <c r="F699"/>
  <c r="G698"/>
  <c r="G717"/>
  <c r="I717"/>
  <c r="C698"/>
  <c r="F698"/>
  <c r="G697"/>
  <c r="G716"/>
  <c r="I716"/>
  <c r="C697"/>
  <c r="F697"/>
  <c r="G696"/>
  <c r="G715"/>
  <c r="I715"/>
  <c r="C696"/>
  <c r="F696"/>
  <c r="G695"/>
  <c r="C695"/>
  <c r="I695"/>
  <c r="F695"/>
  <c r="G693"/>
  <c r="G712"/>
  <c r="I712"/>
  <c r="C693"/>
  <c r="F693"/>
  <c r="C691"/>
  <c r="C690"/>
  <c r="G688"/>
  <c r="C688"/>
  <c r="I688"/>
  <c r="G711"/>
  <c r="I711"/>
  <c r="F688"/>
  <c r="G687"/>
  <c r="C687"/>
  <c r="I687"/>
  <c r="G710"/>
  <c r="I710"/>
  <c r="F687"/>
  <c r="J686"/>
  <c r="C686"/>
  <c r="L686"/>
  <c r="J709"/>
  <c r="L709"/>
  <c r="G686"/>
  <c r="I686"/>
  <c r="G709"/>
  <c r="I709"/>
  <c r="F686"/>
  <c r="G684"/>
  <c r="C684"/>
  <c r="I684"/>
  <c r="G707"/>
  <c r="I707"/>
  <c r="F684"/>
  <c r="C689"/>
  <c r="I677"/>
  <c r="I626"/>
  <c r="G675"/>
  <c r="I675"/>
  <c r="F675"/>
  <c r="G674"/>
  <c r="I674"/>
  <c r="I623"/>
  <c r="F674"/>
  <c r="F673"/>
  <c r="F672"/>
  <c r="F670"/>
  <c r="F669"/>
  <c r="F667"/>
  <c r="F666"/>
  <c r="F665"/>
  <c r="F664"/>
  <c r="F663"/>
  <c r="F661"/>
  <c r="F660"/>
  <c r="F659"/>
  <c r="F658"/>
  <c r="F656"/>
  <c r="G654"/>
  <c r="I654"/>
  <c r="G673"/>
  <c r="I673"/>
  <c r="I622"/>
  <c r="G653"/>
  <c r="C653"/>
  <c r="I653"/>
  <c r="G672"/>
  <c r="I672"/>
  <c r="I621"/>
  <c r="F653"/>
  <c r="C676"/>
  <c r="G648"/>
  <c r="G667"/>
  <c r="I667"/>
  <c r="I616"/>
  <c r="C648"/>
  <c r="F648"/>
  <c r="F597"/>
  <c r="G647"/>
  <c r="C647"/>
  <c r="I647"/>
  <c r="F647"/>
  <c r="F596"/>
  <c r="G646"/>
  <c r="G665"/>
  <c r="I665"/>
  <c r="I614"/>
  <c r="C646"/>
  <c r="F646"/>
  <c r="F595"/>
  <c r="G645"/>
  <c r="C645"/>
  <c r="I645"/>
  <c r="F645"/>
  <c r="F594"/>
  <c r="G644"/>
  <c r="G663"/>
  <c r="I663"/>
  <c r="C644"/>
  <c r="F644"/>
  <c r="F593"/>
  <c r="G642"/>
  <c r="G650"/>
  <c r="C642"/>
  <c r="F642"/>
  <c r="F591"/>
  <c r="C640"/>
  <c r="C639"/>
  <c r="G637"/>
  <c r="C637"/>
  <c r="I637"/>
  <c r="G660"/>
  <c r="I660"/>
  <c r="I609"/>
  <c r="F637"/>
  <c r="G636"/>
  <c r="C636"/>
  <c r="I636"/>
  <c r="G659"/>
  <c r="I659"/>
  <c r="I608"/>
  <c r="F636"/>
  <c r="J635"/>
  <c r="C635"/>
  <c r="L635"/>
  <c r="J658"/>
  <c r="L658"/>
  <c r="L607"/>
  <c r="G635"/>
  <c r="I635"/>
  <c r="G658"/>
  <c r="I658"/>
  <c r="I607"/>
  <c r="F635"/>
  <c r="G633"/>
  <c r="C633"/>
  <c r="I633"/>
  <c r="G656"/>
  <c r="I656"/>
  <c r="I605"/>
  <c r="F633"/>
  <c r="C638"/>
  <c r="C587"/>
  <c r="F626"/>
  <c r="L626"/>
  <c r="C626"/>
  <c r="J726"/>
  <c r="L726"/>
  <c r="I624"/>
  <c r="F624"/>
  <c r="C624"/>
  <c r="J725"/>
  <c r="L725"/>
  <c r="F623"/>
  <c r="C623"/>
  <c r="J603"/>
  <c r="J622"/>
  <c r="N622"/>
  <c r="G622"/>
  <c r="F622"/>
  <c r="C622"/>
  <c r="G621"/>
  <c r="F621"/>
  <c r="C621"/>
  <c r="G619"/>
  <c r="F619"/>
  <c r="C619"/>
  <c r="G618"/>
  <c r="F618"/>
  <c r="C618"/>
  <c r="G616"/>
  <c r="F616"/>
  <c r="C616"/>
  <c r="G615"/>
  <c r="F615"/>
  <c r="C615"/>
  <c r="J595"/>
  <c r="J614"/>
  <c r="N614"/>
  <c r="G614"/>
  <c r="F614"/>
  <c r="C614"/>
  <c r="G613"/>
  <c r="F613"/>
  <c r="C613"/>
  <c r="J593"/>
  <c r="J612"/>
  <c r="N612"/>
  <c r="G612"/>
  <c r="F612"/>
  <c r="C612"/>
  <c r="G610"/>
  <c r="F610"/>
  <c r="C610"/>
  <c r="G609"/>
  <c r="F609"/>
  <c r="C609"/>
  <c r="G608"/>
  <c r="F608"/>
  <c r="C608"/>
  <c r="J607"/>
  <c r="N607"/>
  <c r="G607"/>
  <c r="F607"/>
  <c r="C607"/>
  <c r="G605"/>
  <c r="F605"/>
  <c r="C605"/>
  <c r="Q603"/>
  <c r="J654"/>
  <c r="C603"/>
  <c r="J602"/>
  <c r="J653"/>
  <c r="C602"/>
  <c r="J600"/>
  <c r="J619"/>
  <c r="N619"/>
  <c r="C600"/>
  <c r="C599"/>
  <c r="C597"/>
  <c r="C596"/>
  <c r="Q595"/>
  <c r="N595"/>
  <c r="C595"/>
  <c r="J594"/>
  <c r="J613"/>
  <c r="N613"/>
  <c r="C594"/>
  <c r="Q593"/>
  <c r="J597"/>
  <c r="C593"/>
  <c r="J610"/>
  <c r="N610"/>
  <c r="C591"/>
  <c r="C589"/>
  <c r="C588"/>
  <c r="J688"/>
  <c r="I586"/>
  <c r="F586"/>
  <c r="C586"/>
  <c r="Q585"/>
  <c r="J687"/>
  <c r="I585"/>
  <c r="F585"/>
  <c r="C585"/>
  <c r="N584"/>
  <c r="L584"/>
  <c r="I584"/>
  <c r="F584"/>
  <c r="C584"/>
  <c r="J582"/>
  <c r="J684"/>
  <c r="I582"/>
  <c r="F582"/>
  <c r="C582"/>
  <c r="I575"/>
  <c r="G573"/>
  <c r="C573"/>
  <c r="I573"/>
  <c r="F573"/>
  <c r="G572"/>
  <c r="C572"/>
  <c r="I572"/>
  <c r="F572"/>
  <c r="C571"/>
  <c r="F571"/>
  <c r="C569"/>
  <c r="F569"/>
  <c r="C570"/>
  <c r="F570"/>
  <c r="F568"/>
  <c r="G555"/>
  <c r="G567"/>
  <c r="C567"/>
  <c r="I567"/>
  <c r="F567"/>
  <c r="G553"/>
  <c r="G566"/>
  <c r="I566"/>
  <c r="F566"/>
  <c r="F565"/>
  <c r="F564"/>
  <c r="F563"/>
  <c r="F562"/>
  <c r="G560"/>
  <c r="C560"/>
  <c r="I560"/>
  <c r="G571"/>
  <c r="I571"/>
  <c r="F560"/>
  <c r="G559"/>
  <c r="G570"/>
  <c r="I570"/>
  <c r="G558"/>
  <c r="C558"/>
  <c r="I558"/>
  <c r="G569"/>
  <c r="I569"/>
  <c r="F558"/>
  <c r="C556"/>
  <c r="F556"/>
  <c r="C555"/>
  <c r="I555"/>
  <c r="G556"/>
  <c r="F555"/>
  <c r="C553"/>
  <c r="I553"/>
  <c r="F553"/>
  <c r="G552"/>
  <c r="C552"/>
  <c r="I552"/>
  <c r="G565"/>
  <c r="I565"/>
  <c r="F552"/>
  <c r="G550"/>
  <c r="C550"/>
  <c r="I550"/>
  <c r="F550"/>
  <c r="G549"/>
  <c r="G563"/>
  <c r="I563"/>
  <c r="C549"/>
  <c r="F549"/>
  <c r="G548"/>
  <c r="C548"/>
  <c r="I548"/>
  <c r="F548"/>
  <c r="I541"/>
  <c r="I507"/>
  <c r="L541"/>
  <c r="C507"/>
  <c r="J539"/>
  <c r="C539"/>
  <c r="L539"/>
  <c r="G539"/>
  <c r="I539"/>
  <c r="I505"/>
  <c r="F539"/>
  <c r="F505"/>
  <c r="J538"/>
  <c r="C538"/>
  <c r="L538"/>
  <c r="G538"/>
  <c r="I538"/>
  <c r="I504"/>
  <c r="F538"/>
  <c r="F504"/>
  <c r="G526"/>
  <c r="G537"/>
  <c r="C537"/>
  <c r="I537"/>
  <c r="I503"/>
  <c r="F537"/>
  <c r="F503"/>
  <c r="G525"/>
  <c r="G536"/>
  <c r="G524"/>
  <c r="G535"/>
  <c r="C535"/>
  <c r="I535"/>
  <c r="I501"/>
  <c r="F535"/>
  <c r="F501"/>
  <c r="C534"/>
  <c r="F534"/>
  <c r="F500"/>
  <c r="G521"/>
  <c r="G533"/>
  <c r="C533"/>
  <c r="I533"/>
  <c r="I499"/>
  <c r="F533"/>
  <c r="F499"/>
  <c r="G519"/>
  <c r="G532"/>
  <c r="C532"/>
  <c r="I532"/>
  <c r="I498"/>
  <c r="F532"/>
  <c r="F498"/>
  <c r="G518"/>
  <c r="G531"/>
  <c r="C531"/>
  <c r="I531"/>
  <c r="I497"/>
  <c r="F531"/>
  <c r="F497"/>
  <c r="C530"/>
  <c r="F530"/>
  <c r="F496"/>
  <c r="C529"/>
  <c r="F529"/>
  <c r="F495"/>
  <c r="F528"/>
  <c r="C526"/>
  <c r="I526"/>
  <c r="I492"/>
  <c r="F526"/>
  <c r="I524"/>
  <c r="I490"/>
  <c r="F524"/>
  <c r="C522"/>
  <c r="F522"/>
  <c r="F488"/>
  <c r="C521"/>
  <c r="I521"/>
  <c r="I487"/>
  <c r="G522"/>
  <c r="F521"/>
  <c r="C519"/>
  <c r="I519"/>
  <c r="F519"/>
  <c r="F485"/>
  <c r="C518"/>
  <c r="I518"/>
  <c r="I484"/>
  <c r="F518"/>
  <c r="G516"/>
  <c r="C516"/>
  <c r="I516"/>
  <c r="I482"/>
  <c r="F516"/>
  <c r="F482"/>
  <c r="G515"/>
  <c r="C515"/>
  <c r="I515"/>
  <c r="F515"/>
  <c r="F481"/>
  <c r="G514"/>
  <c r="C514"/>
  <c r="I514"/>
  <c r="F514"/>
  <c r="J485"/>
  <c r="F507"/>
  <c r="L507"/>
  <c r="J573"/>
  <c r="L573"/>
  <c r="C505"/>
  <c r="J572"/>
  <c r="L572"/>
  <c r="C504"/>
  <c r="G503"/>
  <c r="G502"/>
  <c r="G501"/>
  <c r="G500"/>
  <c r="C500"/>
  <c r="G499"/>
  <c r="G498"/>
  <c r="G461"/>
  <c r="C498"/>
  <c r="G497"/>
  <c r="G496"/>
  <c r="G459"/>
  <c r="C496"/>
  <c r="G495"/>
  <c r="G494"/>
  <c r="G457"/>
  <c r="F494"/>
  <c r="C494"/>
  <c r="F492"/>
  <c r="C492"/>
  <c r="J490"/>
  <c r="J558"/>
  <c r="F490"/>
  <c r="C490"/>
  <c r="C488"/>
  <c r="J487"/>
  <c r="J555"/>
  <c r="F487"/>
  <c r="C487"/>
  <c r="I485"/>
  <c r="C485"/>
  <c r="J484"/>
  <c r="J552"/>
  <c r="F484"/>
  <c r="C484"/>
  <c r="J482"/>
  <c r="Q482"/>
  <c r="C481"/>
  <c r="J480"/>
  <c r="Q480"/>
  <c r="C472"/>
  <c r="C474"/>
  <c r="I471"/>
  <c r="F471"/>
  <c r="L468"/>
  <c r="I468"/>
  <c r="F468"/>
  <c r="L467"/>
  <c r="I467"/>
  <c r="F467"/>
  <c r="I466"/>
  <c r="F466"/>
  <c r="I465"/>
  <c r="G465"/>
  <c r="F465"/>
  <c r="I464"/>
  <c r="G464"/>
  <c r="F464"/>
  <c r="J463"/>
  <c r="L463"/>
  <c r="I463"/>
  <c r="G463"/>
  <c r="F463"/>
  <c r="I462"/>
  <c r="G462"/>
  <c r="F462"/>
  <c r="I461"/>
  <c r="F461"/>
  <c r="I460"/>
  <c r="G460"/>
  <c r="F460"/>
  <c r="I459"/>
  <c r="F459"/>
  <c r="I458"/>
  <c r="G458"/>
  <c r="F458"/>
  <c r="I457"/>
  <c r="F457"/>
  <c r="L455"/>
  <c r="I455"/>
  <c r="G455"/>
  <c r="G466"/>
  <c r="F455"/>
  <c r="I454"/>
  <c r="F454"/>
  <c r="I453"/>
  <c r="G453"/>
  <c r="G471"/>
  <c r="F453"/>
  <c r="I452"/>
  <c r="G452"/>
  <c r="F452"/>
  <c r="J450"/>
  <c r="L450"/>
  <c r="I450"/>
  <c r="G450"/>
  <c r="G470"/>
  <c r="F450"/>
  <c r="I448"/>
  <c r="G448"/>
  <c r="F448"/>
  <c r="J447"/>
  <c r="L447"/>
  <c r="I447"/>
  <c r="G447"/>
  <c r="F447"/>
  <c r="C446"/>
  <c r="J445"/>
  <c r="J459"/>
  <c r="L459"/>
  <c r="I445"/>
  <c r="G445"/>
  <c r="F445"/>
  <c r="I444"/>
  <c r="G444"/>
  <c r="F444"/>
  <c r="F443"/>
  <c r="F472"/>
  <c r="F474"/>
  <c r="J443"/>
  <c r="J457"/>
  <c r="L457"/>
  <c r="I443"/>
  <c r="I472"/>
  <c r="I474"/>
  <c r="G443"/>
  <c r="I435"/>
  <c r="C434"/>
  <c r="C436"/>
  <c r="G433"/>
  <c r="I433"/>
  <c r="F433"/>
  <c r="G432"/>
  <c r="I432"/>
  <c r="F432"/>
  <c r="F431"/>
  <c r="F430"/>
  <c r="F429"/>
  <c r="F428"/>
  <c r="F427"/>
  <c r="G415"/>
  <c r="G426"/>
  <c r="I426"/>
  <c r="F426"/>
  <c r="F425"/>
  <c r="G413"/>
  <c r="G424"/>
  <c r="I424"/>
  <c r="F424"/>
  <c r="G422"/>
  <c r="I422"/>
  <c r="G431"/>
  <c r="I431"/>
  <c r="F422"/>
  <c r="G421"/>
  <c r="I421"/>
  <c r="F421"/>
  <c r="F420"/>
  <c r="G419"/>
  <c r="I419"/>
  <c r="F419"/>
  <c r="G418"/>
  <c r="I418"/>
  <c r="G427"/>
  <c r="I427"/>
  <c r="F418"/>
  <c r="C416"/>
  <c r="I415"/>
  <c r="F415"/>
  <c r="G414"/>
  <c r="G425"/>
  <c r="I425"/>
  <c r="F414"/>
  <c r="I413"/>
  <c r="F413"/>
  <c r="F434"/>
  <c r="F436"/>
  <c r="I406"/>
  <c r="L406"/>
  <c r="G404"/>
  <c r="I404"/>
  <c r="I375"/>
  <c r="F404"/>
  <c r="G403"/>
  <c r="I403"/>
  <c r="F403"/>
  <c r="F402"/>
  <c r="F401"/>
  <c r="F400"/>
  <c r="F399"/>
  <c r="G389"/>
  <c r="G398"/>
  <c r="I398"/>
  <c r="I369"/>
  <c r="F398"/>
  <c r="F397"/>
  <c r="F396"/>
  <c r="F395"/>
  <c r="G393"/>
  <c r="I393"/>
  <c r="I364"/>
  <c r="F393"/>
  <c r="G392"/>
  <c r="I392"/>
  <c r="I363"/>
  <c r="G401"/>
  <c r="I401"/>
  <c r="F392"/>
  <c r="F363"/>
  <c r="C391"/>
  <c r="F391"/>
  <c r="G390"/>
  <c r="C390"/>
  <c r="F390"/>
  <c r="I389"/>
  <c r="F389"/>
  <c r="C388"/>
  <c r="C387"/>
  <c r="G386"/>
  <c r="I386"/>
  <c r="G397"/>
  <c r="I397"/>
  <c r="I368"/>
  <c r="F386"/>
  <c r="G385"/>
  <c r="I385"/>
  <c r="F385"/>
  <c r="G384"/>
  <c r="I384"/>
  <c r="G395"/>
  <c r="I395"/>
  <c r="I366"/>
  <c r="F384"/>
  <c r="I377"/>
  <c r="F377"/>
  <c r="L377"/>
  <c r="C377"/>
  <c r="G375"/>
  <c r="F375"/>
  <c r="I374"/>
  <c r="G374"/>
  <c r="F374"/>
  <c r="F373"/>
  <c r="F372"/>
  <c r="F371"/>
  <c r="F370"/>
  <c r="F369"/>
  <c r="F368"/>
  <c r="F367"/>
  <c r="F366"/>
  <c r="G364"/>
  <c r="G373"/>
  <c r="F364"/>
  <c r="C364"/>
  <c r="G363"/>
  <c r="G372"/>
  <c r="C363"/>
  <c r="F362"/>
  <c r="C362"/>
  <c r="G361"/>
  <c r="G370"/>
  <c r="F361"/>
  <c r="C361"/>
  <c r="I360"/>
  <c r="G360"/>
  <c r="G369"/>
  <c r="F360"/>
  <c r="C360"/>
  <c r="C359"/>
  <c r="C358"/>
  <c r="I357"/>
  <c r="G357"/>
  <c r="G368"/>
  <c r="F357"/>
  <c r="C357"/>
  <c r="G356"/>
  <c r="G367"/>
  <c r="F356"/>
  <c r="C356"/>
  <c r="I355"/>
  <c r="G355"/>
  <c r="G366"/>
  <c r="F355"/>
  <c r="C355"/>
  <c r="I347"/>
  <c r="I318"/>
  <c r="I289"/>
  <c r="G345"/>
  <c r="I345"/>
  <c r="F345"/>
  <c r="G344"/>
  <c r="I344"/>
  <c r="F344"/>
  <c r="F343"/>
  <c r="F342"/>
  <c r="F341"/>
  <c r="F340"/>
  <c r="F339"/>
  <c r="F338"/>
  <c r="F337"/>
  <c r="F336"/>
  <c r="G334"/>
  <c r="I334"/>
  <c r="G343"/>
  <c r="I343"/>
  <c r="F334"/>
  <c r="G333"/>
  <c r="C331"/>
  <c r="C333"/>
  <c r="I333"/>
  <c r="F333"/>
  <c r="C304"/>
  <c r="F304"/>
  <c r="F275"/>
  <c r="G332"/>
  <c r="G341"/>
  <c r="I341"/>
  <c r="F332"/>
  <c r="G331"/>
  <c r="I331"/>
  <c r="G340"/>
  <c r="I340"/>
  <c r="F331"/>
  <c r="C346"/>
  <c r="C348"/>
  <c r="G330"/>
  <c r="I330"/>
  <c r="G339"/>
  <c r="I339"/>
  <c r="F330"/>
  <c r="C328"/>
  <c r="G327"/>
  <c r="I327"/>
  <c r="G338"/>
  <c r="I338"/>
  <c r="F327"/>
  <c r="G326"/>
  <c r="G337"/>
  <c r="I337"/>
  <c r="F326"/>
  <c r="G325"/>
  <c r="I325"/>
  <c r="G336"/>
  <c r="I336"/>
  <c r="F325"/>
  <c r="F346"/>
  <c r="F348"/>
  <c r="L318"/>
  <c r="G316"/>
  <c r="I316"/>
  <c r="F316"/>
  <c r="G315"/>
  <c r="I315"/>
  <c r="F315"/>
  <c r="F314"/>
  <c r="F313"/>
  <c r="G303"/>
  <c r="G312"/>
  <c r="I312"/>
  <c r="F312"/>
  <c r="F311"/>
  <c r="G301"/>
  <c r="G310"/>
  <c r="I310"/>
  <c r="F310"/>
  <c r="F309"/>
  <c r="G297"/>
  <c r="G308"/>
  <c r="I308"/>
  <c r="F308"/>
  <c r="F307"/>
  <c r="G305"/>
  <c r="I305"/>
  <c r="F305"/>
  <c r="G304"/>
  <c r="I304"/>
  <c r="G313"/>
  <c r="I313"/>
  <c r="C303"/>
  <c r="I303"/>
  <c r="F303"/>
  <c r="G302"/>
  <c r="C302"/>
  <c r="I302"/>
  <c r="G311"/>
  <c r="I311"/>
  <c r="F302"/>
  <c r="C317"/>
  <c r="I301"/>
  <c r="F301"/>
  <c r="C300"/>
  <c r="G298"/>
  <c r="G309"/>
  <c r="I309"/>
  <c r="F298"/>
  <c r="I297"/>
  <c r="F297"/>
  <c r="G296"/>
  <c r="G307"/>
  <c r="I307"/>
  <c r="C296"/>
  <c r="F296"/>
  <c r="F289"/>
  <c r="L289"/>
  <c r="C289"/>
  <c r="G287"/>
  <c r="I287"/>
  <c r="F287"/>
  <c r="G286"/>
  <c r="I286"/>
  <c r="F286"/>
  <c r="F285"/>
  <c r="F284"/>
  <c r="F283"/>
  <c r="F282"/>
  <c r="F281"/>
  <c r="F280"/>
  <c r="F279"/>
  <c r="F278"/>
  <c r="G276"/>
  <c r="C276"/>
  <c r="I276"/>
  <c r="F276"/>
  <c r="G275"/>
  <c r="G284"/>
  <c r="I284"/>
  <c r="C275"/>
  <c r="G274"/>
  <c r="C274"/>
  <c r="I274"/>
  <c r="F274"/>
  <c r="G273"/>
  <c r="G282"/>
  <c r="I282"/>
  <c r="F273"/>
  <c r="C273"/>
  <c r="G272"/>
  <c r="C272"/>
  <c r="I272"/>
  <c r="F272"/>
  <c r="C271"/>
  <c r="G269"/>
  <c r="G280"/>
  <c r="I280"/>
  <c r="F269"/>
  <c r="C269"/>
  <c r="G268"/>
  <c r="C268"/>
  <c r="I268"/>
  <c r="F268"/>
  <c r="G267"/>
  <c r="G278"/>
  <c r="I278"/>
  <c r="C267"/>
  <c r="C270"/>
  <c r="I260"/>
  <c r="L260"/>
  <c r="G258"/>
  <c r="I258"/>
  <c r="G230"/>
  <c r="C230"/>
  <c r="I230"/>
  <c r="I202"/>
  <c r="I173"/>
  <c r="F258"/>
  <c r="G257"/>
  <c r="I257"/>
  <c r="F257"/>
  <c r="F256"/>
  <c r="F255"/>
  <c r="F254"/>
  <c r="F253"/>
  <c r="F252"/>
  <c r="F251"/>
  <c r="G240"/>
  <c r="G250"/>
  <c r="I250"/>
  <c r="F250"/>
  <c r="F249"/>
  <c r="G247"/>
  <c r="C247"/>
  <c r="I247"/>
  <c r="F247"/>
  <c r="G246"/>
  <c r="G255"/>
  <c r="I255"/>
  <c r="G245"/>
  <c r="C245"/>
  <c r="I245"/>
  <c r="F245"/>
  <c r="G244"/>
  <c r="G253"/>
  <c r="I253"/>
  <c r="C244"/>
  <c r="F244"/>
  <c r="G243"/>
  <c r="C243"/>
  <c r="I243"/>
  <c r="F243"/>
  <c r="G241"/>
  <c r="C241"/>
  <c r="I241"/>
  <c r="G251"/>
  <c r="I251"/>
  <c r="F241"/>
  <c r="C240"/>
  <c r="I240"/>
  <c r="F240"/>
  <c r="G239"/>
  <c r="C239"/>
  <c r="I239"/>
  <c r="G249"/>
  <c r="I249"/>
  <c r="F239"/>
  <c r="C242"/>
  <c r="I232"/>
  <c r="I204"/>
  <c r="I175"/>
  <c r="F230"/>
  <c r="G229"/>
  <c r="C229"/>
  <c r="I229"/>
  <c r="F229"/>
  <c r="C228"/>
  <c r="F228"/>
  <c r="C226"/>
  <c r="F226"/>
  <c r="C225"/>
  <c r="F225"/>
  <c r="F197"/>
  <c r="F168"/>
  <c r="C227"/>
  <c r="C224"/>
  <c r="F224"/>
  <c r="F196"/>
  <c r="F167"/>
  <c r="C223"/>
  <c r="F223"/>
  <c r="F195"/>
  <c r="F166"/>
  <c r="C222"/>
  <c r="F222"/>
  <c r="F194"/>
  <c r="F165"/>
  <c r="C221"/>
  <c r="F221"/>
  <c r="F193"/>
  <c r="F164"/>
  <c r="G219"/>
  <c r="C219"/>
  <c r="I219"/>
  <c r="I191"/>
  <c r="I162"/>
  <c r="G228"/>
  <c r="I228"/>
  <c r="F219"/>
  <c r="F191"/>
  <c r="F162"/>
  <c r="G218"/>
  <c r="I218"/>
  <c r="G227"/>
  <c r="I227"/>
  <c r="I199"/>
  <c r="F218"/>
  <c r="G217"/>
  <c r="I217"/>
  <c r="I189"/>
  <c r="G226"/>
  <c r="I226"/>
  <c r="F217"/>
  <c r="F189"/>
  <c r="F160"/>
  <c r="G216"/>
  <c r="I216"/>
  <c r="G225"/>
  <c r="I225"/>
  <c r="I197"/>
  <c r="F216"/>
  <c r="F188"/>
  <c r="F159"/>
  <c r="C231"/>
  <c r="G215"/>
  <c r="C215"/>
  <c r="I215"/>
  <c r="I187"/>
  <c r="I158"/>
  <c r="G224"/>
  <c r="I224"/>
  <c r="F215"/>
  <c r="F187"/>
  <c r="F158"/>
  <c r="G213"/>
  <c r="G223"/>
  <c r="I223"/>
  <c r="I195"/>
  <c r="I166"/>
  <c r="C213"/>
  <c r="F213"/>
  <c r="F185"/>
  <c r="F155"/>
  <c r="G212"/>
  <c r="G222"/>
  <c r="I222"/>
  <c r="I194"/>
  <c r="C212"/>
  <c r="F212"/>
  <c r="F184"/>
  <c r="F154"/>
  <c r="G211"/>
  <c r="G221"/>
  <c r="I221"/>
  <c r="I193"/>
  <c r="I164"/>
  <c r="C211"/>
  <c r="F211"/>
  <c r="F204"/>
  <c r="L204"/>
  <c r="C204"/>
  <c r="G202"/>
  <c r="F202"/>
  <c r="C202"/>
  <c r="C173"/>
  <c r="I201"/>
  <c r="G201"/>
  <c r="F201"/>
  <c r="C201"/>
  <c r="C172"/>
  <c r="F200"/>
  <c r="C200"/>
  <c r="F198"/>
  <c r="C198"/>
  <c r="C197"/>
  <c r="C168"/>
  <c r="C196"/>
  <c r="G185"/>
  <c r="G195"/>
  <c r="C195"/>
  <c r="C166"/>
  <c r="G184"/>
  <c r="G194"/>
  <c r="C194"/>
  <c r="G183"/>
  <c r="G193"/>
  <c r="C193"/>
  <c r="C164"/>
  <c r="J162"/>
  <c r="J191"/>
  <c r="J200"/>
  <c r="G191"/>
  <c r="G200"/>
  <c r="C191"/>
  <c r="G190"/>
  <c r="G199"/>
  <c r="J160"/>
  <c r="J189"/>
  <c r="J198"/>
  <c r="G189"/>
  <c r="G420"/>
  <c r="C189"/>
  <c r="G188"/>
  <c r="G197"/>
  <c r="C188"/>
  <c r="C159"/>
  <c r="J158"/>
  <c r="J187"/>
  <c r="J196"/>
  <c r="G187"/>
  <c r="G196"/>
  <c r="C187"/>
  <c r="F175"/>
  <c r="L175"/>
  <c r="C175"/>
  <c r="J433"/>
  <c r="L433"/>
  <c r="F173"/>
  <c r="I172"/>
  <c r="F172"/>
  <c r="J171"/>
  <c r="N171"/>
  <c r="G171"/>
  <c r="F171"/>
  <c r="C171"/>
  <c r="G170"/>
  <c r="J169"/>
  <c r="N169"/>
  <c r="G169"/>
  <c r="F169"/>
  <c r="C169"/>
  <c r="G168"/>
  <c r="J167"/>
  <c r="N167"/>
  <c r="G167"/>
  <c r="C167"/>
  <c r="G166"/>
  <c r="J154"/>
  <c r="J165"/>
  <c r="N165"/>
  <c r="G165"/>
  <c r="C165"/>
  <c r="G164"/>
  <c r="Q162"/>
  <c r="J422"/>
  <c r="C162"/>
  <c r="J161"/>
  <c r="Q160"/>
  <c r="J420"/>
  <c r="C160"/>
  <c r="J159"/>
  <c r="J419"/>
  <c r="Q158"/>
  <c r="J418"/>
  <c r="C158"/>
  <c r="J155"/>
  <c r="J327"/>
  <c r="Q154"/>
  <c r="J297"/>
  <c r="J153"/>
  <c r="J325"/>
  <c r="I151"/>
  <c r="F151"/>
  <c r="C151"/>
  <c r="J150"/>
  <c r="J414"/>
  <c r="F150"/>
  <c r="C150"/>
  <c r="I149"/>
  <c r="F149"/>
  <c r="C149"/>
  <c r="I142"/>
  <c r="L142"/>
  <c r="C137"/>
  <c r="C141"/>
  <c r="C143"/>
  <c r="F140"/>
  <c r="G139"/>
  <c r="I139"/>
  <c r="F139"/>
  <c r="J138"/>
  <c r="L138"/>
  <c r="J99"/>
  <c r="L99"/>
  <c r="J112"/>
  <c r="L112"/>
  <c r="J125"/>
  <c r="C125"/>
  <c r="L125"/>
  <c r="L86"/>
  <c r="G138"/>
  <c r="I138"/>
  <c r="F138"/>
  <c r="G137"/>
  <c r="I137"/>
  <c r="F137"/>
  <c r="J136"/>
  <c r="L136"/>
  <c r="G136"/>
  <c r="I136"/>
  <c r="F136"/>
  <c r="J135"/>
  <c r="L135"/>
  <c r="G135"/>
  <c r="I135"/>
  <c r="F135"/>
  <c r="F141"/>
  <c r="F143"/>
  <c r="I129"/>
  <c r="C127"/>
  <c r="F127"/>
  <c r="F101"/>
  <c r="F114"/>
  <c r="F88"/>
  <c r="G126"/>
  <c r="C126"/>
  <c r="I126"/>
  <c r="I87"/>
  <c r="F126"/>
  <c r="J127"/>
  <c r="L127"/>
  <c r="G125"/>
  <c r="I125"/>
  <c r="I86"/>
  <c r="G127"/>
  <c r="I127"/>
  <c r="F125"/>
  <c r="G124"/>
  <c r="J123"/>
  <c r="L123"/>
  <c r="G123"/>
  <c r="I123"/>
  <c r="F123"/>
  <c r="J122"/>
  <c r="C122"/>
  <c r="L122"/>
  <c r="G122"/>
  <c r="I122"/>
  <c r="F122"/>
  <c r="I116"/>
  <c r="G113"/>
  <c r="F113"/>
  <c r="J114"/>
  <c r="L114"/>
  <c r="G112"/>
  <c r="G114"/>
  <c r="F112"/>
  <c r="G111"/>
  <c r="J110"/>
  <c r="C110"/>
  <c r="L110"/>
  <c r="G110"/>
  <c r="I110"/>
  <c r="F110"/>
  <c r="J109"/>
  <c r="C109"/>
  <c r="L109"/>
  <c r="G109"/>
  <c r="I109"/>
  <c r="F109"/>
  <c r="I103"/>
  <c r="G100"/>
  <c r="F100"/>
  <c r="J101"/>
  <c r="L101"/>
  <c r="G99"/>
  <c r="G101"/>
  <c r="F99"/>
  <c r="G98"/>
  <c r="J97"/>
  <c r="L97"/>
  <c r="L84"/>
  <c r="G97"/>
  <c r="I97"/>
  <c r="F97"/>
  <c r="F84"/>
  <c r="J96"/>
  <c r="C96"/>
  <c r="L96"/>
  <c r="L83"/>
  <c r="G96"/>
  <c r="I96"/>
  <c r="F96"/>
  <c r="F83"/>
  <c r="C90"/>
  <c r="J88"/>
  <c r="Q88"/>
  <c r="N88"/>
  <c r="C88"/>
  <c r="J87"/>
  <c r="J139"/>
  <c r="L139"/>
  <c r="F87"/>
  <c r="C87"/>
  <c r="Q86"/>
  <c r="N86"/>
  <c r="F86"/>
  <c r="C86"/>
  <c r="J85"/>
  <c r="S84"/>
  <c r="Q84"/>
  <c r="N84"/>
  <c r="I84"/>
  <c r="C84"/>
  <c r="Q83"/>
  <c r="N83"/>
  <c r="N89"/>
  <c r="C83"/>
  <c r="I77"/>
  <c r="L77"/>
  <c r="C76"/>
  <c r="C78"/>
  <c r="C75"/>
  <c r="G74"/>
  <c r="C74"/>
  <c r="I74"/>
  <c r="F74"/>
  <c r="G73"/>
  <c r="C73"/>
  <c r="I73"/>
  <c r="F73"/>
  <c r="G72"/>
  <c r="C72"/>
  <c r="I72"/>
  <c r="F72"/>
  <c r="G71"/>
  <c r="C71"/>
  <c r="I71"/>
  <c r="F71"/>
  <c r="G69"/>
  <c r="C69"/>
  <c r="I69"/>
  <c r="F69"/>
  <c r="G68"/>
  <c r="C68"/>
  <c r="I68"/>
  <c r="F68"/>
  <c r="G67"/>
  <c r="C67"/>
  <c r="I67"/>
  <c r="I76"/>
  <c r="I78"/>
  <c r="F67"/>
  <c r="F76"/>
  <c r="F78"/>
  <c r="I60"/>
  <c r="C59"/>
  <c r="C61"/>
  <c r="C58"/>
  <c r="C41"/>
  <c r="C24"/>
  <c r="G57"/>
  <c r="C57"/>
  <c r="I57"/>
  <c r="F57"/>
  <c r="C40"/>
  <c r="F40"/>
  <c r="F23"/>
  <c r="G56"/>
  <c r="C56"/>
  <c r="I56"/>
  <c r="F56"/>
  <c r="C39"/>
  <c r="F39"/>
  <c r="F22"/>
  <c r="G55"/>
  <c r="C55"/>
  <c r="I55"/>
  <c r="F55"/>
  <c r="C38"/>
  <c r="F38"/>
  <c r="F21"/>
  <c r="G54"/>
  <c r="C54"/>
  <c r="I54"/>
  <c r="F54"/>
  <c r="C37"/>
  <c r="F37"/>
  <c r="F20"/>
  <c r="G52"/>
  <c r="C52"/>
  <c r="I52"/>
  <c r="F52"/>
  <c r="F35"/>
  <c r="F18"/>
  <c r="G51"/>
  <c r="C51"/>
  <c r="I51"/>
  <c r="F51"/>
  <c r="G50"/>
  <c r="C50"/>
  <c r="I50"/>
  <c r="I59"/>
  <c r="I61"/>
  <c r="F50"/>
  <c r="F59"/>
  <c r="F61"/>
  <c r="I43"/>
  <c r="I26"/>
  <c r="L43"/>
  <c r="C26"/>
  <c r="C42"/>
  <c r="C44"/>
  <c r="G40"/>
  <c r="I40"/>
  <c r="I23"/>
  <c r="G39"/>
  <c r="I39"/>
  <c r="I22"/>
  <c r="G38"/>
  <c r="I38"/>
  <c r="I21"/>
  <c r="G37"/>
  <c r="I37"/>
  <c r="I20"/>
  <c r="G35"/>
  <c r="I35"/>
  <c r="I18"/>
  <c r="G34"/>
  <c r="C34"/>
  <c r="I34"/>
  <c r="I17"/>
  <c r="F34"/>
  <c r="F17"/>
  <c r="G33"/>
  <c r="C33"/>
  <c r="I33"/>
  <c r="F33"/>
  <c r="F26"/>
  <c r="L26"/>
  <c r="C25"/>
  <c r="C27"/>
  <c r="J23"/>
  <c r="J74"/>
  <c r="L74"/>
  <c r="J22"/>
  <c r="J73"/>
  <c r="L73"/>
  <c r="J21"/>
  <c r="J72"/>
  <c r="L72"/>
  <c r="J20"/>
  <c r="J71"/>
  <c r="L71"/>
  <c r="J18"/>
  <c r="J69"/>
  <c r="L69"/>
  <c r="J17"/>
  <c r="J68"/>
  <c r="L68"/>
  <c r="J16"/>
  <c r="J67"/>
  <c r="L67"/>
  <c r="J336"/>
  <c r="L336"/>
  <c r="L325"/>
  <c r="F183"/>
  <c r="C233"/>
  <c r="F227"/>
  <c r="F199"/>
  <c r="F170"/>
  <c r="C199"/>
  <c r="C170"/>
  <c r="F317"/>
  <c r="F267"/>
  <c r="F42"/>
  <c r="F16"/>
  <c r="I16"/>
  <c r="I42"/>
  <c r="I83"/>
  <c r="J308"/>
  <c r="L308"/>
  <c r="L297"/>
  <c r="J338"/>
  <c r="L338"/>
  <c r="L327"/>
  <c r="C319"/>
  <c r="C288"/>
  <c r="C290"/>
  <c r="L76"/>
  <c r="L78"/>
  <c r="J425"/>
  <c r="L425"/>
  <c r="L414"/>
  <c r="L419"/>
  <c r="J428"/>
  <c r="L428"/>
  <c r="J392"/>
  <c r="J421"/>
  <c r="J403"/>
  <c r="L403"/>
  <c r="J374"/>
  <c r="J432"/>
  <c r="L432"/>
  <c r="G429"/>
  <c r="I429"/>
  <c r="I420"/>
  <c r="G399"/>
  <c r="I399"/>
  <c r="I390"/>
  <c r="I361"/>
  <c r="J565"/>
  <c r="L565"/>
  <c r="L552"/>
  <c r="F480"/>
  <c r="G534"/>
  <c r="I534"/>
  <c r="I522"/>
  <c r="C540"/>
  <c r="I525"/>
  <c r="F525"/>
  <c r="J707"/>
  <c r="L707"/>
  <c r="L684"/>
  <c r="J711"/>
  <c r="L711"/>
  <c r="L688"/>
  <c r="N597"/>
  <c r="J699"/>
  <c r="J648"/>
  <c r="J616"/>
  <c r="N616"/>
  <c r="Q597"/>
  <c r="N17"/>
  <c r="N18"/>
  <c r="N20"/>
  <c r="N21"/>
  <c r="N22"/>
  <c r="N23"/>
  <c r="J33"/>
  <c r="L33"/>
  <c r="J34"/>
  <c r="L34"/>
  <c r="J50"/>
  <c r="L50"/>
  <c r="J51"/>
  <c r="L51"/>
  <c r="J52"/>
  <c r="L52"/>
  <c r="J54"/>
  <c r="L54"/>
  <c r="J55"/>
  <c r="L55"/>
  <c r="J56"/>
  <c r="L56"/>
  <c r="J57"/>
  <c r="L57"/>
  <c r="L60"/>
  <c r="N85"/>
  <c r="S85"/>
  <c r="N87"/>
  <c r="L103"/>
  <c r="L116"/>
  <c r="L129"/>
  <c r="G140"/>
  <c r="I140"/>
  <c r="I88"/>
  <c r="J140"/>
  <c r="L140"/>
  <c r="L88"/>
  <c r="N150"/>
  <c r="N153"/>
  <c r="N155"/>
  <c r="N159"/>
  <c r="N161"/>
  <c r="N172"/>
  <c r="N173"/>
  <c r="J188"/>
  <c r="J197"/>
  <c r="J190"/>
  <c r="J199"/>
  <c r="G198"/>
  <c r="J201"/>
  <c r="J202"/>
  <c r="J211"/>
  <c r="J212"/>
  <c r="J213"/>
  <c r="C214"/>
  <c r="L232"/>
  <c r="J243"/>
  <c r="J244"/>
  <c r="J245"/>
  <c r="C246"/>
  <c r="C259"/>
  <c r="J246"/>
  <c r="J247"/>
  <c r="G252"/>
  <c r="I252"/>
  <c r="I196"/>
  <c r="G281"/>
  <c r="I281"/>
  <c r="I167"/>
  <c r="G254"/>
  <c r="I254"/>
  <c r="I198"/>
  <c r="G256"/>
  <c r="I256"/>
  <c r="I200"/>
  <c r="G285"/>
  <c r="I285"/>
  <c r="G402"/>
  <c r="I402"/>
  <c r="I373"/>
  <c r="I171"/>
  <c r="J258"/>
  <c r="L258"/>
  <c r="J267"/>
  <c r="J278"/>
  <c r="J268"/>
  <c r="J279"/>
  <c r="J269"/>
  <c r="J280"/>
  <c r="J272"/>
  <c r="J281"/>
  <c r="J273"/>
  <c r="J282"/>
  <c r="J274"/>
  <c r="J283"/>
  <c r="J275"/>
  <c r="J284"/>
  <c r="J276"/>
  <c r="J285"/>
  <c r="G279"/>
  <c r="I279"/>
  <c r="G396"/>
  <c r="I396"/>
  <c r="I367"/>
  <c r="I165"/>
  <c r="G283"/>
  <c r="I283"/>
  <c r="J287"/>
  <c r="J296"/>
  <c r="J298"/>
  <c r="C299"/>
  <c r="J305"/>
  <c r="G314"/>
  <c r="I314"/>
  <c r="J316"/>
  <c r="L316"/>
  <c r="J326"/>
  <c r="J332"/>
  <c r="J333"/>
  <c r="G342"/>
  <c r="I342"/>
  <c r="J344"/>
  <c r="L344"/>
  <c r="L347"/>
  <c r="J363"/>
  <c r="J372"/>
  <c r="J364"/>
  <c r="J373"/>
  <c r="J389"/>
  <c r="J391"/>
  <c r="J404"/>
  <c r="L404"/>
  <c r="L375"/>
  <c r="L504"/>
  <c r="J427"/>
  <c r="L427"/>
  <c r="L418"/>
  <c r="J429"/>
  <c r="L429"/>
  <c r="L420"/>
  <c r="J431"/>
  <c r="L431"/>
  <c r="L422"/>
  <c r="J556"/>
  <c r="J567"/>
  <c r="L567"/>
  <c r="L555"/>
  <c r="J569"/>
  <c r="L569"/>
  <c r="L558"/>
  <c r="J553"/>
  <c r="J519"/>
  <c r="N485"/>
  <c r="J448"/>
  <c r="J498"/>
  <c r="N498"/>
  <c r="Q485"/>
  <c r="I480"/>
  <c r="G568"/>
  <c r="I568"/>
  <c r="I556"/>
  <c r="J710"/>
  <c r="L710"/>
  <c r="L687"/>
  <c r="J672"/>
  <c r="L672"/>
  <c r="L653"/>
  <c r="J673"/>
  <c r="L673"/>
  <c r="L654"/>
  <c r="G669"/>
  <c r="I669"/>
  <c r="I650"/>
  <c r="C678"/>
  <c r="C625"/>
  <c r="C627"/>
  <c r="N16"/>
  <c r="N25"/>
  <c r="C16"/>
  <c r="C17"/>
  <c r="C18"/>
  <c r="C20"/>
  <c r="C21"/>
  <c r="C22"/>
  <c r="C23"/>
  <c r="P1079"/>
  <c r="J35"/>
  <c r="L35"/>
  <c r="L18"/>
  <c r="J37"/>
  <c r="L37"/>
  <c r="L20"/>
  <c r="J38"/>
  <c r="L38"/>
  <c r="L21"/>
  <c r="J39"/>
  <c r="L39"/>
  <c r="L22"/>
  <c r="J40"/>
  <c r="L40"/>
  <c r="L23"/>
  <c r="Q85"/>
  <c r="Q87"/>
  <c r="F90"/>
  <c r="J98"/>
  <c r="J100"/>
  <c r="L100"/>
  <c r="C111"/>
  <c r="J111"/>
  <c r="L111"/>
  <c r="J113"/>
  <c r="L113"/>
  <c r="L115"/>
  <c r="L117"/>
  <c r="J124"/>
  <c r="J126"/>
  <c r="L126"/>
  <c r="J137"/>
  <c r="L137"/>
  <c r="L141"/>
  <c r="L143"/>
  <c r="J149"/>
  <c r="Q150"/>
  <c r="J151"/>
  <c r="Q153"/>
  <c r="N154"/>
  <c r="Q155"/>
  <c r="N158"/>
  <c r="Q159"/>
  <c r="N160"/>
  <c r="Q161"/>
  <c r="N162"/>
  <c r="J164"/>
  <c r="N164"/>
  <c r="J166"/>
  <c r="N166"/>
  <c r="J168"/>
  <c r="N168"/>
  <c r="J170"/>
  <c r="N170"/>
  <c r="C183"/>
  <c r="J183"/>
  <c r="J193"/>
  <c r="C184"/>
  <c r="C154"/>
  <c r="J184"/>
  <c r="J194"/>
  <c r="C185"/>
  <c r="C155"/>
  <c r="J185"/>
  <c r="J195"/>
  <c r="I211"/>
  <c r="I212"/>
  <c r="I184"/>
  <c r="I154"/>
  <c r="I213"/>
  <c r="I185"/>
  <c r="J215"/>
  <c r="J216"/>
  <c r="J217"/>
  <c r="J218"/>
  <c r="J219"/>
  <c r="J229"/>
  <c r="L229"/>
  <c r="J230"/>
  <c r="L230"/>
  <c r="L202"/>
  <c r="J239"/>
  <c r="J240"/>
  <c r="J241"/>
  <c r="I244"/>
  <c r="I188"/>
  <c r="I273"/>
  <c r="I159"/>
  <c r="I246"/>
  <c r="I190"/>
  <c r="I275"/>
  <c r="I161"/>
  <c r="J257"/>
  <c r="L257"/>
  <c r="I267"/>
  <c r="I269"/>
  <c r="J286"/>
  <c r="I296"/>
  <c r="I298"/>
  <c r="I317"/>
  <c r="J301"/>
  <c r="J302"/>
  <c r="J303"/>
  <c r="J304"/>
  <c r="J315"/>
  <c r="L315"/>
  <c r="L286"/>
  <c r="I326"/>
  <c r="I332"/>
  <c r="I346"/>
  <c r="I348"/>
  <c r="J330"/>
  <c r="J331"/>
  <c r="J334"/>
  <c r="J345"/>
  <c r="L345"/>
  <c r="J356"/>
  <c r="J367"/>
  <c r="J360"/>
  <c r="J369"/>
  <c r="J361"/>
  <c r="J370"/>
  <c r="G362"/>
  <c r="G371"/>
  <c r="J362"/>
  <c r="J371"/>
  <c r="J375"/>
  <c r="F405"/>
  <c r="J385"/>
  <c r="J390"/>
  <c r="G391"/>
  <c r="J393"/>
  <c r="C405"/>
  <c r="L505"/>
  <c r="F676"/>
  <c r="J887"/>
  <c r="L887"/>
  <c r="Q851"/>
  <c r="J870"/>
  <c r="L870"/>
  <c r="L851"/>
  <c r="F905"/>
  <c r="F872"/>
  <c r="F873"/>
  <c r="G428"/>
  <c r="I428"/>
  <c r="G430"/>
  <c r="I430"/>
  <c r="I372"/>
  <c r="I170"/>
  <c r="L435"/>
  <c r="J460"/>
  <c r="L460"/>
  <c r="J462"/>
  <c r="J466"/>
  <c r="L466"/>
  <c r="G469"/>
  <c r="N480"/>
  <c r="N506"/>
  <c r="N482"/>
  <c r="N484"/>
  <c r="N487"/>
  <c r="N490"/>
  <c r="J494"/>
  <c r="N494"/>
  <c r="J496"/>
  <c r="N496"/>
  <c r="J514"/>
  <c r="J516"/>
  <c r="C517"/>
  <c r="G528"/>
  <c r="I528"/>
  <c r="G529"/>
  <c r="I529"/>
  <c r="I495"/>
  <c r="G530"/>
  <c r="I530"/>
  <c r="C536"/>
  <c r="C542"/>
  <c r="J548"/>
  <c r="J550"/>
  <c r="C551"/>
  <c r="G562"/>
  <c r="I562"/>
  <c r="G564"/>
  <c r="I564"/>
  <c r="L575"/>
  <c r="N582"/>
  <c r="N625"/>
  <c r="N586"/>
  <c r="N591"/>
  <c r="N594"/>
  <c r="J596"/>
  <c r="J599"/>
  <c r="N600"/>
  <c r="N602"/>
  <c r="J609"/>
  <c r="N609"/>
  <c r="N623"/>
  <c r="N624"/>
  <c r="J642"/>
  <c r="J644"/>
  <c r="J645"/>
  <c r="J646"/>
  <c r="G661"/>
  <c r="I661"/>
  <c r="I610"/>
  <c r="G664"/>
  <c r="I664"/>
  <c r="I613"/>
  <c r="G666"/>
  <c r="I666"/>
  <c r="I615"/>
  <c r="J674"/>
  <c r="L674"/>
  <c r="L623"/>
  <c r="L677"/>
  <c r="J693"/>
  <c r="J695"/>
  <c r="J696"/>
  <c r="J697"/>
  <c r="G701"/>
  <c r="G702"/>
  <c r="J704"/>
  <c r="J705"/>
  <c r="G714"/>
  <c r="I714"/>
  <c r="I612"/>
  <c r="I896"/>
  <c r="I914"/>
  <c r="I774"/>
  <c r="I756"/>
  <c r="I900"/>
  <c r="F819"/>
  <c r="F820"/>
  <c r="I888"/>
  <c r="I414"/>
  <c r="I356"/>
  <c r="I150"/>
  <c r="L443"/>
  <c r="L445"/>
  <c r="J452"/>
  <c r="L452"/>
  <c r="C480"/>
  <c r="J481"/>
  <c r="C482"/>
  <c r="Q484"/>
  <c r="Q487"/>
  <c r="J488"/>
  <c r="Q490"/>
  <c r="J491"/>
  <c r="C495"/>
  <c r="C497"/>
  <c r="J497"/>
  <c r="N497"/>
  <c r="C499"/>
  <c r="J499"/>
  <c r="N499"/>
  <c r="C501"/>
  <c r="J501"/>
  <c r="N501"/>
  <c r="C503"/>
  <c r="N504"/>
  <c r="N505"/>
  <c r="J518"/>
  <c r="J521"/>
  <c r="J524"/>
  <c r="I549"/>
  <c r="C559"/>
  <c r="N585"/>
  <c r="Q586"/>
  <c r="Q591"/>
  <c r="N593"/>
  <c r="Q594"/>
  <c r="Q602"/>
  <c r="N603"/>
  <c r="J605"/>
  <c r="N605"/>
  <c r="J608"/>
  <c r="N608"/>
  <c r="J621"/>
  <c r="N621"/>
  <c r="J633"/>
  <c r="J636"/>
  <c r="J637"/>
  <c r="I642"/>
  <c r="I644"/>
  <c r="I593"/>
  <c r="I646"/>
  <c r="I648"/>
  <c r="I699"/>
  <c r="I597"/>
  <c r="G651"/>
  <c r="J675"/>
  <c r="L675"/>
  <c r="L624"/>
  <c r="I693"/>
  <c r="I696"/>
  <c r="I594"/>
  <c r="I697"/>
  <c r="I698"/>
  <c r="I596"/>
  <c r="F704"/>
  <c r="F602"/>
  <c r="I704"/>
  <c r="I602"/>
  <c r="I705"/>
  <c r="I603"/>
  <c r="F852"/>
  <c r="U1013"/>
  <c r="C987"/>
  <c r="I1013"/>
  <c r="G745"/>
  <c r="I745"/>
  <c r="G746"/>
  <c r="I746"/>
  <c r="G747"/>
  <c r="I747"/>
  <c r="I748"/>
  <c r="I750"/>
  <c r="I791"/>
  <c r="I792"/>
  <c r="J794"/>
  <c r="J795"/>
  <c r="J796"/>
  <c r="J798"/>
  <c r="J799"/>
  <c r="J843"/>
  <c r="J844"/>
  <c r="I846"/>
  <c r="I847"/>
  <c r="I848"/>
  <c r="I850"/>
  <c r="I851"/>
  <c r="I852"/>
  <c r="C852"/>
  <c r="C871"/>
  <c r="C819"/>
  <c r="I871"/>
  <c r="C914"/>
  <c r="C774"/>
  <c r="C756"/>
  <c r="C915"/>
  <c r="C775"/>
  <c r="C757"/>
  <c r="C881"/>
  <c r="C916"/>
  <c r="F917"/>
  <c r="F777"/>
  <c r="F759"/>
  <c r="I917"/>
  <c r="I777"/>
  <c r="I759"/>
  <c r="F918"/>
  <c r="F778"/>
  <c r="F760"/>
  <c r="I918"/>
  <c r="F919"/>
  <c r="F779"/>
  <c r="F761"/>
  <c r="I919"/>
  <c r="I779"/>
  <c r="I936"/>
  <c r="I761"/>
  <c r="F921"/>
  <c r="F781"/>
  <c r="F763"/>
  <c r="I921"/>
  <c r="I781"/>
  <c r="I938"/>
  <c r="I763"/>
  <c r="F922"/>
  <c r="F782"/>
  <c r="F764"/>
  <c r="I922"/>
  <c r="I782"/>
  <c r="I939"/>
  <c r="I764"/>
  <c r="F896"/>
  <c r="C899"/>
  <c r="C917"/>
  <c r="C777"/>
  <c r="C759"/>
  <c r="C900"/>
  <c r="C778"/>
  <c r="C760"/>
  <c r="C901"/>
  <c r="C903"/>
  <c r="C904"/>
  <c r="J791"/>
  <c r="J792"/>
  <c r="C794"/>
  <c r="I798"/>
  <c r="J846"/>
  <c r="J847"/>
  <c r="J848"/>
  <c r="J850"/>
  <c r="C864"/>
  <c r="F879"/>
  <c r="F880"/>
  <c r="F915"/>
  <c r="F775"/>
  <c r="F757"/>
  <c r="C919"/>
  <c r="C921"/>
  <c r="C922"/>
  <c r="C888"/>
  <c r="I979"/>
  <c r="I980"/>
  <c r="L932"/>
  <c r="L935"/>
  <c r="L936"/>
  <c r="L938"/>
  <c r="L939"/>
  <c r="L940"/>
  <c r="L942"/>
  <c r="P943"/>
  <c r="I935"/>
  <c r="I940"/>
  <c r="I942"/>
  <c r="C940"/>
  <c r="C942"/>
  <c r="N948"/>
  <c r="N967"/>
  <c r="N949"/>
  <c r="N951"/>
  <c r="N952"/>
  <c r="L953"/>
  <c r="L959"/>
  <c r="L967"/>
  <c r="L969"/>
  <c r="N954"/>
  <c r="F955"/>
  <c r="F956"/>
  <c r="F957"/>
  <c r="F967"/>
  <c r="F969"/>
  <c r="L961"/>
  <c r="L963"/>
  <c r="L965"/>
  <c r="I968"/>
  <c r="L985"/>
  <c r="N985"/>
  <c r="N989"/>
  <c r="L996"/>
  <c r="I1002"/>
  <c r="I1003"/>
  <c r="I987"/>
  <c r="L1002"/>
  <c r="L1003"/>
  <c r="L987"/>
  <c r="L1012"/>
  <c r="J1024"/>
  <c r="L1024"/>
  <c r="L986"/>
  <c r="C1015"/>
  <c r="G1024"/>
  <c r="I1024"/>
  <c r="I1026"/>
  <c r="I1028"/>
  <c r="L1026"/>
  <c r="L1027"/>
  <c r="L1028"/>
  <c r="I1036"/>
  <c r="I1037"/>
  <c r="I1039"/>
  <c r="I1045"/>
  <c r="L1045"/>
  <c r="I1046"/>
  <c r="L1046"/>
  <c r="N1047"/>
  <c r="N1049"/>
  <c r="L1050"/>
  <c r="I1053"/>
  <c r="L1053"/>
  <c r="I1054"/>
  <c r="L1054"/>
  <c r="N1055"/>
  <c r="N1058"/>
  <c r="L1061"/>
  <c r="N1062"/>
  <c r="L1063"/>
  <c r="N1065"/>
  <c r="L1066"/>
  <c r="I1068"/>
  <c r="L1068"/>
  <c r="I1069"/>
  <c r="L1069"/>
  <c r="N1070"/>
  <c r="N1072"/>
  <c r="I955"/>
  <c r="I956"/>
  <c r="I957"/>
  <c r="I967"/>
  <c r="I969"/>
  <c r="I1012"/>
  <c r="I986"/>
  <c r="F1024"/>
  <c r="F986"/>
  <c r="F989"/>
  <c r="F991"/>
  <c r="F1036"/>
  <c r="F1037"/>
  <c r="F1039"/>
  <c r="L1036"/>
  <c r="L1037"/>
  <c r="L1039"/>
  <c r="P1040"/>
  <c r="P970"/>
  <c r="C261"/>
  <c r="C203"/>
  <c r="C820"/>
  <c r="C989"/>
  <c r="C991"/>
  <c r="C1017"/>
  <c r="C923"/>
  <c r="C925"/>
  <c r="C889"/>
  <c r="C890"/>
  <c r="F914"/>
  <c r="F888"/>
  <c r="J886"/>
  <c r="L886"/>
  <c r="Q850"/>
  <c r="J869"/>
  <c r="L869"/>
  <c r="L850"/>
  <c r="J883"/>
  <c r="L883"/>
  <c r="Q847"/>
  <c r="J866"/>
  <c r="L866"/>
  <c r="L847"/>
  <c r="J827"/>
  <c r="L827"/>
  <c r="J810"/>
  <c r="Q792"/>
  <c r="L792"/>
  <c r="I905"/>
  <c r="J863"/>
  <c r="L863"/>
  <c r="L844"/>
  <c r="J880"/>
  <c r="L880"/>
  <c r="L915"/>
  <c r="Q844"/>
  <c r="J834"/>
  <c r="L834"/>
  <c r="J817"/>
  <c r="L799"/>
  <c r="P782"/>
  <c r="Q782"/>
  <c r="Q799"/>
  <c r="J831"/>
  <c r="L831"/>
  <c r="J814"/>
  <c r="L796"/>
  <c r="Q796"/>
  <c r="J812"/>
  <c r="L794"/>
  <c r="J829"/>
  <c r="L829"/>
  <c r="Q794"/>
  <c r="G670"/>
  <c r="I670"/>
  <c r="I651"/>
  <c r="J659"/>
  <c r="L659"/>
  <c r="L608"/>
  <c r="L636"/>
  <c r="L585"/>
  <c r="I559"/>
  <c r="I574"/>
  <c r="I576"/>
  <c r="F559"/>
  <c r="F574"/>
  <c r="F576"/>
  <c r="J535"/>
  <c r="L535"/>
  <c r="L501"/>
  <c r="L524"/>
  <c r="L490"/>
  <c r="J531"/>
  <c r="L531"/>
  <c r="L497"/>
  <c r="L518"/>
  <c r="L484"/>
  <c r="L704"/>
  <c r="J723"/>
  <c r="L723"/>
  <c r="G720"/>
  <c r="I720"/>
  <c r="I701"/>
  <c r="I702"/>
  <c r="G721"/>
  <c r="I721"/>
  <c r="I727"/>
  <c r="I729"/>
  <c r="L696"/>
  <c r="J715"/>
  <c r="L715"/>
  <c r="J712"/>
  <c r="L712"/>
  <c r="L693"/>
  <c r="J701"/>
  <c r="L645"/>
  <c r="L594"/>
  <c r="J664"/>
  <c r="L664"/>
  <c r="J650"/>
  <c r="L642"/>
  <c r="J661"/>
  <c r="L661"/>
  <c r="L610"/>
  <c r="J618"/>
  <c r="N618"/>
  <c r="N599"/>
  <c r="L550"/>
  <c r="J564"/>
  <c r="L564"/>
  <c r="L516"/>
  <c r="L482"/>
  <c r="J530"/>
  <c r="L530"/>
  <c r="L496"/>
  <c r="L872"/>
  <c r="I872"/>
  <c r="I873"/>
  <c r="F907"/>
  <c r="F678"/>
  <c r="L393"/>
  <c r="L364"/>
  <c r="J402"/>
  <c r="L402"/>
  <c r="L373"/>
  <c r="J399"/>
  <c r="L399"/>
  <c r="L370"/>
  <c r="L390"/>
  <c r="L361"/>
  <c r="F407"/>
  <c r="F376"/>
  <c r="F378"/>
  <c r="J343"/>
  <c r="L343"/>
  <c r="L334"/>
  <c r="J340"/>
  <c r="L340"/>
  <c r="L331"/>
  <c r="J313"/>
  <c r="L313"/>
  <c r="L304"/>
  <c r="J311"/>
  <c r="L311"/>
  <c r="L282"/>
  <c r="L302"/>
  <c r="L273"/>
  <c r="J251"/>
  <c r="L251"/>
  <c r="L241"/>
  <c r="J249"/>
  <c r="L249"/>
  <c r="L239"/>
  <c r="J227"/>
  <c r="L227"/>
  <c r="L218"/>
  <c r="J225"/>
  <c r="L225"/>
  <c r="L216"/>
  <c r="I231"/>
  <c r="I183"/>
  <c r="I153"/>
  <c r="C186"/>
  <c r="C153"/>
  <c r="C156"/>
  <c r="I111"/>
  <c r="I115"/>
  <c r="I117"/>
  <c r="F111"/>
  <c r="F115"/>
  <c r="F117"/>
  <c r="L90"/>
  <c r="I90"/>
  <c r="J566"/>
  <c r="L566"/>
  <c r="L553"/>
  <c r="L389"/>
  <c r="L360"/>
  <c r="J398"/>
  <c r="L398"/>
  <c r="L369"/>
  <c r="L333"/>
  <c r="J342"/>
  <c r="L342"/>
  <c r="J337"/>
  <c r="L337"/>
  <c r="L326"/>
  <c r="J307"/>
  <c r="L307"/>
  <c r="L278"/>
  <c r="L296"/>
  <c r="J255"/>
  <c r="L255"/>
  <c r="L246"/>
  <c r="L245"/>
  <c r="J254"/>
  <c r="L254"/>
  <c r="L243"/>
  <c r="J252"/>
  <c r="L252"/>
  <c r="J222"/>
  <c r="L222"/>
  <c r="L212"/>
  <c r="J667"/>
  <c r="L667"/>
  <c r="L648"/>
  <c r="L421"/>
  <c r="J430"/>
  <c r="L430"/>
  <c r="F44"/>
  <c r="F25"/>
  <c r="F27"/>
  <c r="L1074"/>
  <c r="L1076"/>
  <c r="L1015"/>
  <c r="C781"/>
  <c r="C763"/>
  <c r="F774"/>
  <c r="F756"/>
  <c r="I595"/>
  <c r="I591"/>
  <c r="C483"/>
  <c r="I778"/>
  <c r="I760"/>
  <c r="I496"/>
  <c r="I494"/>
  <c r="L922"/>
  <c r="C574"/>
  <c r="C576"/>
  <c r="I481"/>
  <c r="L201"/>
  <c r="I155"/>
  <c r="L124"/>
  <c r="L128"/>
  <c r="L130"/>
  <c r="L98"/>
  <c r="I618"/>
  <c r="L621"/>
  <c r="L17"/>
  <c r="F491"/>
  <c r="C506"/>
  <c r="C508"/>
  <c r="I500"/>
  <c r="I370"/>
  <c r="I168"/>
  <c r="I259"/>
  <c r="I261"/>
  <c r="C115"/>
  <c r="C117"/>
  <c r="L279"/>
  <c r="I141"/>
  <c r="I143"/>
  <c r="F153"/>
  <c r="C898"/>
  <c r="C776"/>
  <c r="C845"/>
  <c r="J884"/>
  <c r="L884"/>
  <c r="L919"/>
  <c r="Q848"/>
  <c r="J867"/>
  <c r="L867"/>
  <c r="L848"/>
  <c r="J882"/>
  <c r="L882"/>
  <c r="L917"/>
  <c r="Q846"/>
  <c r="J865"/>
  <c r="L865"/>
  <c r="L846"/>
  <c r="I794"/>
  <c r="I800"/>
  <c r="F794"/>
  <c r="F800"/>
  <c r="J826"/>
  <c r="L826"/>
  <c r="Q791"/>
  <c r="J809"/>
  <c r="L791"/>
  <c r="C905"/>
  <c r="C872"/>
  <c r="J862"/>
  <c r="L862"/>
  <c r="L843"/>
  <c r="J879"/>
  <c r="L879"/>
  <c r="Q843"/>
  <c r="J833"/>
  <c r="L833"/>
  <c r="J816"/>
  <c r="L798"/>
  <c r="Q798"/>
  <c r="J830"/>
  <c r="L830"/>
  <c r="L795"/>
  <c r="J813"/>
  <c r="Q795"/>
  <c r="J660"/>
  <c r="L660"/>
  <c r="L609"/>
  <c r="L637"/>
  <c r="L586"/>
  <c r="J656"/>
  <c r="L656"/>
  <c r="L605"/>
  <c r="L633"/>
  <c r="J522"/>
  <c r="J533"/>
  <c r="L533"/>
  <c r="L499"/>
  <c r="L521"/>
  <c r="L487"/>
  <c r="J559"/>
  <c r="J525"/>
  <c r="N491"/>
  <c r="J502"/>
  <c r="N502"/>
  <c r="J492"/>
  <c r="Q491"/>
  <c r="J453"/>
  <c r="N488"/>
  <c r="J500"/>
  <c r="N500"/>
  <c r="Q488"/>
  <c r="J495"/>
  <c r="N495"/>
  <c r="N481"/>
  <c r="J444"/>
  <c r="J549"/>
  <c r="J515"/>
  <c r="Q481"/>
  <c r="I923"/>
  <c r="I925"/>
  <c r="I819"/>
  <c r="I820"/>
  <c r="L819"/>
  <c r="J724"/>
  <c r="L724"/>
  <c r="L622"/>
  <c r="L705"/>
  <c r="J716"/>
  <c r="L716"/>
  <c r="L697"/>
  <c r="L695"/>
  <c r="J714"/>
  <c r="L714"/>
  <c r="J702"/>
  <c r="J665"/>
  <c r="L665"/>
  <c r="L646"/>
  <c r="L595"/>
  <c r="J663"/>
  <c r="L663"/>
  <c r="L612"/>
  <c r="J651"/>
  <c r="L644"/>
  <c r="J615"/>
  <c r="N615"/>
  <c r="Q596"/>
  <c r="J698"/>
  <c r="J647"/>
  <c r="N596"/>
  <c r="L548"/>
  <c r="J562"/>
  <c r="L562"/>
  <c r="F536"/>
  <c r="F502"/>
  <c r="C502"/>
  <c r="L514"/>
  <c r="J528"/>
  <c r="L528"/>
  <c r="L494"/>
  <c r="J469"/>
  <c r="L469"/>
  <c r="L462"/>
  <c r="J470"/>
  <c r="L470"/>
  <c r="C407"/>
  <c r="C376"/>
  <c r="C378"/>
  <c r="I391"/>
  <c r="I362"/>
  <c r="I160"/>
  <c r="G400"/>
  <c r="I400"/>
  <c r="I371"/>
  <c r="I169"/>
  <c r="L385"/>
  <c r="L356"/>
  <c r="L150"/>
  <c r="J396"/>
  <c r="L396"/>
  <c r="L367"/>
  <c r="J339"/>
  <c r="L339"/>
  <c r="L330"/>
  <c r="L332"/>
  <c r="J341"/>
  <c r="L341"/>
  <c r="L346"/>
  <c r="L348"/>
  <c r="J312"/>
  <c r="L312"/>
  <c r="L303"/>
  <c r="J310"/>
  <c r="L310"/>
  <c r="L281"/>
  <c r="L301"/>
  <c r="L272"/>
  <c r="I319"/>
  <c r="I288"/>
  <c r="I290"/>
  <c r="J250"/>
  <c r="L250"/>
  <c r="L240"/>
  <c r="J228"/>
  <c r="L228"/>
  <c r="L219"/>
  <c r="J226"/>
  <c r="L226"/>
  <c r="L198"/>
  <c r="L217"/>
  <c r="L189"/>
  <c r="J224"/>
  <c r="L224"/>
  <c r="L196"/>
  <c r="L167"/>
  <c r="L215"/>
  <c r="L187"/>
  <c r="L158"/>
  <c r="J415"/>
  <c r="J386"/>
  <c r="J357"/>
  <c r="J368"/>
  <c r="N151"/>
  <c r="Q151"/>
  <c r="J413"/>
  <c r="J384"/>
  <c r="J355"/>
  <c r="J366"/>
  <c r="N149"/>
  <c r="N174"/>
  <c r="Q149"/>
  <c r="I124"/>
  <c r="I128"/>
  <c r="I130"/>
  <c r="F124"/>
  <c r="F128"/>
  <c r="F130"/>
  <c r="C85"/>
  <c r="I98"/>
  <c r="F98"/>
  <c r="J461"/>
  <c r="L461"/>
  <c r="L448"/>
  <c r="J532"/>
  <c r="L532"/>
  <c r="L498"/>
  <c r="L519"/>
  <c r="L485"/>
  <c r="J568"/>
  <c r="L568"/>
  <c r="L556"/>
  <c r="L391"/>
  <c r="L362"/>
  <c r="J400"/>
  <c r="L400"/>
  <c r="L371"/>
  <c r="L305"/>
  <c r="L276"/>
  <c r="J314"/>
  <c r="L314"/>
  <c r="L285"/>
  <c r="J309"/>
  <c r="L309"/>
  <c r="L280"/>
  <c r="L298"/>
  <c r="L269"/>
  <c r="L247"/>
  <c r="J256"/>
  <c r="L256"/>
  <c r="F246"/>
  <c r="C190"/>
  <c r="C161"/>
  <c r="J253"/>
  <c r="L253"/>
  <c r="L244"/>
  <c r="J223"/>
  <c r="L223"/>
  <c r="L195"/>
  <c r="L213"/>
  <c r="L185"/>
  <c r="L155"/>
  <c r="J221"/>
  <c r="L221"/>
  <c r="L193"/>
  <c r="L211"/>
  <c r="L42"/>
  <c r="L16"/>
  <c r="J718"/>
  <c r="L718"/>
  <c r="L699"/>
  <c r="J401"/>
  <c r="L401"/>
  <c r="L372"/>
  <c r="L392"/>
  <c r="L363"/>
  <c r="I44"/>
  <c r="I25"/>
  <c r="I27"/>
  <c r="F319"/>
  <c r="F288"/>
  <c r="F290"/>
  <c r="I1074"/>
  <c r="I1076"/>
  <c r="I1015"/>
  <c r="F1026"/>
  <c r="F1028"/>
  <c r="C782"/>
  <c r="C764"/>
  <c r="C779"/>
  <c r="C761"/>
  <c r="C836"/>
  <c r="C837"/>
  <c r="F727"/>
  <c r="F729"/>
  <c r="I676"/>
  <c r="I536"/>
  <c r="I502"/>
  <c r="L87"/>
  <c r="I599"/>
  <c r="L603"/>
  <c r="L602"/>
  <c r="I540"/>
  <c r="I434"/>
  <c r="I436"/>
  <c r="L287"/>
  <c r="L173"/>
  <c r="L59"/>
  <c r="L61"/>
  <c r="C491"/>
  <c r="I491"/>
  <c r="I488"/>
  <c r="L374"/>
  <c r="I405"/>
  <c r="C128"/>
  <c r="C130"/>
  <c r="C102"/>
  <c r="L268"/>
  <c r="F231"/>
  <c r="F233"/>
  <c r="C104"/>
  <c r="C89"/>
  <c r="C91"/>
  <c r="I407"/>
  <c r="I376"/>
  <c r="I378"/>
  <c r="L44"/>
  <c r="L25"/>
  <c r="L27"/>
  <c r="F190"/>
  <c r="F161"/>
  <c r="F259"/>
  <c r="F261"/>
  <c r="I85"/>
  <c r="I102"/>
  <c r="J424"/>
  <c r="L424"/>
  <c r="L413"/>
  <c r="J397"/>
  <c r="L397"/>
  <c r="L386"/>
  <c r="L480"/>
  <c r="L647"/>
  <c r="J666"/>
  <c r="L666"/>
  <c r="L515"/>
  <c r="J529"/>
  <c r="L529"/>
  <c r="J458"/>
  <c r="L458"/>
  <c r="L444"/>
  <c r="J471"/>
  <c r="L471"/>
  <c r="L453"/>
  <c r="J464"/>
  <c r="L464"/>
  <c r="J560"/>
  <c r="J526"/>
  <c r="J503"/>
  <c r="N503"/>
  <c r="Q492"/>
  <c r="J454"/>
  <c r="N492"/>
  <c r="J570"/>
  <c r="L570"/>
  <c r="L559"/>
  <c r="L582"/>
  <c r="P781"/>
  <c r="Q781"/>
  <c r="L816"/>
  <c r="J742"/>
  <c r="C873"/>
  <c r="C853"/>
  <c r="C854"/>
  <c r="L809"/>
  <c r="P774"/>
  <c r="Q774"/>
  <c r="J735"/>
  <c r="C758"/>
  <c r="L85"/>
  <c r="L102"/>
  <c r="L1017"/>
  <c r="L989"/>
  <c r="L991"/>
  <c r="L317"/>
  <c r="L267"/>
  <c r="L701"/>
  <c r="J720"/>
  <c r="L720"/>
  <c r="P777"/>
  <c r="Q777"/>
  <c r="L812"/>
  <c r="J738"/>
  <c r="L817"/>
  <c r="L904"/>
  <c r="L782"/>
  <c r="L764"/>
  <c r="J743"/>
  <c r="L810"/>
  <c r="P775"/>
  <c r="Q775"/>
  <c r="J736"/>
  <c r="F923"/>
  <c r="F889"/>
  <c r="F890"/>
  <c r="F836"/>
  <c r="L191"/>
  <c r="L162"/>
  <c r="L274"/>
  <c r="L160"/>
  <c r="L593"/>
  <c r="L614"/>
  <c r="L852"/>
  <c r="L835"/>
  <c r="L899"/>
  <c r="L777"/>
  <c r="L759"/>
  <c r="L597"/>
  <c r="L184"/>
  <c r="L154"/>
  <c r="L188"/>
  <c r="L159"/>
  <c r="L190"/>
  <c r="L259"/>
  <c r="L261"/>
  <c r="L275"/>
  <c r="F625"/>
  <c r="F627"/>
  <c r="L591"/>
  <c r="L613"/>
  <c r="I619"/>
  <c r="I542"/>
  <c r="I506"/>
  <c r="I508"/>
  <c r="I678"/>
  <c r="I625"/>
  <c r="I627"/>
  <c r="I989"/>
  <c r="I991"/>
  <c r="I1017"/>
  <c r="L231"/>
  <c r="L183"/>
  <c r="L153"/>
  <c r="F85"/>
  <c r="F102"/>
  <c r="J395"/>
  <c r="L395"/>
  <c r="L366"/>
  <c r="L164"/>
  <c r="L384"/>
  <c r="J426"/>
  <c r="L426"/>
  <c r="L415"/>
  <c r="L698"/>
  <c r="J717"/>
  <c r="L717"/>
  <c r="J670"/>
  <c r="L670"/>
  <c r="L651"/>
  <c r="J721"/>
  <c r="L721"/>
  <c r="L702"/>
  <c r="J563"/>
  <c r="L563"/>
  <c r="L549"/>
  <c r="J536"/>
  <c r="L536"/>
  <c r="L502"/>
  <c r="L525"/>
  <c r="L491"/>
  <c r="J534"/>
  <c r="L534"/>
  <c r="L500"/>
  <c r="L522"/>
  <c r="L488"/>
  <c r="L813"/>
  <c r="P778"/>
  <c r="Q778"/>
  <c r="J739"/>
  <c r="L914"/>
  <c r="L888"/>
  <c r="L871"/>
  <c r="L896"/>
  <c r="L774"/>
  <c r="L756"/>
  <c r="C783"/>
  <c r="C765"/>
  <c r="C767"/>
  <c r="C907"/>
  <c r="C785"/>
  <c r="P1077"/>
  <c r="C157"/>
  <c r="C1093"/>
  <c r="C1095"/>
  <c r="I233"/>
  <c r="I203"/>
  <c r="J669"/>
  <c r="L669"/>
  <c r="L618"/>
  <c r="L650"/>
  <c r="L599"/>
  <c r="P779"/>
  <c r="Q779"/>
  <c r="L814"/>
  <c r="L901"/>
  <c r="L779"/>
  <c r="L761"/>
  <c r="J740"/>
  <c r="I783"/>
  <c r="I765"/>
  <c r="I767"/>
  <c r="I907"/>
  <c r="I785"/>
  <c r="C174"/>
  <c r="C176"/>
  <c r="C205"/>
  <c r="L200"/>
  <c r="L171"/>
  <c r="L283"/>
  <c r="L169"/>
  <c r="L800"/>
  <c r="F540"/>
  <c r="L172"/>
  <c r="L616"/>
  <c r="L194"/>
  <c r="L165"/>
  <c r="L197"/>
  <c r="L168"/>
  <c r="L199"/>
  <c r="L284"/>
  <c r="L170"/>
  <c r="I600"/>
  <c r="L897"/>
  <c r="L775"/>
  <c r="L757"/>
  <c r="L900"/>
  <c r="L918"/>
  <c r="L903"/>
  <c r="L921"/>
  <c r="C801"/>
  <c r="C802"/>
  <c r="F542"/>
  <c r="F506"/>
  <c r="F508"/>
  <c r="I174"/>
  <c r="I176"/>
  <c r="I205"/>
  <c r="L873"/>
  <c r="S873"/>
  <c r="L405"/>
  <c r="L355"/>
  <c r="L149"/>
  <c r="F104"/>
  <c r="F89"/>
  <c r="F91"/>
  <c r="I836"/>
  <c r="I837"/>
  <c r="L836"/>
  <c r="F837"/>
  <c r="F801"/>
  <c r="L736"/>
  <c r="N736"/>
  <c r="S997"/>
  <c r="P992"/>
  <c r="L104"/>
  <c r="L89"/>
  <c r="L91"/>
  <c r="L742"/>
  <c r="J747"/>
  <c r="N742"/>
  <c r="J465"/>
  <c r="L465"/>
  <c r="L454"/>
  <c r="J571"/>
  <c r="L571"/>
  <c r="L560"/>
  <c r="L574"/>
  <c r="L576"/>
  <c r="I104"/>
  <c r="I89"/>
  <c r="I91"/>
  <c r="P28"/>
  <c r="C1079"/>
  <c r="C1082"/>
  <c r="C1089"/>
  <c r="L781"/>
  <c r="L763"/>
  <c r="L778"/>
  <c r="L760"/>
  <c r="L600"/>
  <c r="L837"/>
  <c r="L472"/>
  <c r="L474"/>
  <c r="L495"/>
  <c r="L615"/>
  <c r="L357"/>
  <c r="L151"/>
  <c r="L434"/>
  <c r="L436"/>
  <c r="L740"/>
  <c r="J746"/>
  <c r="J745"/>
  <c r="N740"/>
  <c r="C1092"/>
  <c r="L923"/>
  <c r="L925"/>
  <c r="L739"/>
  <c r="N739"/>
  <c r="L203"/>
  <c r="L233"/>
  <c r="I889"/>
  <c r="I890"/>
  <c r="L889"/>
  <c r="L890"/>
  <c r="S890"/>
  <c r="F853"/>
  <c r="F925"/>
  <c r="F785"/>
  <c r="F783"/>
  <c r="F765"/>
  <c r="F767"/>
  <c r="L743"/>
  <c r="N743"/>
  <c r="L738"/>
  <c r="N738"/>
  <c r="L319"/>
  <c r="L288"/>
  <c r="L290"/>
  <c r="L735"/>
  <c r="N735"/>
  <c r="N748"/>
  <c r="J537"/>
  <c r="L537"/>
  <c r="L503"/>
  <c r="L526"/>
  <c r="L492"/>
  <c r="L619"/>
  <c r="L727"/>
  <c r="L729"/>
  <c r="L161"/>
  <c r="L818"/>
  <c r="L820"/>
  <c r="L676"/>
  <c r="L481"/>
  <c r="L596"/>
  <c r="L540"/>
  <c r="L368"/>
  <c r="L166"/>
  <c r="F203"/>
  <c r="F205"/>
  <c r="F174"/>
  <c r="F176"/>
  <c r="L678"/>
  <c r="L625"/>
  <c r="L627"/>
  <c r="L853"/>
  <c r="L854"/>
  <c r="I853"/>
  <c r="I854"/>
  <c r="F854"/>
  <c r="L205"/>
  <c r="L746"/>
  <c r="N746"/>
  <c r="L747"/>
  <c r="N747"/>
  <c r="P92"/>
  <c r="F1079"/>
  <c r="F1082"/>
  <c r="F1089"/>
  <c r="L542"/>
  <c r="L506"/>
  <c r="L508"/>
  <c r="L745"/>
  <c r="N745"/>
  <c r="I1079"/>
  <c r="I1082"/>
  <c r="I1089"/>
  <c r="I801"/>
  <c r="I802"/>
  <c r="L801"/>
  <c r="L802"/>
  <c r="F802"/>
  <c r="L407"/>
  <c r="L376"/>
  <c r="L378"/>
  <c r="L748"/>
  <c r="L750"/>
  <c r="L905"/>
  <c r="P509"/>
  <c r="P628"/>
  <c r="L907"/>
  <c r="L785"/>
  <c r="L783"/>
  <c r="L765"/>
  <c r="L767"/>
  <c r="P751"/>
  <c r="L174"/>
  <c r="L176"/>
  <c r="Q854"/>
  <c r="P769"/>
  <c r="P768"/>
  <c r="P177"/>
  <c r="L1079"/>
  <c r="P786"/>
  <c r="L1082"/>
  <c r="P1080"/>
  <c r="B11" i="5"/>
  <c r="D11" s="1"/>
  <c r="E10"/>
  <c r="C10"/>
  <c r="D10"/>
  <c r="E9"/>
  <c r="C9"/>
  <c r="D9"/>
  <c r="F11"/>
  <c r="E8"/>
  <c r="C8"/>
  <c r="C11"/>
  <c r="E11"/>
  <c r="D8"/>
  <c r="C16"/>
  <c r="D17"/>
  <c r="C17"/>
  <c r="B47" i="4"/>
  <c r="B44"/>
  <c r="D36"/>
  <c r="F29"/>
  <c r="P26"/>
  <c r="S26"/>
  <c r="E26"/>
  <c r="T26"/>
  <c r="P25"/>
  <c r="S25"/>
  <c r="E25"/>
  <c r="L25"/>
  <c r="G25"/>
  <c r="T25"/>
  <c r="P24"/>
  <c r="S24"/>
  <c r="E24"/>
  <c r="T24"/>
  <c r="P23"/>
  <c r="S23"/>
  <c r="E23"/>
  <c r="L23"/>
  <c r="G23"/>
  <c r="T23"/>
  <c r="P22"/>
  <c r="S22"/>
  <c r="E22"/>
  <c r="T22"/>
  <c r="P21"/>
  <c r="S21"/>
  <c r="E21"/>
  <c r="L21"/>
  <c r="G21"/>
  <c r="T21"/>
  <c r="P20"/>
  <c r="S20"/>
  <c r="E20"/>
  <c r="T20"/>
  <c r="P19"/>
  <c r="S19"/>
  <c r="E19"/>
  <c r="L19"/>
  <c r="G19"/>
  <c r="T19"/>
  <c r="P18"/>
  <c r="S18"/>
  <c r="E18"/>
  <c r="T18"/>
  <c r="P17"/>
  <c r="S17"/>
  <c r="E17"/>
  <c r="L17"/>
  <c r="G17"/>
  <c r="T17"/>
  <c r="P16"/>
  <c r="S16"/>
  <c r="E16"/>
  <c r="T16"/>
  <c r="P15"/>
  <c r="S15"/>
  <c r="H15"/>
  <c r="H27"/>
  <c r="E15"/>
  <c r="L15"/>
  <c r="X27"/>
  <c r="P14"/>
  <c r="S14"/>
  <c r="S27"/>
  <c r="P27"/>
  <c r="E14"/>
  <c r="L14"/>
  <c r="G14"/>
  <c r="T14"/>
  <c r="D11"/>
  <c r="D12"/>
  <c r="D35"/>
  <c r="S11"/>
  <c r="C11"/>
  <c r="E11"/>
  <c r="S10"/>
  <c r="S12"/>
  <c r="T9"/>
  <c r="E49"/>
  <c r="T11"/>
  <c r="F11"/>
  <c r="D37"/>
  <c r="D39"/>
  <c r="E44"/>
  <c r="J14"/>
  <c r="G15"/>
  <c r="J15"/>
  <c r="V15"/>
  <c r="T15"/>
  <c r="T27"/>
  <c r="G16"/>
  <c r="L16"/>
  <c r="J17"/>
  <c r="V17"/>
  <c r="G18"/>
  <c r="L18"/>
  <c r="J19"/>
  <c r="V19"/>
  <c r="G20"/>
  <c r="L20"/>
  <c r="J21"/>
  <c r="V21"/>
  <c r="G22"/>
  <c r="L22"/>
  <c r="J23"/>
  <c r="V23"/>
  <c r="G24"/>
  <c r="L24"/>
  <c r="J25"/>
  <c r="V25"/>
  <c r="G26"/>
  <c r="L26"/>
  <c r="E36"/>
  <c r="J16"/>
  <c r="V16"/>
  <c r="J18"/>
  <c r="V18"/>
  <c r="J20"/>
  <c r="V20"/>
  <c r="J22"/>
  <c r="V22"/>
  <c r="J24"/>
  <c r="V24"/>
  <c r="J26"/>
  <c r="V26"/>
  <c r="E46"/>
  <c r="D40"/>
  <c r="J27"/>
  <c r="V14"/>
  <c r="V27"/>
  <c r="E10"/>
  <c r="E48"/>
  <c r="E50"/>
  <c r="J29"/>
  <c r="E35"/>
  <c r="G35"/>
  <c r="H35"/>
  <c r="E40"/>
  <c r="E37"/>
  <c r="E39"/>
  <c r="E12"/>
  <c r="F12"/>
  <c r="T10"/>
  <c r="T12"/>
  <c r="F10"/>
  <c r="O46" i="1"/>
  <c r="Q46" s="1"/>
  <c r="S46" s="1"/>
  <c r="N42"/>
  <c r="N32"/>
  <c r="N19"/>
  <c r="N44"/>
  <c r="N48"/>
  <c r="K42"/>
  <c r="K32"/>
  <c r="K19"/>
  <c r="K44"/>
  <c r="K48"/>
  <c r="H42"/>
  <c r="H32"/>
  <c r="H19"/>
  <c r="H44"/>
  <c r="H48"/>
  <c r="L39"/>
  <c r="I39"/>
  <c r="I38"/>
  <c r="L37"/>
  <c r="I37"/>
  <c r="L36"/>
  <c r="I36"/>
  <c r="L29"/>
  <c r="I29"/>
  <c r="L26"/>
  <c r="I26"/>
  <c r="I25"/>
  <c r="W23"/>
  <c r="B19"/>
  <c r="I16"/>
  <c r="I19"/>
  <c r="I35"/>
  <c r="I42"/>
  <c r="L35"/>
  <c r="L25"/>
  <c r="B22"/>
  <c r="O26"/>
  <c r="O29"/>
  <c r="O36"/>
  <c r="U29"/>
  <c r="Q29"/>
  <c r="U36"/>
  <c r="L38"/>
  <c r="I24"/>
  <c r="B23"/>
  <c r="L24"/>
  <c r="O37"/>
  <c r="U37"/>
  <c r="O39"/>
  <c r="L42"/>
  <c r="I27"/>
  <c r="Q37"/>
  <c r="B24"/>
  <c r="B25"/>
  <c r="AF29"/>
  <c r="V29"/>
  <c r="O24"/>
  <c r="O25"/>
  <c r="O38"/>
  <c r="O35"/>
  <c r="L27"/>
  <c r="V37"/>
  <c r="AF37"/>
  <c r="U39"/>
  <c r="Q39"/>
  <c r="O27"/>
  <c r="L22"/>
  <c r="L32" s="1"/>
  <c r="AF36"/>
  <c r="V36"/>
  <c r="AD29"/>
  <c r="Q36"/>
  <c r="AD39"/>
  <c r="B26"/>
  <c r="AD36"/>
  <c r="O22"/>
  <c r="O42"/>
  <c r="U38"/>
  <c r="AD37"/>
  <c r="U35"/>
  <c r="L16"/>
  <c r="L19" s="1"/>
  <c r="AF19" s="1"/>
  <c r="U23"/>
  <c r="I22"/>
  <c r="I32"/>
  <c r="I44" s="1"/>
  <c r="I48" s="1"/>
  <c r="V39"/>
  <c r="AF39"/>
  <c r="Q38"/>
  <c r="B28"/>
  <c r="Q23"/>
  <c r="S23"/>
  <c r="Y23"/>
  <c r="U16"/>
  <c r="AF38"/>
  <c r="V38"/>
  <c r="B27"/>
  <c r="AD38"/>
  <c r="V35"/>
  <c r="U42"/>
  <c r="AF35"/>
  <c r="O16"/>
  <c r="O32"/>
  <c r="Q35"/>
  <c r="AD35" s="1"/>
  <c r="Q42"/>
  <c r="U24"/>
  <c r="U19"/>
  <c r="AF16"/>
  <c r="V16"/>
  <c r="U25"/>
  <c r="B29"/>
  <c r="U26"/>
  <c r="Q16"/>
  <c r="O19"/>
  <c r="O44"/>
  <c r="AF42"/>
  <c r="V42"/>
  <c r="O48"/>
  <c r="AB28"/>
  <c r="W28" s="1"/>
  <c r="AB26"/>
  <c r="W26" s="1"/>
  <c r="AB36"/>
  <c r="W36"/>
  <c r="X36" s="1"/>
  <c r="AB29"/>
  <c r="W29"/>
  <c r="Y29" s="1"/>
  <c r="Z29" s="1"/>
  <c r="AB39"/>
  <c r="W39"/>
  <c r="X39" s="1"/>
  <c r="AB37"/>
  <c r="W37"/>
  <c r="Y37" s="1"/>
  <c r="Z37" s="1"/>
  <c r="AB27"/>
  <c r="W27"/>
  <c r="X27" s="1"/>
  <c r="AB35"/>
  <c r="W35" s="1"/>
  <c r="AB25"/>
  <c r="W25" s="1"/>
  <c r="AB24"/>
  <c r="W24"/>
  <c r="X24" s="1"/>
  <c r="AB38"/>
  <c r="W38" s="1"/>
  <c r="AB22"/>
  <c r="W22" s="1"/>
  <c r="AB16"/>
  <c r="W16" s="1"/>
  <c r="Q19"/>
  <c r="AD16"/>
  <c r="AF25"/>
  <c r="V25"/>
  <c r="Q25"/>
  <c r="V19"/>
  <c r="V24"/>
  <c r="V23" s="1"/>
  <c r="Z23" s="1"/>
  <c r="AF24"/>
  <c r="Y24"/>
  <c r="Z24" s="1"/>
  <c r="Q24"/>
  <c r="S24" s="1"/>
  <c r="U22"/>
  <c r="V26"/>
  <c r="AF26"/>
  <c r="Q26"/>
  <c r="S26" s="1"/>
  <c r="U27"/>
  <c r="AD42"/>
  <c r="B32"/>
  <c r="B35"/>
  <c r="B36"/>
  <c r="B37"/>
  <c r="B38"/>
  <c r="B39"/>
  <c r="B42"/>
  <c r="B44"/>
  <c r="AD25"/>
  <c r="S39"/>
  <c r="Y36"/>
  <c r="Z36" s="1"/>
  <c r="S36"/>
  <c r="AF27"/>
  <c r="Y27"/>
  <c r="Z27" s="1"/>
  <c r="V27"/>
  <c r="Q27"/>
  <c r="AD26"/>
  <c r="U32"/>
  <c r="AF32" s="1"/>
  <c r="AF22"/>
  <c r="V22"/>
  <c r="Q22"/>
  <c r="AD24"/>
  <c r="X37"/>
  <c r="X29"/>
  <c r="AD27"/>
  <c r="AD22"/>
  <c r="U44"/>
  <c r="U48" s="1"/>
  <c r="T19" i="3"/>
  <c r="R12"/>
  <c r="T11"/>
  <c r="R11"/>
  <c r="D13" s="1"/>
  <c r="T10"/>
  <c r="R10"/>
  <c r="T12"/>
  <c r="D34"/>
  <c r="F35"/>
  <c r="F12"/>
  <c r="F14"/>
  <c r="F17"/>
  <c r="F19"/>
  <c r="F21"/>
  <c r="D22"/>
  <c r="F23"/>
  <c r="D24"/>
  <c r="F27"/>
  <c r="J27" s="1"/>
  <c r="F29"/>
  <c r="N29" s="1"/>
  <c r="F31"/>
  <c r="J31" s="1"/>
  <c r="F34"/>
  <c r="N34" s="1"/>
  <c r="D12"/>
  <c r="J12" s="1"/>
  <c r="F13"/>
  <c r="D14"/>
  <c r="N14" s="1"/>
  <c r="F16"/>
  <c r="D17"/>
  <c r="J17" s="1"/>
  <c r="F18"/>
  <c r="D19"/>
  <c r="N19" s="1"/>
  <c r="F22"/>
  <c r="N22" s="1"/>
  <c r="F24"/>
  <c r="N24" s="1"/>
  <c r="F25"/>
  <c r="D27"/>
  <c r="F28"/>
  <c r="D29"/>
  <c r="F30"/>
  <c r="D31"/>
  <c r="F33"/>
  <c r="L24"/>
  <c r="J24"/>
  <c r="L22"/>
  <c r="J22"/>
  <c r="J34"/>
  <c r="N31"/>
  <c r="L31"/>
  <c r="J29"/>
  <c r="N27"/>
  <c r="L27"/>
  <c r="J19"/>
  <c r="N17"/>
  <c r="L17"/>
  <c r="J14"/>
  <c r="N12"/>
  <c r="L12"/>
  <c r="R24"/>
  <c r="W19" i="1" l="1"/>
  <c r="Y16"/>
  <c r="Z16" s="1"/>
  <c r="S16"/>
  <c r="S19" s="1"/>
  <c r="X16"/>
  <c r="X38"/>
  <c r="Y38"/>
  <c r="Z38" s="1"/>
  <c r="S38"/>
  <c r="X35"/>
  <c r="Y35"/>
  <c r="Z35" s="1"/>
  <c r="S35"/>
  <c r="W42"/>
  <c r="L13" i="3"/>
  <c r="J13"/>
  <c r="N13"/>
  <c r="V48" i="1"/>
  <c r="S22"/>
  <c r="Y22"/>
  <c r="Z22" s="1"/>
  <c r="W32"/>
  <c r="X22"/>
  <c r="X25"/>
  <c r="Y25"/>
  <c r="Z25" s="1"/>
  <c r="S25"/>
  <c r="X26"/>
  <c r="Y26"/>
  <c r="Z26" s="1"/>
  <c r="AD19"/>
  <c r="L44"/>
  <c r="X28"/>
  <c r="Y28"/>
  <c r="Z28" s="1"/>
  <c r="S28"/>
  <c r="L14" i="3"/>
  <c r="L19"/>
  <c r="L29"/>
  <c r="L34"/>
  <c r="D23"/>
  <c r="D21"/>
  <c r="D35"/>
  <c r="D33"/>
  <c r="D30"/>
  <c r="D28"/>
  <c r="D25"/>
  <c r="D18"/>
  <c r="D16"/>
  <c r="V44" i="1"/>
  <c r="V32"/>
  <c r="Q32"/>
  <c r="S27"/>
  <c r="S29"/>
  <c r="S37"/>
  <c r="Y39"/>
  <c r="Z39" s="1"/>
  <c r="L28" i="3" l="1"/>
  <c r="J28"/>
  <c r="N28"/>
  <c r="N21"/>
  <c r="L21"/>
  <c r="J21"/>
  <c r="Q44" i="1"/>
  <c r="AD32"/>
  <c r="N16" i="3"/>
  <c r="J16"/>
  <c r="L16"/>
  <c r="N25"/>
  <c r="L25"/>
  <c r="J25"/>
  <c r="N30"/>
  <c r="J30"/>
  <c r="L30"/>
  <c r="L35"/>
  <c r="J35"/>
  <c r="N35"/>
  <c r="J23"/>
  <c r="N23"/>
  <c r="L23"/>
  <c r="L48" i="1"/>
  <c r="AF48" s="1"/>
  <c r="AB44"/>
  <c r="AF44"/>
  <c r="X32"/>
  <c r="Y32"/>
  <c r="W44"/>
  <c r="Y42"/>
  <c r="Z42" s="1"/>
  <c r="X42"/>
  <c r="Y19"/>
  <c r="Z19" s="1"/>
  <c r="X19"/>
  <c r="S32"/>
  <c r="L18" i="3"/>
  <c r="J18"/>
  <c r="N18"/>
  <c r="L33"/>
  <c r="J33"/>
  <c r="N33"/>
  <c r="S42" i="1"/>
  <c r="W48" l="1"/>
  <c r="X48" s="1"/>
  <c r="X44"/>
  <c r="Y44"/>
  <c r="Z44" s="1"/>
  <c r="Q48"/>
  <c r="AD48" s="1"/>
  <c r="AD44"/>
  <c r="S44"/>
  <c r="S48" s="1"/>
</calcChain>
</file>

<file path=xl/sharedStrings.xml><?xml version="1.0" encoding="utf-8"?>
<sst xmlns="http://schemas.openxmlformats.org/spreadsheetml/2006/main" count="2139" uniqueCount="380">
  <si>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</si>
  <si>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r>
      <t xml:space="preserve"> 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Includes $0.09 proposed change in the Low Income Charge</t>
    </r>
  </si>
  <si>
    <t>Pacific Power</t>
  </si>
  <si>
    <t>Washington Low Income</t>
  </si>
  <si>
    <t>Schedule 91 Surcharge Rates Proposal</t>
  </si>
  <si>
    <t>Number of customers served</t>
  </si>
  <si>
    <t>Increase in average dollar subsidy/ client</t>
  </si>
  <si>
    <t>Current</t>
  </si>
  <si>
    <t>Administrative Costs ($/cust)</t>
  </si>
  <si>
    <t>Program</t>
  </si>
  <si>
    <t>Program with</t>
  </si>
  <si>
    <t>Increase Over</t>
  </si>
  <si>
    <t xml:space="preserve">Current </t>
  </si>
  <si>
    <t>Est. Annual</t>
  </si>
  <si>
    <t>Admin Costs</t>
  </si>
  <si>
    <t>Estimated</t>
  </si>
  <si>
    <t>Current*</t>
  </si>
  <si>
    <t>Annual Revenues Collections</t>
  </si>
  <si>
    <t>current</t>
  </si>
  <si>
    <t>proposed</t>
  </si>
  <si>
    <t>Monthly</t>
  </si>
  <si>
    <t>Annual</t>
  </si>
  <si>
    <t>Prior Year</t>
  </si>
  <si>
    <t>Collections</t>
  </si>
  <si>
    <t>Available for subsidy</t>
  </si>
  <si>
    <t xml:space="preserve">   Increase</t>
  </si>
  <si>
    <t>Aug 05</t>
  </si>
  <si>
    <t>Schedule 91 Charges</t>
  </si>
  <si>
    <t>16/18(#2)</t>
  </si>
  <si>
    <t>(#1)</t>
  </si>
  <si>
    <t>47T</t>
  </si>
  <si>
    <t>48T</t>
  </si>
  <si>
    <t>Number of Qualifying Customers</t>
  </si>
  <si>
    <t>first year of two year cycle, no change yet</t>
  </si>
  <si>
    <t>Rev excess/(short)</t>
  </si>
  <si>
    <t>(#1) Annual Amount</t>
  </si>
  <si>
    <t>(#2) reduced by change in new Schedule 17 customers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</si>
  <si>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</si>
  <si>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</si>
  <si>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</si>
  <si>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</si>
  <si>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</si>
  <si>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</si>
  <si>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</si>
  <si>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Proposed Credit Increase</t>
  </si>
  <si>
    <t xml:space="preserve">Current Credit per Participant plus 10% </t>
  </si>
  <si>
    <t>Additional Proposed Credit - $0 basic charge</t>
  </si>
  <si>
    <t>based on $6.25/mo.</t>
  </si>
  <si>
    <t>Proposed Credit per Participant</t>
  </si>
  <si>
    <t>total participants</t>
  </si>
  <si>
    <t>Total benefits</t>
  </si>
  <si>
    <t>Admin Expense</t>
  </si>
  <si>
    <t>Total Program cost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</si>
  <si>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</si>
  <si>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</si>
  <si>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</si>
  <si>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</si>
  <si>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</si>
  <si>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Poverty Level (FPL)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</si>
  <si>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</si>
  <si>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</si>
  <si>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</si>
  <si>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</si>
  <si>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</si>
  <si>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</si>
  <si>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</si>
  <si>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>Total Customers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</si>
  <si>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</si>
  <si>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</si>
  <si>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</si>
  <si>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</si>
  <si>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</si>
  <si>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</si>
  <si>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</si>
  <si>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</si>
  <si>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</si>
  <si>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</si>
  <si>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</si>
  <si>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</si>
  <si>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</si>
  <si>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</si>
  <si>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</si>
  <si>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</si>
  <si>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</si>
  <si>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</si>
  <si>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</si>
  <si>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</si>
  <si>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</si>
  <si>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</si>
  <si>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</si>
  <si>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</si>
  <si>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</si>
  <si>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</si>
  <si>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</si>
  <si>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</si>
  <si>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</si>
  <si>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</si>
  <si>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</si>
  <si>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</si>
  <si>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</si>
  <si>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</si>
  <si>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</si>
  <si>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</si>
  <si>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</si>
  <si>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</si>
  <si>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</si>
  <si>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</si>
  <si>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</si>
  <si>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</si>
  <si>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</si>
  <si>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Check</t>
  </si>
  <si>
    <t>Tables 2 &amp; 3</t>
  </si>
  <si>
    <t>Table1</t>
  </si>
  <si>
    <t>Error Check</t>
  </si>
  <si>
    <t>Bills</t>
  </si>
  <si>
    <t>Customers</t>
  </si>
  <si>
    <t>Table 2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</si>
  <si>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</si>
  <si>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</si>
  <si>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</si>
  <si>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</si>
  <si>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</si>
  <si>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</si>
  <si>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</si>
  <si>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</si>
  <si>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</si>
  <si>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</si>
  <si>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</si>
  <si>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</si>
  <si>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Percent</t>
  </si>
  <si>
    <t>Basic</t>
  </si>
  <si>
    <t>Energy - 1st 600</t>
  </si>
  <si>
    <t>SBC</t>
  </si>
  <si>
    <t>BPA Credit</t>
  </si>
  <si>
    <t>Low Income-Current</t>
  </si>
  <si>
    <t>Low Income-Proposed</t>
  </si>
  <si>
    <t>Hydro Deferral Surcharge</t>
  </si>
  <si>
    <t>REC Adjust</t>
  </si>
  <si>
    <t>Overall:</t>
  </si>
  <si>
    <t>*</t>
  </si>
  <si>
    <t>Notes: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</si>
  <si>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</si>
  <si>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</si>
  <si>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</si>
  <si>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</si>
  <si>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</si>
  <si>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</si>
  <si>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</si>
  <si>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</si>
  <si>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* Average Washington Customer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</si>
  <si>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</si>
  <si>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</si>
  <si>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</si>
  <si>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</si>
  <si>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</si>
  <si>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</si>
  <si>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</si>
  <si>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</si>
  <si>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</si>
  <si>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</si>
  <si>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</si>
  <si>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</si>
  <si>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</si>
  <si>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</si>
  <si>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</si>
  <si>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</si>
  <si>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</si>
  <si>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</si>
  <si>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</si>
  <si>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</si>
  <si>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</si>
  <si>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</si>
  <si>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</si>
  <si>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</si>
  <si>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1,000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</si>
  <si>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</si>
  <si>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</si>
  <si>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</si>
  <si>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</si>
  <si>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</si>
  <si>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</si>
  <si>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</si>
  <si>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</si>
  <si>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</si>
  <si>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</si>
  <si>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</si>
  <si>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</si>
  <si>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</si>
  <si>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</si>
  <si>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</si>
  <si>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</si>
  <si>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</si>
  <si>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</si>
  <si>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</si>
  <si>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</si>
  <si>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</si>
  <si>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</si>
  <si>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Unbilled</t>
  </si>
  <si>
    <t>Total</t>
  </si>
  <si>
    <t>Target Dollars</t>
  </si>
  <si>
    <t>Difference</t>
  </si>
  <si>
    <t>Outdoor Area Lighting Service-Residential</t>
  </si>
  <si>
    <t>Outdoor Area Lighting Service-Commercial</t>
  </si>
  <si>
    <t xml:space="preserve">    Subtotal</t>
  </si>
  <si>
    <t xml:space="preserve">    Unbilled</t>
  </si>
  <si>
    <t>SCHEDULE 53</t>
  </si>
  <si>
    <t>Residential Service-Combined</t>
  </si>
  <si>
    <t>% Increase</t>
  </si>
  <si>
    <t xml:space="preserve">  Basic Charge</t>
  </si>
  <si>
    <t xml:space="preserve">  1st 600 kWh</t>
  </si>
  <si>
    <t>¢</t>
  </si>
  <si>
    <t xml:space="preserve">  All addt'l kWh</t>
  </si>
  <si>
    <t xml:space="preserve">  kW demand 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</si>
  <si>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</si>
  <si>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</si>
  <si>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</si>
  <si>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</si>
  <si>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</si>
  <si>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</si>
  <si>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</si>
  <si>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</si>
  <si>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</si>
  <si>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</si>
  <si>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</si>
  <si>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</si>
  <si>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</si>
  <si>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</si>
  <si>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</si>
  <si>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</si>
  <si>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</si>
  <si>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</si>
  <si>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</si>
  <si>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</si>
  <si>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</si>
  <si>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</si>
  <si>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</si>
  <si>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</si>
  <si>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</si>
  <si>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</si>
  <si>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</si>
  <si>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</si>
  <si>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</si>
  <si>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</si>
  <si>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</si>
  <si>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</si>
  <si>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</si>
  <si>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</si>
  <si>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</si>
  <si>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</si>
  <si>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</si>
  <si>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</si>
  <si>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</si>
  <si>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</si>
  <si>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</si>
  <si>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</si>
  <si>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</si>
  <si>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</si>
  <si>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</si>
  <si>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</si>
  <si>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</si>
  <si>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</si>
  <si>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</si>
  <si>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</si>
  <si>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</si>
  <si>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</si>
  <si>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</si>
  <si>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</si>
  <si>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</si>
  <si>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</si>
  <si>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</si>
  <si>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 xml:space="preserve"> Minimum kW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</si>
  <si>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</si>
  <si>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</si>
  <si>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</si>
  <si>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</si>
  <si>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</si>
  <si>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</si>
  <si>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</si>
  <si>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</si>
  <si>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</si>
  <si>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</t>
  </si>
  <si>
    <t>TABLE A. PRESENT AND PROPOSED RATES</t>
  </si>
  <si>
    <t>PACIFIC POWER &amp; LIGHT COMPANY</t>
  </si>
  <si>
    <t>ESTIMATED EFFECT OF PROPOSED PRICES</t>
  </si>
  <si>
    <t>Single Phase Minimum Bills</t>
  </si>
  <si>
    <t>Three Phase &lt;51kW Minimum Bills</t>
  </si>
  <si>
    <t>KW in Minimum</t>
  </si>
  <si>
    <t>ON REVENUES FROM ELECTRIC SALES TO ULTIMATE CONSUMERS</t>
  </si>
  <si>
    <t>IN WASHINGTON</t>
  </si>
  <si>
    <t>12 MONTHS ENDED DECEMBER 2010</t>
  </si>
  <si>
    <t>Hydro Deferral</t>
  </si>
  <si>
    <t>Actual</t>
  </si>
  <si>
    <t>Present</t>
  </si>
  <si>
    <t>Proposed</t>
  </si>
  <si>
    <t>Change</t>
  </si>
  <si>
    <t>Surcharge</t>
  </si>
  <si>
    <t xml:space="preserve">Proposed </t>
  </si>
  <si>
    <t>Curr.</t>
  </si>
  <si>
    <t>Avg.</t>
  </si>
  <si>
    <t>Base</t>
  </si>
  <si>
    <t>Net</t>
  </si>
  <si>
    <t>Hydro</t>
  </si>
  <si>
    <t>Line</t>
  </si>
  <si>
    <t>Sch.</t>
  </si>
  <si>
    <t>Cust.</t>
  </si>
  <si>
    <t>MWH</t>
  </si>
  <si>
    <t>Revenues</t>
  </si>
  <si>
    <t>Increase</t>
  </si>
  <si>
    <t>Deferral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</si>
  <si>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</si>
  <si>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</si>
  <si>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</si>
  <si>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</si>
  <si>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</si>
  <si>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</si>
  <si>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</si>
  <si>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</si>
  <si>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</si>
  <si>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</si>
  <si>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</si>
  <si>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</si>
  <si>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</si>
  <si>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</si>
  <si>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</si>
  <si>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</si>
  <si>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</si>
  <si>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</si>
  <si>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</si>
  <si>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</si>
  <si>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</si>
  <si>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</si>
  <si>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</si>
  <si>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</si>
  <si>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</si>
  <si>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</si>
  <si>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</si>
  <si>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</si>
  <si>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</si>
  <si>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</si>
  <si>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</si>
  <si>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</si>
  <si>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</si>
  <si>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</si>
  <si>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</si>
  <si>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</si>
  <si>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</si>
  <si>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</si>
  <si>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</si>
  <si>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</si>
  <si>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</si>
  <si>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</si>
  <si>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</si>
  <si>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</si>
  <si>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</si>
  <si>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</si>
  <si>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</si>
  <si>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</si>
  <si>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</si>
  <si>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</si>
  <si>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</si>
  <si>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</si>
  <si>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</si>
  <si>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</si>
  <si>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</si>
  <si>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</si>
  <si>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</si>
  <si>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</si>
  <si>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</si>
  <si>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</si>
  <si>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</si>
  <si>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</si>
  <si>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</si>
  <si>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</si>
  <si>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</si>
  <si>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</si>
  <si>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</si>
  <si>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</si>
  <si>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>Subtotal</t>
  </si>
  <si>
    <t>Outdoor Area Lighting Service-Industrial</t>
  </si>
  <si>
    <t>SCHEDULE 16/18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</si>
</sst>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&quot;$&quot;#,##0;[Red]&quot;$&quot;#,##0"/>
    <numFmt numFmtId="192" formatCode="0.00000E+0;\-0.00000E+0"/>
    <numFmt numFmtId="193" formatCode="########\-###\-###"/>
    <numFmt numFmtId="194" formatCode="General_)"/>
  </numFmts>
  <fonts count="36">
    <font>
      <sz val="12"/>
      <name val="Times New Roman"/>
    </font>
    <font>
      <sz val="12"/>
      <name val="Times New Roman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7"/>
      <name val="Arial"/>
      <family val="2"/>
    </font>
    <font>
      <sz val="10"/>
      <name val="LinePrinter"/>
    </font>
    <font>
      <sz val="8"/>
      <name val="Verdana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left"/>
    </xf>
    <xf numFmtId="193" fontId="6" fillId="0" borderId="0"/>
    <xf numFmtId="168" fontId="11" fillId="0" borderId="0" applyFont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94" fontId="34" fillId="0" borderId="0">
      <alignment horizontal="left"/>
    </xf>
  </cellStyleXfs>
  <cellXfs count="519">
    <xf numFmtId="0" fontId="0" fillId="0" borderId="0" xfId="0"/>
    <xf numFmtId="0" fontId="1" fillId="0" borderId="0" xfId="4" applyFill="1"/>
    <xf numFmtId="0" fontId="2" fillId="0" borderId="0" xfId="4" applyFont="1" applyFill="1"/>
    <xf numFmtId="0" fontId="1" fillId="0" borderId="0" xfId="4" applyFont="1" applyFill="1"/>
    <xf numFmtId="0" fontId="3" fillId="0" borderId="0" xfId="4" quotePrefix="1" applyFont="1" applyFill="1" applyAlignment="1">
      <alignment horizontal="centerContinuous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Continuous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/>
    <xf numFmtId="0" fontId="3" fillId="0" borderId="0" xfId="4" quotePrefix="1" applyFont="1" applyFill="1" applyAlignment="1"/>
    <xf numFmtId="0" fontId="1" fillId="0" borderId="0" xfId="4" applyFill="1" applyBorder="1"/>
    <xf numFmtId="0" fontId="3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/>
    <xf numFmtId="0" fontId="1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1" fillId="0" borderId="0" xfId="4" quotePrefix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0" borderId="0" xfId="4" applyFill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6" fontId="1" fillId="0" borderId="3" xfId="4" quotePrefix="1" applyNumberFormat="1" applyFont="1" applyFill="1" applyBorder="1" applyAlignment="1">
      <alignment horizontal="center"/>
    </xf>
    <xf numFmtId="6" fontId="1" fillId="0" borderId="0" xfId="4" quotePrefix="1" applyNumberFormat="1" applyFont="1" applyFill="1" applyBorder="1" applyAlignment="1">
      <alignment horizontal="center"/>
    </xf>
    <xf numFmtId="0" fontId="1" fillId="0" borderId="1" xfId="4" quotePrefix="1" applyFont="1" applyFill="1" applyBorder="1" applyAlignment="1">
      <alignment horizontal="center"/>
    </xf>
    <xf numFmtId="6" fontId="1" fillId="0" borderId="1" xfId="4" quotePrefix="1" applyNumberFormat="1" applyFont="1" applyFill="1" applyBorder="1" applyAlignment="1">
      <alignment horizontal="center"/>
    </xf>
    <xf numFmtId="0" fontId="1" fillId="0" borderId="0" xfId="4" quotePrefix="1" applyFont="1" applyFill="1"/>
    <xf numFmtId="0" fontId="5" fillId="0" borderId="0" xfId="4" applyFont="1" applyFill="1"/>
    <xf numFmtId="0" fontId="2" fillId="0" borderId="0" xfId="4" quotePrefix="1" applyFont="1" applyFill="1" applyAlignment="1">
      <alignment horizontal="center"/>
    </xf>
    <xf numFmtId="37" fontId="1" fillId="0" borderId="0" xfId="4" applyNumberFormat="1" applyFont="1" applyFill="1" applyProtection="1"/>
    <xf numFmtId="5" fontId="2" fillId="0" borderId="0" xfId="4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5" fontId="2" fillId="0" borderId="0" xfId="3" applyNumberFormat="1" applyFont="1" applyFill="1" applyProtection="1">
      <protection locked="0"/>
    </xf>
    <xf numFmtId="164" fontId="2" fillId="0" borderId="0" xfId="3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6" fontId="1" fillId="0" borderId="0" xfId="4" applyNumberFormat="1" applyFont="1" applyFill="1" applyProtection="1"/>
    <xf numFmtId="167" fontId="0" fillId="0" borderId="0" xfId="0" applyNumberFormat="1" applyFill="1" applyBorder="1" applyProtection="1"/>
    <xf numFmtId="0" fontId="1" fillId="0" borderId="0" xfId="4" applyFont="1" applyFill="1" applyBorder="1"/>
    <xf numFmtId="10" fontId="2" fillId="0" borderId="0" xfId="3" applyNumberFormat="1" applyFont="1" applyFill="1" applyBorder="1" applyProtection="1">
      <protection locked="0"/>
    </xf>
    <xf numFmtId="2" fontId="1" fillId="0" borderId="0" xfId="4" applyNumberFormat="1" applyFont="1" applyFill="1"/>
    <xf numFmtId="0" fontId="1" fillId="0" borderId="3" xfId="4" applyFill="1" applyBorder="1"/>
    <xf numFmtId="0" fontId="1" fillId="0" borderId="1" xfId="4" applyFill="1" applyBorder="1"/>
    <xf numFmtId="164" fontId="1" fillId="0" borderId="1" xfId="3" applyNumberFormat="1" applyFont="1" applyFill="1" applyBorder="1"/>
    <xf numFmtId="164" fontId="1" fillId="0" borderId="1" xfId="4" applyNumberFormat="1" applyFill="1" applyBorder="1"/>
    <xf numFmtId="165" fontId="1" fillId="0" borderId="1" xfId="4" applyNumberFormat="1" applyFill="1" applyBorder="1"/>
    <xf numFmtId="167" fontId="1" fillId="0" borderId="1" xfId="4" applyNumberFormat="1" applyFill="1" applyBorder="1"/>
    <xf numFmtId="0" fontId="0" fillId="0" borderId="0" xfId="0" applyFill="1" applyBorder="1"/>
    <xf numFmtId="164" fontId="1" fillId="0" borderId="0" xfId="4" applyNumberFormat="1" applyFill="1"/>
    <xf numFmtId="165" fontId="1" fillId="0" borderId="0" xfId="4" applyNumberFormat="1" applyFill="1"/>
    <xf numFmtId="167" fontId="1" fillId="0" borderId="0" xfId="4" applyNumberFormat="1" applyFill="1"/>
    <xf numFmtId="0" fontId="7" fillId="0" borderId="0" xfId="5" applyFont="1" applyFill="1" applyAlignment="1">
      <alignment horizontal="center"/>
    </xf>
    <xf numFmtId="37" fontId="1" fillId="0" borderId="0" xfId="4" applyNumberFormat="1" applyFill="1" applyProtection="1"/>
    <xf numFmtId="5" fontId="1" fillId="0" borderId="0" xfId="4" applyNumberFormat="1" applyFill="1" applyProtection="1"/>
    <xf numFmtId="165" fontId="2" fillId="0" borderId="0" xfId="3" applyNumberFormat="1" applyFont="1" applyFill="1" applyProtection="1">
      <protection locked="0"/>
    </xf>
    <xf numFmtId="37" fontId="1" fillId="0" borderId="0" xfId="4" applyNumberFormat="1" applyFill="1"/>
    <xf numFmtId="5" fontId="1" fillId="0" borderId="0" xfId="4" applyNumberFormat="1" applyFill="1"/>
    <xf numFmtId="164" fontId="1" fillId="0" borderId="0" xfId="3" applyNumberFormat="1" applyFont="1" applyFill="1"/>
    <xf numFmtId="0" fontId="7" fillId="0" borderId="0" xfId="5" applyFont="1" applyFill="1"/>
    <xf numFmtId="37" fontId="1" fillId="0" borderId="3" xfId="4" applyNumberFormat="1" applyFill="1" applyBorder="1" applyProtection="1"/>
    <xf numFmtId="5" fontId="1" fillId="0" borderId="3" xfId="4" applyNumberFormat="1" applyFill="1" applyBorder="1" applyProtection="1"/>
    <xf numFmtId="5" fontId="1" fillId="0" borderId="0" xfId="4" applyNumberFormat="1" applyFill="1" applyBorder="1" applyProtection="1"/>
    <xf numFmtId="164" fontId="2" fillId="0" borderId="1" xfId="3" applyNumberFormat="1" applyFont="1" applyFill="1" applyBorder="1" applyProtection="1">
      <protection locked="0"/>
    </xf>
    <xf numFmtId="166" fontId="1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1" fillId="0" borderId="0" xfId="0" applyNumberFormat="1" applyFont="1" applyFill="1" applyBorder="1" applyProtection="1"/>
    <xf numFmtId="37" fontId="1" fillId="0" borderId="0" xfId="4" applyNumberFormat="1" applyFill="1" applyBorder="1" applyProtection="1"/>
    <xf numFmtId="164" fontId="1" fillId="0" borderId="0" xfId="4" applyNumberFormat="1" applyFill="1" applyBorder="1" applyProtection="1"/>
    <xf numFmtId="10" fontId="1" fillId="0" borderId="0" xfId="4" applyNumberFormat="1" applyFill="1" applyBorder="1" applyProtection="1"/>
    <xf numFmtId="165" fontId="1" fillId="0" borderId="0" xfId="4" applyNumberFormat="1" applyFill="1" applyBorder="1" applyProtection="1"/>
    <xf numFmtId="167" fontId="1" fillId="0" borderId="0" xfId="4" applyNumberFormat="1" applyFill="1" applyBorder="1" applyProtection="1"/>
    <xf numFmtId="0" fontId="8" fillId="0" borderId="0" xfId="4" applyFont="1" applyFill="1"/>
    <xf numFmtId="37" fontId="1" fillId="0" borderId="4" xfId="4" applyNumberFormat="1" applyFill="1" applyBorder="1"/>
    <xf numFmtId="5" fontId="1" fillId="0" borderId="4" xfId="4" applyNumberFormat="1" applyFill="1" applyBorder="1"/>
    <xf numFmtId="5" fontId="1" fillId="0" borderId="0" xfId="4" applyNumberFormat="1" applyFill="1" applyBorder="1"/>
    <xf numFmtId="164" fontId="2" fillId="0" borderId="4" xfId="3" applyNumberFormat="1" applyFont="1" applyFill="1" applyBorder="1" applyProtection="1">
      <protection locked="0"/>
    </xf>
    <xf numFmtId="165" fontId="2" fillId="0" borderId="4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37" fontId="1" fillId="0" borderId="0" xfId="4" applyNumberFormat="1" applyFill="1" applyBorder="1"/>
    <xf numFmtId="10" fontId="2" fillId="0" borderId="0" xfId="3" quotePrefix="1" applyNumberFormat="1" applyFont="1" applyFill="1" applyBorder="1" applyProtection="1">
      <protection locked="0"/>
    </xf>
    <xf numFmtId="0" fontId="9" fillId="0" borderId="0" xfId="5" applyFont="1" applyFill="1"/>
    <xf numFmtId="37" fontId="1" fillId="0" borderId="4" xfId="4" applyNumberFormat="1" applyFont="1" applyFill="1" applyBorder="1" applyProtection="1"/>
    <xf numFmtId="5" fontId="2" fillId="0" borderId="4" xfId="3" applyNumberFormat="1" applyFont="1" applyFill="1" applyBorder="1" applyProtection="1">
      <protection locked="0"/>
    </xf>
    <xf numFmtId="5" fontId="1" fillId="0" borderId="0" xfId="4" applyNumberFormat="1" applyFont="1" applyFill="1"/>
    <xf numFmtId="168" fontId="1" fillId="0" borderId="0" xfId="1" applyNumberFormat="1" applyFont="1" applyFill="1"/>
    <xf numFmtId="0" fontId="1" fillId="0" borderId="0" xfId="4" applyFont="1" applyFill="1" applyAlignment="1">
      <alignment horizontal="right"/>
    </xf>
    <xf numFmtId="43" fontId="1" fillId="0" borderId="0" xfId="1" applyFont="1" applyFill="1"/>
    <xf numFmtId="10" fontId="1" fillId="0" borderId="0" xfId="3" applyNumberFormat="1" applyFont="1" applyFill="1"/>
    <xf numFmtId="169" fontId="10" fillId="0" borderId="0" xfId="2" applyNumberFormat="1" applyFont="1" applyFill="1"/>
    <xf numFmtId="164" fontId="10" fillId="0" borderId="0" xfId="3" applyNumberFormat="1" applyFont="1" applyFill="1" applyBorder="1" applyProtection="1">
      <protection locked="0"/>
    </xf>
    <xf numFmtId="1" fontId="1" fillId="0" borderId="0" xfId="4" applyNumberFormat="1" applyFill="1"/>
    <xf numFmtId="164" fontId="1" fillId="0" borderId="0" xfId="3" applyNumberFormat="1" applyFont="1" applyFill="1" applyBorder="1"/>
    <xf numFmtId="1" fontId="10" fillId="0" borderId="0" xfId="4" applyNumberFormat="1" applyFont="1" applyFill="1"/>
    <xf numFmtId="164" fontId="10" fillId="0" borderId="0" xfId="3" applyNumberFormat="1" applyFont="1" applyFill="1"/>
    <xf numFmtId="170" fontId="1" fillId="0" borderId="0" xfId="4" applyNumberFormat="1" applyFill="1"/>
    <xf numFmtId="164" fontId="11" fillId="0" borderId="0" xfId="3" applyNumberFormat="1" applyFont="1" applyFill="1"/>
    <xf numFmtId="0" fontId="12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0" fillId="0" borderId="0" xfId="0" applyFill="1"/>
    <xf numFmtId="3" fontId="0" fillId="0" borderId="0" xfId="0" applyNumberFormat="1" applyFill="1" applyBorder="1"/>
    <xf numFmtId="0" fontId="9" fillId="0" borderId="0" xfId="0" quotePrefix="1" applyFont="1" applyFill="1" applyAlignment="1" applyProtection="1">
      <alignment horizontal="centerContinuous"/>
    </xf>
    <xf numFmtId="0" fontId="13" fillId="0" borderId="0" xfId="0" applyFont="1" applyFill="1" applyAlignment="1" applyProtection="1">
      <alignment horizontal="centerContinuous"/>
    </xf>
    <xf numFmtId="37" fontId="13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3" fillId="0" borderId="0" xfId="0" applyFont="1" applyFill="1" applyProtection="1"/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0" fontId="14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1" fillId="0" borderId="0" xfId="2" applyNumberFormat="1" applyFont="1" applyFill="1"/>
    <xf numFmtId="5" fontId="2" fillId="0" borderId="0" xfId="0" applyNumberFormat="1" applyFont="1" applyFill="1" applyProtection="1"/>
    <xf numFmtId="5" fontId="0" fillId="0" borderId="0" xfId="0" applyNumberFormat="1" applyFill="1"/>
    <xf numFmtId="43" fontId="0" fillId="0" borderId="0" xfId="0" applyNumberFormat="1" applyFill="1"/>
    <xf numFmtId="7" fontId="11" fillId="0" borderId="0" xfId="0" applyNumberFormat="1" applyFont="1" applyFill="1"/>
    <xf numFmtId="0" fontId="11" fillId="0" borderId="0" xfId="2" applyNumberFormat="1" applyFont="1" applyFill="1"/>
    <xf numFmtId="0" fontId="11" fillId="0" borderId="0" xfId="0" applyFont="1" applyFill="1"/>
    <xf numFmtId="7" fontId="11" fillId="0" borderId="0" xfId="2" applyNumberFormat="1" applyFont="1" applyFill="1" applyBorder="1"/>
    <xf numFmtId="37" fontId="0" fillId="0" borderId="0" xfId="0" applyNumberFormat="1" applyFill="1" applyBorder="1"/>
    <xf numFmtId="171" fontId="1" fillId="0" borderId="0" xfId="1" applyNumberFormat="1" applyFont="1" applyFill="1"/>
    <xf numFmtId="5" fontId="0" fillId="0" borderId="0" xfId="0" applyNumberFormat="1" applyFill="1" applyBorder="1" applyProtection="1"/>
    <xf numFmtId="3" fontId="1" fillId="0" borderId="0" xfId="0" applyNumberFormat="1" applyFont="1" applyFill="1" applyAlignment="1">
      <alignment horizontal="center"/>
    </xf>
    <xf numFmtId="37" fontId="0" fillId="0" borderId="5" xfId="0" applyNumberFormat="1" applyFont="1" applyFill="1" applyBorder="1" applyProtection="1"/>
    <xf numFmtId="5" fontId="2" fillId="0" borderId="5" xfId="0" applyNumberFormat="1" applyFont="1" applyFill="1" applyBorder="1" applyProtection="1"/>
    <xf numFmtId="0" fontId="0" fillId="0" borderId="6" xfId="0" applyFill="1" applyBorder="1"/>
    <xf numFmtId="5" fontId="0" fillId="0" borderId="2" xfId="0" applyNumberFormat="1" applyFill="1" applyBorder="1"/>
    <xf numFmtId="164" fontId="0" fillId="0" borderId="7" xfId="3" applyNumberFormat="1" applyFont="1" applyFill="1" applyBorder="1"/>
    <xf numFmtId="10" fontId="0" fillId="0" borderId="0" xfId="3" applyNumberFormat="1" applyFont="1" applyFill="1" applyBorder="1"/>
    <xf numFmtId="37" fontId="0" fillId="0" borderId="0" xfId="0" applyNumberFormat="1" applyFill="1" applyProtection="1"/>
    <xf numFmtId="0" fontId="2" fillId="0" borderId="0" xfId="0" applyFont="1" applyFill="1" applyProtection="1"/>
    <xf numFmtId="0" fontId="0" fillId="0" borderId="8" xfId="0" applyFill="1" applyBorder="1"/>
    <xf numFmtId="5" fontId="0" fillId="0" borderId="1" xfId="0" applyNumberFormat="1" applyFill="1" applyBorder="1"/>
    <xf numFmtId="164" fontId="1" fillId="0" borderId="9" xfId="3" applyNumberFormat="1" applyFont="1" applyFill="1" applyBorder="1"/>
    <xf numFmtId="172" fontId="1" fillId="0" borderId="0" xfId="3" applyNumberFormat="1" applyFont="1" applyFill="1"/>
    <xf numFmtId="0" fontId="15" fillId="0" borderId="0" xfId="6" applyFont="1" applyFill="1" applyBorder="1"/>
    <xf numFmtId="173" fontId="15" fillId="0" borderId="0" xfId="6" applyNumberFormat="1" applyFont="1" applyFill="1" applyBorder="1"/>
    <xf numFmtId="0" fontId="15" fillId="0" borderId="0" xfId="6" applyFont="1" applyFill="1" applyBorder="1" applyAlignment="1">
      <alignment horizontal="right"/>
    </xf>
    <xf numFmtId="168" fontId="15" fillId="0" borderId="0" xfId="1" applyNumberFormat="1" applyFont="1" applyFill="1" applyBorder="1"/>
    <xf numFmtId="0" fontId="15" fillId="0" borderId="0" xfId="6" applyFont="1" applyFill="1" applyBorder="1" applyAlignment="1">
      <alignment horizontal="left"/>
    </xf>
    <xf numFmtId="7" fontId="15" fillId="0" borderId="0" xfId="6" applyNumberFormat="1" applyFont="1" applyFill="1" applyBorder="1" applyAlignment="1">
      <alignment horizontal="right"/>
    </xf>
    <xf numFmtId="171" fontId="15" fillId="0" borderId="0" xfId="1" applyNumberFormat="1" applyFont="1" applyFill="1" applyBorder="1"/>
    <xf numFmtId="168" fontId="16" fillId="0" borderId="0" xfId="1" applyNumberFormat="1" applyFont="1" applyFill="1" applyBorder="1"/>
    <xf numFmtId="7" fontId="15" fillId="0" borderId="0" xfId="6" applyNumberFormat="1" applyFont="1" applyFill="1" applyBorder="1"/>
    <xf numFmtId="0" fontId="15" fillId="0" borderId="0" xfId="6" applyFont="1" applyFill="1" applyBorder="1" applyAlignment="1">
      <alignment horizontal="center"/>
    </xf>
    <xf numFmtId="10" fontId="17" fillId="0" borderId="0" xfId="6" applyNumberFormat="1" applyFont="1" applyFill="1" applyBorder="1"/>
    <xf numFmtId="5" fontId="15" fillId="0" borderId="0" xfId="6" applyNumberFormat="1" applyFont="1" applyFill="1" applyBorder="1"/>
    <xf numFmtId="10" fontId="15" fillId="0" borderId="0" xfId="3" applyNumberFormat="1" applyFont="1" applyFill="1" applyBorder="1"/>
    <xf numFmtId="0" fontId="14" fillId="0" borderId="0" xfId="0" applyFont="1" applyFill="1" applyProtection="1"/>
    <xf numFmtId="37" fontId="2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2" fillId="0" borderId="0" xfId="0" applyFont="1" applyFill="1" applyProtection="1">
      <protection locked="0"/>
    </xf>
    <xf numFmtId="3" fontId="1" fillId="0" borderId="0" xfId="0" applyNumberFormat="1" applyFont="1" applyFill="1" applyBorder="1" applyAlignment="1">
      <alignment horizontal="center"/>
    </xf>
    <xf numFmtId="7" fontId="11" fillId="0" borderId="0" xfId="0" applyNumberFormat="1" applyFont="1" applyFill="1" applyProtection="1">
      <protection locked="0"/>
    </xf>
    <xf numFmtId="9" fontId="0" fillId="0" borderId="0" xfId="3" applyFont="1" applyFill="1"/>
    <xf numFmtId="167" fontId="11" fillId="0" borderId="0" xfId="0" applyNumberFormat="1" applyFont="1" applyFill="1" applyProtection="1">
      <protection locked="0"/>
    </xf>
    <xf numFmtId="174" fontId="0" fillId="0" borderId="0" xfId="0" applyNumberFormat="1" applyFill="1"/>
    <xf numFmtId="169" fontId="1" fillId="0" borderId="0" xfId="2" applyNumberFormat="1" applyFont="1" applyFill="1"/>
    <xf numFmtId="0" fontId="2" fillId="0" borderId="0" xfId="0" applyFont="1" applyFill="1"/>
    <xf numFmtId="7" fontId="2" fillId="0" borderId="0" xfId="0" applyNumberFormat="1" applyFont="1" applyFill="1" applyProtection="1">
      <protection locked="0"/>
    </xf>
    <xf numFmtId="168" fontId="2" fillId="0" borderId="0" xfId="0" applyNumberFormat="1" applyFont="1" applyFill="1" applyProtection="1"/>
    <xf numFmtId="167" fontId="2" fillId="0" borderId="0" xfId="0" applyNumberFormat="1" applyFont="1" applyFill="1" applyProtection="1">
      <protection locked="0"/>
    </xf>
    <xf numFmtId="168" fontId="2" fillId="0" borderId="0" xfId="1" applyNumberFormat="1" applyFont="1" applyFill="1" applyProtection="1"/>
    <xf numFmtId="37" fontId="2" fillId="0" borderId="1" xfId="0" applyNumberFormat="1" applyFont="1" applyFill="1" applyBorder="1" applyProtection="1"/>
    <xf numFmtId="0" fontId="0" fillId="0" borderId="0" xfId="0" applyFill="1" applyProtection="1"/>
    <xf numFmtId="5" fontId="2" fillId="0" borderId="3" xfId="0" applyNumberFormat="1" applyFont="1" applyFill="1" applyBorder="1" applyProtection="1"/>
    <xf numFmtId="37" fontId="0" fillId="0" borderId="10" xfId="0" applyNumberFormat="1" applyFont="1" applyFill="1" applyBorder="1" applyProtection="1"/>
    <xf numFmtId="5" fontId="2" fillId="0" borderId="10" xfId="0" applyNumberFormat="1" applyFont="1" applyFill="1" applyBorder="1" applyProtection="1"/>
    <xf numFmtId="175" fontId="2" fillId="0" borderId="0" xfId="0" applyNumberFormat="1" applyFont="1" applyFill="1" applyProtection="1"/>
    <xf numFmtId="5" fontId="15" fillId="0" borderId="1" xfId="6" applyNumberFormat="1" applyFont="1" applyFill="1" applyBorder="1"/>
    <xf numFmtId="176" fontId="1" fillId="0" borderId="9" xfId="3" applyNumberFormat="1" applyFont="1" applyFill="1" applyBorder="1"/>
    <xf numFmtId="176" fontId="1" fillId="0" borderId="0" xfId="3" applyNumberFormat="1" applyFont="1" applyFill="1" applyBorder="1"/>
    <xf numFmtId="0" fontId="18" fillId="0" borderId="0" xfId="0" applyFont="1" applyFill="1" applyProtection="1"/>
    <xf numFmtId="5" fontId="2" fillId="0" borderId="0" xfId="0" applyNumberFormat="1" applyFont="1" applyFill="1" applyBorder="1" applyProtection="1"/>
    <xf numFmtId="37" fontId="2" fillId="0" borderId="3" xfId="0" applyNumberFormat="1" applyFont="1" applyFill="1" applyBorder="1" applyProtection="1"/>
    <xf numFmtId="169" fontId="1" fillId="0" borderId="10" xfId="2" applyNumberFormat="1" applyFont="1" applyFill="1" applyBorder="1" applyProtection="1"/>
    <xf numFmtId="169" fontId="2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1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9" fontId="0" fillId="0" borderId="0" xfId="0" applyNumberFormat="1" applyFill="1"/>
    <xf numFmtId="168" fontId="0" fillId="0" borderId="0" xfId="0" applyNumberFormat="1" applyFill="1"/>
    <xf numFmtId="7" fontId="0" fillId="0" borderId="0" xfId="0" applyNumberFormat="1" applyFill="1"/>
    <xf numFmtId="177" fontId="11" fillId="0" borderId="0" xfId="0" applyNumberFormat="1" applyFont="1" applyFill="1" applyProtection="1">
      <protection locked="0"/>
    </xf>
    <xf numFmtId="0" fontId="8" fillId="0" borderId="0" xfId="0" applyFont="1" applyFill="1" applyProtection="1"/>
    <xf numFmtId="164" fontId="11" fillId="0" borderId="0" xfId="0" applyNumberFormat="1" applyFont="1" applyFill="1" applyProtection="1"/>
    <xf numFmtId="165" fontId="1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1" fillId="0" borderId="0" xfId="0" applyNumberFormat="1" applyFont="1" applyFill="1" applyProtection="1"/>
    <xf numFmtId="39" fontId="11" fillId="0" borderId="0" xfId="0" applyNumberFormat="1" applyFont="1" applyFill="1" applyProtection="1">
      <protection locked="0"/>
    </xf>
    <xf numFmtId="178" fontId="1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3" xfId="0" applyNumberFormat="1" applyFont="1" applyFill="1" applyBorder="1" applyProtection="1"/>
    <xf numFmtId="10" fontId="17" fillId="0" borderId="0" xfId="6" applyNumberFormat="1" applyFont="1" applyFill="1"/>
    <xf numFmtId="164" fontId="0" fillId="0" borderId="10" xfId="0" applyNumberFormat="1" applyFont="1" applyFill="1" applyBorder="1" applyProtection="1"/>
    <xf numFmtId="10" fontId="14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" fillId="0" borderId="10" xfId="0" applyFont="1" applyFill="1" applyBorder="1" applyProtection="1"/>
    <xf numFmtId="168" fontId="1" fillId="0" borderId="10" xfId="1" applyNumberFormat="1" applyFont="1" applyFill="1" applyBorder="1" applyProtection="1"/>
    <xf numFmtId="5" fontId="15" fillId="0" borderId="0" xfId="6" applyNumberFormat="1" applyFont="1" applyFill="1"/>
    <xf numFmtId="164" fontId="1" fillId="0" borderId="7" xfId="3" applyNumberFormat="1" applyFont="1" applyFill="1" applyBorder="1"/>
    <xf numFmtId="10" fontId="1" fillId="0" borderId="0" xfId="3" applyNumberFormat="1" applyFont="1" applyFill="1" applyBorder="1"/>
    <xf numFmtId="172" fontId="1" fillId="0" borderId="9" xfId="3" applyNumberFormat="1" applyFont="1" applyFill="1" applyBorder="1"/>
    <xf numFmtId="172" fontId="1" fillId="0" borderId="0" xfId="3" applyNumberFormat="1" applyFont="1" applyFill="1" applyBorder="1"/>
    <xf numFmtId="179" fontId="1" fillId="0" borderId="0" xfId="3" applyNumberFormat="1" applyFont="1" applyFill="1"/>
    <xf numFmtId="5" fontId="0" fillId="0" borderId="0" xfId="0" applyNumberFormat="1" applyFill="1" applyBorder="1"/>
    <xf numFmtId="10" fontId="2" fillId="0" borderId="0" xfId="3" applyNumberFormat="1" applyFont="1" applyFill="1" applyProtection="1"/>
    <xf numFmtId="168" fontId="1" fillId="0" borderId="0" xfId="1" applyNumberFormat="1" applyFont="1" applyFill="1" applyBorder="1"/>
    <xf numFmtId="37" fontId="0" fillId="0" borderId="3" xfId="0" applyNumberFormat="1" applyFont="1" applyFill="1" applyBorder="1" applyProtection="1"/>
    <xf numFmtId="37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0" fontId="14" fillId="0" borderId="0" xfId="0" applyNumberFormat="1" applyFont="1" applyFill="1" applyBorder="1" applyProtection="1"/>
    <xf numFmtId="0" fontId="2" fillId="0" borderId="0" xfId="0" applyFont="1" applyFill="1" applyBorder="1" applyProtection="1"/>
    <xf numFmtId="7" fontId="1" fillId="0" borderId="0" xfId="0" applyNumberFormat="1" applyFont="1" applyFill="1" applyProtection="1"/>
    <xf numFmtId="37" fontId="11" fillId="0" borderId="0" xfId="0" applyNumberFormat="1" applyFont="1" applyFill="1" applyProtection="1"/>
    <xf numFmtId="7" fontId="14" fillId="0" borderId="0" xfId="0" applyNumberFormat="1" applyFont="1" applyFill="1" applyProtection="1"/>
    <xf numFmtId="180" fontId="0" fillId="0" borderId="0" xfId="0" applyNumberFormat="1" applyFont="1" applyFill="1" applyProtection="1"/>
    <xf numFmtId="181" fontId="11" fillId="0" borderId="0" xfId="0" applyNumberFormat="1" applyFont="1" applyFill="1" applyProtection="1"/>
    <xf numFmtId="0" fontId="19" fillId="0" borderId="0" xfId="0" applyFont="1" applyFill="1" applyProtection="1"/>
    <xf numFmtId="5" fontId="11" fillId="0" borderId="0" xfId="0" applyNumberFormat="1" applyFont="1" applyFill="1" applyProtection="1"/>
    <xf numFmtId="181" fontId="1" fillId="0" borderId="0" xfId="0" applyNumberFormat="1" applyFont="1" applyFill="1" applyProtection="1"/>
    <xf numFmtId="5" fontId="14" fillId="0" borderId="0" xfId="0" applyNumberFormat="1" applyFont="1" applyFill="1" applyProtection="1"/>
    <xf numFmtId="37" fontId="2" fillId="0" borderId="10" xfId="0" applyNumberFormat="1" applyFont="1" applyFill="1" applyBorder="1" applyProtection="1"/>
    <xf numFmtId="182" fontId="0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7" fontId="1" fillId="0" borderId="0" xfId="0" applyNumberFormat="1" applyFont="1" applyFill="1" applyProtection="1">
      <protection locked="0"/>
    </xf>
    <xf numFmtId="165" fontId="11" fillId="0" borderId="0" xfId="1" applyNumberFormat="1" applyFont="1" applyFill="1" applyProtection="1">
      <protection locked="0"/>
    </xf>
    <xf numFmtId="43" fontId="11" fillId="0" borderId="0" xfId="1" applyFont="1" applyFill="1" applyProtection="1">
      <protection locked="0"/>
    </xf>
    <xf numFmtId="183" fontId="0" fillId="0" borderId="0" xfId="0" applyNumberFormat="1" applyFill="1"/>
    <xf numFmtId="5" fontId="14" fillId="0" borderId="0" xfId="0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177" fontId="2" fillId="0" borderId="0" xfId="0" applyNumberFormat="1" applyFont="1" applyFill="1" applyProtection="1">
      <protection locked="0"/>
    </xf>
    <xf numFmtId="169" fontId="2" fillId="0" borderId="0" xfId="0" applyNumberFormat="1" applyFont="1" applyFill="1" applyProtection="1"/>
    <xf numFmtId="184" fontId="1" fillId="0" borderId="0" xfId="1" applyNumberFormat="1" applyFont="1" applyFill="1"/>
    <xf numFmtId="7" fontId="15" fillId="0" borderId="0" xfId="6" applyNumberFormat="1" applyFont="1" applyFill="1"/>
    <xf numFmtId="166" fontId="11" fillId="0" borderId="0" xfId="0" applyNumberFormat="1" applyFont="1" applyFill="1" applyProtection="1">
      <protection locked="0"/>
    </xf>
    <xf numFmtId="43" fontId="11" fillId="0" borderId="0" xfId="1" applyNumberFormat="1" applyFont="1" applyFill="1" applyProtection="1">
      <protection locked="0"/>
    </xf>
    <xf numFmtId="4" fontId="0" fillId="0" borderId="0" xfId="0" applyNumberFormat="1" applyFill="1" applyBorder="1"/>
    <xf numFmtId="168" fontId="2" fillId="0" borderId="0" xfId="1" applyNumberFormat="1" applyFont="1" applyFill="1" applyBorder="1" applyProtection="1"/>
    <xf numFmtId="185" fontId="2" fillId="0" borderId="0" xfId="0" applyNumberFormat="1" applyFont="1" applyFill="1" applyProtection="1"/>
    <xf numFmtId="5" fontId="2" fillId="0" borderId="0" xfId="0" applyNumberFormat="1" applyFont="1" applyFill="1"/>
    <xf numFmtId="7" fontId="2" fillId="0" borderId="0" xfId="0" applyNumberFormat="1" applyFont="1" applyFill="1" applyProtection="1"/>
    <xf numFmtId="186" fontId="2" fillId="0" borderId="0" xfId="0" applyNumberFormat="1" applyFont="1" applyFill="1" applyProtection="1"/>
    <xf numFmtId="10" fontId="0" fillId="0" borderId="0" xfId="3" applyNumberFormat="1" applyFont="1" applyFill="1"/>
    <xf numFmtId="10" fontId="0" fillId="0" borderId="0" xfId="0" applyNumberFormat="1" applyFill="1" applyBorder="1"/>
    <xf numFmtId="7" fontId="0" fillId="0" borderId="0" xfId="0" applyNumberFormat="1" applyFill="1" applyProtection="1"/>
    <xf numFmtId="4" fontId="0" fillId="0" borderId="0" xfId="0" applyNumberFormat="1" applyFill="1"/>
    <xf numFmtId="165" fontId="11" fillId="0" borderId="0" xfId="1" applyNumberFormat="1" applyFont="1" applyFill="1" applyProtection="1"/>
    <xf numFmtId="187" fontId="0" fillId="0" borderId="0" xfId="0" applyNumberFormat="1" applyFill="1"/>
    <xf numFmtId="43" fontId="11" fillId="0" borderId="0" xfId="1" applyFont="1" applyFill="1" applyProtection="1"/>
    <xf numFmtId="174" fontId="2" fillId="0" borderId="0" xfId="0" applyNumberFormat="1" applyFont="1" applyFill="1" applyProtection="1"/>
    <xf numFmtId="43" fontId="11" fillId="0" borderId="0" xfId="1" applyNumberFormat="1" applyFont="1" applyFill="1" applyProtection="1"/>
    <xf numFmtId="37" fontId="2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74" fontId="11" fillId="0" borderId="0" xfId="0" applyNumberFormat="1" applyFont="1" applyFill="1" applyProtection="1"/>
    <xf numFmtId="167" fontId="2" fillId="0" borderId="0" xfId="0" applyNumberFormat="1" applyFont="1" applyFill="1" applyProtection="1"/>
    <xf numFmtId="181" fontId="2" fillId="0" borderId="0" xfId="0" applyNumberFormat="1" applyFont="1" applyFill="1" applyProtection="1"/>
    <xf numFmtId="186" fontId="0" fillId="0" borderId="0" xfId="0" applyNumberFormat="1" applyFont="1" applyFill="1" applyProtection="1"/>
    <xf numFmtId="174" fontId="0" fillId="0" borderId="0" xfId="0" applyNumberFormat="1" applyFont="1" applyFill="1"/>
    <xf numFmtId="37" fontId="2" fillId="0" borderId="5" xfId="0" applyNumberFormat="1" applyFont="1" applyFill="1" applyBorder="1" applyProtection="1"/>
    <xf numFmtId="167" fontId="11" fillId="0" borderId="0" xfId="0" applyNumberFormat="1" applyFont="1" applyFill="1" applyProtection="1"/>
    <xf numFmtId="5" fontId="2" fillId="0" borderId="1" xfId="0" applyNumberFormat="1" applyFont="1" applyFill="1" applyBorder="1" applyProtection="1"/>
    <xf numFmtId="37" fontId="0" fillId="0" borderId="11" xfId="0" applyNumberFormat="1" applyFont="1" applyFill="1" applyBorder="1" applyProtection="1"/>
    <xf numFmtId="5" fontId="2" fillId="0" borderId="11" xfId="0" applyNumberFormat="1" applyFont="1" applyFill="1" applyBorder="1" applyProtection="1"/>
    <xf numFmtId="0" fontId="0" fillId="0" borderId="12" xfId="0" applyFill="1" applyBorder="1"/>
    <xf numFmtId="172" fontId="1" fillId="0" borderId="13" xfId="3" applyNumberFormat="1" applyFont="1" applyFill="1" applyBorder="1"/>
    <xf numFmtId="3" fontId="0" fillId="0" borderId="9" xfId="0" applyNumberFormat="1" applyFill="1" applyBorder="1"/>
    <xf numFmtId="0" fontId="0" fillId="0" borderId="0" xfId="0" applyFill="1" applyAlignment="1">
      <alignment horizontal="center"/>
    </xf>
    <xf numFmtId="9" fontId="1" fillId="0" borderId="0" xfId="3" applyFont="1" applyFill="1"/>
    <xf numFmtId="169" fontId="0" fillId="0" borderId="0" xfId="0" applyNumberFormat="1" applyFill="1" applyBorder="1"/>
    <xf numFmtId="37" fontId="0" fillId="0" borderId="4" xfId="0" applyNumberFormat="1" applyFont="1" applyFill="1" applyBorder="1" applyProtection="1"/>
    <xf numFmtId="5" fontId="2" fillId="0" borderId="4" xfId="0" applyNumberFormat="1" applyFont="1" applyFill="1" applyBorder="1" applyProtection="1"/>
    <xf numFmtId="10" fontId="0" fillId="0" borderId="8" xfId="3" applyNumberFormat="1" applyFont="1" applyFill="1" applyBorder="1"/>
    <xf numFmtId="164" fontId="0" fillId="0" borderId="0" xfId="3" applyNumberFormat="1" applyFont="1" applyFill="1" applyBorder="1"/>
    <xf numFmtId="164" fontId="0" fillId="0" borderId="0" xfId="0" applyNumberFormat="1" applyFill="1" applyBorder="1"/>
    <xf numFmtId="5" fontId="1" fillId="0" borderId="3" xfId="0" applyNumberFormat="1" applyFont="1" applyFill="1" applyBorder="1" applyProtection="1"/>
    <xf numFmtId="0" fontId="1" fillId="0" borderId="0" xfId="0" applyFont="1" applyFill="1" applyBorder="1"/>
    <xf numFmtId="3" fontId="1" fillId="0" borderId="0" xfId="0" applyNumberFormat="1" applyFont="1" applyFill="1" applyBorder="1"/>
    <xf numFmtId="164" fontId="0" fillId="0" borderId="0" xfId="3" applyNumberFormat="1" applyFont="1" applyFill="1"/>
    <xf numFmtId="0" fontId="1" fillId="0" borderId="0" xfId="3" applyNumberFormat="1" applyFont="1" applyFill="1"/>
    <xf numFmtId="164" fontId="0" fillId="0" borderId="0" xfId="0" applyNumberFormat="1" applyFill="1"/>
    <xf numFmtId="186" fontId="11" fillId="0" borderId="0" xfId="0" applyNumberFormat="1" applyFont="1" applyFill="1" applyProtection="1"/>
    <xf numFmtId="44" fontId="15" fillId="0" borderId="0" xfId="6" applyNumberFormat="1" applyFont="1" applyFill="1" applyBorder="1"/>
    <xf numFmtId="5" fontId="1" fillId="0" borderId="0" xfId="2" applyNumberFormat="1" applyFont="1" applyFill="1" applyBorder="1"/>
    <xf numFmtId="0" fontId="15" fillId="0" borderId="6" xfId="6" applyFont="1" applyFill="1" applyBorder="1"/>
    <xf numFmtId="5" fontId="15" fillId="0" borderId="2" xfId="6" applyNumberFormat="1" applyFont="1" applyFill="1" applyBorder="1" applyAlignment="1">
      <alignment horizontal="right"/>
    </xf>
    <xf numFmtId="0" fontId="15" fillId="0" borderId="0" xfId="6" applyFont="1" applyFill="1"/>
    <xf numFmtId="0" fontId="15" fillId="0" borderId="8" xfId="6" applyFont="1" applyFill="1" applyBorder="1"/>
    <xf numFmtId="0" fontId="11" fillId="0" borderId="0" xfId="0" applyFont="1" applyFill="1" applyProtection="1"/>
    <xf numFmtId="5" fontId="2" fillId="0" borderId="0" xfId="0" applyNumberFormat="1" applyFont="1" applyFill="1" applyAlignment="1" applyProtection="1">
      <alignment horizontal="right"/>
    </xf>
    <xf numFmtId="188" fontId="2" fillId="0" borderId="0" xfId="0" applyNumberFormat="1" applyFont="1" applyFill="1" applyProtection="1"/>
    <xf numFmtId="167" fontId="2" fillId="0" borderId="5" xfId="0" applyNumberFormat="1" applyFont="1" applyFill="1" applyBorder="1" applyProtection="1"/>
    <xf numFmtId="0" fontId="2" fillId="0" borderId="5" xfId="0" applyFont="1" applyFill="1" applyBorder="1" applyProtection="1"/>
    <xf numFmtId="5" fontId="0" fillId="0" borderId="7" xfId="0" applyNumberFormat="1" applyFill="1" applyBorder="1"/>
    <xf numFmtId="9" fontId="0" fillId="0" borderId="0" xfId="3" applyNumberFormat="1" applyFont="1" applyFill="1" applyBorder="1"/>
    <xf numFmtId="5" fontId="0" fillId="0" borderId="9" xfId="0" applyNumberFormat="1" applyFill="1" applyBorder="1"/>
    <xf numFmtId="0" fontId="1" fillId="0" borderId="0" xfId="0" applyFont="1" applyFill="1" applyProtection="1"/>
    <xf numFmtId="174" fontId="1" fillId="0" borderId="0" xfId="0" applyNumberFormat="1" applyFont="1" applyFill="1" applyProtection="1"/>
    <xf numFmtId="167" fontId="2" fillId="0" borderId="0" xfId="0" applyNumberFormat="1" applyFont="1" applyFill="1" applyBorder="1" applyProtection="1"/>
    <xf numFmtId="183" fontId="0" fillId="0" borderId="0" xfId="0" applyNumberFormat="1" applyFill="1" applyBorder="1"/>
    <xf numFmtId="9" fontId="1" fillId="0" borderId="0" xfId="3" applyFont="1" applyFill="1" applyBorder="1"/>
    <xf numFmtId="0" fontId="0" fillId="0" borderId="3" xfId="0" applyFill="1" applyBorder="1" applyProtection="1"/>
    <xf numFmtId="5" fontId="2" fillId="0" borderId="3" xfId="0" applyNumberFormat="1" applyFont="1" applyFill="1" applyBorder="1" applyAlignment="1" applyProtection="1">
      <alignment horizontal="right"/>
    </xf>
    <xf numFmtId="0" fontId="8" fillId="0" borderId="0" xfId="0" applyFont="1" applyFill="1"/>
    <xf numFmtId="43" fontId="15" fillId="0" borderId="0" xfId="1" applyNumberFormat="1" applyFont="1" applyFill="1" applyBorder="1"/>
    <xf numFmtId="0" fontId="10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1" fillId="0" borderId="0" xfId="0" applyNumberFormat="1" applyFont="1" applyFill="1" applyBorder="1"/>
    <xf numFmtId="0" fontId="19" fillId="0" borderId="0" xfId="0" applyFont="1" applyFill="1"/>
    <xf numFmtId="5" fontId="11" fillId="0" borderId="0" xfId="0" applyNumberFormat="1" applyFont="1" applyFill="1" applyBorder="1"/>
    <xf numFmtId="7" fontId="1" fillId="0" borderId="0" xfId="2" applyNumberFormat="1" applyFont="1" applyFill="1"/>
    <xf numFmtId="44" fontId="1" fillId="0" borderId="0" xfId="2" applyFont="1" applyFill="1" applyBorder="1"/>
    <xf numFmtId="189" fontId="1" fillId="0" borderId="0" xfId="2" applyNumberFormat="1" applyFont="1" applyFill="1" applyBorder="1"/>
    <xf numFmtId="37" fontId="2" fillId="0" borderId="14" xfId="0" applyNumberFormat="1" applyFont="1" applyFill="1" applyBorder="1" applyProtection="1"/>
    <xf numFmtId="37" fontId="1" fillId="0" borderId="0" xfId="0" applyNumberFormat="1" applyFont="1" applyFill="1" applyProtection="1"/>
    <xf numFmtId="7" fontId="18" fillId="0" borderId="0" xfId="0" applyNumberFormat="1" applyFont="1" applyFill="1" applyProtection="1"/>
    <xf numFmtId="37" fontId="2" fillId="0" borderId="15" xfId="0" applyNumberFormat="1" applyFont="1" applyFill="1" applyBorder="1" applyProtection="1"/>
    <xf numFmtId="5" fontId="11" fillId="0" borderId="15" xfId="0" applyNumberFormat="1" applyFont="1" applyFill="1" applyBorder="1" applyProtection="1"/>
    <xf numFmtId="5" fontId="2" fillId="0" borderId="15" xfId="0" applyNumberFormat="1" applyFont="1" applyFill="1" applyBorder="1" applyProtection="1"/>
    <xf numFmtId="0" fontId="1" fillId="0" borderId="0" xfId="0" applyFont="1" applyFill="1"/>
    <xf numFmtId="0" fontId="1" fillId="0" borderId="6" xfId="0" applyFont="1" applyFill="1" applyBorder="1"/>
    <xf numFmtId="5" fontId="1" fillId="0" borderId="7" xfId="0" applyNumberFormat="1" applyFont="1" applyFill="1" applyBorder="1"/>
    <xf numFmtId="176" fontId="1" fillId="0" borderId="0" xfId="3" applyNumberFormat="1" applyFont="1" applyFill="1"/>
    <xf numFmtId="37" fontId="2" fillId="0" borderId="2" xfId="0" applyNumberFormat="1" applyFont="1" applyFill="1" applyBorder="1" applyProtection="1"/>
    <xf numFmtId="7" fontId="11" fillId="0" borderId="2" xfId="0" applyNumberFormat="1" applyFont="1" applyFill="1" applyBorder="1" applyProtection="1"/>
    <xf numFmtId="5" fontId="2" fillId="0" borderId="2" xfId="0" applyNumberFormat="1" applyFont="1" applyFill="1" applyBorder="1" applyProtection="1"/>
    <xf numFmtId="0" fontId="2" fillId="0" borderId="2" xfId="0" applyFont="1" applyFill="1" applyBorder="1" applyProtection="1"/>
    <xf numFmtId="7" fontId="1" fillId="0" borderId="2" xfId="0" applyNumberFormat="1" applyFont="1" applyFill="1" applyBorder="1" applyProtection="1"/>
    <xf numFmtId="5" fontId="2" fillId="0" borderId="16" xfId="0" applyNumberFormat="1" applyFont="1" applyFill="1" applyBorder="1" applyProtection="1"/>
    <xf numFmtId="0" fontId="8" fillId="0" borderId="0" xfId="0" applyFont="1" applyFill="1" applyBorder="1" applyProtection="1"/>
    <xf numFmtId="175" fontId="8" fillId="0" borderId="0" xfId="0" applyNumberFormat="1" applyFont="1" applyFill="1" applyProtection="1"/>
    <xf numFmtId="37" fontId="8" fillId="0" borderId="15" xfId="0" applyNumberFormat="1" applyFont="1" applyFill="1" applyBorder="1" applyProtection="1"/>
    <xf numFmtId="168" fontId="20" fillId="0" borderId="15" xfId="1" applyNumberFormat="1" applyFont="1" applyFill="1" applyBorder="1" applyProtection="1"/>
    <xf numFmtId="5" fontId="8" fillId="0" borderId="15" xfId="0" applyNumberFormat="1" applyFont="1" applyFill="1" applyBorder="1" applyProtection="1"/>
    <xf numFmtId="169" fontId="8" fillId="0" borderId="15" xfId="2" applyNumberFormat="1" applyFont="1" applyFill="1" applyBorder="1" applyProtection="1"/>
    <xf numFmtId="5" fontId="8" fillId="0" borderId="2" xfId="0" applyNumberFormat="1" applyFont="1" applyFill="1" applyBorder="1" applyProtection="1"/>
    <xf numFmtId="7" fontId="20" fillId="0" borderId="15" xfId="0" applyNumberFormat="1" applyFont="1" applyFill="1" applyBorder="1" applyProtection="1"/>
    <xf numFmtId="169" fontId="11" fillId="0" borderId="0" xfId="0" applyNumberFormat="1" applyFont="1" applyFill="1" applyProtection="1"/>
    <xf numFmtId="190" fontId="1" fillId="0" borderId="0" xfId="2" applyNumberFormat="1" applyFont="1" applyFill="1"/>
    <xf numFmtId="0" fontId="21" fillId="0" borderId="0" xfId="0" applyFont="1" applyFill="1" applyProtection="1"/>
    <xf numFmtId="0" fontId="0" fillId="0" borderId="0" xfId="0" applyFont="1" applyFill="1"/>
    <xf numFmtId="3" fontId="1" fillId="0" borderId="0" xfId="0" applyNumberFormat="1" applyFont="1" applyFill="1"/>
    <xf numFmtId="0" fontId="7" fillId="0" borderId="0" xfId="7" applyFont="1" applyFill="1"/>
    <xf numFmtId="0" fontId="9" fillId="0" borderId="0" xfId="7" applyFont="1" applyFill="1"/>
    <xf numFmtId="0" fontId="9" fillId="0" borderId="0" xfId="7" applyFont="1" applyFill="1" applyAlignment="1">
      <alignment horizontal="centerContinuous"/>
    </xf>
    <xf numFmtId="0" fontId="22" fillId="0" borderId="0" xfId="7" applyFont="1" applyFill="1" applyBorder="1" applyAlignment="1">
      <alignment horizontal="centerContinuous"/>
    </xf>
    <xf numFmtId="0" fontId="22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7" fillId="0" borderId="1" xfId="7" applyFont="1" applyFill="1" applyBorder="1" applyAlignment="1">
      <alignment horizontal="centerContinuous"/>
    </xf>
    <xf numFmtId="0" fontId="7" fillId="0" borderId="1" xfId="7" applyFont="1" applyFill="1" applyBorder="1" applyAlignment="1"/>
    <xf numFmtId="0" fontId="7" fillId="0" borderId="0" xfId="7" applyFont="1" applyFill="1" applyBorder="1" applyAlignment="1"/>
    <xf numFmtId="0" fontId="7" fillId="0" borderId="0" xfId="7" applyFill="1"/>
    <xf numFmtId="0" fontId="7" fillId="0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Continuous"/>
    </xf>
    <xf numFmtId="0" fontId="7" fillId="0" borderId="0" xfId="7" applyFont="1" applyFill="1" applyAlignment="1">
      <alignment horizontal="center"/>
    </xf>
    <xf numFmtId="0" fontId="24" fillId="0" borderId="17" xfId="7" applyFont="1" applyFill="1" applyBorder="1"/>
    <xf numFmtId="0" fontId="24" fillId="0" borderId="18" xfId="7" applyFont="1" applyFill="1" applyBorder="1"/>
    <xf numFmtId="0" fontId="7" fillId="0" borderId="1" xfId="7" applyFont="1" applyFill="1" applyBorder="1" applyAlignment="1">
      <alignment horizontal="center"/>
    </xf>
    <xf numFmtId="0" fontId="7" fillId="0" borderId="3" xfId="7" applyFont="1" applyFill="1" applyBorder="1" applyAlignment="1">
      <alignment horizontal="centerContinuous"/>
    </xf>
    <xf numFmtId="0" fontId="23" fillId="0" borderId="0" xfId="7" applyFont="1" applyFill="1"/>
    <xf numFmtId="0" fontId="24" fillId="0" borderId="19" xfId="7" applyFont="1" applyFill="1" applyBorder="1"/>
    <xf numFmtId="7" fontId="25" fillId="0" borderId="20" xfId="7" applyNumberFormat="1" applyFont="1" applyFill="1" applyBorder="1"/>
    <xf numFmtId="0" fontId="26" fillId="0" borderId="0" xfId="7" applyFont="1" applyFill="1"/>
    <xf numFmtId="174" fontId="25" fillId="0" borderId="20" xfId="7" applyNumberFormat="1" applyFont="1" applyFill="1" applyBorder="1"/>
    <xf numFmtId="165" fontId="25" fillId="0" borderId="20" xfId="1" applyNumberFormat="1" applyFont="1" applyFill="1" applyBorder="1" applyAlignment="1">
      <alignment horizontal="right"/>
    </xf>
    <xf numFmtId="43" fontId="7" fillId="0" borderId="0" xfId="7" applyNumberFormat="1" applyFont="1" applyFill="1"/>
    <xf numFmtId="37" fontId="7" fillId="0" borderId="0" xfId="7" applyNumberFormat="1" applyFont="1" applyFill="1" applyProtection="1"/>
    <xf numFmtId="7" fontId="7" fillId="0" borderId="0" xfId="7" applyNumberFormat="1" applyFill="1"/>
    <xf numFmtId="7" fontId="7" fillId="0" borderId="0" xfId="7" applyNumberFormat="1" applyFont="1" applyFill="1"/>
    <xf numFmtId="10" fontId="7" fillId="0" borderId="0" xfId="7" applyNumberFormat="1" applyFont="1" applyFill="1" applyProtection="1"/>
    <xf numFmtId="0" fontId="24" fillId="0" borderId="21" xfId="7" applyFont="1" applyFill="1" applyBorder="1"/>
    <xf numFmtId="174" fontId="25" fillId="0" borderId="22" xfId="7" applyNumberFormat="1" applyFont="1" applyFill="1" applyBorder="1"/>
    <xf numFmtId="0" fontId="24" fillId="0" borderId="0" xfId="7" applyFont="1" applyFill="1"/>
    <xf numFmtId="174" fontId="24" fillId="0" borderId="0" xfId="7" applyNumberFormat="1" applyFont="1" applyFill="1"/>
    <xf numFmtId="0" fontId="7" fillId="0" borderId="0" xfId="7" applyFont="1" applyFill="1" applyBorder="1"/>
    <xf numFmtId="7" fontId="7" fillId="0" borderId="0" xfId="7" applyNumberFormat="1" applyFont="1" applyFill="1" applyProtection="1"/>
    <xf numFmtId="164" fontId="24" fillId="0" borderId="0" xfId="7" applyNumberFormat="1" applyFont="1" applyFill="1"/>
    <xf numFmtId="0" fontId="7" fillId="0" borderId="0" xfId="7" applyFont="1" applyFill="1" applyAlignment="1">
      <alignment horizontal="right"/>
    </xf>
    <xf numFmtId="10" fontId="7" fillId="0" borderId="0" xfId="3" applyNumberFormat="1" applyFont="1" applyFill="1" applyAlignment="1">
      <alignment horizontal="center"/>
    </xf>
    <xf numFmtId="177" fontId="7" fillId="0" borderId="0" xfId="7" applyNumberFormat="1" applyFont="1" applyFill="1" applyProtection="1"/>
    <xf numFmtId="37" fontId="7" fillId="0" borderId="1" xfId="7" applyNumberFormat="1" applyFont="1" applyFill="1" applyBorder="1" applyProtection="1"/>
    <xf numFmtId="0" fontId="7" fillId="0" borderId="1" xfId="7" applyFont="1" applyFill="1" applyBorder="1"/>
    <xf numFmtId="7" fontId="7" fillId="0" borderId="1" xfId="7" applyNumberFormat="1" applyFont="1" applyFill="1" applyBorder="1" applyProtection="1"/>
    <xf numFmtId="177" fontId="7" fillId="0" borderId="1" xfId="7" applyNumberFormat="1" applyFont="1" applyFill="1" applyBorder="1" applyProtection="1"/>
    <xf numFmtId="0" fontId="27" fillId="0" borderId="0" xfId="7" applyFont="1" applyFill="1"/>
    <xf numFmtId="0" fontId="27" fillId="0" borderId="0" xfId="7" quotePrefix="1" applyFont="1" applyFill="1" applyBorder="1" applyAlignment="1">
      <alignment horizontal="left"/>
    </xf>
    <xf numFmtId="5" fontId="7" fillId="0" borderId="0" xfId="7" applyNumberFormat="1" applyFont="1" applyFill="1"/>
    <xf numFmtId="0" fontId="6" fillId="0" borderId="0" xfId="8"/>
    <xf numFmtId="0" fontId="29" fillId="0" borderId="0" xfId="8" applyFont="1" applyAlignment="1">
      <alignment horizontal="center"/>
    </xf>
    <xf numFmtId="168" fontId="6" fillId="0" borderId="0" xfId="1" applyNumberFormat="1" applyFont="1" applyAlignment="1">
      <alignment horizontal="right"/>
    </xf>
    <xf numFmtId="168" fontId="6" fillId="0" borderId="0" xfId="1" applyNumberFormat="1" applyFont="1" applyAlignment="1">
      <alignment horizontal="center"/>
    </xf>
    <xf numFmtId="0" fontId="29" fillId="0" borderId="1" xfId="8" applyFont="1" applyBorder="1" applyAlignment="1">
      <alignment horizontal="center"/>
    </xf>
    <xf numFmtId="0" fontId="6" fillId="0" borderId="0" xfId="8" applyAlignment="1">
      <alignment horizontal="right"/>
    </xf>
    <xf numFmtId="164" fontId="6" fillId="0" borderId="0" xfId="3" applyNumberFormat="1"/>
    <xf numFmtId="0" fontId="30" fillId="0" borderId="12" xfId="8" applyFont="1" applyBorder="1" applyAlignment="1">
      <alignment horizontal="center"/>
    </xf>
    <xf numFmtId="0" fontId="30" fillId="0" borderId="2" xfId="8" applyFont="1" applyBorder="1" applyAlignment="1">
      <alignment horizontal="center"/>
    </xf>
    <xf numFmtId="0" fontId="6" fillId="0" borderId="7" xfId="8" applyBorder="1"/>
    <xf numFmtId="44" fontId="6" fillId="0" borderId="0" xfId="2"/>
    <xf numFmtId="0" fontId="6" fillId="0" borderId="12" xfId="8" applyBorder="1" applyAlignment="1">
      <alignment horizontal="center"/>
    </xf>
    <xf numFmtId="0" fontId="6" fillId="0" borderId="0" xfId="8" applyBorder="1" applyAlignment="1">
      <alignment horizontal="center"/>
    </xf>
    <xf numFmtId="0" fontId="6" fillId="0" borderId="13" xfId="8" applyBorder="1"/>
    <xf numFmtId="0" fontId="6" fillId="0" borderId="0" xfId="8" applyBorder="1"/>
    <xf numFmtId="0" fontId="6" fillId="0" borderId="6" xfId="8" applyBorder="1"/>
    <xf numFmtId="0" fontId="6" fillId="0" borderId="2" xfId="8" applyBorder="1"/>
    <xf numFmtId="10" fontId="30" fillId="0" borderId="0" xfId="3" applyNumberFormat="1" applyFont="1"/>
    <xf numFmtId="0" fontId="6" fillId="0" borderId="12" xfId="8" applyBorder="1" applyAlignment="1">
      <alignment horizontal="right"/>
    </xf>
    <xf numFmtId="178" fontId="6" fillId="0" borderId="0" xfId="8" applyNumberFormat="1" applyBorder="1" applyAlignment="1">
      <alignment horizontal="center"/>
    </xf>
    <xf numFmtId="0" fontId="6" fillId="0" borderId="1" xfId="8" applyBorder="1"/>
    <xf numFmtId="0" fontId="6" fillId="0" borderId="0" xfId="8" applyAlignment="1">
      <alignment horizontal="center"/>
    </xf>
    <xf numFmtId="0" fontId="6" fillId="0" borderId="12" xfId="8" applyBorder="1"/>
    <xf numFmtId="0" fontId="6" fillId="0" borderId="13" xfId="8" applyFont="1" applyBorder="1" applyAlignment="1">
      <alignment horizontal="center"/>
    </xf>
    <xf numFmtId="0" fontId="6" fillId="0" borderId="13" xfId="8" applyBorder="1" applyAlignment="1">
      <alignment horizontal="center"/>
    </xf>
    <xf numFmtId="164" fontId="6" fillId="0" borderId="13" xfId="8" applyNumberFormat="1" applyBorder="1" applyAlignment="1">
      <alignment horizontal="right"/>
    </xf>
    <xf numFmtId="5" fontId="6" fillId="0" borderId="12" xfId="8" applyNumberFormat="1" applyBorder="1" applyAlignment="1">
      <alignment horizontal="right"/>
    </xf>
    <xf numFmtId="5" fontId="6" fillId="0" borderId="0" xfId="8" applyNumberFormat="1" applyFont="1" applyBorder="1" applyAlignment="1">
      <alignment horizontal="right"/>
    </xf>
    <xf numFmtId="5" fontId="6" fillId="0" borderId="13" xfId="8" applyNumberFormat="1" applyFont="1" applyBorder="1"/>
    <xf numFmtId="5" fontId="6" fillId="0" borderId="0" xfId="8" applyNumberFormat="1"/>
    <xf numFmtId="5" fontId="6" fillId="0" borderId="12" xfId="8" applyNumberFormat="1" applyBorder="1"/>
    <xf numFmtId="5" fontId="6" fillId="0" borderId="13" xfId="8" applyNumberFormat="1" applyBorder="1"/>
    <xf numFmtId="0" fontId="6" fillId="0" borderId="1" xfId="8" applyBorder="1" applyAlignment="1">
      <alignment horizontal="right"/>
    </xf>
    <xf numFmtId="5" fontId="6" fillId="0" borderId="1" xfId="8" applyNumberFormat="1" applyBorder="1" applyAlignment="1">
      <alignment horizontal="right"/>
    </xf>
    <xf numFmtId="5" fontId="6" fillId="0" borderId="9" xfId="8" applyNumberFormat="1" applyBorder="1"/>
    <xf numFmtId="16" fontId="6" fillId="0" borderId="0" xfId="8" quotePrefix="1" applyNumberFormat="1" applyBorder="1" applyAlignment="1">
      <alignment horizontal="center"/>
    </xf>
    <xf numFmtId="16" fontId="6" fillId="0" borderId="13" xfId="8" applyNumberFormat="1" applyBorder="1" applyAlignment="1">
      <alignment horizontal="center"/>
    </xf>
    <xf numFmtId="5" fontId="31" fillId="0" borderId="0" xfId="8" applyNumberFormat="1" applyFont="1" applyBorder="1"/>
    <xf numFmtId="5" fontId="6" fillId="0" borderId="6" xfId="8" applyNumberFormat="1" applyBorder="1" applyAlignment="1">
      <alignment horizontal="right"/>
    </xf>
    <xf numFmtId="5" fontId="6" fillId="0" borderId="2" xfId="8" applyNumberFormat="1" applyBorder="1" applyAlignment="1">
      <alignment horizontal="right"/>
    </xf>
    <xf numFmtId="5" fontId="6" fillId="0" borderId="0" xfId="8" applyNumberFormat="1" applyBorder="1"/>
    <xf numFmtId="0" fontId="31" fillId="0" borderId="0" xfId="8" applyFont="1" applyBorder="1" applyAlignment="1"/>
    <xf numFmtId="0" fontId="31" fillId="0" borderId="0" xfId="8" applyFont="1" applyBorder="1" applyAlignment="1">
      <alignment horizontal="center"/>
    </xf>
    <xf numFmtId="0" fontId="31" fillId="0" borderId="13" xfId="8" applyFont="1" applyBorder="1" applyAlignment="1">
      <alignment horizontal="center"/>
    </xf>
    <xf numFmtId="9" fontId="6" fillId="0" borderId="0" xfId="3" applyBorder="1" applyAlignment="1">
      <alignment horizontal="right"/>
    </xf>
    <xf numFmtId="0" fontId="6" fillId="0" borderId="0" xfId="8" applyAlignment="1">
      <alignment horizontal="left"/>
    </xf>
    <xf numFmtId="7" fontId="6" fillId="0" borderId="12" xfId="2" applyNumberFormat="1" applyBorder="1" applyAlignment="1">
      <alignment horizontal="right"/>
    </xf>
    <xf numFmtId="7" fontId="6" fillId="0" borderId="0" xfId="2" applyNumberFormat="1" applyBorder="1" applyAlignment="1">
      <alignment horizontal="right"/>
    </xf>
    <xf numFmtId="7" fontId="6" fillId="0" borderId="0" xfId="8" applyNumberFormat="1" applyBorder="1"/>
    <xf numFmtId="37" fontId="6" fillId="0" borderId="0" xfId="8" applyNumberFormat="1" applyBorder="1"/>
    <xf numFmtId="37" fontId="6" fillId="0" borderId="12" xfId="8" applyNumberFormat="1" applyBorder="1"/>
    <xf numFmtId="9" fontId="6" fillId="0" borderId="0" xfId="3" applyNumberFormat="1"/>
    <xf numFmtId="191" fontId="6" fillId="0" borderId="0" xfId="8" applyNumberFormat="1"/>
    <xf numFmtId="0" fontId="6" fillId="0" borderId="0" xfId="8" quotePrefix="1" applyFont="1" applyAlignment="1">
      <alignment horizontal="left"/>
    </xf>
    <xf numFmtId="0" fontId="6" fillId="0" borderId="0" xfId="8" quotePrefix="1" applyBorder="1"/>
    <xf numFmtId="44" fontId="6" fillId="0" borderId="0" xfId="2" applyBorder="1" applyAlignment="1">
      <alignment horizontal="right"/>
    </xf>
    <xf numFmtId="37" fontId="31" fillId="0" borderId="0" xfId="8" applyNumberFormat="1" applyFont="1" applyBorder="1"/>
    <xf numFmtId="5" fontId="31" fillId="0" borderId="13" xfId="8" applyNumberFormat="1" applyFont="1" applyBorder="1"/>
    <xf numFmtId="7" fontId="31" fillId="0" borderId="0" xfId="8" applyNumberFormat="1" applyFont="1" applyBorder="1"/>
    <xf numFmtId="0" fontId="6" fillId="0" borderId="0" xfId="8" applyBorder="1" applyAlignment="1">
      <alignment horizontal="right"/>
    </xf>
    <xf numFmtId="0" fontId="6" fillId="0" borderId="12" xfId="1" applyNumberFormat="1" applyFont="1" applyBorder="1" applyAlignment="1">
      <alignment horizontal="right"/>
    </xf>
    <xf numFmtId="168" fontId="6" fillId="0" borderId="8" xfId="1" applyNumberFormat="1" applyBorder="1" applyAlignment="1">
      <alignment horizontal="right"/>
    </xf>
    <xf numFmtId="168" fontId="6" fillId="0" borderId="1" xfId="1" applyNumberFormat="1" applyFont="1" applyBorder="1" applyAlignment="1">
      <alignment horizontal="right"/>
    </xf>
    <xf numFmtId="168" fontId="6" fillId="0" borderId="1" xfId="8" applyNumberFormat="1" applyFont="1" applyBorder="1"/>
    <xf numFmtId="43" fontId="6" fillId="0" borderId="0" xfId="1" applyNumberFormat="1" applyBorder="1" applyAlignment="1">
      <alignment horizontal="right"/>
    </xf>
    <xf numFmtId="168" fontId="6" fillId="0" borderId="0" xfId="1" applyNumberFormat="1" applyFont="1" applyBorder="1" applyAlignment="1">
      <alignment horizontal="right"/>
    </xf>
    <xf numFmtId="0" fontId="30" fillId="0" borderId="0" xfId="8" applyFont="1" applyBorder="1"/>
    <xf numFmtId="0" fontId="0" fillId="0" borderId="0" xfId="0" applyAlignment="1">
      <alignment horizontal="right"/>
    </xf>
    <xf numFmtId="0" fontId="6" fillId="0" borderId="0" xfId="8" quotePrefix="1" applyAlignment="1">
      <alignment horizontal="left"/>
    </xf>
    <xf numFmtId="168" fontId="6" fillId="0" borderId="0" xfId="1" applyNumberFormat="1" applyBorder="1" applyAlignment="1">
      <alignment horizontal="right"/>
    </xf>
    <xf numFmtId="0" fontId="30" fillId="0" borderId="0" xfId="8" applyFont="1" applyAlignment="1">
      <alignment horizontal="left"/>
    </xf>
    <xf numFmtId="7" fontId="6" fillId="0" borderId="0" xfId="8" applyNumberFormat="1" applyAlignment="1">
      <alignment horizontal="right"/>
    </xf>
    <xf numFmtId="7" fontId="6" fillId="0" borderId="0" xfId="8" applyNumberFormat="1"/>
    <xf numFmtId="10" fontId="6" fillId="0" borderId="0" xfId="3" applyNumberFormat="1"/>
    <xf numFmtId="7" fontId="0" fillId="0" borderId="0" xfId="0" applyNumberFormat="1"/>
    <xf numFmtId="7" fontId="31" fillId="0" borderId="0" xfId="8" applyNumberFormat="1" applyFont="1" applyAlignment="1">
      <alignment horizontal="right"/>
    </xf>
    <xf numFmtId="5" fontId="6" fillId="0" borderId="0" xfId="8" applyNumberFormat="1" applyAlignment="1">
      <alignment horizontal="right"/>
    </xf>
    <xf numFmtId="0" fontId="6" fillId="0" borderId="0" xfId="8" applyFont="1" applyAlignment="1">
      <alignment horizontal="left"/>
    </xf>
    <xf numFmtId="5" fontId="6" fillId="0" borderId="0" xfId="8" applyNumberFormat="1" applyFont="1"/>
    <xf numFmtId="0" fontId="6" fillId="0" borderId="0" xfId="8" applyFont="1"/>
    <xf numFmtId="9" fontId="6" fillId="0" borderId="0" xfId="8" applyNumberFormat="1"/>
    <xf numFmtId="168" fontId="6" fillId="0" borderId="0" xfId="1" applyNumberFormat="1"/>
    <xf numFmtId="0" fontId="6" fillId="0" borderId="0" xfId="8" applyFill="1" applyAlignment="1">
      <alignment horizontal="left"/>
    </xf>
    <xf numFmtId="5" fontId="6" fillId="0" borderId="0" xfId="0" applyNumberFormat="1" applyFont="1"/>
    <xf numFmtId="0" fontId="30" fillId="0" borderId="23" xfId="8" applyFont="1" applyBorder="1"/>
    <xf numFmtId="0" fontId="19" fillId="0" borderId="16" xfId="0" applyFont="1" applyBorder="1"/>
    <xf numFmtId="0" fontId="0" fillId="0" borderId="16" xfId="0" applyBorder="1"/>
    <xf numFmtId="5" fontId="30" fillId="0" borderId="24" xfId="0" applyNumberFormat="1" applyFont="1" applyBorder="1"/>
    <xf numFmtId="0" fontId="0" fillId="0" borderId="0" xfId="0" applyAlignment="1">
      <alignment horizontal="center"/>
    </xf>
    <xf numFmtId="0" fontId="31" fillId="0" borderId="0" xfId="8" applyFont="1" applyAlignment="1">
      <alignment horizontal="left"/>
    </xf>
    <xf numFmtId="0" fontId="31" fillId="0" borderId="0" xfId="8" applyFont="1" applyAlignment="1">
      <alignment horizontal="center"/>
    </xf>
    <xf numFmtId="0" fontId="32" fillId="0" borderId="0" xfId="8" quotePrefix="1" applyFont="1" applyFill="1" applyAlignment="1" applyProtection="1">
      <alignment horizontal="center"/>
    </xf>
    <xf numFmtId="37" fontId="6" fillId="0" borderId="0" xfId="8" applyNumberFormat="1" applyFill="1" applyBorder="1"/>
    <xf numFmtId="166" fontId="30" fillId="0" borderId="0" xfId="8" applyNumberFormat="1" applyFont="1"/>
    <xf numFmtId="174" fontId="0" fillId="0" borderId="0" xfId="0" applyNumberFormat="1"/>
    <xf numFmtId="5" fontId="0" fillId="0" borderId="0" xfId="0" applyNumberFormat="1"/>
    <xf numFmtId="0" fontId="6" fillId="0" borderId="0" xfId="8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0" fontId="22" fillId="0" borderId="0" xfId="7" applyFont="1" applyFill="1" applyAlignment="1">
      <alignment horizontal="center"/>
    </xf>
    <xf numFmtId="0" fontId="7" fillId="0" borderId="1" xfId="7" applyFont="1" applyFill="1" applyBorder="1" applyAlignment="1">
      <alignment horizontal="center"/>
    </xf>
    <xf numFmtId="0" fontId="29" fillId="0" borderId="0" xfId="8" applyFont="1" applyAlignment="1">
      <alignment horizontal="center"/>
    </xf>
    <xf numFmtId="0" fontId="6" fillId="0" borderId="1" xfId="8" applyBorder="1" applyAlignment="1">
      <alignment horizontal="center"/>
    </xf>
    <xf numFmtId="0" fontId="6" fillId="0" borderId="9" xfId="8" applyBorder="1" applyAlignment="1">
      <alignment horizontal="center"/>
    </xf>
    <xf numFmtId="192" fontId="29" fillId="0" borderId="0" xfId="8" applyNumberFormat="1" applyFont="1" applyBorder="1" applyAlignment="1">
      <alignment horizontal="center"/>
    </xf>
    <xf numFmtId="0" fontId="6" fillId="0" borderId="0" xfId="8" applyFont="1" applyBorder="1" applyAlignment="1">
      <alignment horizontal="center"/>
    </xf>
    <xf numFmtId="0" fontId="6" fillId="0" borderId="0" xfId="8" applyFont="1" applyAlignment="1">
      <alignment horizontal="center"/>
    </xf>
  </cellXfs>
  <cellStyles count="21">
    <cellStyle name="Comma" xfId="1" builtinId="3"/>
    <cellStyle name="Comma 2" xfId="9"/>
    <cellStyle name="Comma 2 2" xfId="10"/>
    <cellStyle name="Currency" xfId="2" builtinId="4"/>
    <cellStyle name="General" xfId="11"/>
    <cellStyle name="Marathon" xfId="12"/>
    <cellStyle name="nONE" xfId="13"/>
    <cellStyle name="Normal" xfId="0" builtinId="0"/>
    <cellStyle name="Normal 2" xfId="14"/>
    <cellStyle name="Normal 3" xfId="15"/>
    <cellStyle name="Normal 4" xfId="16"/>
    <cellStyle name="Normal 5" xfId="17"/>
    <cellStyle name="Normal 6" xfId="18"/>
    <cellStyle name="Normal_East for 38.6M" xfId="6"/>
    <cellStyle name="Normal_Low Income Proposal" xfId="8"/>
    <cellStyle name="Normal_OR Blocking 04" xfId="5"/>
    <cellStyle name="Normal_OR Blocking 98 No Forecast" xfId="7"/>
    <cellStyle name="Normal_WA98" xfId="4"/>
    <cellStyle name="Percent" xfId="3" builtinId="5"/>
    <cellStyle name="Percent 2" xfId="19"/>
    <cellStyle name="TRANSMISSION RELIABILITY PORTION OF PROJECT" xfId="2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CASES/Wash98/Stipulation/WA98%20with%20deferral%20separat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DSMRecov/2001/RECOV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CASES/Wash%2002/Year%203%20of%20stipulation%201-1-20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CASES/Wash01/Year%202%20of%20stipulation%201-1-20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TEMP/AFOR%207-1-0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/CASES/Wyoming98/EAST97%20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/WA%20GRC%2007/COS/COS%20WA%20GRC%20June%202008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COS/WA%203-2006%20GRC/COS/Wash%20Mar%202006-09-7-2006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COS/Wyoming%20FY%202005/COS/COS%20Sep%202006/Wyoming%20Combined%20Sept%202006%20MSP-UCAM%20and%20AFOR-09-22-05%2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COS/Wyoming%20FY%202005/COS/COS%20Sep%202006/Wyoming%20Combined%20Sept%202006%20MSP-UCAM%20and%20AFOR-09-09-05-JAM%20update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/SB%201149/JAM%20OR%20Dec%202001%20-%20SB1149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/Large%20Qf's/Qf03/FALLS/Falls2003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/PACA/PwrStat/Penny/LARGEQUALIFIED/Qf99/Hdiv99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CASES/Idaho%2003/305FRevenue%20by%20Rate%20Schedule_ID200303_v4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CASES/Wyoming98/East%20West%20Rate%20Migration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COS/Wyoming%20FY%202005/COS/COS%20Sep%202006/Wyoming%20Combined%20Sept%202006%20MSP-UCAM%20and%20AFOR-09-12-05-JAM%20update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DSMRecov/2001/RECOV01WA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/SystemSegCosts/03/Washington/MC_Washington_2003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K/wyoming%20rate%20case/Combined/WYCombined%2098%20COS%20OCT2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/Wyoming%209-2001%20Test%20Period/Embedded%20Study/COS_WyoComb%20Sep-2001-%20(faciliti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p09653/My%20Documents/Oregon%20Rate%20Case/SB%201149/Rebuttal/MC%20OR%202001%20Rebuttal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/REGULATN/PA&amp;D/CASES/Oregon%2099/Portfolio/TOU%20Tariff%20Rates%209-10-0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/305A/Book4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enableFormatConditionsCalculation="0">
    <pageSetUpPr fitToPage="1"/>
  </sheetPr>
  <dimension ref="B1:AL59"/>
  <sheetViews>
    <sheetView view="pageBreakPreview" topLeftCell="B7" zoomScale="60" zoomScaleNormal="55" zoomScalePageLayoutView="55" workbookViewId="0">
      <selection activeCell="B1" sqref="B1"/>
    </sheetView>
  </sheetViews>
  <sheetFormatPr defaultColWidth="10.1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125" style="1" hidden="1" customWidth="1"/>
    <col min="9" max="9" width="9.1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125" style="1" hidden="1" customWidth="1"/>
    <col min="15" max="15" width="10.125" style="1" bestFit="1" customWidth="1"/>
    <col min="16" max="16" width="2.625" style="1" customWidth="1"/>
    <col min="17" max="17" width="12.625" style="1" customWidth="1"/>
    <col min="18" max="18" width="2" style="1" hidden="1" customWidth="1"/>
    <col min="19" max="19" width="20.125" style="1" hidden="1" customWidth="1"/>
    <col min="20" max="20" width="3.625" style="1" customWidth="1"/>
    <col min="21" max="21" width="16.125" style="1" bestFit="1" customWidth="1"/>
    <col min="22" max="22" width="12.375" style="1" customWidth="1"/>
    <col min="23" max="23" width="14.125" style="1" hidden="1" customWidth="1"/>
    <col min="24" max="24" width="12.125" style="1" hidden="1" customWidth="1"/>
    <col min="25" max="25" width="14.5" style="1" hidden="1" customWidth="1"/>
    <col min="26" max="26" width="15.125" style="1" hidden="1" customWidth="1"/>
    <col min="27" max="27" width="6.625" style="1" hidden="1" customWidth="1"/>
    <col min="28" max="28" width="20.625" style="1" hidden="1" customWidth="1"/>
    <col min="29" max="29" width="3.875" style="1" customWidth="1"/>
    <col min="30" max="30" width="11.625" style="1" bestFit="1" customWidth="1"/>
    <col min="31" max="31" width="2.125" style="1" customWidth="1"/>
    <col min="32" max="32" width="8.125" style="1" customWidth="1"/>
    <col min="33" max="33" width="3.125" style="1" customWidth="1"/>
    <col min="34" max="34" width="7.125" style="1" customWidth="1"/>
    <col min="35" max="35" width="0.125" style="1" customWidth="1"/>
    <col min="36" max="36" width="10.125" style="1" customWidth="1"/>
    <col min="37" max="37" width="13.5" style="1" bestFit="1" customWidth="1"/>
    <col min="38" max="16384" width="10.125" style="1"/>
  </cols>
  <sheetData>
    <row r="1" spans="2:38">
      <c r="Q1" s="3" t="s">
        <v>280</v>
      </c>
    </row>
    <row r="2" spans="2:38">
      <c r="B2" s="4" t="s">
        <v>281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</row>
    <row r="3" spans="2:38">
      <c r="B3" s="6" t="s">
        <v>282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8"/>
      <c r="AH3" s="8"/>
      <c r="AI3" s="8"/>
    </row>
    <row r="4" spans="2:38">
      <c r="B4" s="6" t="s">
        <v>283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2:38">
      <c r="B5" s="6" t="s">
        <v>287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2:38">
      <c r="B6" s="6" t="s">
        <v>288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8"/>
      <c r="AH6" s="8"/>
      <c r="AI6" s="8"/>
    </row>
    <row r="7" spans="2:38">
      <c r="B7" s="4" t="s">
        <v>289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290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291</v>
      </c>
      <c r="O9" s="14" t="s">
        <v>292</v>
      </c>
      <c r="P9" s="15"/>
      <c r="Q9" s="504" t="s">
        <v>293</v>
      </c>
      <c r="R9" s="504"/>
      <c r="S9" s="504"/>
      <c r="T9" s="16"/>
      <c r="U9" s="505" t="s">
        <v>294</v>
      </c>
      <c r="V9" s="505"/>
      <c r="W9" s="505"/>
      <c r="X9" s="505"/>
      <c r="Y9" s="505"/>
      <c r="Z9" s="505"/>
      <c r="AA9" s="15"/>
      <c r="AB9" s="17" t="s">
        <v>295</v>
      </c>
      <c r="AC9" s="15"/>
      <c r="AD9" s="13" t="s">
        <v>293</v>
      </c>
      <c r="AE9" s="15"/>
      <c r="AF9" s="13" t="s">
        <v>296</v>
      </c>
      <c r="AG9" s="15"/>
      <c r="AH9" s="15"/>
      <c r="AI9" s="15"/>
    </row>
    <row r="10" spans="2:38">
      <c r="F10" s="18" t="s">
        <v>297</v>
      </c>
      <c r="G10" s="18"/>
      <c r="H10" s="14" t="s">
        <v>298</v>
      </c>
      <c r="N10" s="13" t="s">
        <v>299</v>
      </c>
      <c r="O10" s="13" t="s">
        <v>299</v>
      </c>
      <c r="P10" s="19"/>
      <c r="Q10" s="13" t="s">
        <v>299</v>
      </c>
      <c r="R10" s="13"/>
      <c r="S10" s="13" t="s">
        <v>300</v>
      </c>
      <c r="T10" s="13"/>
      <c r="U10" s="20" t="s">
        <v>299</v>
      </c>
      <c r="V10" s="20"/>
      <c r="W10" s="20" t="s">
        <v>290</v>
      </c>
      <c r="X10" s="13" t="s">
        <v>301</v>
      </c>
      <c r="Y10" s="20" t="s">
        <v>300</v>
      </c>
      <c r="Z10" s="16"/>
      <c r="AA10" s="16"/>
      <c r="AB10" s="16"/>
      <c r="AC10" s="16"/>
      <c r="AD10" s="13" t="s">
        <v>299</v>
      </c>
      <c r="AE10" s="16"/>
      <c r="AF10" s="13" t="s">
        <v>294</v>
      </c>
      <c r="AG10" s="21"/>
      <c r="AH10" s="16"/>
      <c r="AI10" s="21"/>
    </row>
    <row r="11" spans="2:38">
      <c r="B11" s="21" t="s">
        <v>302</v>
      </c>
      <c r="F11" s="18" t="s">
        <v>303</v>
      </c>
      <c r="G11" s="18"/>
      <c r="H11" s="14" t="s">
        <v>304</v>
      </c>
      <c r="I11" s="14" t="s">
        <v>298</v>
      </c>
      <c r="K11" s="14" t="s">
        <v>305</v>
      </c>
      <c r="N11" s="14" t="s">
        <v>306</v>
      </c>
      <c r="O11" s="14" t="s">
        <v>306</v>
      </c>
      <c r="P11" s="21"/>
      <c r="Q11" s="14" t="s">
        <v>306</v>
      </c>
      <c r="R11" s="14"/>
      <c r="S11" s="14" t="s">
        <v>306</v>
      </c>
      <c r="T11" s="14"/>
      <c r="U11" s="22" t="s">
        <v>307</v>
      </c>
      <c r="V11" s="14" t="s">
        <v>299</v>
      </c>
      <c r="W11" s="22" t="s">
        <v>307</v>
      </c>
      <c r="X11" s="14" t="s">
        <v>308</v>
      </c>
      <c r="Y11" s="22" t="s">
        <v>307</v>
      </c>
      <c r="Z11" s="14" t="s">
        <v>300</v>
      </c>
      <c r="AA11" s="21"/>
      <c r="AB11" s="21"/>
      <c r="AC11" s="21"/>
      <c r="AD11" s="14" t="s">
        <v>309</v>
      </c>
      <c r="AE11" s="21"/>
      <c r="AF11" s="14" t="s">
        <v>310</v>
      </c>
      <c r="AG11" s="21"/>
      <c r="AH11" s="13"/>
      <c r="AI11" s="23"/>
      <c r="AJ11" s="10"/>
    </row>
    <row r="12" spans="2:38">
      <c r="B12" s="24" t="s">
        <v>311</v>
      </c>
      <c r="D12" s="25" t="s">
        <v>312</v>
      </c>
      <c r="F12" s="25" t="s">
        <v>311</v>
      </c>
      <c r="G12" s="26"/>
      <c r="H12" s="27" t="s">
        <v>291</v>
      </c>
      <c r="I12" s="17" t="s">
        <v>304</v>
      </c>
      <c r="K12" s="27" t="s">
        <v>291</v>
      </c>
      <c r="L12" s="17" t="s">
        <v>305</v>
      </c>
      <c r="N12" s="28" t="s">
        <v>313</v>
      </c>
      <c r="O12" s="28" t="s">
        <v>313</v>
      </c>
      <c r="P12" s="13"/>
      <c r="Q12" s="28" t="s">
        <v>313</v>
      </c>
      <c r="R12" s="29"/>
      <c r="S12" s="28" t="s">
        <v>313</v>
      </c>
      <c r="T12" s="29"/>
      <c r="U12" s="30" t="s">
        <v>313</v>
      </c>
      <c r="V12" s="17" t="s">
        <v>314</v>
      </c>
      <c r="W12" s="30" t="s">
        <v>313</v>
      </c>
      <c r="X12" s="17" t="s">
        <v>314</v>
      </c>
      <c r="Y12" s="30" t="s">
        <v>313</v>
      </c>
      <c r="Z12" s="17" t="s">
        <v>314</v>
      </c>
      <c r="AA12" s="23"/>
      <c r="AB12" s="31" t="s">
        <v>315</v>
      </c>
      <c r="AC12" s="23"/>
      <c r="AD12" s="28" t="s">
        <v>315</v>
      </c>
      <c r="AE12" s="23"/>
      <c r="AF12" s="17" t="s">
        <v>316</v>
      </c>
      <c r="AG12" s="23"/>
      <c r="AH12" s="13"/>
      <c r="AI12" s="23"/>
      <c r="AJ12" s="10"/>
    </row>
    <row r="13" spans="2:38">
      <c r="B13" s="32"/>
      <c r="D13" s="22" t="s">
        <v>317</v>
      </c>
      <c r="F13" s="22" t="s">
        <v>318</v>
      </c>
      <c r="G13" s="18"/>
      <c r="H13" s="22"/>
      <c r="I13" s="22" t="s">
        <v>319</v>
      </c>
      <c r="K13" s="22"/>
      <c r="L13" s="22" t="s">
        <v>320</v>
      </c>
      <c r="N13" s="22"/>
      <c r="O13" s="22" t="s">
        <v>321</v>
      </c>
      <c r="P13" s="22"/>
      <c r="Q13" s="22" t="s">
        <v>322</v>
      </c>
      <c r="R13" s="22"/>
      <c r="S13" s="22"/>
      <c r="T13" s="22"/>
      <c r="U13" s="22" t="s">
        <v>323</v>
      </c>
      <c r="V13" s="22" t="s">
        <v>324</v>
      </c>
      <c r="W13" s="22" t="s">
        <v>324</v>
      </c>
      <c r="X13" s="22" t="s">
        <v>324</v>
      </c>
      <c r="Y13" s="22"/>
      <c r="Z13" s="22"/>
      <c r="AA13" s="22"/>
      <c r="AB13" s="22"/>
      <c r="AC13" s="22"/>
      <c r="AD13" s="22" t="s">
        <v>325</v>
      </c>
      <c r="AE13" s="22"/>
      <c r="AF13" s="22" t="s">
        <v>326</v>
      </c>
      <c r="AG13" s="22"/>
      <c r="AH13" s="19"/>
      <c r="AI13" s="19"/>
      <c r="AJ13" s="10"/>
    </row>
    <row r="14" spans="2:38">
      <c r="P14" s="22"/>
      <c r="Q14" s="22" t="s">
        <v>327</v>
      </c>
      <c r="V14" s="22" t="s">
        <v>328</v>
      </c>
      <c r="X14" s="22" t="s">
        <v>328</v>
      </c>
      <c r="Z14" s="22"/>
      <c r="AD14" s="22" t="s">
        <v>329</v>
      </c>
      <c r="AF14" s="22" t="s">
        <v>330</v>
      </c>
      <c r="AH14" s="10"/>
      <c r="AI14" s="10"/>
      <c r="AJ14" s="10"/>
    </row>
    <row r="15" spans="2:38">
      <c r="D15" s="33" t="s">
        <v>331</v>
      </c>
      <c r="AH15" s="10"/>
      <c r="AI15" s="10"/>
      <c r="AJ15" s="10"/>
    </row>
    <row r="16" spans="2:38">
      <c r="B16" s="21">
        <v>1</v>
      </c>
      <c r="D16" s="2" t="s">
        <v>332</v>
      </c>
      <c r="F16" s="34" t="s">
        <v>333</v>
      </c>
      <c r="G16" s="34"/>
      <c r="H16" s="35">
        <v>101336.91666666667</v>
      </c>
      <c r="I16" s="35">
        <f>'Billing Determinants'!C83/12</f>
        <v>103964.75</v>
      </c>
      <c r="J16" s="3"/>
      <c r="K16" s="35">
        <v>1569938.6044392167</v>
      </c>
      <c r="L16" s="35">
        <f>'Billing Determinants'!C91/1000</f>
        <v>1662888.5330062357</v>
      </c>
      <c r="N16" s="36">
        <v>102672.94442530281</v>
      </c>
      <c r="O16" s="36">
        <f>'Billing Determinants'!I91/1000</f>
        <v>137595.24637616519</v>
      </c>
      <c r="P16" s="37"/>
      <c r="Q16" s="38">
        <f>O16+U16</f>
        <v>139655.86037616519</v>
      </c>
      <c r="R16" s="36"/>
      <c r="S16" s="38">
        <f>Q16+W16</f>
        <v>140565.4604037196</v>
      </c>
      <c r="T16" s="36"/>
      <c r="U16" s="36">
        <f>('Billing Determinants'!L91-'Billing Determinants'!I91)/1000</f>
        <v>2060.614</v>
      </c>
      <c r="V16" s="39">
        <f>U16/O16</f>
        <v>1.4975909809896951E-2</v>
      </c>
      <c r="W16" s="36">
        <f>(AB16/100)*L16</f>
        <v>909.60002755441087</v>
      </c>
      <c r="X16" s="39">
        <f>W16/O16</f>
        <v>6.6106936940808119E-3</v>
      </c>
      <c r="Y16" s="36">
        <f>U16+W16</f>
        <v>2970.2140275544107</v>
      </c>
      <c r="Z16" s="39">
        <f>Y16/O16</f>
        <v>2.1586603503977762E-2</v>
      </c>
      <c r="AA16" s="37"/>
      <c r="AB16" s="40">
        <f>ROUND((((O16/$O$44)*$W$51)/L16)*100,4)</f>
        <v>5.4699999999999999E-2</v>
      </c>
      <c r="AC16" s="37"/>
      <c r="AD16" s="41">
        <f>Q16/L16*100</f>
        <v>8.3983897660109434</v>
      </c>
      <c r="AE16" s="37"/>
      <c r="AF16" s="42">
        <f>(U16/L16)*100</f>
        <v>0.12391774668592732</v>
      </c>
      <c r="AG16" s="37"/>
      <c r="AH16" s="43" t="s">
        <v>280</v>
      </c>
      <c r="AI16" s="44"/>
      <c r="AJ16" s="45" t="s">
        <v>280</v>
      </c>
      <c r="AK16" s="3" t="s">
        <v>280</v>
      </c>
    </row>
    <row r="17" spans="2:38">
      <c r="H17" s="46"/>
      <c r="I17" s="46"/>
      <c r="K17" s="46"/>
      <c r="L17" s="46"/>
      <c r="N17" s="46"/>
      <c r="O17" s="46"/>
      <c r="P17" s="10"/>
      <c r="Q17" s="47"/>
      <c r="R17" s="10"/>
      <c r="S17" s="47"/>
      <c r="T17" s="10"/>
      <c r="U17" s="46"/>
      <c r="V17" s="48"/>
      <c r="W17" s="46"/>
      <c r="X17" s="49"/>
      <c r="Y17" s="46"/>
      <c r="Z17" s="49"/>
      <c r="AA17" s="10"/>
      <c r="AB17" s="50"/>
      <c r="AC17" s="10"/>
      <c r="AD17" s="47"/>
      <c r="AE17" s="10"/>
      <c r="AF17" s="51"/>
      <c r="AG17" s="10"/>
      <c r="AH17" s="52"/>
      <c r="AI17" s="10"/>
      <c r="AJ17" s="10"/>
    </row>
    <row r="18" spans="2:38">
      <c r="V18" s="53"/>
      <c r="X18" s="53"/>
      <c r="Z18" s="53"/>
      <c r="AB18" s="54"/>
      <c r="AF18" s="55"/>
      <c r="AH18" s="52"/>
      <c r="AI18" s="10"/>
      <c r="AJ18" s="10"/>
    </row>
    <row r="19" spans="2:38">
      <c r="B19" s="56">
        <f>MAX(B$13:B18)+1</f>
        <v>2</v>
      </c>
      <c r="D19" s="33" t="s">
        <v>334</v>
      </c>
      <c r="H19" s="57">
        <f>SUM(H16:H16)</f>
        <v>101336.91666666667</v>
      </c>
      <c r="I19" s="57">
        <f>SUM(I16:I16)</f>
        <v>103964.75</v>
      </c>
      <c r="K19" s="57">
        <f>SUM(K16:K16)</f>
        <v>1569938.6044392167</v>
      </c>
      <c r="L19" s="57">
        <f>SUM(L16:L16)</f>
        <v>1662888.5330062357</v>
      </c>
      <c r="M19" s="57"/>
      <c r="N19" s="58">
        <f>SUM(N16:N16)</f>
        <v>102672.94442530281</v>
      </c>
      <c r="O19" s="58">
        <f>SUM(O16:O16)</f>
        <v>137595.24637616519</v>
      </c>
      <c r="P19" s="37"/>
      <c r="Q19" s="58">
        <f>SUM(Q16:Q16)</f>
        <v>139655.86037616519</v>
      </c>
      <c r="R19" s="58"/>
      <c r="S19" s="58">
        <f>SUM(S16:S16)</f>
        <v>140565.4604037196</v>
      </c>
      <c r="T19" s="58"/>
      <c r="U19" s="36">
        <f>SUM(U16)</f>
        <v>2060.614</v>
      </c>
      <c r="V19" s="39">
        <f>U19/O19</f>
        <v>1.4975909809896951E-2</v>
      </c>
      <c r="W19" s="36">
        <f>SUM(W16)</f>
        <v>909.60002755441087</v>
      </c>
      <c r="X19" s="39">
        <f>W19/O19</f>
        <v>6.6106936940808119E-3</v>
      </c>
      <c r="Y19" s="36">
        <f>U19+W19</f>
        <v>2970.2140275544107</v>
      </c>
      <c r="Z19" s="39">
        <f>Y19/O19</f>
        <v>2.1586603503977762E-2</v>
      </c>
      <c r="AA19" s="37"/>
      <c r="AB19" s="59"/>
      <c r="AC19" s="37"/>
      <c r="AD19" s="41">
        <f>Q19/L19*100</f>
        <v>8.3983897660109434</v>
      </c>
      <c r="AE19" s="37"/>
      <c r="AF19" s="42">
        <f>(U19/L19)*100</f>
        <v>0.12391774668592732</v>
      </c>
      <c r="AG19" s="37"/>
      <c r="AH19" s="42"/>
      <c r="AI19" s="44"/>
      <c r="AJ19" s="10"/>
    </row>
    <row r="20" spans="2:38">
      <c r="V20" s="53"/>
      <c r="X20" s="53"/>
      <c r="Z20" s="53"/>
      <c r="AB20" s="54"/>
      <c r="AF20" s="55"/>
      <c r="AH20" s="52"/>
      <c r="AI20" s="10"/>
      <c r="AJ20" s="10"/>
    </row>
    <row r="21" spans="2:38">
      <c r="D21" s="33" t="s">
        <v>335</v>
      </c>
      <c r="H21" s="60"/>
      <c r="I21" s="60"/>
      <c r="V21" s="53"/>
      <c r="X21" s="53"/>
      <c r="Z21" s="53"/>
      <c r="AB21" s="54"/>
      <c r="AF21" s="55"/>
      <c r="AH21" s="52"/>
      <c r="AI21" s="10"/>
      <c r="AJ21" s="10"/>
    </row>
    <row r="22" spans="2:38">
      <c r="B22" s="56">
        <f>MAX(B$13:B21)+1</f>
        <v>3</v>
      </c>
      <c r="D22" s="2" t="s">
        <v>336</v>
      </c>
      <c r="F22" s="18">
        <v>24</v>
      </c>
      <c r="G22" s="18"/>
      <c r="H22" s="35">
        <v>17306.416666666664</v>
      </c>
      <c r="I22" s="35">
        <f>'Billing Determinants'!C157/12</f>
        <v>18382.166666666668</v>
      </c>
      <c r="K22" s="35">
        <v>513041.74113523914</v>
      </c>
      <c r="L22" s="35">
        <f>'Billing Determinants'!C176/1000</f>
        <v>520890.69711302512</v>
      </c>
      <c r="N22" s="58">
        <v>33647.646251191611</v>
      </c>
      <c r="O22" s="58">
        <f>'Billing Determinants'!I176/1000</f>
        <v>43528.402161290032</v>
      </c>
      <c r="P22" s="37"/>
      <c r="Q22" s="38">
        <f t="shared" ref="Q22:Q29" si="0">O22+U22</f>
        <v>44180.221161290036</v>
      </c>
      <c r="R22" s="36"/>
      <c r="S22" s="38">
        <f t="shared" ref="S22:S29" si="1">Q22+W22</f>
        <v>44468.273716793541</v>
      </c>
      <c r="T22" s="36"/>
      <c r="U22" s="36">
        <f>('Billing Determinants'!L176-'Billing Determinants'!I176)/1000</f>
        <v>651.81899999999996</v>
      </c>
      <c r="V22" s="39">
        <f>U22/O22</f>
        <v>1.4974567584280982E-2</v>
      </c>
      <c r="W22" s="36">
        <f t="shared" ref="W22:W29" si="2">(AB22/100)*L22</f>
        <v>288.0525555035029</v>
      </c>
      <c r="X22" s="39">
        <f>W22/O22</f>
        <v>6.6175770577599812E-3</v>
      </c>
      <c r="Y22" s="36">
        <f t="shared" ref="Y22:Y29" si="3">U22+W22</f>
        <v>939.8715555035028</v>
      </c>
      <c r="Z22" s="39">
        <f>Y22/O22</f>
        <v>2.1592144642040963E-2</v>
      </c>
      <c r="AA22" s="37"/>
      <c r="AB22" s="40">
        <f>ROUND((((O22/$O$44)*$W$51)/L22)*100,4)</f>
        <v>5.5300000000000002E-2</v>
      </c>
      <c r="AC22" s="37"/>
      <c r="AD22" s="41">
        <f>Q22/L22*100</f>
        <v>8.4816683051077071</v>
      </c>
      <c r="AE22" s="37"/>
      <c r="AF22" s="42">
        <f>(U22/L22)*100</f>
        <v>0.12513546577288276</v>
      </c>
      <c r="AG22" s="37"/>
      <c r="AH22" s="42"/>
      <c r="AI22" s="44"/>
      <c r="AJ22" s="10"/>
      <c r="AK22" s="61"/>
      <c r="AL22" s="62"/>
    </row>
    <row r="23" spans="2:38">
      <c r="B23" s="56">
        <f>MAX(B$13:B22)+1</f>
        <v>4</v>
      </c>
      <c r="D23" s="63" t="s">
        <v>337</v>
      </c>
      <c r="E23" s="63"/>
      <c r="F23" s="56">
        <v>33</v>
      </c>
      <c r="G23" s="18"/>
      <c r="H23" s="35">
        <v>0</v>
      </c>
      <c r="I23" s="35">
        <v>0</v>
      </c>
      <c r="K23" s="35">
        <v>0</v>
      </c>
      <c r="L23" s="35">
        <v>0</v>
      </c>
      <c r="N23" s="36">
        <v>0</v>
      </c>
      <c r="O23" s="36">
        <v>0</v>
      </c>
      <c r="P23" s="37"/>
      <c r="Q23" s="38">
        <f t="shared" si="0"/>
        <v>0</v>
      </c>
      <c r="R23" s="36"/>
      <c r="S23" s="38">
        <f t="shared" si="1"/>
        <v>0</v>
      </c>
      <c r="T23" s="36"/>
      <c r="U23" s="36">
        <f>('Billing Determinants'!L474-'Billing Determinants'!I474)/1000</f>
        <v>0</v>
      </c>
      <c r="V23" s="39">
        <f>V24</f>
        <v>1.4970352384955685E-2</v>
      </c>
      <c r="W23" s="36">
        <f t="shared" si="2"/>
        <v>0</v>
      </c>
      <c r="X23" s="39">
        <v>0</v>
      </c>
      <c r="Y23" s="36">
        <f t="shared" si="3"/>
        <v>0</v>
      </c>
      <c r="Z23" s="39">
        <f>V23+X23</f>
        <v>1.4970352384955685E-2</v>
      </c>
      <c r="AA23" s="37"/>
      <c r="AB23" s="40">
        <v>0</v>
      </c>
      <c r="AC23" s="37"/>
      <c r="AD23" s="41">
        <v>0</v>
      </c>
      <c r="AE23" s="37"/>
      <c r="AF23" s="42">
        <v>0</v>
      </c>
      <c r="AG23" s="37"/>
      <c r="AH23" s="42"/>
      <c r="AI23" s="44"/>
      <c r="AJ23" s="10"/>
      <c r="AK23" s="61"/>
      <c r="AL23" s="62"/>
    </row>
    <row r="24" spans="2:38">
      <c r="B24" s="56">
        <f>MAX(B$13:B23)+1</f>
        <v>5</v>
      </c>
      <c r="D24" s="2" t="s">
        <v>338</v>
      </c>
      <c r="F24" s="18">
        <v>36</v>
      </c>
      <c r="G24" s="18"/>
      <c r="H24" s="35">
        <v>1058.6666666666667</v>
      </c>
      <c r="I24" s="35">
        <f>'Billing Determinants'!C483/12</f>
        <v>1071.5833333333333</v>
      </c>
      <c r="K24" s="35">
        <v>901191.51506367233</v>
      </c>
      <c r="L24" s="35">
        <f>'Billing Determinants'!C508/1000</f>
        <v>874471.48730753385</v>
      </c>
      <c r="N24" s="58">
        <v>49005.26783999426</v>
      </c>
      <c r="O24" s="58">
        <f>'Billing Determinants'!I508/1000</f>
        <v>61577.308021579265</v>
      </c>
      <c r="P24" s="37"/>
      <c r="Q24" s="38">
        <f t="shared" si="0"/>
        <v>62499.142021579268</v>
      </c>
      <c r="R24" s="36"/>
      <c r="S24" s="38">
        <f t="shared" si="1"/>
        <v>62906.645734664577</v>
      </c>
      <c r="T24" s="36"/>
      <c r="U24" s="36">
        <f>('Billing Determinants'!L508-'Billing Determinants'!I508)/1000</f>
        <v>921.83399999999995</v>
      </c>
      <c r="V24" s="39">
        <f t="shared" ref="V24:V29" si="4">U24/O24</f>
        <v>1.4970352384955685E-2</v>
      </c>
      <c r="W24" s="36">
        <f t="shared" si="2"/>
        <v>407.50371308531084</v>
      </c>
      <c r="X24" s="39">
        <f t="shared" ref="X24:X29" si="5">W24/O24</f>
        <v>6.6177578425887741E-3</v>
      </c>
      <c r="Y24" s="36">
        <f t="shared" si="3"/>
        <v>1329.3377130853107</v>
      </c>
      <c r="Z24" s="39">
        <f t="shared" ref="Z24:Z29" si="6">Y24/O24</f>
        <v>2.158811022754446E-2</v>
      </c>
      <c r="AA24" s="37"/>
      <c r="AB24" s="40">
        <f t="shared" ref="AB24:AB29" si="7">ROUND((((O24/$O$44)*$W$51)/L24)*100,4)</f>
        <v>4.6600000000000003E-2</v>
      </c>
      <c r="AC24" s="37"/>
      <c r="AD24" s="41">
        <f t="shared" ref="AD24:AD29" si="8">Q24/L24*100</f>
        <v>7.1470760257732202</v>
      </c>
      <c r="AE24" s="37"/>
      <c r="AF24" s="42">
        <f t="shared" ref="AF24:AF29" si="9">(U24/L24)*100</f>
        <v>0.10541613001451809</v>
      </c>
      <c r="AG24" s="37"/>
      <c r="AH24" s="42"/>
      <c r="AI24" s="44"/>
      <c r="AJ24" s="10"/>
      <c r="AK24" s="61"/>
      <c r="AL24" s="62"/>
    </row>
    <row r="25" spans="2:38">
      <c r="B25" s="56">
        <f>MAX(B$13:B24)+1</f>
        <v>6</v>
      </c>
      <c r="D25" s="2" t="s">
        <v>339</v>
      </c>
      <c r="F25" s="18" t="s">
        <v>340</v>
      </c>
      <c r="G25" s="18"/>
      <c r="H25" s="35">
        <v>5259</v>
      </c>
      <c r="I25" s="35">
        <f>'Billing Determinants'!C587</f>
        <v>5276</v>
      </c>
      <c r="K25" s="35">
        <v>168033.04399999999</v>
      </c>
      <c r="L25" s="35">
        <f>'Billing Determinants'!C627/1000</f>
        <v>150522.40299999999</v>
      </c>
      <c r="N25" s="58">
        <v>10140.337</v>
      </c>
      <c r="O25" s="58">
        <f>'Billing Determinants'!I627/1000</f>
        <v>11908.413</v>
      </c>
      <c r="P25" s="37"/>
      <c r="Q25" s="38">
        <f t="shared" si="0"/>
        <v>12086.693000000001</v>
      </c>
      <c r="R25" s="36"/>
      <c r="S25" s="38">
        <f t="shared" si="1"/>
        <v>12165.416216769001</v>
      </c>
      <c r="T25" s="36"/>
      <c r="U25" s="36">
        <f>('Billing Determinants'!L627-'Billing Determinants'!I627)/1000</f>
        <v>178.28</v>
      </c>
      <c r="V25" s="39">
        <f t="shared" si="4"/>
        <v>1.4970928535985441E-2</v>
      </c>
      <c r="W25" s="36">
        <f t="shared" si="2"/>
        <v>78.723216769000004</v>
      </c>
      <c r="X25" s="39">
        <f t="shared" si="5"/>
        <v>6.6107227528134941E-3</v>
      </c>
      <c r="Y25" s="36">
        <f t="shared" si="3"/>
        <v>257.00321676900001</v>
      </c>
      <c r="Z25" s="39">
        <f t="shared" si="6"/>
        <v>2.1581651288798936E-2</v>
      </c>
      <c r="AA25" s="37"/>
      <c r="AB25" s="40">
        <f t="shared" si="7"/>
        <v>5.2299999999999999E-2</v>
      </c>
      <c r="AC25" s="37"/>
      <c r="AD25" s="41">
        <f t="shared" si="8"/>
        <v>8.0298299516252083</v>
      </c>
      <c r="AE25" s="37"/>
      <c r="AF25" s="42">
        <f t="shared" si="9"/>
        <v>0.11844084099560916</v>
      </c>
      <c r="AG25" s="37"/>
      <c r="AH25" s="42"/>
      <c r="AI25" s="44"/>
      <c r="AJ25" s="10"/>
    </row>
    <row r="26" spans="2:38">
      <c r="B26" s="56">
        <f>MAX(B$13:B25)+1</f>
        <v>7</v>
      </c>
      <c r="D26" s="2" t="s">
        <v>341</v>
      </c>
      <c r="F26" s="18">
        <v>47</v>
      </c>
      <c r="G26" s="18"/>
      <c r="H26" s="35">
        <v>1.0833333333333333</v>
      </c>
      <c r="I26" s="35">
        <f>'Billing Determinants'!C737/12</f>
        <v>1</v>
      </c>
      <c r="K26" s="35">
        <v>1616.6904507017675</v>
      </c>
      <c r="L26" s="35">
        <f>'Billing Determinants'!C750/1000</f>
        <v>1600.0426108887327</v>
      </c>
      <c r="N26" s="58">
        <v>165.62561725051643</v>
      </c>
      <c r="O26" s="58">
        <f>'Billing Determinants'!I750/1000</f>
        <v>264.50059533997137</v>
      </c>
      <c r="P26" s="37"/>
      <c r="Q26" s="38">
        <f t="shared" si="0"/>
        <v>268.48559533997138</v>
      </c>
      <c r="R26" s="36"/>
      <c r="S26" s="38">
        <f t="shared" si="1"/>
        <v>270.23444191367275</v>
      </c>
      <c r="T26" s="36"/>
      <c r="U26" s="36">
        <f>('Billing Determinants'!L750-'Billing Determinants'!I750)/1000</f>
        <v>3.9849999999999999</v>
      </c>
      <c r="V26" s="39">
        <f t="shared" si="4"/>
        <v>1.5066128659854044E-2</v>
      </c>
      <c r="W26" s="36">
        <f t="shared" si="2"/>
        <v>1.748846573701385</v>
      </c>
      <c r="X26" s="39">
        <f t="shared" si="5"/>
        <v>6.6118814267829328E-3</v>
      </c>
      <c r="Y26" s="36">
        <f t="shared" si="3"/>
        <v>5.7338465737013848</v>
      </c>
      <c r="Z26" s="39">
        <f t="shared" si="6"/>
        <v>2.1678010086636976E-2</v>
      </c>
      <c r="AA26" s="37"/>
      <c r="AB26" s="40">
        <f t="shared" si="7"/>
        <v>0.10929999999999999</v>
      </c>
      <c r="AC26" s="37"/>
      <c r="AD26" s="41">
        <f t="shared" si="8"/>
        <v>16.779902829640449</v>
      </c>
      <c r="AE26" s="37"/>
      <c r="AF26" s="42">
        <f t="shared" si="9"/>
        <v>0.24905586719259676</v>
      </c>
      <c r="AG26" s="37"/>
      <c r="AH26" s="42"/>
      <c r="AI26" s="44"/>
      <c r="AJ26" s="10"/>
    </row>
    <row r="27" spans="2:38">
      <c r="B27" s="56">
        <f>MAX(B$13:B26)+1</f>
        <v>8</v>
      </c>
      <c r="D27" s="2" t="s">
        <v>342</v>
      </c>
      <c r="F27" s="18">
        <v>48</v>
      </c>
      <c r="G27" s="18"/>
      <c r="H27" s="35">
        <v>63.666666666666671</v>
      </c>
      <c r="I27" s="35">
        <f>('Billing Determinants'!C776+'Billing Determinants'!C933)/12</f>
        <v>57.416666666666664</v>
      </c>
      <c r="K27" s="35">
        <v>856497.09877425549</v>
      </c>
      <c r="L27" s="35">
        <f>('Billing Determinants'!C785+'Billing Determinants'!C942)/1000</f>
        <v>798535.04749688564</v>
      </c>
      <c r="N27" s="58">
        <v>38996.209349631463</v>
      </c>
      <c r="O27" s="58">
        <f>('Billing Determinants'!I785+'Billing Determinants'!I942)/1000</f>
        <v>45735.178148318606</v>
      </c>
      <c r="P27" s="37"/>
      <c r="Q27" s="38">
        <f t="shared" si="0"/>
        <v>46419.928148318599</v>
      </c>
      <c r="R27" s="36"/>
      <c r="S27" s="38">
        <f t="shared" si="1"/>
        <v>46722.572931319919</v>
      </c>
      <c r="T27" s="36"/>
      <c r="U27" s="36">
        <f>('Billing Determinants'!L785+'Billing Determinants'!L942-'Billing Determinants'!I785-'Billing Determinants'!I942)/1000</f>
        <v>684.74999999999625</v>
      </c>
      <c r="V27" s="39">
        <f t="shared" si="4"/>
        <v>1.497206368759209E-2</v>
      </c>
      <c r="W27" s="36">
        <f t="shared" si="2"/>
        <v>302.64478300131969</v>
      </c>
      <c r="X27" s="39">
        <f t="shared" si="5"/>
        <v>6.6173303626334739E-3</v>
      </c>
      <c r="Y27" s="36">
        <f t="shared" si="3"/>
        <v>987.394783001316</v>
      </c>
      <c r="Z27" s="39">
        <f t="shared" si="6"/>
        <v>2.1589394050225565E-2</v>
      </c>
      <c r="AA27" s="37"/>
      <c r="AB27" s="40">
        <f t="shared" si="7"/>
        <v>3.7900000000000003E-2</v>
      </c>
      <c r="AC27" s="37"/>
      <c r="AD27" s="41">
        <f t="shared" si="8"/>
        <v>5.8131359786684422</v>
      </c>
      <c r="AE27" s="37"/>
      <c r="AF27" s="42">
        <f t="shared" si="9"/>
        <v>8.5750776017463004E-2</v>
      </c>
      <c r="AG27" s="37"/>
      <c r="AH27" s="42"/>
      <c r="AI27" s="44"/>
      <c r="AJ27" s="10"/>
      <c r="AK27" s="3" t="s">
        <v>280</v>
      </c>
    </row>
    <row r="28" spans="2:38" hidden="1">
      <c r="B28" s="56">
        <f>MAX(B$13:B26)+1</f>
        <v>8</v>
      </c>
      <c r="D28" s="2" t="s">
        <v>343</v>
      </c>
      <c r="F28" s="34" t="s">
        <v>344</v>
      </c>
      <c r="G28" s="18"/>
      <c r="H28" s="35">
        <v>63.666666666666671</v>
      </c>
      <c r="I28" s="35">
        <v>0</v>
      </c>
      <c r="K28" s="35">
        <v>856497.09877425549</v>
      </c>
      <c r="L28" s="35">
        <v>0</v>
      </c>
      <c r="N28" s="58">
        <v>38996.209349631463</v>
      </c>
      <c r="O28" s="58">
        <v>0</v>
      </c>
      <c r="P28" s="37"/>
      <c r="Q28" s="38">
        <v>0</v>
      </c>
      <c r="R28" s="36"/>
      <c r="S28" s="38" t="e">
        <f t="shared" si="1"/>
        <v>#DIV/0!</v>
      </c>
      <c r="T28" s="36"/>
      <c r="U28" s="36">
        <v>0</v>
      </c>
      <c r="V28" s="39">
        <v>0</v>
      </c>
      <c r="W28" s="36" t="e">
        <f t="shared" si="2"/>
        <v>#DIV/0!</v>
      </c>
      <c r="X28" s="39" t="e">
        <f t="shared" si="5"/>
        <v>#DIV/0!</v>
      </c>
      <c r="Y28" s="36" t="e">
        <f t="shared" si="3"/>
        <v>#DIV/0!</v>
      </c>
      <c r="Z28" s="39" t="e">
        <f t="shared" si="6"/>
        <v>#DIV/0!</v>
      </c>
      <c r="AA28" s="37"/>
      <c r="AB28" s="40" t="e">
        <f t="shared" si="7"/>
        <v>#DIV/0!</v>
      </c>
      <c r="AC28" s="37"/>
      <c r="AD28" s="41">
        <v>0</v>
      </c>
      <c r="AE28" s="37"/>
      <c r="AF28" s="42">
        <v>0</v>
      </c>
      <c r="AG28" s="37"/>
      <c r="AH28" s="42"/>
      <c r="AI28" s="44"/>
      <c r="AJ28" s="10"/>
    </row>
    <row r="29" spans="2:38">
      <c r="B29" s="56">
        <f>MAX(B$13:B28)+1</f>
        <v>9</v>
      </c>
      <c r="D29" s="2" t="s">
        <v>345</v>
      </c>
      <c r="F29" s="18" t="s">
        <v>346</v>
      </c>
      <c r="G29" s="18"/>
      <c r="H29" s="35">
        <v>28</v>
      </c>
      <c r="I29" s="35">
        <f>'Billing Determinants'!C1035/12</f>
        <v>28.666666666666668</v>
      </c>
      <c r="K29" s="35">
        <v>233.86177246899351</v>
      </c>
      <c r="L29" s="35">
        <f>'Billing Determinants'!C1039/1000</f>
        <v>272.94021520156122</v>
      </c>
      <c r="N29" s="58">
        <v>18.659249899021408</v>
      </c>
      <c r="O29" s="58">
        <f>'Billing Determinants'!I1039/1000</f>
        <v>23.956380136572363</v>
      </c>
      <c r="P29" s="37"/>
      <c r="Q29" s="38">
        <f t="shared" si="0"/>
        <v>23.956380136572363</v>
      </c>
      <c r="R29" s="36"/>
      <c r="S29" s="38">
        <f t="shared" si="1"/>
        <v>24.114685461389268</v>
      </c>
      <c r="T29" s="36"/>
      <c r="U29" s="36">
        <f>('Billing Determinants'!L1039-'Billing Determinants'!I1039)/1000</f>
        <v>0</v>
      </c>
      <c r="V29" s="39">
        <f t="shared" si="4"/>
        <v>0</v>
      </c>
      <c r="W29" s="36">
        <f t="shared" si="2"/>
        <v>0.15830532481690551</v>
      </c>
      <c r="X29" s="39">
        <f t="shared" si="5"/>
        <v>6.6080653218235147E-3</v>
      </c>
      <c r="Y29" s="36">
        <f t="shared" si="3"/>
        <v>0.15830532481690551</v>
      </c>
      <c r="Z29" s="39">
        <f t="shared" si="6"/>
        <v>6.6080653218235147E-3</v>
      </c>
      <c r="AA29" s="37"/>
      <c r="AB29" s="40">
        <f t="shared" si="7"/>
        <v>5.8000000000000003E-2</v>
      </c>
      <c r="AC29" s="37"/>
      <c r="AD29" s="41">
        <f t="shared" si="8"/>
        <v>8.7771529449703944</v>
      </c>
      <c r="AE29" s="37"/>
      <c r="AF29" s="42">
        <f t="shared" si="9"/>
        <v>0</v>
      </c>
      <c r="AG29" s="37"/>
      <c r="AH29" s="42"/>
      <c r="AI29" s="44"/>
      <c r="AJ29" s="10"/>
    </row>
    <row r="30" spans="2:38">
      <c r="B30" s="21"/>
      <c r="F30" s="18"/>
      <c r="G30" s="18"/>
      <c r="H30" s="46"/>
      <c r="I30" s="46"/>
      <c r="K30" s="46"/>
      <c r="L30" s="46"/>
      <c r="N30" s="46"/>
      <c r="O30" s="46"/>
      <c r="P30" s="10"/>
      <c r="Q30" s="47"/>
      <c r="R30" s="10"/>
      <c r="S30" s="47"/>
      <c r="T30" s="10"/>
      <c r="U30" s="46"/>
      <c r="V30" s="49"/>
      <c r="W30" s="46"/>
      <c r="X30" s="49"/>
      <c r="Y30" s="46"/>
      <c r="Z30" s="49"/>
      <c r="AA30" s="10"/>
      <c r="AB30" s="50"/>
      <c r="AC30" s="10"/>
      <c r="AD30" s="47"/>
      <c r="AE30" s="10"/>
      <c r="AF30" s="51"/>
      <c r="AG30" s="10"/>
      <c r="AH30" s="52"/>
      <c r="AI30" s="10"/>
      <c r="AJ30" s="10"/>
    </row>
    <row r="31" spans="2:38">
      <c r="B31" s="21"/>
      <c r="V31" s="53"/>
      <c r="X31" s="53"/>
      <c r="Z31" s="53"/>
      <c r="AB31" s="54"/>
      <c r="AF31" s="55"/>
      <c r="AH31" s="52"/>
      <c r="AI31" s="10"/>
      <c r="AJ31" s="10"/>
    </row>
    <row r="32" spans="2:38">
      <c r="B32" s="56">
        <f>MAX(B$13:B31)+1</f>
        <v>10</v>
      </c>
      <c r="D32" s="33" t="s">
        <v>347</v>
      </c>
      <c r="H32" s="57">
        <f>SUM(H22:H29)</f>
        <v>23780.5</v>
      </c>
      <c r="I32" s="57">
        <f>SUM(I22:I29)</f>
        <v>24816.833333333336</v>
      </c>
      <c r="K32" s="57">
        <f>SUM(K22:K29)</f>
        <v>3297111.0499705928</v>
      </c>
      <c r="L32" s="57">
        <f>SUM(L22:L29)</f>
        <v>2346292.617743535</v>
      </c>
      <c r="M32" s="57"/>
      <c r="N32" s="36">
        <f>SUM(N22:N29)</f>
        <v>170969.95465759834</v>
      </c>
      <c r="O32" s="36">
        <f>SUM(O22:O29)</f>
        <v>163037.75830666444</v>
      </c>
      <c r="P32" s="37"/>
      <c r="Q32" s="38">
        <f>SUM(Q22:Q29)</f>
        <v>165478.42630666445</v>
      </c>
      <c r="R32" s="58"/>
      <c r="S32" s="38" t="e">
        <f>SUM(S22:S29)</f>
        <v>#DIV/0!</v>
      </c>
      <c r="T32" s="58"/>
      <c r="U32" s="36">
        <f>SUM(U22:U29)</f>
        <v>2440.667999999996</v>
      </c>
      <c r="V32" s="39">
        <f>U32/O32</f>
        <v>1.4969955581756974E-2</v>
      </c>
      <c r="W32" s="36" t="e">
        <f>SUM(W22:W29)</f>
        <v>#DIV/0!</v>
      </c>
      <c r="X32" s="39" t="e">
        <f>W32/O32</f>
        <v>#DIV/0!</v>
      </c>
      <c r="Y32" s="36" t="e">
        <f>U32+W32</f>
        <v>#DIV/0!</v>
      </c>
      <c r="Z32" s="39"/>
      <c r="AA32" s="37"/>
      <c r="AB32" s="40"/>
      <c r="AC32" s="37"/>
      <c r="AD32" s="41">
        <f>Q32/L32*100</f>
        <v>7.0527616655848986</v>
      </c>
      <c r="AE32" s="37"/>
      <c r="AF32" s="42">
        <f>(U32/L32)*100</f>
        <v>0.10402231936216136</v>
      </c>
      <c r="AG32" s="37"/>
      <c r="AH32" s="42"/>
      <c r="AI32" s="44"/>
      <c r="AJ32" s="10"/>
    </row>
    <row r="33" spans="2:37">
      <c r="B33" s="21"/>
      <c r="V33" s="53"/>
      <c r="X33" s="53"/>
      <c r="Z33" s="53"/>
      <c r="AB33" s="54"/>
      <c r="AF33" s="55"/>
      <c r="AH33" s="52"/>
      <c r="AI33" s="10"/>
      <c r="AJ33" s="10"/>
    </row>
    <row r="34" spans="2:37">
      <c r="B34" s="21"/>
      <c r="D34" s="33" t="s">
        <v>348</v>
      </c>
      <c r="V34" s="53"/>
      <c r="X34" s="53"/>
      <c r="Z34" s="53"/>
      <c r="AB34" s="54"/>
      <c r="AF34" s="55"/>
      <c r="AH34" s="52"/>
      <c r="AI34" s="10"/>
      <c r="AJ34" s="10"/>
    </row>
    <row r="35" spans="2:37">
      <c r="B35" s="56">
        <f>MAX(B$13:B34)+1</f>
        <v>11</v>
      </c>
      <c r="D35" s="2" t="s">
        <v>349</v>
      </c>
      <c r="F35" s="18" t="s">
        <v>350</v>
      </c>
      <c r="G35" s="18"/>
      <c r="H35" s="35">
        <v>2828</v>
      </c>
      <c r="I35" s="35">
        <f>'Billing Determinants'!C24/12</f>
        <v>2641</v>
      </c>
      <c r="K35" s="35">
        <v>3735.0893644456642</v>
      </c>
      <c r="L35" s="35">
        <f>'Billing Determinants'!C27/1000</f>
        <v>3481.7252171919949</v>
      </c>
      <c r="N35" s="58">
        <v>473.92026673033644</v>
      </c>
      <c r="O35" s="58">
        <f>'Billing Determinants'!I27/1000</f>
        <v>491.79100717035965</v>
      </c>
      <c r="P35" s="37"/>
      <c r="Q35" s="38">
        <f>O35+U35</f>
        <v>491.79031717035957</v>
      </c>
      <c r="R35" s="36"/>
      <c r="S35" s="38">
        <f>Q35+W35</f>
        <v>495.04224852321687</v>
      </c>
      <c r="T35" s="36"/>
      <c r="U35" s="36">
        <f>('Billing Determinants'!L27-'Billing Determinants'!I27)/1000</f>
        <v>-6.9000000006053596E-4</v>
      </c>
      <c r="V35" s="39">
        <f>U35/O35</f>
        <v>-1.4030350087746022E-6</v>
      </c>
      <c r="W35" s="36">
        <f>(AB35/100)*L35</f>
        <v>3.2519313528573233</v>
      </c>
      <c r="X35" s="39">
        <f>W35/O35</f>
        <v>6.6124254112902734E-3</v>
      </c>
      <c r="Y35" s="36">
        <f>U35+W35</f>
        <v>3.2512413528572628</v>
      </c>
      <c r="Z35" s="39">
        <f>Y35/O35</f>
        <v>6.6110223762814993E-3</v>
      </c>
      <c r="AA35" s="37"/>
      <c r="AB35" s="40">
        <f>ROUND((((O35/$O$44)*$W$51)/L35)*100,4)</f>
        <v>9.3399999999999997E-2</v>
      </c>
      <c r="AC35" s="37"/>
      <c r="AD35" s="41">
        <f>Q35/L35*100</f>
        <v>14.124903215854223</v>
      </c>
      <c r="AE35" s="37"/>
      <c r="AF35" s="42">
        <f>(U35/L35)*100</f>
        <v>-1.9817761512409636E-5</v>
      </c>
      <c r="AG35" s="37"/>
      <c r="AH35" s="42"/>
      <c r="AI35" s="44"/>
      <c r="AJ35" s="10"/>
    </row>
    <row r="36" spans="2:37">
      <c r="B36" s="56">
        <f>MAX(B$13:B35)+1</f>
        <v>12</v>
      </c>
      <c r="D36" s="2" t="s">
        <v>351</v>
      </c>
      <c r="F36" s="18" t="s">
        <v>352</v>
      </c>
      <c r="G36" s="18"/>
      <c r="H36" s="35">
        <v>178</v>
      </c>
      <c r="I36" s="35">
        <f>'Billing Determinants'!C966/12</f>
        <v>166</v>
      </c>
      <c r="K36" s="35">
        <v>2902.2385934150548</v>
      </c>
      <c r="L36" s="35">
        <f>'Billing Determinants'!C969/1000</f>
        <v>3428.6151198565353</v>
      </c>
      <c r="N36" s="58">
        <v>522.31224201957195</v>
      </c>
      <c r="O36" s="58">
        <f>'Billing Determinants'!I969/1000</f>
        <v>675.37688105718655</v>
      </c>
      <c r="P36" s="37"/>
      <c r="Q36" s="38">
        <f>O36+U36</f>
        <v>675.37688105718655</v>
      </c>
      <c r="R36" s="36"/>
      <c r="S36" s="38">
        <f>Q36+W36</f>
        <v>679.84093794323974</v>
      </c>
      <c r="T36" s="36"/>
      <c r="U36" s="36">
        <f>('Billing Determinants'!L969-'Billing Determinants'!I969)/1000</f>
        <v>0</v>
      </c>
      <c r="V36" s="39">
        <f>U36/O36</f>
        <v>0</v>
      </c>
      <c r="W36" s="36">
        <f>(AB36/100)*L36</f>
        <v>4.4640568860532097</v>
      </c>
      <c r="X36" s="39">
        <f>W36/O36</f>
        <v>6.6097271186800104E-3</v>
      </c>
      <c r="Y36" s="36">
        <f>U36+W36</f>
        <v>4.4640568860532097</v>
      </c>
      <c r="Z36" s="39">
        <f>Y36/O36</f>
        <v>6.6097271186800104E-3</v>
      </c>
      <c r="AA36" s="37"/>
      <c r="AB36" s="40">
        <f>ROUND((((O36/$O$44)*$W$51)/L36)*100,4)</f>
        <v>0.13020000000000001</v>
      </c>
      <c r="AC36" s="37"/>
      <c r="AD36" s="41">
        <f>Q36/L36*100</f>
        <v>19.698241343736665</v>
      </c>
      <c r="AE36" s="37"/>
      <c r="AF36" s="42">
        <f>(U36/L36)*100</f>
        <v>0</v>
      </c>
      <c r="AG36" s="37"/>
      <c r="AH36" s="42"/>
      <c r="AI36" s="44"/>
      <c r="AJ36" s="43" t="s">
        <v>280</v>
      </c>
    </row>
    <row r="37" spans="2:37">
      <c r="B37" s="56">
        <f>MAX(B$13:B36)+1</f>
        <v>13</v>
      </c>
      <c r="D37" s="2" t="s">
        <v>351</v>
      </c>
      <c r="F37" s="18">
        <v>52</v>
      </c>
      <c r="G37" s="18"/>
      <c r="H37" s="35">
        <v>30</v>
      </c>
      <c r="I37" s="35">
        <f>'Billing Determinants'!C977/12</f>
        <v>23</v>
      </c>
      <c r="K37" s="35">
        <v>466.2387672357238</v>
      </c>
      <c r="L37" s="35">
        <f>'Billing Determinants'!C980/1000</f>
        <v>431.19516894904621</v>
      </c>
      <c r="N37" s="58">
        <v>60.670270195709442</v>
      </c>
      <c r="O37" s="58">
        <f>'Billing Determinants'!I980/1000</f>
        <v>63.804758408523398</v>
      </c>
      <c r="P37" s="37"/>
      <c r="Q37" s="38">
        <f>O37+U37</f>
        <v>63.804758408523398</v>
      </c>
      <c r="R37" s="36"/>
      <c r="S37" s="38">
        <f>Q37+W37</f>
        <v>64.226467283755568</v>
      </c>
      <c r="T37" s="36"/>
      <c r="U37" s="36">
        <f>('Billing Determinants'!L980-'Billing Determinants'!I980)/1000</f>
        <v>0</v>
      </c>
      <c r="V37" s="39">
        <f>U37/O37</f>
        <v>0</v>
      </c>
      <c r="W37" s="36">
        <f>(AB37/100)*L37</f>
        <v>0.42170887523216716</v>
      </c>
      <c r="X37" s="39">
        <f>W37/O37</f>
        <v>6.6093640310035708E-3</v>
      </c>
      <c r="Y37" s="36">
        <f>U37+W37</f>
        <v>0.42170887523216716</v>
      </c>
      <c r="Z37" s="39">
        <f>Y37/O37</f>
        <v>6.6093640310035708E-3</v>
      </c>
      <c r="AA37" s="37"/>
      <c r="AB37" s="40">
        <f>ROUND((((O37/$O$44)*$W$51)/L37)*100,4)</f>
        <v>9.7799999999999998E-2</v>
      </c>
      <c r="AC37" s="37"/>
      <c r="AD37" s="41">
        <f>Q37/L37*100</f>
        <v>14.797187678153955</v>
      </c>
      <c r="AE37" s="37"/>
      <c r="AF37" s="42">
        <f>(U37/L37)*100</f>
        <v>0</v>
      </c>
      <c r="AG37" s="37"/>
      <c r="AH37" s="42"/>
      <c r="AI37" s="44"/>
      <c r="AJ37" s="10"/>
    </row>
    <row r="38" spans="2:37">
      <c r="B38" s="56">
        <f>MAX(B$13:B37)+1</f>
        <v>14</v>
      </c>
      <c r="D38" s="2" t="s">
        <v>351</v>
      </c>
      <c r="F38" s="18">
        <v>53</v>
      </c>
      <c r="G38" s="18"/>
      <c r="H38" s="35">
        <v>272.33333333333337</v>
      </c>
      <c r="I38" s="35">
        <f>'Billing Determinants'!C988/12</f>
        <v>198</v>
      </c>
      <c r="K38" s="35">
        <v>4499.9316487570059</v>
      </c>
      <c r="L38" s="35">
        <f>'Billing Determinants'!C991/1000</f>
        <v>5055.0120519872899</v>
      </c>
      <c r="N38" s="35">
        <v>278.83306975907675</v>
      </c>
      <c r="O38" s="35">
        <f>'Billing Determinants'!I991/1000</f>
        <v>348.52287538515174</v>
      </c>
      <c r="P38" s="37"/>
      <c r="Q38" s="38">
        <f>O38+U38</f>
        <v>348.52287538515174</v>
      </c>
      <c r="R38" s="36"/>
      <c r="S38" s="38">
        <f>Q38+W38</f>
        <v>350.82796088085792</v>
      </c>
      <c r="T38" s="36"/>
      <c r="U38" s="36">
        <f>('Billing Determinants'!L991-'Billing Determinants'!I991)/1000</f>
        <v>0</v>
      </c>
      <c r="V38" s="39">
        <f>U38/O38</f>
        <v>0</v>
      </c>
      <c r="W38" s="36">
        <f>(AB38/100)*L38</f>
        <v>2.3050854957062041</v>
      </c>
      <c r="X38" s="39">
        <f>W38/O38</f>
        <v>6.6138714515047541E-3</v>
      </c>
      <c r="Y38" s="36">
        <f>U38+W38</f>
        <v>2.3050854957062041</v>
      </c>
      <c r="Z38" s="39">
        <f>Y38/O38</f>
        <v>6.6138714515047541E-3</v>
      </c>
      <c r="AA38" s="37"/>
      <c r="AB38" s="40">
        <f>ROUND((((O38/$O$44)*$W$51)/L38)*100,4)</f>
        <v>4.5600000000000002E-2</v>
      </c>
      <c r="AC38" s="37"/>
      <c r="AD38" s="41">
        <f>Q38/L38*100</f>
        <v>6.8946002858318813</v>
      </c>
      <c r="AE38" s="37"/>
      <c r="AF38" s="42">
        <f>(U38/L38)*100</f>
        <v>0</v>
      </c>
      <c r="AG38" s="37"/>
      <c r="AH38" s="42"/>
      <c r="AI38" s="44"/>
      <c r="AJ38" s="10"/>
      <c r="AK38" s="3" t="s">
        <v>280</v>
      </c>
    </row>
    <row r="39" spans="2:37">
      <c r="B39" s="56">
        <f>MAX(B$13:B38)+1</f>
        <v>15</v>
      </c>
      <c r="D39" s="2" t="s">
        <v>351</v>
      </c>
      <c r="F39" s="18">
        <v>57</v>
      </c>
      <c r="G39" s="18"/>
      <c r="H39" s="35">
        <v>50.666666666666664</v>
      </c>
      <c r="I39" s="35">
        <f>'Billing Determinants'!C1073/12</f>
        <v>44.75</v>
      </c>
      <c r="K39" s="35">
        <v>2174.0459905922153</v>
      </c>
      <c r="L39" s="35">
        <f>'Billing Determinants'!C1076/1000</f>
        <v>2117.3766592071288</v>
      </c>
      <c r="N39" s="35">
        <v>235.8029580256418</v>
      </c>
      <c r="O39" s="35">
        <f>'Billing Determinants'!I1076/1000</f>
        <v>258.37073514913834</v>
      </c>
      <c r="P39" s="37"/>
      <c r="Q39" s="38">
        <f>O39+U39</f>
        <v>258.37073514913834</v>
      </c>
      <c r="R39" s="36"/>
      <c r="S39" s="38">
        <f>Q39+W39</f>
        <v>260.07945811311851</v>
      </c>
      <c r="T39" s="36"/>
      <c r="U39" s="36">
        <f>('Billing Determinants'!L1076-'Billing Determinants'!I1076)/1000</f>
        <v>0</v>
      </c>
      <c r="V39" s="39">
        <f>U39/O39</f>
        <v>0</v>
      </c>
      <c r="W39" s="36">
        <f>(AB39/100)*L39</f>
        <v>1.7087229639801529</v>
      </c>
      <c r="X39" s="39">
        <f>W39/O39</f>
        <v>6.6134539695210963E-3</v>
      </c>
      <c r="Y39" s="36">
        <f>U39+W39</f>
        <v>1.7087229639801529</v>
      </c>
      <c r="Z39" s="39">
        <f>Y39/O39</f>
        <v>6.6134539695210963E-3</v>
      </c>
      <c r="AA39" s="37"/>
      <c r="AB39" s="40">
        <f>ROUND((((O39/$O$44)*$W$51)/L39)*100,4)</f>
        <v>8.0699999999999994E-2</v>
      </c>
      <c r="AC39" s="37"/>
      <c r="AD39" s="41">
        <f>Q39/L39*100</f>
        <v>12.202398379411987</v>
      </c>
      <c r="AE39" s="37"/>
      <c r="AF39" s="42">
        <f>(U39/L39)*100</f>
        <v>0</v>
      </c>
      <c r="AG39" s="37"/>
      <c r="AH39" s="42"/>
      <c r="AI39" s="44"/>
      <c r="AJ39" s="10"/>
    </row>
    <row r="40" spans="2:37">
      <c r="B40" s="21"/>
      <c r="H40" s="46"/>
      <c r="I40" s="46"/>
      <c r="K40" s="46"/>
      <c r="L40" s="46"/>
      <c r="N40" s="46"/>
      <c r="O40" s="46"/>
      <c r="P40" s="10"/>
      <c r="Q40" s="47"/>
      <c r="R40" s="10"/>
      <c r="S40" s="47"/>
      <c r="T40" s="10"/>
      <c r="U40" s="46"/>
      <c r="V40" s="49"/>
      <c r="W40" s="46"/>
      <c r="X40" s="49"/>
      <c r="Y40" s="46"/>
      <c r="Z40" s="49"/>
      <c r="AA40" s="10"/>
      <c r="AB40" s="50"/>
      <c r="AC40" s="10"/>
      <c r="AD40" s="47"/>
      <c r="AE40" s="10"/>
      <c r="AF40" s="51"/>
      <c r="AG40" s="10"/>
      <c r="AH40" s="52"/>
      <c r="AI40" s="10"/>
      <c r="AJ40" s="10"/>
    </row>
    <row r="41" spans="2:37">
      <c r="B41" s="21"/>
      <c r="V41" s="53"/>
      <c r="X41" s="53"/>
      <c r="Z41" s="53"/>
      <c r="AB41" s="54"/>
      <c r="AF41" s="55"/>
      <c r="AH41" s="52"/>
      <c r="AI41" s="10"/>
      <c r="AJ41" s="10"/>
    </row>
    <row r="42" spans="2:37">
      <c r="B42" s="56">
        <f>MAX(B$13:B41)+1</f>
        <v>16</v>
      </c>
      <c r="D42" s="33" t="s">
        <v>353</v>
      </c>
      <c r="H42" s="64">
        <f>SUM(H35:H39)</f>
        <v>3359</v>
      </c>
      <c r="I42" s="64">
        <f>SUM(I35:I39)</f>
        <v>3072.75</v>
      </c>
      <c r="K42" s="64">
        <f>SUM(K35:K39)</f>
        <v>13777.544364445665</v>
      </c>
      <c r="L42" s="64">
        <f>SUM(L35:L39)</f>
        <v>14513.924217191994</v>
      </c>
      <c r="M42" s="57"/>
      <c r="N42" s="65">
        <f>SUM(N35:N39)</f>
        <v>1571.5388067303365</v>
      </c>
      <c r="O42" s="65">
        <f>SUM(O35:O39)</f>
        <v>1837.8662571703599</v>
      </c>
      <c r="P42" s="44"/>
      <c r="Q42" s="65">
        <f>SUM(Q35:Q39)</f>
        <v>1837.8655671703596</v>
      </c>
      <c r="R42" s="66"/>
      <c r="S42" s="65">
        <f>SUM(S35:S39)</f>
        <v>1850.0170727441887</v>
      </c>
      <c r="T42" s="66"/>
      <c r="U42" s="65">
        <f>SUM(U35:U39)</f>
        <v>-6.9000000006053596E-4</v>
      </c>
      <c r="V42" s="67">
        <f>U42/O42</f>
        <v>-3.7543537097355655E-7</v>
      </c>
      <c r="W42" s="65">
        <f>SUM(W35:W39)</f>
        <v>12.151505573829057</v>
      </c>
      <c r="X42" s="67">
        <f>W42/O42</f>
        <v>6.6117463805760932E-3</v>
      </c>
      <c r="Y42" s="65">
        <f>U42+W42</f>
        <v>12.150815573828996</v>
      </c>
      <c r="Z42" s="67">
        <f>Y42/O42</f>
        <v>6.6113709452051191E-3</v>
      </c>
      <c r="AA42" s="44"/>
      <c r="AB42" s="40"/>
      <c r="AC42" s="44"/>
      <c r="AD42" s="68">
        <f>Q42/L42*100</f>
        <v>12.662774999151338</v>
      </c>
      <c r="AE42" s="44"/>
      <c r="AF42" s="69">
        <f>(U42/L42)*100</f>
        <v>-4.7540554142016186E-6</v>
      </c>
      <c r="AG42" s="44"/>
      <c r="AH42" s="70"/>
      <c r="AI42" s="44"/>
      <c r="AJ42" s="10"/>
    </row>
    <row r="43" spans="2:37">
      <c r="B43" s="21"/>
      <c r="D43" s="33"/>
      <c r="H43" s="71"/>
      <c r="I43" s="71"/>
      <c r="K43" s="71"/>
      <c r="L43" s="71"/>
      <c r="M43" s="57"/>
      <c r="N43" s="66"/>
      <c r="O43" s="66"/>
      <c r="P43" s="66"/>
      <c r="Q43" s="66"/>
      <c r="R43" s="66"/>
      <c r="S43" s="66"/>
      <c r="T43" s="66"/>
      <c r="U43" s="66"/>
      <c r="V43" s="72"/>
      <c r="W43" s="66"/>
      <c r="X43" s="72"/>
      <c r="Y43" s="66"/>
      <c r="Z43" s="73"/>
      <c r="AA43" s="66"/>
      <c r="AB43" s="74"/>
      <c r="AC43" s="66"/>
      <c r="AD43" s="66"/>
      <c r="AE43" s="66"/>
      <c r="AF43" s="75"/>
      <c r="AG43" s="66"/>
      <c r="AH43" s="52"/>
      <c r="AI43" s="66"/>
      <c r="AJ43" s="10"/>
    </row>
    <row r="44" spans="2:37" ht="16.5" thickBot="1">
      <c r="B44" s="56">
        <f>MAX(B$13:B43)+1</f>
        <v>17</v>
      </c>
      <c r="D44" s="76" t="s">
        <v>354</v>
      </c>
      <c r="H44" s="77">
        <f>H42+H32+H19</f>
        <v>128476.41666666667</v>
      </c>
      <c r="I44" s="77">
        <f>I42+I32+I19</f>
        <v>131854.33333333334</v>
      </c>
      <c r="K44" s="77">
        <f>K42+K32+K19</f>
        <v>4880827.1987742558</v>
      </c>
      <c r="L44" s="77">
        <f>L42+L32+L19</f>
        <v>4023695.0749669624</v>
      </c>
      <c r="N44" s="78">
        <f>N42+N32+N19</f>
        <v>275214.43788963149</v>
      </c>
      <c r="O44" s="78">
        <f>O42+O32+O19</f>
        <v>302470.87093999999</v>
      </c>
      <c r="P44" s="44"/>
      <c r="Q44" s="78">
        <f>Q42+Q32+Q19</f>
        <v>306972.15224999998</v>
      </c>
      <c r="R44" s="79"/>
      <c r="S44" s="78" t="e">
        <f>S42+S32+S19</f>
        <v>#DIV/0!</v>
      </c>
      <c r="T44" s="79"/>
      <c r="U44" s="78">
        <f>U42+U32+U19</f>
        <v>4501.2813099999967</v>
      </c>
      <c r="V44" s="80">
        <f>U44/O44</f>
        <v>1.4881701818132758E-2</v>
      </c>
      <c r="W44" s="78" t="e">
        <f>W42+W32+W19</f>
        <v>#DIV/0!</v>
      </c>
      <c r="X44" s="80" t="e">
        <f>W44/O44</f>
        <v>#DIV/0!</v>
      </c>
      <c r="Y44" s="78" t="e">
        <f>U44+W44</f>
        <v>#DIV/0!</v>
      </c>
      <c r="Z44" s="80" t="e">
        <f>Y44/O44</f>
        <v>#DIV/0!</v>
      </c>
      <c r="AA44" s="44"/>
      <c r="AB44" s="81">
        <f>ROUND((((O44/$O$44)*$W$51)/L44)*100,4)</f>
        <v>4.9700000000000001E-2</v>
      </c>
      <c r="AC44" s="44"/>
      <c r="AD44" s="82">
        <f>Q44/L44*100</f>
        <v>7.6291107186475973</v>
      </c>
      <c r="AE44" s="44"/>
      <c r="AF44" s="82">
        <f>(U44/L44)*100</f>
        <v>0.11186934462316223</v>
      </c>
      <c r="AG44" s="44"/>
      <c r="AH44" s="43" t="s">
        <v>280</v>
      </c>
      <c r="AI44" s="44"/>
      <c r="AJ44" s="45" t="s">
        <v>280</v>
      </c>
    </row>
    <row r="45" spans="2:37" ht="16.5" thickTop="1">
      <c r="B45" s="506" t="s">
        <v>280</v>
      </c>
      <c r="C45" s="507"/>
      <c r="D45" s="507"/>
      <c r="H45" s="83"/>
      <c r="I45" s="83"/>
      <c r="K45" s="83"/>
      <c r="L45" s="83"/>
      <c r="N45" s="79"/>
      <c r="O45" s="79"/>
      <c r="P45" s="44"/>
      <c r="Q45" s="79"/>
      <c r="R45" s="79"/>
      <c r="S45" s="79"/>
      <c r="T45" s="79"/>
      <c r="U45" s="79"/>
      <c r="V45" s="53"/>
      <c r="W45" s="79"/>
      <c r="X45" s="53"/>
      <c r="Y45" s="44"/>
      <c r="AA45" s="44"/>
      <c r="AB45" s="44"/>
      <c r="AC45" s="44"/>
      <c r="AD45" s="44"/>
      <c r="AE45" s="44"/>
      <c r="AF45" s="42"/>
      <c r="AG45" s="44"/>
      <c r="AH45" s="42"/>
      <c r="AI45" s="44"/>
      <c r="AJ45" s="10"/>
    </row>
    <row r="46" spans="2:37">
      <c r="B46" s="56">
        <v>18</v>
      </c>
      <c r="D46" s="2" t="s">
        <v>355</v>
      </c>
      <c r="H46" s="83"/>
      <c r="I46" s="83"/>
      <c r="K46" s="83"/>
      <c r="L46" s="83"/>
      <c r="N46" s="79">
        <v>311.00673999999998</v>
      </c>
      <c r="O46" s="79">
        <f>'Billing Determinants'!F1081/1000</f>
        <v>722.47165999999993</v>
      </c>
      <c r="P46" s="84"/>
      <c r="Q46" s="38">
        <f>O46</f>
        <v>722.47165999999993</v>
      </c>
      <c r="R46" s="79"/>
      <c r="S46" s="38">
        <f>Q46</f>
        <v>722.47165999999993</v>
      </c>
      <c r="T46" s="79"/>
      <c r="U46" s="61"/>
      <c r="V46" s="39"/>
      <c r="W46" s="61"/>
      <c r="X46" s="39"/>
      <c r="Y46" s="44"/>
      <c r="AA46" s="44"/>
      <c r="AB46" s="44"/>
      <c r="AC46" s="44"/>
      <c r="AD46" s="41"/>
      <c r="AE46" s="37"/>
      <c r="AF46" s="42"/>
      <c r="AG46" s="44"/>
      <c r="AH46" s="42"/>
      <c r="AI46" s="44"/>
      <c r="AJ46" s="10"/>
    </row>
    <row r="47" spans="2:37">
      <c r="B47" s="56"/>
      <c r="H47" s="83"/>
      <c r="I47" s="83"/>
      <c r="K47" s="83"/>
      <c r="L47" s="83"/>
      <c r="N47" s="79"/>
      <c r="O47" s="79"/>
      <c r="P47" s="84"/>
      <c r="Q47" s="38"/>
      <c r="R47" s="79"/>
      <c r="S47" s="38"/>
      <c r="T47" s="79"/>
      <c r="U47" s="61"/>
      <c r="V47" s="39"/>
      <c r="W47" s="61"/>
      <c r="X47" s="39"/>
      <c r="Y47" s="44"/>
      <c r="AA47" s="44"/>
      <c r="AB47" s="44"/>
      <c r="AC47" s="44"/>
      <c r="AD47" s="41"/>
      <c r="AE47" s="37"/>
      <c r="AF47" s="42"/>
      <c r="AG47" s="44"/>
      <c r="AH47" s="42"/>
      <c r="AI47" s="44"/>
      <c r="AJ47" s="10"/>
    </row>
    <row r="48" spans="2:37" ht="16.5" thickBot="1">
      <c r="B48" s="56">
        <v>19</v>
      </c>
      <c r="D48" s="85" t="s">
        <v>356</v>
      </c>
      <c r="H48" s="86">
        <f>SUM(H44:H46)</f>
        <v>128476.41666666667</v>
      </c>
      <c r="I48" s="86">
        <f>SUM(I44:I46)</f>
        <v>131854.33333333334</v>
      </c>
      <c r="K48" s="86">
        <f>SUM(K44:K46)</f>
        <v>4880827.1987742558</v>
      </c>
      <c r="L48" s="86">
        <f>SUM(L44:L46)</f>
        <v>4023695.0749669624</v>
      </c>
      <c r="N48" s="78">
        <f>SUM(N44:N46)</f>
        <v>275525.44462963147</v>
      </c>
      <c r="O48" s="78">
        <f>SUM(O44:O46)</f>
        <v>303193.34259999997</v>
      </c>
      <c r="Q48" s="87">
        <f>SUM(Q44:Q46)</f>
        <v>307694.62390999997</v>
      </c>
      <c r="R48" s="79"/>
      <c r="S48" s="87" t="e">
        <f>SUM(S44:S46)</f>
        <v>#DIV/0!</v>
      </c>
      <c r="T48" s="79"/>
      <c r="U48" s="78">
        <f>SUM(U44:U46)</f>
        <v>4501.2813099999967</v>
      </c>
      <c r="V48" s="80">
        <f>U48/O48</f>
        <v>1.4846240591563692E-2</v>
      </c>
      <c r="W48" s="78" t="e">
        <f>SUM(W44:W46)</f>
        <v>#DIV/0!</v>
      </c>
      <c r="X48" s="80" t="e">
        <f>W48/O48</f>
        <v>#DIV/0!</v>
      </c>
      <c r="AD48" s="82">
        <f>Q48/L48*100</f>
        <v>7.6470661463462504</v>
      </c>
      <c r="AE48" s="37"/>
      <c r="AF48" s="82">
        <f>(U48/L48)*100</f>
        <v>0.11186934462316223</v>
      </c>
      <c r="AH48" s="10"/>
      <c r="AI48" s="10"/>
      <c r="AJ48" s="10"/>
    </row>
    <row r="49" spans="14:35" ht="18.75" customHeight="1" thickTop="1">
      <c r="V49" s="88" t="s">
        <v>280</v>
      </c>
      <c r="X49" s="88" t="s">
        <v>280</v>
      </c>
    </row>
    <row r="50" spans="14:35" ht="18.75" customHeight="1">
      <c r="U50" s="89"/>
      <c r="V50" s="88"/>
      <c r="X50" s="88"/>
    </row>
    <row r="51" spans="14:35">
      <c r="N51" s="90"/>
      <c r="O51" s="90"/>
      <c r="P51" s="10"/>
      <c r="S51" s="61"/>
      <c r="U51" s="61"/>
      <c r="V51" s="91"/>
      <c r="W51" s="61">
        <v>2000</v>
      </c>
      <c r="X51" s="91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4:35">
      <c r="P52" s="10"/>
      <c r="U52" s="92"/>
      <c r="Y52" s="10"/>
      <c r="Z52" s="10"/>
      <c r="AA52" s="10"/>
      <c r="AB52" s="10"/>
      <c r="AC52" s="10"/>
      <c r="AD52" s="79"/>
      <c r="AE52" s="10"/>
      <c r="AF52" s="10"/>
      <c r="AG52" s="10"/>
      <c r="AH52" s="10"/>
      <c r="AI52" s="10"/>
    </row>
    <row r="53" spans="14:35">
      <c r="Q53" s="43"/>
      <c r="U53" s="93"/>
      <c r="V53" s="94"/>
      <c r="W53" s="93"/>
    </row>
    <row r="54" spans="14:35">
      <c r="Q54" s="10"/>
      <c r="U54" s="95"/>
      <c r="V54" s="96"/>
      <c r="W54" s="95"/>
    </row>
    <row r="55" spans="14:35">
      <c r="Q55" s="32"/>
      <c r="U55" s="97"/>
      <c r="V55" s="98"/>
      <c r="W55" s="97"/>
    </row>
    <row r="56" spans="14:35">
      <c r="Q56" s="99"/>
      <c r="V56" s="53"/>
    </row>
    <row r="57" spans="14:35">
      <c r="Q57" s="3"/>
      <c r="V57" s="100"/>
    </row>
    <row r="59" spans="14:35">
      <c r="Q59" s="32"/>
      <c r="X59" s="62"/>
    </row>
  </sheetData>
  <mergeCells count="3">
    <mergeCell ref="Q9:S9"/>
    <mergeCell ref="U9:Z9"/>
    <mergeCell ref="B45:D45"/>
  </mergeCells>
  <printOptions horizontalCentered="1"/>
  <pageMargins left="0.25" right="0.25" top="0.5" bottom="0.5" header="0.5" footer="0.25"/>
  <pageSetup scale="7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 enableFormatConditionsCalculation="0"/>
  <dimension ref="A1:AR1095"/>
  <sheetViews>
    <sheetView view="pageBreakPreview" zoomScale="125" zoomScaleNormal="75" zoomScaleSheetLayoutView="75" zoomScalePageLayoutView="75" workbookViewId="0">
      <pane ySplit="11" topLeftCell="A12" activePane="bottomLeft" state="frozen"/>
      <selection sqref="A1:F1"/>
      <selection pane="bottomLeft" activeCell="C596" sqref="C596"/>
    </sheetView>
  </sheetViews>
  <sheetFormatPr defaultColWidth="10.125" defaultRowHeight="15.75"/>
  <cols>
    <col min="1" max="1" width="21.625" style="104" customWidth="1"/>
    <col min="2" max="2" width="15.625" style="104" customWidth="1"/>
    <col min="3" max="3" width="16.625" style="104" customWidth="1"/>
    <col min="4" max="4" width="14.875" style="104" hidden="1" customWidth="1"/>
    <col min="5" max="5" width="2.125" style="104" hidden="1" customWidth="1"/>
    <col min="6" max="6" width="16.875" style="104" hidden="1" customWidth="1"/>
    <col min="7" max="7" width="14.875" style="104" customWidth="1"/>
    <col min="8" max="8" width="2.625" style="104" customWidth="1"/>
    <col min="9" max="9" width="16.875" style="104" customWidth="1"/>
    <col min="10" max="10" width="12.625" style="104" customWidth="1"/>
    <col min="11" max="11" width="2.125" style="104" bestFit="1" customWidth="1"/>
    <col min="12" max="12" width="17.875" style="104" customWidth="1"/>
    <col min="13" max="13" width="1.125" style="104" customWidth="1"/>
    <col min="14" max="14" width="16.375" style="104" hidden="1" customWidth="1"/>
    <col min="15" max="15" width="13.625" style="104" customWidth="1"/>
    <col min="16" max="16" width="13.5" style="109" bestFit="1" customWidth="1"/>
    <col min="17" max="17" width="11.5" style="109" customWidth="1"/>
    <col min="18" max="18" width="2.375" style="109" customWidth="1"/>
    <col min="19" max="19" width="13" style="104" customWidth="1"/>
    <col min="20" max="20" width="17" style="104" customWidth="1"/>
    <col min="21" max="21" width="13" style="104" customWidth="1"/>
    <col min="22" max="22" width="14.125" style="104" bestFit="1" customWidth="1"/>
    <col min="23" max="23" width="14.625" style="104" customWidth="1"/>
    <col min="24" max="24" width="13.125" style="104" bestFit="1" customWidth="1"/>
    <col min="25" max="25" width="13" style="104" bestFit="1" customWidth="1"/>
    <col min="26" max="26" width="12.125" style="104" bestFit="1" customWidth="1"/>
    <col min="27" max="27" width="5.5" style="104" bestFit="1" customWidth="1"/>
    <col min="28" max="28" width="18" style="104" customWidth="1"/>
    <col min="29" max="29" width="10.125" style="104" customWidth="1"/>
    <col min="30" max="30" width="12.125" style="104" customWidth="1"/>
    <col min="31" max="16384" width="10.125" style="104"/>
  </cols>
  <sheetData>
    <row r="1" spans="1:37" ht="18">
      <c r="A1" s="101" t="s">
        <v>280</v>
      </c>
      <c r="B1" s="102"/>
      <c r="C1" s="102"/>
      <c r="D1" s="103"/>
      <c r="E1" s="103"/>
      <c r="F1" s="102"/>
      <c r="G1" s="103"/>
      <c r="H1" s="103"/>
      <c r="I1" s="102"/>
      <c r="J1" s="103"/>
      <c r="K1" s="102"/>
      <c r="L1" s="102"/>
      <c r="N1" s="52"/>
      <c r="O1" s="52"/>
      <c r="P1" s="105"/>
      <c r="Q1" s="105"/>
      <c r="R1" s="105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7" ht="18">
      <c r="A2" s="508" t="s">
        <v>357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N2" s="52"/>
      <c r="O2" s="52"/>
      <c r="P2" s="105"/>
      <c r="Q2" s="105"/>
      <c r="R2" s="105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7" ht="18">
      <c r="A3" s="508" t="s">
        <v>358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N3" s="52"/>
      <c r="O3" s="52"/>
      <c r="P3" s="105"/>
      <c r="Q3" s="105"/>
      <c r="R3" s="105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7">
      <c r="A4" s="509" t="s">
        <v>289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N4" s="52"/>
      <c r="O4" s="52"/>
      <c r="P4" s="105"/>
      <c r="Q4" s="105"/>
      <c r="R4" s="105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7">
      <c r="A5" s="510" t="s">
        <v>359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N5" s="52"/>
      <c r="O5" s="52"/>
      <c r="P5" s="105"/>
      <c r="Q5" s="105"/>
      <c r="R5" s="105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7">
      <c r="A6" s="106"/>
      <c r="B6" s="107"/>
      <c r="C6" s="107"/>
      <c r="D6" s="108"/>
      <c r="E6" s="108"/>
      <c r="F6" s="107"/>
      <c r="G6" s="108"/>
      <c r="H6" s="108"/>
      <c r="I6" s="107"/>
      <c r="J6" s="108"/>
      <c r="K6" s="107"/>
      <c r="L6" s="107"/>
      <c r="N6" s="52"/>
      <c r="O6" s="52"/>
      <c r="P6" s="105"/>
      <c r="Q6" s="105"/>
      <c r="R6" s="105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7">
      <c r="A7" s="106"/>
      <c r="B7" s="107"/>
      <c r="C7" s="107"/>
      <c r="D7" s="108"/>
      <c r="E7" s="108"/>
      <c r="F7" s="107"/>
      <c r="G7" s="108"/>
      <c r="H7" s="108"/>
      <c r="I7" s="107"/>
      <c r="J7" s="108"/>
      <c r="K7" s="107"/>
      <c r="L7" s="107"/>
      <c r="N7" s="52"/>
      <c r="O7" s="52"/>
      <c r="P7" s="105"/>
      <c r="Q7" s="105"/>
      <c r="R7" s="105"/>
      <c r="S7" s="105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</row>
    <row r="8" spans="1:37">
      <c r="A8" s="107"/>
      <c r="B8" s="107"/>
      <c r="C8" s="107"/>
      <c r="D8" s="108"/>
      <c r="E8" s="108"/>
      <c r="F8" s="107"/>
      <c r="G8" s="108"/>
      <c r="H8" s="108"/>
      <c r="I8" s="107"/>
      <c r="J8" s="108"/>
      <c r="K8" s="107"/>
      <c r="L8" s="107"/>
      <c r="N8" s="52"/>
      <c r="O8" s="52"/>
      <c r="P8" s="105"/>
      <c r="Q8" s="105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7">
      <c r="A9" s="110"/>
      <c r="B9" s="110"/>
      <c r="C9" s="111"/>
      <c r="D9" s="112"/>
      <c r="E9" s="112"/>
      <c r="F9" s="113" t="s">
        <v>360</v>
      </c>
      <c r="G9" s="112"/>
      <c r="H9" s="112"/>
      <c r="I9" s="114" t="s">
        <v>292</v>
      </c>
      <c r="J9" s="112"/>
      <c r="K9" s="113"/>
      <c r="L9" s="113"/>
      <c r="N9" s="52"/>
      <c r="O9" s="52"/>
      <c r="P9" s="105"/>
      <c r="Q9" s="105"/>
      <c r="R9" s="105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7">
      <c r="A10" s="110"/>
      <c r="B10" s="110"/>
      <c r="C10" s="111" t="s">
        <v>361</v>
      </c>
      <c r="D10" s="113" t="s">
        <v>362</v>
      </c>
      <c r="E10" s="112"/>
      <c r="F10" s="115" t="s">
        <v>363</v>
      </c>
      <c r="G10" s="113" t="s">
        <v>292</v>
      </c>
      <c r="H10" s="113"/>
      <c r="I10" s="114" t="s">
        <v>363</v>
      </c>
      <c r="J10" s="113" t="s">
        <v>293</v>
      </c>
      <c r="K10" s="111"/>
      <c r="L10" s="113" t="s">
        <v>293</v>
      </c>
      <c r="N10" s="52"/>
      <c r="O10" s="52"/>
      <c r="P10" s="105"/>
      <c r="Q10" s="105"/>
      <c r="R10" s="105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7">
      <c r="A11" s="110"/>
      <c r="B11" s="110"/>
      <c r="C11" s="116" t="s">
        <v>291</v>
      </c>
      <c r="D11" s="117" t="s">
        <v>364</v>
      </c>
      <c r="E11" s="118"/>
      <c r="F11" s="117" t="s">
        <v>291</v>
      </c>
      <c r="G11" s="117" t="s">
        <v>364</v>
      </c>
      <c r="H11" s="115"/>
      <c r="I11" s="113" t="s">
        <v>291</v>
      </c>
      <c r="J11" s="117" t="s">
        <v>364</v>
      </c>
      <c r="K11" s="117"/>
      <c r="L11" s="117" t="s">
        <v>363</v>
      </c>
      <c r="N11" s="115"/>
      <c r="O11" s="52"/>
      <c r="P11" s="105"/>
      <c r="Q11" s="105"/>
      <c r="R11" s="105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7">
      <c r="A12" s="119" t="s">
        <v>365</v>
      </c>
      <c r="F12" s="120"/>
      <c r="I12" s="120"/>
      <c r="N12" s="52"/>
      <c r="O12" s="52"/>
      <c r="P12" s="105"/>
      <c r="Q12" s="105"/>
      <c r="R12" s="105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7">
      <c r="A13" s="104" t="s">
        <v>366</v>
      </c>
      <c r="F13" s="120"/>
      <c r="I13" s="120"/>
      <c r="N13" s="52"/>
      <c r="O13" s="52"/>
      <c r="P13" s="105"/>
      <c r="Q13" s="105"/>
      <c r="R13" s="105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7">
      <c r="F14" s="120"/>
      <c r="I14" s="120"/>
      <c r="N14" s="52"/>
      <c r="O14" s="52"/>
      <c r="P14" s="105"/>
      <c r="Q14" s="105"/>
      <c r="R14" s="105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37">
      <c r="A15" s="104" t="s">
        <v>367</v>
      </c>
      <c r="F15" s="120"/>
      <c r="I15" s="120"/>
      <c r="N15" s="52"/>
      <c r="O15" s="52"/>
      <c r="P15" s="105"/>
      <c r="Q15" s="105"/>
      <c r="R15" s="105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37">
      <c r="A16" s="104" t="s">
        <v>368</v>
      </c>
      <c r="C16" s="121">
        <f t="shared" ref="C16:C18" si="0">C33+C50+C67</f>
        <v>28540</v>
      </c>
      <c r="D16" s="122">
        <v>10.119999999999999</v>
      </c>
      <c r="F16" s="123">
        <f t="shared" ref="F16:I18" si="1">F33+F50+F67</f>
        <v>288825</v>
      </c>
      <c r="G16" s="122">
        <v>10.63</v>
      </c>
      <c r="I16" s="123">
        <f t="shared" si="1"/>
        <v>303380.2</v>
      </c>
      <c r="J16" s="122">
        <f>ROUND(G16+G16*$Q$27,2)</f>
        <v>10.63</v>
      </c>
      <c r="L16" s="123">
        <f>L33+L50+L67</f>
        <v>303380</v>
      </c>
      <c r="N16" s="124" t="e">
        <f>J16*#REF!</f>
        <v>#REF!</v>
      </c>
      <c r="P16" s="89"/>
      <c r="Q16" s="125"/>
      <c r="R16" s="125"/>
      <c r="S16" s="125"/>
      <c r="T16" s="125"/>
      <c r="U16" s="126"/>
      <c r="V16" s="126"/>
      <c r="W16" s="126"/>
      <c r="X16" s="126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K16" s="124"/>
    </row>
    <row r="17" spans="1:37">
      <c r="A17" s="104" t="s">
        <v>369</v>
      </c>
      <c r="C17" s="121">
        <f t="shared" si="0"/>
        <v>4661</v>
      </c>
      <c r="D17" s="122">
        <v>19.25</v>
      </c>
      <c r="F17" s="123">
        <f t="shared" si="1"/>
        <v>89725</v>
      </c>
      <c r="G17" s="122">
        <v>20.23</v>
      </c>
      <c r="I17" s="123">
        <f t="shared" si="1"/>
        <v>94292.03</v>
      </c>
      <c r="J17" s="122">
        <f t="shared" ref="J17:J22" si="2">ROUND(G17+G17*$Q$27,2)</f>
        <v>20.23</v>
      </c>
      <c r="L17" s="123">
        <f>L34+L51+L68</f>
        <v>94292</v>
      </c>
      <c r="N17" s="124" t="e">
        <f>J17*#REF!</f>
        <v>#REF!</v>
      </c>
      <c r="P17" s="89"/>
      <c r="Q17" s="125"/>
      <c r="R17" s="125"/>
      <c r="S17" s="125"/>
      <c r="T17" s="125"/>
      <c r="U17" s="126"/>
      <c r="V17" s="126"/>
      <c r="W17" s="126"/>
      <c r="X17" s="126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K17" s="124"/>
    </row>
    <row r="18" spans="1:37">
      <c r="A18" s="104" t="s">
        <v>370</v>
      </c>
      <c r="C18" s="121">
        <f t="shared" si="0"/>
        <v>600</v>
      </c>
      <c r="D18" s="122">
        <v>39.840000000000003</v>
      </c>
      <c r="F18" s="123">
        <f t="shared" si="1"/>
        <v>23904</v>
      </c>
      <c r="G18" s="122">
        <v>41.86</v>
      </c>
      <c r="I18" s="123">
        <f t="shared" si="1"/>
        <v>25116</v>
      </c>
      <c r="J18" s="122">
        <f t="shared" si="2"/>
        <v>41.86</v>
      </c>
      <c r="L18" s="123">
        <f>L35+L52+L69</f>
        <v>25116</v>
      </c>
      <c r="N18" s="124" t="e">
        <f>J18*#REF!</f>
        <v>#REF!</v>
      </c>
      <c r="P18" s="89"/>
      <c r="Q18" s="125"/>
      <c r="R18" s="125"/>
      <c r="S18" s="125"/>
      <c r="T18" s="125"/>
      <c r="U18" s="126"/>
      <c r="V18" s="126"/>
      <c r="W18" s="126"/>
      <c r="X18" s="126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K18" s="124"/>
    </row>
    <row r="19" spans="1:37">
      <c r="A19" s="104" t="s">
        <v>371</v>
      </c>
      <c r="C19" s="121"/>
      <c r="D19" s="122"/>
      <c r="F19" s="123"/>
      <c r="G19" s="127"/>
      <c r="I19" s="123"/>
      <c r="J19" s="127"/>
      <c r="L19" s="123"/>
      <c r="N19" s="124"/>
      <c r="P19" s="104"/>
      <c r="Q19" s="125"/>
      <c r="R19" s="125"/>
      <c r="S19" s="125"/>
      <c r="T19" s="125"/>
      <c r="U19" s="128"/>
      <c r="V19" s="128"/>
      <c r="W19" s="128"/>
      <c r="X19" s="128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K19" s="124"/>
    </row>
    <row r="20" spans="1:37">
      <c r="A20" s="104" t="s">
        <v>372</v>
      </c>
      <c r="C20" s="121">
        <f t="shared" ref="C20:C25" si="3">C37+C54+C71</f>
        <v>1950</v>
      </c>
      <c r="D20" s="122">
        <v>11.51</v>
      </c>
      <c r="F20" s="123">
        <f t="shared" ref="F20:I23" si="4">F37+F54+F71</f>
        <v>22444</v>
      </c>
      <c r="G20" s="122">
        <v>12.09</v>
      </c>
      <c r="I20" s="123">
        <f t="shared" si="4"/>
        <v>23575.5</v>
      </c>
      <c r="J20" s="122">
        <f t="shared" si="2"/>
        <v>12.09</v>
      </c>
      <c r="L20" s="123">
        <f>L37+L54+L71</f>
        <v>23576</v>
      </c>
      <c r="N20" s="124" t="e">
        <f>J20*#REF!</f>
        <v>#REF!</v>
      </c>
      <c r="P20" s="89"/>
      <c r="Q20" s="125"/>
      <c r="R20" s="125"/>
      <c r="S20" s="125"/>
      <c r="T20" s="125"/>
      <c r="U20" s="126"/>
      <c r="V20" s="126"/>
      <c r="W20" s="126"/>
      <c r="X20" s="126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K20" s="124"/>
    </row>
    <row r="21" spans="1:37">
      <c r="A21" s="104" t="s">
        <v>373</v>
      </c>
      <c r="C21" s="121">
        <f t="shared" si="3"/>
        <v>1789</v>
      </c>
      <c r="D21" s="122">
        <v>16.900000000000002</v>
      </c>
      <c r="F21" s="123">
        <f t="shared" si="4"/>
        <v>30234</v>
      </c>
      <c r="G21" s="122">
        <v>17.760000000000002</v>
      </c>
      <c r="I21" s="123">
        <f t="shared" si="4"/>
        <v>31772.639999999999</v>
      </c>
      <c r="J21" s="122">
        <f t="shared" si="2"/>
        <v>17.760000000000002</v>
      </c>
      <c r="L21" s="123">
        <f>L38+L55+L72</f>
        <v>31772</v>
      </c>
      <c r="N21" s="124" t="e">
        <f>J21*#REF!</f>
        <v>#REF!</v>
      </c>
      <c r="P21" s="89"/>
      <c r="Q21" s="125"/>
      <c r="R21" s="125"/>
      <c r="S21" s="125"/>
      <c r="T21" s="125"/>
      <c r="U21" s="126"/>
      <c r="V21" s="126"/>
      <c r="W21" s="126"/>
      <c r="X21" s="126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K21" s="124"/>
    </row>
    <row r="22" spans="1:37">
      <c r="A22" s="104" t="s">
        <v>374</v>
      </c>
      <c r="C22" s="121">
        <f t="shared" si="3"/>
        <v>463</v>
      </c>
      <c r="D22" s="122">
        <v>27.26</v>
      </c>
      <c r="F22" s="123">
        <f t="shared" si="4"/>
        <v>12621</v>
      </c>
      <c r="G22" s="122">
        <v>28.64</v>
      </c>
      <c r="I22" s="123">
        <f t="shared" si="4"/>
        <v>13260.320000000002</v>
      </c>
      <c r="J22" s="122">
        <f t="shared" si="2"/>
        <v>28.64</v>
      </c>
      <c r="L22" s="123">
        <f>L39+L56+L73</f>
        <v>13260</v>
      </c>
      <c r="N22" s="124" t="e">
        <f>J22*#REF!</f>
        <v>#REF!</v>
      </c>
      <c r="P22" s="89"/>
      <c r="Q22" s="125"/>
      <c r="R22" s="125"/>
      <c r="S22" s="125"/>
      <c r="T22" s="125"/>
      <c r="U22" s="126"/>
      <c r="V22" s="126"/>
      <c r="W22" s="126"/>
      <c r="X22" s="126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K22" s="124"/>
    </row>
    <row r="23" spans="1:37">
      <c r="A23" s="104" t="s">
        <v>375</v>
      </c>
      <c r="C23" s="121">
        <f t="shared" si="3"/>
        <v>617</v>
      </c>
      <c r="D23" s="129">
        <v>1</v>
      </c>
      <c r="E23" s="52"/>
      <c r="F23" s="123">
        <f t="shared" si="4"/>
        <v>617</v>
      </c>
      <c r="G23" s="129">
        <v>1</v>
      </c>
      <c r="H23" s="52"/>
      <c r="I23" s="123">
        <f t="shared" si="4"/>
        <v>617</v>
      </c>
      <c r="J23" s="122">
        <f>G23</f>
        <v>1</v>
      </c>
      <c r="K23" s="52"/>
      <c r="L23" s="123">
        <f>L40+L57+L74</f>
        <v>617</v>
      </c>
      <c r="N23" s="124" t="e">
        <f>J23*#REF!</f>
        <v>#REF!</v>
      </c>
      <c r="P23" s="89"/>
      <c r="Q23" s="104"/>
      <c r="R23" s="104"/>
      <c r="S23" s="125"/>
      <c r="T23" s="125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K23" s="124"/>
    </row>
    <row r="24" spans="1:37">
      <c r="A24" s="104" t="s">
        <v>376</v>
      </c>
      <c r="C24" s="121">
        <f t="shared" si="3"/>
        <v>31692</v>
      </c>
      <c r="D24" s="122"/>
      <c r="F24" s="123"/>
      <c r="G24" s="122"/>
      <c r="I24" s="123"/>
      <c r="J24" s="122"/>
      <c r="L24" s="123"/>
      <c r="N24" s="124"/>
      <c r="P24" s="124"/>
      <c r="Q24" s="104"/>
      <c r="R24" s="104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K24" s="124"/>
    </row>
    <row r="25" spans="1:37">
      <c r="A25" s="104" t="s">
        <v>377</v>
      </c>
      <c r="C25" s="121">
        <f t="shared" si="3"/>
        <v>3496611</v>
      </c>
      <c r="D25" s="129"/>
      <c r="E25" s="52"/>
      <c r="F25" s="123">
        <f>F42+F59+F76</f>
        <v>468370</v>
      </c>
      <c r="G25" s="129"/>
      <c r="H25" s="52"/>
      <c r="I25" s="123">
        <f>I42+I59+I76</f>
        <v>492013.69000000006</v>
      </c>
      <c r="J25" s="129"/>
      <c r="K25" s="52"/>
      <c r="L25" s="130">
        <f>L42+L59+L76</f>
        <v>492013</v>
      </c>
      <c r="N25" s="124" t="e">
        <f>SUM(N16:N24)</f>
        <v>#REF!</v>
      </c>
      <c r="P25" s="131"/>
      <c r="Q25" s="104"/>
      <c r="R25" s="104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K25" s="124"/>
    </row>
    <row r="26" spans="1:37">
      <c r="A26" s="104" t="s">
        <v>197</v>
      </c>
      <c r="C26" s="121">
        <f>C43+C60+C77</f>
        <v>-14885.782808004884</v>
      </c>
      <c r="D26" s="129"/>
      <c r="E26" s="52"/>
      <c r="F26" s="132">
        <f>F43+F60+F77</f>
        <v>-222.68282964039707</v>
      </c>
      <c r="G26" s="129"/>
      <c r="H26" s="52"/>
      <c r="I26" s="132">
        <f>I43+I60+I77</f>
        <v>-222.68282964039707</v>
      </c>
      <c r="J26" s="129"/>
      <c r="K26" s="52"/>
      <c r="L26" s="132">
        <f>F26</f>
        <v>-222.68282964039707</v>
      </c>
      <c r="Q26" s="133" t="s">
        <v>280</v>
      </c>
      <c r="R26" s="133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K26" s="124"/>
    </row>
    <row r="27" spans="1:37" ht="16.5" thickBot="1">
      <c r="A27" s="104" t="s">
        <v>198</v>
      </c>
      <c r="C27" s="134">
        <f>C25+C26</f>
        <v>3481725.2171919951</v>
      </c>
      <c r="D27" s="135"/>
      <c r="E27" s="135"/>
      <c r="F27" s="135">
        <f>F25+F26</f>
        <v>468147.3171703596</v>
      </c>
      <c r="G27" s="135"/>
      <c r="H27" s="135"/>
      <c r="I27" s="135">
        <f>I25+I26</f>
        <v>491791.00717035966</v>
      </c>
      <c r="J27" s="135"/>
      <c r="K27" s="135"/>
      <c r="L27" s="135">
        <f>L25+L26</f>
        <v>491790.3171703596</v>
      </c>
      <c r="O27" s="136" t="s">
        <v>199</v>
      </c>
      <c r="P27" s="137">
        <v>491791.00717035966</v>
      </c>
      <c r="Q27" s="138">
        <v>-1E-4</v>
      </c>
      <c r="R27" s="139"/>
      <c r="S27" s="62"/>
      <c r="T27" s="6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K27" s="124"/>
    </row>
    <row r="28" spans="1:37" ht="16.5" thickTop="1">
      <c r="C28" s="140"/>
      <c r="D28" s="140"/>
      <c r="E28" s="140"/>
      <c r="F28" s="120"/>
      <c r="G28" s="140"/>
      <c r="H28" s="140"/>
      <c r="I28" s="120"/>
      <c r="J28" s="141" t="s">
        <v>280</v>
      </c>
      <c r="K28" s="140"/>
      <c r="L28" s="123" t="s">
        <v>280</v>
      </c>
      <c r="O28" s="142" t="s">
        <v>200</v>
      </c>
      <c r="P28" s="143">
        <f>P27-L27</f>
        <v>0.69000000006053597</v>
      </c>
      <c r="Q28" s="144" t="s">
        <v>280</v>
      </c>
      <c r="R28" s="96"/>
      <c r="S28" s="62"/>
      <c r="T28" s="6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K28" s="124"/>
    </row>
    <row r="29" spans="1:37" hidden="1">
      <c r="A29" s="119" t="s">
        <v>365</v>
      </c>
      <c r="F29" s="120"/>
      <c r="I29" s="120"/>
      <c r="P29" s="145" t="s">
        <v>280</v>
      </c>
      <c r="Q29" s="104"/>
      <c r="R29" s="104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K29" s="124"/>
    </row>
    <row r="30" spans="1:37" hidden="1">
      <c r="A30" s="104" t="s">
        <v>201</v>
      </c>
      <c r="F30" s="120"/>
      <c r="I30" s="120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52"/>
      <c r="AF30" s="52"/>
      <c r="AG30" s="52"/>
      <c r="AH30" s="52"/>
      <c r="AI30" s="52"/>
      <c r="AK30" s="124"/>
    </row>
    <row r="31" spans="1:37" hidden="1">
      <c r="D31" s="121"/>
      <c r="F31" s="120"/>
      <c r="G31" s="121"/>
      <c r="I31" s="120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52"/>
      <c r="AF31" s="52"/>
      <c r="AG31" s="52"/>
      <c r="AH31" s="52"/>
      <c r="AI31" s="52"/>
      <c r="AK31" s="124"/>
    </row>
    <row r="32" spans="1:37" hidden="1">
      <c r="A32" s="104" t="s">
        <v>367</v>
      </c>
      <c r="F32" s="120"/>
      <c r="I32" s="120"/>
      <c r="N32" s="146"/>
      <c r="O32" s="146"/>
      <c r="P32" s="146"/>
      <c r="Q32" s="105"/>
      <c r="R32" s="105"/>
      <c r="S32" s="147"/>
      <c r="T32" s="147"/>
      <c r="U32" s="148"/>
      <c r="V32" s="148"/>
      <c r="W32" s="148"/>
      <c r="X32" s="148"/>
      <c r="Y32" s="149"/>
      <c r="Z32" s="150"/>
      <c r="AA32" s="146"/>
      <c r="AB32" s="146"/>
      <c r="AC32" s="146"/>
      <c r="AD32" s="146"/>
      <c r="AE32" s="52"/>
      <c r="AF32" s="52"/>
      <c r="AG32" s="52"/>
      <c r="AH32" s="52"/>
      <c r="AI32" s="52"/>
      <c r="AK32" s="124"/>
    </row>
    <row r="33" spans="1:37" hidden="1">
      <c r="A33" s="104" t="s">
        <v>368</v>
      </c>
      <c r="C33" s="121">
        <f>13128+108</f>
        <v>13236</v>
      </c>
      <c r="D33" s="122">
        <v>10.119999999999999</v>
      </c>
      <c r="F33" s="123">
        <f>ROUND(D33*$C33,0)</f>
        <v>133948</v>
      </c>
      <c r="G33" s="122">
        <f>$G$16</f>
        <v>10.63</v>
      </c>
      <c r="I33" s="123">
        <f>G33*C33</f>
        <v>140698.68000000002</v>
      </c>
      <c r="J33" s="122">
        <f>$J$16</f>
        <v>10.63</v>
      </c>
      <c r="L33" s="123">
        <f>ROUND(J33*$C33,0)</f>
        <v>140699</v>
      </c>
      <c r="N33" s="52"/>
      <c r="O33" s="52"/>
      <c r="P33" s="149"/>
      <c r="Q33" s="105"/>
      <c r="R33" s="105"/>
      <c r="S33" s="146"/>
      <c r="T33" s="146"/>
      <c r="U33" s="151"/>
      <c r="V33" s="151"/>
      <c r="W33" s="151"/>
      <c r="X33" s="151"/>
      <c r="Y33" s="152"/>
      <c r="Z33" s="146"/>
      <c r="AA33" s="149"/>
      <c r="AB33" s="149"/>
      <c r="AC33" s="153"/>
      <c r="AD33" s="149"/>
      <c r="AE33" s="52"/>
      <c r="AF33" s="52"/>
      <c r="AG33" s="52"/>
      <c r="AH33" s="52"/>
      <c r="AI33" s="52"/>
      <c r="AK33" s="124"/>
    </row>
    <row r="34" spans="1:37" hidden="1">
      <c r="A34" s="104" t="s">
        <v>369</v>
      </c>
      <c r="C34" s="121">
        <f>263+12</f>
        <v>275</v>
      </c>
      <c r="D34" s="122">
        <v>19.25</v>
      </c>
      <c r="F34" s="123">
        <f>ROUND(D34*$C34,0)</f>
        <v>5294</v>
      </c>
      <c r="G34" s="122">
        <f>$G$17</f>
        <v>20.23</v>
      </c>
      <c r="I34" s="123">
        <f t="shared" ref="I34:I35" si="5">G34*C34</f>
        <v>5563.25</v>
      </c>
      <c r="J34" s="122">
        <f>$J$17</f>
        <v>20.23</v>
      </c>
      <c r="L34" s="123">
        <f>ROUND(J34*$C34,0)</f>
        <v>5563</v>
      </c>
      <c r="N34" s="52"/>
      <c r="O34" s="52"/>
      <c r="P34" s="149"/>
      <c r="Q34" s="105"/>
      <c r="R34" s="105"/>
      <c r="S34" s="52"/>
      <c r="T34" s="52"/>
      <c r="U34" s="154"/>
      <c r="V34" s="154"/>
      <c r="W34" s="154"/>
      <c r="X34" s="154"/>
      <c r="Y34" s="146"/>
      <c r="Z34" s="146"/>
      <c r="AA34" s="149"/>
      <c r="AB34" s="149"/>
      <c r="AC34" s="153"/>
      <c r="AD34" s="149"/>
      <c r="AE34" s="52"/>
      <c r="AF34" s="52"/>
      <c r="AG34" s="52"/>
      <c r="AH34" s="52"/>
      <c r="AI34" s="52"/>
      <c r="AK34" s="124"/>
    </row>
    <row r="35" spans="1:37" hidden="1">
      <c r="A35" s="104" t="s">
        <v>370</v>
      </c>
      <c r="C35" s="121">
        <v>0</v>
      </c>
      <c r="D35" s="122">
        <v>39.840000000000003</v>
      </c>
      <c r="F35" s="123">
        <f>ROUND(D35*$C35,0)</f>
        <v>0</v>
      </c>
      <c r="G35" s="122">
        <f>$G$18</f>
        <v>41.86</v>
      </c>
      <c r="I35" s="123">
        <f t="shared" si="5"/>
        <v>0</v>
      </c>
      <c r="J35" s="122">
        <f>$J$18</f>
        <v>41.86</v>
      </c>
      <c r="L35" s="123">
        <f>ROUND(J35*$C35,0)</f>
        <v>0</v>
      </c>
      <c r="N35" s="52"/>
      <c r="O35" s="52"/>
      <c r="P35" s="149"/>
      <c r="Q35" s="105"/>
      <c r="R35" s="105"/>
      <c r="S35" s="52"/>
      <c r="T35" s="52"/>
      <c r="U35" s="154"/>
      <c r="V35" s="154"/>
      <c r="W35" s="154"/>
      <c r="X35" s="154"/>
      <c r="Y35" s="146"/>
      <c r="Z35" s="146"/>
      <c r="AA35" s="149"/>
      <c r="AB35" s="149"/>
      <c r="AC35" s="153"/>
      <c r="AD35" s="149"/>
      <c r="AE35" s="52"/>
      <c r="AF35" s="52"/>
      <c r="AG35" s="52"/>
      <c r="AH35" s="52"/>
      <c r="AI35" s="52"/>
      <c r="AK35" s="124"/>
    </row>
    <row r="36" spans="1:37" hidden="1">
      <c r="A36" s="104" t="s">
        <v>371</v>
      </c>
      <c r="C36" s="121"/>
      <c r="D36" s="122"/>
      <c r="F36" s="123"/>
      <c r="G36" s="122"/>
      <c r="I36" s="123"/>
      <c r="J36" s="122"/>
      <c r="L36" s="123"/>
      <c r="N36" s="52"/>
      <c r="O36" s="52"/>
      <c r="P36" s="149"/>
      <c r="Q36" s="105"/>
      <c r="R36" s="105"/>
      <c r="S36" s="52"/>
      <c r="T36" s="52"/>
      <c r="U36" s="154"/>
      <c r="V36" s="154"/>
      <c r="W36" s="154"/>
      <c r="X36" s="154"/>
      <c r="Y36" s="146"/>
      <c r="Z36" s="146"/>
      <c r="AA36" s="149"/>
      <c r="AB36" s="149"/>
      <c r="AC36" s="153"/>
      <c r="AD36" s="149"/>
      <c r="AE36" s="52"/>
      <c r="AF36" s="52"/>
      <c r="AG36" s="52"/>
      <c r="AH36" s="52"/>
      <c r="AI36" s="52"/>
      <c r="AK36" s="124"/>
    </row>
    <row r="37" spans="1:37" hidden="1">
      <c r="A37" s="104" t="s">
        <v>372</v>
      </c>
      <c r="C37" s="121">
        <f>853</f>
        <v>853</v>
      </c>
      <c r="D37" s="122">
        <v>11.51</v>
      </c>
      <c r="F37" s="123">
        <f>ROUND(D37*$C37,0)</f>
        <v>9818</v>
      </c>
      <c r="G37" s="122">
        <f>$G$20</f>
        <v>12.09</v>
      </c>
      <c r="I37" s="123">
        <f t="shared" ref="I37:I40" si="6">G37*C37</f>
        <v>10312.77</v>
      </c>
      <c r="J37" s="122">
        <f>$J$20</f>
        <v>12.09</v>
      </c>
      <c r="L37" s="123">
        <f>ROUND(J37*$C37,0)</f>
        <v>10313</v>
      </c>
      <c r="N37" s="52"/>
      <c r="O37" s="52"/>
      <c r="P37" s="149"/>
      <c r="Q37" s="105"/>
      <c r="R37" s="105"/>
      <c r="S37" s="52"/>
      <c r="T37" s="52"/>
      <c r="U37" s="154"/>
      <c r="V37" s="154"/>
      <c r="W37" s="154"/>
      <c r="X37" s="154"/>
      <c r="Y37" s="146"/>
      <c r="Z37" s="146"/>
      <c r="AA37" s="149"/>
      <c r="AB37" s="149"/>
      <c r="AC37" s="153"/>
      <c r="AD37" s="149"/>
      <c r="AE37" s="52"/>
      <c r="AF37" s="52"/>
      <c r="AG37" s="52"/>
      <c r="AH37" s="52"/>
      <c r="AI37" s="52"/>
      <c r="AK37" s="124"/>
    </row>
    <row r="38" spans="1:37" hidden="1">
      <c r="A38" s="104" t="s">
        <v>373</v>
      </c>
      <c r="C38" s="121">
        <f>228</f>
        <v>228</v>
      </c>
      <c r="D38" s="122">
        <v>16.900000000000002</v>
      </c>
      <c r="F38" s="123">
        <f>ROUND(D38*$C38,0)</f>
        <v>3853</v>
      </c>
      <c r="G38" s="122">
        <f>$G$21</f>
        <v>17.760000000000002</v>
      </c>
      <c r="I38" s="123">
        <f t="shared" si="6"/>
        <v>4049.28</v>
      </c>
      <c r="J38" s="122">
        <f>$J$21</f>
        <v>17.760000000000002</v>
      </c>
      <c r="L38" s="123">
        <f>ROUND(J38*$C38,0)</f>
        <v>4049</v>
      </c>
      <c r="N38" s="52"/>
      <c r="O38" s="52"/>
      <c r="P38" s="149"/>
      <c r="Q38" s="105"/>
      <c r="R38" s="105"/>
      <c r="S38" s="52"/>
      <c r="T38" s="52"/>
      <c r="U38" s="154"/>
      <c r="V38" s="154"/>
      <c r="W38" s="154"/>
      <c r="X38" s="154"/>
      <c r="Y38" s="146"/>
      <c r="Z38" s="146"/>
      <c r="AA38" s="149"/>
      <c r="AB38" s="149"/>
      <c r="AC38" s="153"/>
      <c r="AD38" s="149"/>
      <c r="AE38" s="52"/>
      <c r="AF38" s="52"/>
      <c r="AG38" s="52"/>
      <c r="AH38" s="52"/>
      <c r="AI38" s="52"/>
      <c r="AK38" s="124"/>
    </row>
    <row r="39" spans="1:37" hidden="1">
      <c r="A39" s="104" t="s">
        <v>374</v>
      </c>
      <c r="C39" s="121">
        <f>12</f>
        <v>12</v>
      </c>
      <c r="D39" s="122">
        <v>27.26</v>
      </c>
      <c r="F39" s="123">
        <f>ROUND(D39*$C39,0)</f>
        <v>327</v>
      </c>
      <c r="G39" s="122">
        <f>$G$22</f>
        <v>28.64</v>
      </c>
      <c r="I39" s="123">
        <f t="shared" si="6"/>
        <v>343.68</v>
      </c>
      <c r="J39" s="122">
        <f>$J$22</f>
        <v>28.64</v>
      </c>
      <c r="L39" s="123">
        <f>ROUND(J39*$C39,0)</f>
        <v>344</v>
      </c>
      <c r="N39" s="52"/>
      <c r="O39" s="52"/>
      <c r="P39" s="149"/>
      <c r="Q39" s="105"/>
      <c r="R39" s="105"/>
      <c r="S39" s="52"/>
      <c r="T39" s="52"/>
      <c r="U39" s="154"/>
      <c r="V39" s="154"/>
      <c r="W39" s="154"/>
      <c r="X39" s="154"/>
      <c r="Y39" s="146"/>
      <c r="Z39" s="146"/>
      <c r="AA39" s="149"/>
      <c r="AB39" s="149"/>
      <c r="AC39" s="153"/>
      <c r="AD39" s="149"/>
      <c r="AE39" s="52"/>
      <c r="AF39" s="52"/>
      <c r="AG39" s="52"/>
      <c r="AH39" s="52"/>
      <c r="AI39" s="52"/>
      <c r="AK39" s="124"/>
    </row>
    <row r="40" spans="1:37" hidden="1">
      <c r="A40" s="104" t="s">
        <v>375</v>
      </c>
      <c r="C40" s="121">
        <f>108+12</f>
        <v>120</v>
      </c>
      <c r="D40" s="122">
        <v>1</v>
      </c>
      <c r="E40" s="52"/>
      <c r="F40" s="132">
        <f>ROUND(D40*$C40,0)</f>
        <v>120</v>
      </c>
      <c r="G40" s="122">
        <f>$D$23</f>
        <v>1</v>
      </c>
      <c r="H40" s="52"/>
      <c r="I40" s="123">
        <f t="shared" si="6"/>
        <v>120</v>
      </c>
      <c r="J40" s="129">
        <f>$J$23</f>
        <v>1</v>
      </c>
      <c r="K40" s="52"/>
      <c r="L40" s="132">
        <f>ROUND(J40*$C40,0)</f>
        <v>120</v>
      </c>
      <c r="N40" s="146"/>
      <c r="O40" s="146"/>
      <c r="P40" s="149"/>
      <c r="Q40" s="105"/>
      <c r="R40" s="105"/>
      <c r="S40" s="52"/>
      <c r="T40" s="52"/>
      <c r="U40" s="146"/>
      <c r="V40" s="146"/>
      <c r="W40" s="146"/>
      <c r="X40" s="146"/>
      <c r="Y40" s="146"/>
      <c r="Z40" s="146"/>
      <c r="AA40" s="149"/>
      <c r="AB40" s="149"/>
      <c r="AC40" s="149"/>
      <c r="AD40" s="149"/>
      <c r="AE40" s="52"/>
      <c r="AF40" s="52"/>
      <c r="AG40" s="52"/>
      <c r="AH40" s="52"/>
      <c r="AI40" s="52"/>
      <c r="AK40" s="124"/>
    </row>
    <row r="41" spans="1:37" hidden="1">
      <c r="A41" s="104" t="s">
        <v>376</v>
      </c>
      <c r="C41" s="121">
        <f>14338</f>
        <v>14338</v>
      </c>
      <c r="D41" s="122"/>
      <c r="F41" s="123"/>
      <c r="G41" s="122"/>
      <c r="I41" s="123"/>
      <c r="J41" s="122"/>
      <c r="L41" s="123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55"/>
      <c r="AB41" s="146"/>
      <c r="AC41" s="146"/>
      <c r="AD41" s="146"/>
      <c r="AE41" s="52"/>
      <c r="AF41" s="52"/>
      <c r="AG41" s="52"/>
      <c r="AH41" s="52"/>
      <c r="AI41" s="52"/>
      <c r="AK41" s="124"/>
    </row>
    <row r="42" spans="1:37" hidden="1">
      <c r="A42" s="104" t="s">
        <v>377</v>
      </c>
      <c r="C42" s="121">
        <f>1095317</f>
        <v>1095317</v>
      </c>
      <c r="D42" s="129"/>
      <c r="E42" s="52"/>
      <c r="F42" s="132">
        <f>SUM(F33:F40)</f>
        <v>153360</v>
      </c>
      <c r="G42" s="129"/>
      <c r="H42" s="52"/>
      <c r="I42" s="132">
        <f>SUM(I33:I40)</f>
        <v>161087.66</v>
      </c>
      <c r="J42" s="129"/>
      <c r="K42" s="52"/>
      <c r="L42" s="132">
        <f>SUM(L33:L40)</f>
        <v>161088</v>
      </c>
      <c r="N42" s="146"/>
      <c r="O42" s="146"/>
      <c r="P42" s="154"/>
      <c r="Q42" s="146"/>
      <c r="R42" s="146"/>
      <c r="S42" s="52"/>
      <c r="T42" s="52"/>
      <c r="U42" s="52"/>
      <c r="V42" s="52"/>
      <c r="W42" s="52"/>
      <c r="X42" s="52"/>
      <c r="Y42" s="52"/>
      <c r="Z42" s="146"/>
      <c r="AA42" s="146"/>
      <c r="AB42" s="146"/>
      <c r="AC42" s="146"/>
      <c r="AD42" s="146"/>
      <c r="AE42" s="52"/>
      <c r="AF42" s="52"/>
      <c r="AG42" s="52"/>
      <c r="AH42" s="52"/>
      <c r="AI42" s="52"/>
      <c r="AK42" s="124"/>
    </row>
    <row r="43" spans="1:37" hidden="1">
      <c r="A43" s="104" t="s">
        <v>197</v>
      </c>
      <c r="C43" s="121">
        <v>16791.960726960933</v>
      </c>
      <c r="D43" s="129"/>
      <c r="E43" s="52"/>
      <c r="F43" s="132">
        <v>3028.6238348063712</v>
      </c>
      <c r="G43" s="129"/>
      <c r="H43" s="52"/>
      <c r="I43" s="132">
        <f>F43</f>
        <v>3028.6238348063712</v>
      </c>
      <c r="J43" s="129"/>
      <c r="K43" s="52"/>
      <c r="L43" s="132">
        <f>F43</f>
        <v>3028.6238348063712</v>
      </c>
      <c r="N43" s="156"/>
      <c r="O43" s="156"/>
      <c r="P43" s="154"/>
      <c r="Q43" s="146"/>
      <c r="R43" s="146"/>
      <c r="S43" s="146"/>
      <c r="T43" s="146"/>
      <c r="U43" s="151"/>
      <c r="V43" s="151"/>
      <c r="W43" s="151"/>
      <c r="X43" s="151"/>
      <c r="Y43" s="149"/>
      <c r="Z43" s="146"/>
      <c r="AA43" s="146"/>
      <c r="AB43" s="146"/>
      <c r="AC43" s="146"/>
      <c r="AD43" s="146"/>
      <c r="AE43" s="52"/>
      <c r="AF43" s="52"/>
      <c r="AG43" s="52"/>
      <c r="AH43" s="52"/>
      <c r="AI43" s="52"/>
      <c r="AK43" s="124"/>
    </row>
    <row r="44" spans="1:37" ht="16.5" hidden="1" thickBot="1">
      <c r="A44" s="104" t="s">
        <v>198</v>
      </c>
      <c r="C44" s="134">
        <f>C42+C43</f>
        <v>1112108.960726961</v>
      </c>
      <c r="D44" s="135"/>
      <c r="E44" s="135"/>
      <c r="F44" s="135">
        <f>F42+F43</f>
        <v>156388.62383480638</v>
      </c>
      <c r="G44" s="135"/>
      <c r="H44" s="135"/>
      <c r="I44" s="135">
        <f>I42+I43</f>
        <v>164116.28383480638</v>
      </c>
      <c r="J44" s="135"/>
      <c r="K44" s="135"/>
      <c r="L44" s="135">
        <f>L42+L43</f>
        <v>164116.62383480638</v>
      </c>
      <c r="N44" s="157"/>
      <c r="O44" s="157"/>
      <c r="P44" s="158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52"/>
      <c r="AF44" s="52"/>
      <c r="AG44" s="52"/>
      <c r="AH44" s="52"/>
      <c r="AI44" s="52"/>
      <c r="AK44" s="124"/>
    </row>
    <row r="45" spans="1:37" hidden="1">
      <c r="C45" s="140"/>
      <c r="D45" s="140"/>
      <c r="E45" s="140"/>
      <c r="F45" s="120"/>
      <c r="G45" s="140"/>
      <c r="H45" s="140"/>
      <c r="I45" s="120"/>
      <c r="J45" s="141" t="s">
        <v>280</v>
      </c>
      <c r="K45" s="140"/>
      <c r="L45" s="123" t="s">
        <v>280</v>
      </c>
      <c r="N45" s="52"/>
      <c r="O45" s="52"/>
      <c r="P45" s="105"/>
      <c r="Q45" s="105"/>
      <c r="R45" s="105"/>
      <c r="S45" s="52"/>
      <c r="T45" s="52"/>
      <c r="U45" s="52"/>
      <c r="V45" s="52"/>
      <c r="W45" s="52"/>
      <c r="X45" s="52"/>
      <c r="Y45" s="52"/>
      <c r="Z45" s="146"/>
      <c r="AA45" s="146"/>
      <c r="AB45" s="146"/>
      <c r="AC45" s="146"/>
      <c r="AD45" s="146"/>
      <c r="AE45" s="52"/>
      <c r="AF45" s="52"/>
      <c r="AG45" s="52"/>
      <c r="AH45" s="52"/>
      <c r="AI45" s="52"/>
      <c r="AK45" s="124"/>
    </row>
    <row r="46" spans="1:37" hidden="1">
      <c r="A46" s="119" t="s">
        <v>365</v>
      </c>
      <c r="F46" s="120"/>
      <c r="I46" s="120"/>
      <c r="N46" s="52"/>
      <c r="O46" s="52"/>
      <c r="P46" s="105"/>
      <c r="Q46" s="105"/>
      <c r="R46" s="105"/>
      <c r="S46" s="52"/>
      <c r="T46" s="52"/>
      <c r="U46" s="52"/>
      <c r="V46" s="52"/>
      <c r="W46" s="52"/>
      <c r="X46" s="52"/>
      <c r="Y46" s="52"/>
      <c r="Z46" s="146"/>
      <c r="AA46" s="146"/>
      <c r="AB46" s="146"/>
      <c r="AC46" s="146"/>
      <c r="AD46" s="146"/>
      <c r="AE46" s="52"/>
      <c r="AF46" s="52"/>
      <c r="AG46" s="52"/>
      <c r="AH46" s="52"/>
      <c r="AI46" s="52"/>
      <c r="AK46" s="124"/>
    </row>
    <row r="47" spans="1:37" hidden="1">
      <c r="A47" s="104" t="s">
        <v>202</v>
      </c>
      <c r="F47" s="120"/>
      <c r="I47" s="120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52"/>
      <c r="AF47" s="52"/>
      <c r="AG47" s="52"/>
      <c r="AH47" s="52"/>
      <c r="AI47" s="52"/>
      <c r="AK47" s="124"/>
    </row>
    <row r="48" spans="1:37" hidden="1">
      <c r="F48" s="120"/>
      <c r="I48" s="120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52"/>
      <c r="AF48" s="52"/>
      <c r="AG48" s="52"/>
      <c r="AH48" s="52"/>
      <c r="AI48" s="52"/>
      <c r="AK48" s="124"/>
    </row>
    <row r="49" spans="1:37" hidden="1">
      <c r="A49" s="104" t="s">
        <v>367</v>
      </c>
      <c r="F49" s="120"/>
      <c r="I49" s="120"/>
      <c r="N49" s="146"/>
      <c r="O49" s="146"/>
      <c r="P49" s="146"/>
      <c r="Q49" s="105"/>
      <c r="R49" s="105"/>
      <c r="S49" s="147"/>
      <c r="T49" s="147"/>
      <c r="U49" s="148"/>
      <c r="V49" s="148"/>
      <c r="W49" s="148"/>
      <c r="X49" s="148"/>
      <c r="Y49" s="149"/>
      <c r="Z49" s="150"/>
      <c r="AA49" s="146"/>
      <c r="AB49" s="146"/>
      <c r="AC49" s="146"/>
      <c r="AD49" s="146"/>
      <c r="AE49" s="52"/>
      <c r="AF49" s="52"/>
      <c r="AG49" s="52"/>
      <c r="AH49" s="52"/>
      <c r="AI49" s="52"/>
      <c r="AK49" s="124"/>
    </row>
    <row r="50" spans="1:37" hidden="1">
      <c r="A50" s="104" t="s">
        <v>368</v>
      </c>
      <c r="C50" s="121">
        <f>14603+53</f>
        <v>14656</v>
      </c>
      <c r="D50" s="122">
        <v>10.119999999999999</v>
      </c>
      <c r="F50" s="123">
        <f>ROUND(D50*$C50,0)</f>
        <v>148319</v>
      </c>
      <c r="G50" s="122">
        <f>$G$16</f>
        <v>10.63</v>
      </c>
      <c r="I50" s="123">
        <f t="shared" ref="I50:I52" si="7">G50*C50</f>
        <v>155793.28</v>
      </c>
      <c r="J50" s="122">
        <f>$J$16</f>
        <v>10.63</v>
      </c>
      <c r="L50" s="123">
        <f>ROUND(J50*$C50,0)</f>
        <v>155793</v>
      </c>
      <c r="N50" s="52"/>
      <c r="O50" s="52"/>
      <c r="P50" s="149"/>
      <c r="Q50" s="105"/>
      <c r="R50" s="105"/>
      <c r="S50" s="146"/>
      <c r="T50" s="146"/>
      <c r="U50" s="151"/>
      <c r="V50" s="151"/>
      <c r="W50" s="151"/>
      <c r="X50" s="151"/>
      <c r="Y50" s="152"/>
      <c r="Z50" s="146"/>
      <c r="AA50" s="149"/>
      <c r="AB50" s="149"/>
      <c r="AC50" s="153"/>
      <c r="AD50" s="149"/>
      <c r="AE50" s="52"/>
      <c r="AF50" s="52"/>
      <c r="AG50" s="52"/>
      <c r="AH50" s="52"/>
      <c r="AI50" s="52"/>
      <c r="AK50" s="124"/>
    </row>
    <row r="51" spans="1:37" hidden="1">
      <c r="A51" s="104" t="s">
        <v>369</v>
      </c>
      <c r="C51" s="121">
        <f>3726+252</f>
        <v>3978</v>
      </c>
      <c r="D51" s="122">
        <v>19.25</v>
      </c>
      <c r="F51" s="123">
        <f>ROUND(D51*$C51,0)</f>
        <v>76577</v>
      </c>
      <c r="G51" s="122">
        <f>$G$17</f>
        <v>20.23</v>
      </c>
      <c r="I51" s="123">
        <f t="shared" si="7"/>
        <v>80474.94</v>
      </c>
      <c r="J51" s="122">
        <f>$J$17</f>
        <v>20.23</v>
      </c>
      <c r="L51" s="123">
        <f>ROUND(J51*$C51,0)</f>
        <v>80475</v>
      </c>
      <c r="N51" s="52"/>
      <c r="O51" s="52"/>
      <c r="P51" s="149"/>
      <c r="Q51" s="105"/>
      <c r="R51" s="105"/>
      <c r="S51" s="52"/>
      <c r="T51" s="52"/>
      <c r="U51" s="154"/>
      <c r="V51" s="154"/>
      <c r="W51" s="154"/>
      <c r="X51" s="154"/>
      <c r="Y51" s="146"/>
      <c r="Z51" s="146"/>
      <c r="AA51" s="149"/>
      <c r="AB51" s="149"/>
      <c r="AC51" s="153"/>
      <c r="AD51" s="149"/>
      <c r="AE51" s="52"/>
      <c r="AF51" s="52"/>
      <c r="AG51" s="52"/>
      <c r="AH51" s="52"/>
      <c r="AI51" s="52"/>
      <c r="AK51" s="124"/>
    </row>
    <row r="52" spans="1:37" hidden="1">
      <c r="A52" s="104" t="s">
        <v>370</v>
      </c>
      <c r="C52" s="121">
        <f>504+48</f>
        <v>552</v>
      </c>
      <c r="D52" s="122">
        <v>39.840000000000003</v>
      </c>
      <c r="F52" s="123">
        <f>ROUND(D52*$C52,0)</f>
        <v>21992</v>
      </c>
      <c r="G52" s="122">
        <f>$G$18</f>
        <v>41.86</v>
      </c>
      <c r="I52" s="123">
        <f t="shared" si="7"/>
        <v>23106.720000000001</v>
      </c>
      <c r="J52" s="122">
        <f>$J$18</f>
        <v>41.86</v>
      </c>
      <c r="L52" s="123">
        <f>ROUND(J52*$C52,0)</f>
        <v>23107</v>
      </c>
      <c r="N52" s="52"/>
      <c r="O52" s="52"/>
      <c r="P52" s="149"/>
      <c r="Q52" s="105"/>
      <c r="R52" s="105"/>
      <c r="S52" s="52"/>
      <c r="T52" s="52"/>
      <c r="U52" s="154"/>
      <c r="V52" s="154"/>
      <c r="W52" s="154"/>
      <c r="X52" s="154"/>
      <c r="Y52" s="146"/>
      <c r="Z52" s="146"/>
      <c r="AA52" s="149"/>
      <c r="AB52" s="149"/>
      <c r="AC52" s="153"/>
      <c r="AD52" s="149"/>
      <c r="AE52" s="52"/>
      <c r="AF52" s="52"/>
      <c r="AG52" s="52"/>
      <c r="AH52" s="52"/>
      <c r="AI52" s="52"/>
      <c r="AK52" s="124"/>
    </row>
    <row r="53" spans="1:37" hidden="1">
      <c r="A53" s="104" t="s">
        <v>371</v>
      </c>
      <c r="C53" s="121"/>
      <c r="D53" s="122"/>
      <c r="F53" s="123"/>
      <c r="G53" s="122"/>
      <c r="I53" s="123"/>
      <c r="J53" s="122"/>
      <c r="L53" s="123"/>
      <c r="N53" s="52"/>
      <c r="O53" s="52"/>
      <c r="P53" s="149"/>
      <c r="Q53" s="105"/>
      <c r="R53" s="105"/>
      <c r="S53" s="52"/>
      <c r="T53" s="52"/>
      <c r="U53" s="154"/>
      <c r="V53" s="154"/>
      <c r="W53" s="154"/>
      <c r="X53" s="154"/>
      <c r="Y53" s="146"/>
      <c r="Z53" s="146"/>
      <c r="AA53" s="149"/>
      <c r="AB53" s="149"/>
      <c r="AC53" s="153"/>
      <c r="AD53" s="149"/>
      <c r="AE53" s="52"/>
      <c r="AF53" s="52"/>
      <c r="AG53" s="52"/>
      <c r="AH53" s="52"/>
      <c r="AI53" s="52"/>
      <c r="AK53" s="124"/>
    </row>
    <row r="54" spans="1:37" hidden="1">
      <c r="A54" s="104" t="s">
        <v>372</v>
      </c>
      <c r="C54" s="121">
        <f>1073+12</f>
        <v>1085</v>
      </c>
      <c r="D54" s="122">
        <v>11.51</v>
      </c>
      <c r="F54" s="123">
        <f>ROUND(D54*$C54,0)</f>
        <v>12488</v>
      </c>
      <c r="G54" s="122">
        <f>$G$20</f>
        <v>12.09</v>
      </c>
      <c r="I54" s="123">
        <f t="shared" ref="I54:I57" si="8">G54*C54</f>
        <v>13117.65</v>
      </c>
      <c r="J54" s="122">
        <f>$J$20</f>
        <v>12.09</v>
      </c>
      <c r="L54" s="123">
        <f>ROUND(J54*$C54,0)</f>
        <v>13118</v>
      </c>
      <c r="N54" s="52"/>
      <c r="O54" s="52"/>
      <c r="P54" s="149"/>
      <c r="Q54" s="105"/>
      <c r="R54" s="105"/>
      <c r="S54" s="52"/>
      <c r="T54" s="52"/>
      <c r="U54" s="154"/>
      <c r="V54" s="154"/>
      <c r="W54" s="154"/>
      <c r="X54" s="154"/>
      <c r="Y54" s="146"/>
      <c r="Z54" s="146"/>
      <c r="AA54" s="149"/>
      <c r="AB54" s="149"/>
      <c r="AC54" s="153"/>
      <c r="AD54" s="149"/>
      <c r="AE54" s="52"/>
      <c r="AF54" s="52"/>
      <c r="AG54" s="52"/>
      <c r="AH54" s="52"/>
      <c r="AI54" s="52"/>
      <c r="AK54" s="124"/>
    </row>
    <row r="55" spans="1:37" hidden="1">
      <c r="A55" s="104" t="s">
        <v>373</v>
      </c>
      <c r="C55" s="121">
        <f>1465</f>
        <v>1465</v>
      </c>
      <c r="D55" s="122">
        <v>16.900000000000002</v>
      </c>
      <c r="F55" s="123">
        <f>ROUND(D55*$C55,0)</f>
        <v>24759</v>
      </c>
      <c r="G55" s="122">
        <f>$G$21</f>
        <v>17.760000000000002</v>
      </c>
      <c r="I55" s="123">
        <f t="shared" si="8"/>
        <v>26018.400000000001</v>
      </c>
      <c r="J55" s="122">
        <f>$J$21</f>
        <v>17.760000000000002</v>
      </c>
      <c r="L55" s="123">
        <f>ROUND(J55*$C55,0)</f>
        <v>26018</v>
      </c>
      <c r="N55" s="52"/>
      <c r="O55" s="52"/>
      <c r="P55" s="149"/>
      <c r="Q55" s="105"/>
      <c r="R55" s="105"/>
      <c r="S55" s="52"/>
      <c r="T55" s="52"/>
      <c r="U55" s="154"/>
      <c r="V55" s="154"/>
      <c r="W55" s="154"/>
      <c r="X55" s="154"/>
      <c r="Y55" s="146"/>
      <c r="Z55" s="146"/>
      <c r="AA55" s="149"/>
      <c r="AB55" s="149"/>
      <c r="AC55" s="153"/>
      <c r="AD55" s="149"/>
      <c r="AE55" s="52"/>
      <c r="AF55" s="52"/>
      <c r="AG55" s="52"/>
      <c r="AH55" s="52"/>
      <c r="AI55" s="52"/>
      <c r="AK55" s="124"/>
    </row>
    <row r="56" spans="1:37" hidden="1">
      <c r="A56" s="104" t="s">
        <v>374</v>
      </c>
      <c r="C56" s="121">
        <f>427</f>
        <v>427</v>
      </c>
      <c r="D56" s="122">
        <v>27.26</v>
      </c>
      <c r="F56" s="123">
        <f>ROUND(D56*$C56,0)</f>
        <v>11640</v>
      </c>
      <c r="G56" s="122">
        <f>$G$22</f>
        <v>28.64</v>
      </c>
      <c r="I56" s="123">
        <f t="shared" si="8"/>
        <v>12229.28</v>
      </c>
      <c r="J56" s="122">
        <f>$J$22</f>
        <v>28.64</v>
      </c>
      <c r="L56" s="123">
        <f>ROUND(J56*$C56,0)</f>
        <v>12229</v>
      </c>
      <c r="N56" s="52"/>
      <c r="O56" s="52"/>
      <c r="P56" s="149"/>
      <c r="Q56" s="105"/>
      <c r="R56" s="105"/>
      <c r="S56" s="52"/>
      <c r="T56" s="52"/>
      <c r="U56" s="154"/>
      <c r="V56" s="154"/>
      <c r="W56" s="154"/>
      <c r="X56" s="154"/>
      <c r="Y56" s="146"/>
      <c r="Z56" s="146"/>
      <c r="AA56" s="149"/>
      <c r="AB56" s="149"/>
      <c r="AC56" s="153"/>
      <c r="AD56" s="149"/>
      <c r="AE56" s="52"/>
      <c r="AF56" s="52"/>
      <c r="AG56" s="52"/>
      <c r="AH56" s="52"/>
      <c r="AI56" s="52"/>
      <c r="AK56" s="124"/>
    </row>
    <row r="57" spans="1:37" hidden="1">
      <c r="A57" s="104" t="s">
        <v>375</v>
      </c>
      <c r="C57" s="121">
        <f>312+53</f>
        <v>365</v>
      </c>
      <c r="D57" s="122">
        <v>1</v>
      </c>
      <c r="E57" s="52"/>
      <c r="F57" s="132">
        <f>ROUND(D57*$C57,0)</f>
        <v>365</v>
      </c>
      <c r="G57" s="122">
        <f>$G$23</f>
        <v>1</v>
      </c>
      <c r="H57" s="52"/>
      <c r="I57" s="123">
        <f t="shared" si="8"/>
        <v>365</v>
      </c>
      <c r="J57" s="129">
        <f>$J$23</f>
        <v>1</v>
      </c>
      <c r="K57" s="52"/>
      <c r="L57" s="132">
        <f>ROUND(J57*$C57,0)</f>
        <v>365</v>
      </c>
      <c r="N57" s="146"/>
      <c r="O57" s="146"/>
      <c r="P57" s="149"/>
      <c r="Q57" s="105"/>
      <c r="R57" s="105"/>
      <c r="S57" s="52"/>
      <c r="T57" s="52"/>
      <c r="U57" s="146"/>
      <c r="V57" s="146"/>
      <c r="W57" s="146"/>
      <c r="X57" s="146"/>
      <c r="Y57" s="146"/>
      <c r="Z57" s="146"/>
      <c r="AA57" s="149"/>
      <c r="AB57" s="149"/>
      <c r="AC57" s="149"/>
      <c r="AD57" s="149"/>
      <c r="AE57" s="52"/>
      <c r="AF57" s="52"/>
      <c r="AG57" s="52"/>
      <c r="AH57" s="52"/>
      <c r="AI57" s="52"/>
      <c r="AK57" s="124"/>
    </row>
    <row r="58" spans="1:37" hidden="1">
      <c r="A58" s="104" t="s">
        <v>376</v>
      </c>
      <c r="C58" s="121">
        <f>10328+6314</f>
        <v>16642</v>
      </c>
      <c r="D58" s="122"/>
      <c r="F58" s="123"/>
      <c r="G58" s="122"/>
      <c r="I58" s="123"/>
      <c r="J58" s="122"/>
      <c r="L58" s="123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55"/>
      <c r="AB58" s="146"/>
      <c r="AC58" s="146"/>
      <c r="AD58" s="146"/>
      <c r="AE58" s="52"/>
      <c r="AF58" s="52"/>
      <c r="AG58" s="52"/>
      <c r="AH58" s="52"/>
      <c r="AI58" s="52"/>
      <c r="AK58" s="124"/>
    </row>
    <row r="59" spans="1:37" hidden="1">
      <c r="A59" s="104" t="s">
        <v>377</v>
      </c>
      <c r="C59" s="121">
        <f>1651563+597889</f>
        <v>2249452</v>
      </c>
      <c r="D59" s="129"/>
      <c r="E59" s="52"/>
      <c r="F59" s="132">
        <f>SUM(F50:F57)</f>
        <v>296140</v>
      </c>
      <c r="G59" s="129"/>
      <c r="H59" s="52"/>
      <c r="I59" s="132">
        <f>SUM(I50:I57)</f>
        <v>311105.27000000008</v>
      </c>
      <c r="J59" s="129"/>
      <c r="K59" s="52"/>
      <c r="L59" s="132">
        <f>SUM(L50:L57)</f>
        <v>311105</v>
      </c>
      <c r="N59" s="146"/>
      <c r="O59" s="146"/>
      <c r="P59" s="154"/>
      <c r="Q59" s="146"/>
      <c r="R59" s="146"/>
      <c r="S59" s="52"/>
      <c r="T59" s="52"/>
      <c r="U59" s="52"/>
      <c r="V59" s="52"/>
      <c r="W59" s="52"/>
      <c r="X59" s="52"/>
      <c r="Y59" s="52"/>
      <c r="Z59" s="146"/>
      <c r="AA59" s="146"/>
      <c r="AB59" s="146"/>
      <c r="AC59" s="146"/>
      <c r="AD59" s="146"/>
      <c r="AE59" s="52"/>
      <c r="AF59" s="52"/>
      <c r="AG59" s="52"/>
      <c r="AH59" s="52"/>
      <c r="AI59" s="52"/>
      <c r="AK59" s="124"/>
    </row>
    <row r="60" spans="1:37" hidden="1">
      <c r="A60" s="104" t="s">
        <v>197</v>
      </c>
      <c r="C60" s="121">
        <v>-28960.447912559564</v>
      </c>
      <c r="D60" s="129"/>
      <c r="E60" s="52"/>
      <c r="F60" s="132">
        <v>-2942.121045352616</v>
      </c>
      <c r="G60" s="129"/>
      <c r="H60" s="52"/>
      <c r="I60" s="132">
        <f>F60</f>
        <v>-2942.121045352616</v>
      </c>
      <c r="J60" s="129"/>
      <c r="K60" s="52"/>
      <c r="L60" s="132">
        <f>F60</f>
        <v>-2942.121045352616</v>
      </c>
      <c r="N60" s="156"/>
      <c r="O60" s="156"/>
      <c r="P60" s="154"/>
      <c r="Q60" s="146"/>
      <c r="R60" s="146"/>
      <c r="S60" s="146"/>
      <c r="T60" s="146"/>
      <c r="U60" s="151"/>
      <c r="V60" s="151"/>
      <c r="W60" s="151"/>
      <c r="X60" s="151"/>
      <c r="Y60" s="149"/>
      <c r="Z60" s="146"/>
      <c r="AA60" s="146"/>
      <c r="AB60" s="146"/>
      <c r="AC60" s="146"/>
      <c r="AD60" s="146"/>
      <c r="AE60" s="52"/>
      <c r="AF60" s="52"/>
      <c r="AG60" s="52"/>
      <c r="AH60" s="52"/>
      <c r="AI60" s="52"/>
      <c r="AK60" s="124"/>
    </row>
    <row r="61" spans="1:37" ht="16.5" hidden="1" thickBot="1">
      <c r="A61" s="104" t="s">
        <v>198</v>
      </c>
      <c r="C61" s="134">
        <f>C59+C60</f>
        <v>2220491.5520874406</v>
      </c>
      <c r="D61" s="135"/>
      <c r="E61" s="135"/>
      <c r="F61" s="135">
        <f>F59+F60</f>
        <v>293197.8789546474</v>
      </c>
      <c r="G61" s="135"/>
      <c r="H61" s="135"/>
      <c r="I61" s="135">
        <f>I59+I60</f>
        <v>308163.14895464748</v>
      </c>
      <c r="J61" s="135"/>
      <c r="K61" s="135"/>
      <c r="L61" s="135">
        <f>L59+L60</f>
        <v>308162.8789546474</v>
      </c>
      <c r="N61" s="157"/>
      <c r="O61" s="157"/>
      <c r="P61" s="158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52"/>
      <c r="AF61" s="52"/>
      <c r="AG61" s="52"/>
      <c r="AH61" s="52"/>
      <c r="AI61" s="52"/>
      <c r="AK61" s="124"/>
    </row>
    <row r="62" spans="1:37" hidden="1">
      <c r="C62" s="140"/>
      <c r="D62" s="140"/>
      <c r="E62" s="140"/>
      <c r="F62" s="120"/>
      <c r="G62" s="140"/>
      <c r="H62" s="140"/>
      <c r="I62" s="120"/>
      <c r="J62" s="141" t="s">
        <v>280</v>
      </c>
      <c r="K62" s="140"/>
      <c r="L62" s="123" t="s">
        <v>280</v>
      </c>
      <c r="N62" s="52"/>
      <c r="O62" s="52"/>
      <c r="P62" s="105"/>
      <c r="Q62" s="105"/>
      <c r="R62" s="105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K62" s="124"/>
    </row>
    <row r="63" spans="1:37" hidden="1">
      <c r="A63" s="119" t="s">
        <v>365</v>
      </c>
      <c r="F63" s="120"/>
      <c r="I63" s="120"/>
      <c r="N63" s="52"/>
      <c r="O63" s="52"/>
      <c r="P63" s="105"/>
      <c r="Q63" s="105"/>
      <c r="R63" s="105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K63" s="124"/>
    </row>
    <row r="64" spans="1:37" hidden="1">
      <c r="A64" s="104" t="s">
        <v>378</v>
      </c>
      <c r="F64" s="120"/>
      <c r="I64" s="120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52"/>
      <c r="AF64" s="52"/>
      <c r="AG64" s="52"/>
      <c r="AH64" s="52"/>
      <c r="AI64" s="52"/>
      <c r="AK64" s="124"/>
    </row>
    <row r="65" spans="1:37" hidden="1">
      <c r="F65" s="120"/>
      <c r="I65" s="120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52"/>
      <c r="AF65" s="52"/>
      <c r="AG65" s="52"/>
      <c r="AH65" s="52"/>
      <c r="AI65" s="52"/>
      <c r="AK65" s="124"/>
    </row>
    <row r="66" spans="1:37" hidden="1">
      <c r="A66" s="104" t="s">
        <v>367</v>
      </c>
      <c r="F66" s="120"/>
      <c r="I66" s="120"/>
      <c r="N66" s="146"/>
      <c r="O66" s="146"/>
      <c r="P66" s="146"/>
      <c r="Q66" s="105"/>
      <c r="R66" s="105"/>
      <c r="S66" s="147"/>
      <c r="T66" s="147"/>
      <c r="U66" s="148"/>
      <c r="V66" s="148"/>
      <c r="W66" s="148"/>
      <c r="X66" s="148"/>
      <c r="Y66" s="149"/>
      <c r="Z66" s="150"/>
      <c r="AA66" s="146"/>
      <c r="AB66" s="146"/>
      <c r="AC66" s="146"/>
      <c r="AD66" s="146"/>
      <c r="AE66" s="52"/>
      <c r="AF66" s="52"/>
      <c r="AG66" s="52"/>
      <c r="AH66" s="52"/>
      <c r="AI66" s="52"/>
      <c r="AK66" s="124"/>
    </row>
    <row r="67" spans="1:37" hidden="1">
      <c r="A67" s="104" t="s">
        <v>368</v>
      </c>
      <c r="C67" s="121">
        <f>516+132</f>
        <v>648</v>
      </c>
      <c r="D67" s="122">
        <v>10.119999999999999</v>
      </c>
      <c r="F67" s="123">
        <f>ROUND(D67*$C67,0)</f>
        <v>6558</v>
      </c>
      <c r="G67" s="122">
        <f>$G$16</f>
        <v>10.63</v>
      </c>
      <c r="I67" s="123">
        <f t="shared" ref="I67:I69" si="9">G67*C67</f>
        <v>6888.2400000000007</v>
      </c>
      <c r="J67" s="122">
        <f>$J$16</f>
        <v>10.63</v>
      </c>
      <c r="L67" s="123">
        <f>ROUND(J67*$C67,0)</f>
        <v>6888</v>
      </c>
      <c r="N67" s="52"/>
      <c r="O67" s="52"/>
      <c r="P67" s="149"/>
      <c r="Q67" s="105"/>
      <c r="R67" s="105"/>
      <c r="S67" s="146"/>
      <c r="T67" s="146"/>
      <c r="U67" s="151"/>
      <c r="V67" s="151"/>
      <c r="W67" s="151"/>
      <c r="X67" s="151"/>
      <c r="Y67" s="152"/>
      <c r="Z67" s="146"/>
      <c r="AA67" s="149"/>
      <c r="AB67" s="149"/>
      <c r="AC67" s="153"/>
      <c r="AD67" s="149"/>
      <c r="AE67" s="52"/>
      <c r="AF67" s="52"/>
      <c r="AG67" s="52"/>
      <c r="AH67" s="52"/>
      <c r="AI67" s="52"/>
      <c r="AK67" s="124"/>
    </row>
    <row r="68" spans="1:37" hidden="1">
      <c r="A68" s="104" t="s">
        <v>369</v>
      </c>
      <c r="C68" s="121">
        <f>408</f>
        <v>408</v>
      </c>
      <c r="D68" s="122">
        <v>19.25</v>
      </c>
      <c r="F68" s="123">
        <f>ROUND(D68*$C68,0)</f>
        <v>7854</v>
      </c>
      <c r="G68" s="122">
        <f>$G$17</f>
        <v>20.23</v>
      </c>
      <c r="I68" s="123">
        <f t="shared" si="9"/>
        <v>8253.84</v>
      </c>
      <c r="J68" s="122">
        <f>$J$17</f>
        <v>20.23</v>
      </c>
      <c r="L68" s="123">
        <f>ROUND(J68*$C68,0)</f>
        <v>8254</v>
      </c>
      <c r="N68" s="52"/>
      <c r="O68" s="52"/>
      <c r="P68" s="149"/>
      <c r="Q68" s="105"/>
      <c r="R68" s="105"/>
      <c r="S68" s="52"/>
      <c r="T68" s="52"/>
      <c r="U68" s="154"/>
      <c r="V68" s="154"/>
      <c r="W68" s="154"/>
      <c r="X68" s="154"/>
      <c r="Y68" s="146"/>
      <c r="Z68" s="146"/>
      <c r="AA68" s="149"/>
      <c r="AB68" s="149"/>
      <c r="AC68" s="153"/>
      <c r="AD68" s="149"/>
      <c r="AE68" s="52"/>
      <c r="AF68" s="52"/>
      <c r="AG68" s="52"/>
      <c r="AH68" s="52"/>
      <c r="AI68" s="52"/>
      <c r="AK68" s="124"/>
    </row>
    <row r="69" spans="1:37" hidden="1">
      <c r="A69" s="104" t="s">
        <v>370</v>
      </c>
      <c r="C69" s="121">
        <f>48</f>
        <v>48</v>
      </c>
      <c r="D69" s="122">
        <v>39.840000000000003</v>
      </c>
      <c r="F69" s="123">
        <f>ROUND(D69*$C69,0)</f>
        <v>1912</v>
      </c>
      <c r="G69" s="122">
        <f>$G$18</f>
        <v>41.86</v>
      </c>
      <c r="I69" s="123">
        <f t="shared" si="9"/>
        <v>2009.28</v>
      </c>
      <c r="J69" s="122">
        <f>$J$18</f>
        <v>41.86</v>
      </c>
      <c r="L69" s="123">
        <f>ROUND(J69*$C69,0)</f>
        <v>2009</v>
      </c>
      <c r="N69" s="52"/>
      <c r="O69" s="52"/>
      <c r="P69" s="149"/>
      <c r="Q69" s="105"/>
      <c r="R69" s="105"/>
      <c r="S69" s="52"/>
      <c r="T69" s="52"/>
      <c r="U69" s="154"/>
      <c r="V69" s="154"/>
      <c r="W69" s="154"/>
      <c r="X69" s="154"/>
      <c r="Y69" s="146"/>
      <c r="Z69" s="146"/>
      <c r="AA69" s="149"/>
      <c r="AB69" s="149"/>
      <c r="AC69" s="153"/>
      <c r="AD69" s="149"/>
      <c r="AE69" s="52"/>
      <c r="AF69" s="52"/>
      <c r="AG69" s="52"/>
      <c r="AH69" s="52"/>
      <c r="AI69" s="52"/>
      <c r="AK69" s="124"/>
    </row>
    <row r="70" spans="1:37" hidden="1">
      <c r="A70" s="104" t="s">
        <v>371</v>
      </c>
      <c r="C70" s="121"/>
      <c r="D70" s="122"/>
      <c r="F70" s="123"/>
      <c r="G70" s="122"/>
      <c r="I70" s="123"/>
      <c r="J70" s="122"/>
      <c r="L70" s="123"/>
      <c r="N70" s="52"/>
      <c r="O70" s="52"/>
      <c r="P70" s="149"/>
      <c r="Q70" s="105"/>
      <c r="R70" s="105"/>
      <c r="S70" s="52"/>
      <c r="T70" s="52"/>
      <c r="U70" s="154"/>
      <c r="V70" s="154"/>
      <c r="W70" s="154"/>
      <c r="X70" s="154"/>
      <c r="Y70" s="146"/>
      <c r="Z70" s="146"/>
      <c r="AA70" s="149"/>
      <c r="AB70" s="149"/>
      <c r="AC70" s="153"/>
      <c r="AD70" s="149"/>
      <c r="AE70" s="52"/>
      <c r="AF70" s="52"/>
      <c r="AG70" s="52"/>
      <c r="AH70" s="52"/>
      <c r="AI70" s="52"/>
      <c r="AK70" s="124"/>
    </row>
    <row r="71" spans="1:37" hidden="1">
      <c r="A71" s="104" t="s">
        <v>372</v>
      </c>
      <c r="C71" s="121">
        <f>12</f>
        <v>12</v>
      </c>
      <c r="D71" s="122">
        <v>11.51</v>
      </c>
      <c r="F71" s="123">
        <f>ROUND(D71*$C71,0)</f>
        <v>138</v>
      </c>
      <c r="G71" s="122">
        <f>$G$20</f>
        <v>12.09</v>
      </c>
      <c r="I71" s="123">
        <f t="shared" ref="I71:I74" si="10">G71*C71</f>
        <v>145.07999999999998</v>
      </c>
      <c r="J71" s="122">
        <f>$J$20</f>
        <v>12.09</v>
      </c>
      <c r="L71" s="123">
        <f>ROUND(J71*$C71,0)</f>
        <v>145</v>
      </c>
      <c r="N71" s="52"/>
      <c r="O71" s="52"/>
      <c r="P71" s="149"/>
      <c r="Q71" s="105"/>
      <c r="R71" s="105"/>
      <c r="S71" s="52"/>
      <c r="T71" s="52"/>
      <c r="U71" s="154"/>
      <c r="V71" s="154"/>
      <c r="W71" s="154"/>
      <c r="X71" s="154"/>
      <c r="Y71" s="146"/>
      <c r="Z71" s="146"/>
      <c r="AA71" s="149"/>
      <c r="AB71" s="149"/>
      <c r="AC71" s="153"/>
      <c r="AD71" s="149"/>
      <c r="AE71" s="52"/>
      <c r="AF71" s="52"/>
      <c r="AG71" s="52"/>
      <c r="AH71" s="52"/>
      <c r="AI71" s="52"/>
      <c r="AK71" s="124"/>
    </row>
    <row r="72" spans="1:37" hidden="1">
      <c r="A72" s="104" t="s">
        <v>373</v>
      </c>
      <c r="C72" s="121">
        <f>96</f>
        <v>96</v>
      </c>
      <c r="D72" s="122">
        <v>16.900000000000002</v>
      </c>
      <c r="F72" s="123">
        <f>ROUND(D72*$C72,0)</f>
        <v>1622</v>
      </c>
      <c r="G72" s="122">
        <f>$G$21</f>
        <v>17.760000000000002</v>
      </c>
      <c r="I72" s="123">
        <f t="shared" si="10"/>
        <v>1704.96</v>
      </c>
      <c r="J72" s="122">
        <f>$J$21</f>
        <v>17.760000000000002</v>
      </c>
      <c r="L72" s="123">
        <f>ROUND(J72*$C72,0)</f>
        <v>1705</v>
      </c>
      <c r="N72" s="52"/>
      <c r="O72" s="52"/>
      <c r="P72" s="149"/>
      <c r="Q72" s="105"/>
      <c r="R72" s="105"/>
      <c r="S72" s="52"/>
      <c r="T72" s="52"/>
      <c r="U72" s="154"/>
      <c r="V72" s="154"/>
      <c r="W72" s="154"/>
      <c r="X72" s="154"/>
      <c r="Y72" s="146"/>
      <c r="Z72" s="146"/>
      <c r="AA72" s="149"/>
      <c r="AB72" s="149"/>
      <c r="AC72" s="153"/>
      <c r="AD72" s="149"/>
      <c r="AE72" s="52"/>
      <c r="AF72" s="52"/>
      <c r="AG72" s="52"/>
      <c r="AH72" s="52"/>
      <c r="AI72" s="52"/>
      <c r="AK72" s="124"/>
    </row>
    <row r="73" spans="1:37" hidden="1">
      <c r="A73" s="104" t="s">
        <v>374</v>
      </c>
      <c r="C73" s="121">
        <f>24</f>
        <v>24</v>
      </c>
      <c r="D73" s="122">
        <v>27.26</v>
      </c>
      <c r="F73" s="123">
        <f>ROUND(D73*$C73,0)</f>
        <v>654</v>
      </c>
      <c r="G73" s="122">
        <f>$G$22</f>
        <v>28.64</v>
      </c>
      <c r="I73" s="123">
        <f t="shared" si="10"/>
        <v>687.36</v>
      </c>
      <c r="J73" s="122">
        <f>$J$22</f>
        <v>28.64</v>
      </c>
      <c r="L73" s="123">
        <f>ROUND(J73*$C73,0)</f>
        <v>687</v>
      </c>
      <c r="N73" s="52"/>
      <c r="O73" s="52"/>
      <c r="P73" s="149"/>
      <c r="Q73" s="105"/>
      <c r="R73" s="105"/>
      <c r="S73" s="52"/>
      <c r="T73" s="52"/>
      <c r="U73" s="154"/>
      <c r="V73" s="154"/>
      <c r="W73" s="154"/>
      <c r="X73" s="154"/>
      <c r="Y73" s="146"/>
      <c r="Z73" s="146"/>
      <c r="AA73" s="149"/>
      <c r="AB73" s="149"/>
      <c r="AC73" s="153"/>
      <c r="AD73" s="149"/>
      <c r="AE73" s="52"/>
      <c r="AF73" s="52"/>
      <c r="AG73" s="52"/>
      <c r="AH73" s="52"/>
      <c r="AI73" s="52"/>
      <c r="AK73" s="124"/>
    </row>
    <row r="74" spans="1:37" hidden="1">
      <c r="A74" s="104" t="s">
        <v>375</v>
      </c>
      <c r="C74" s="121">
        <f>132</f>
        <v>132</v>
      </c>
      <c r="D74" s="122">
        <v>1</v>
      </c>
      <c r="E74" s="52"/>
      <c r="F74" s="132">
        <f>ROUND(D74*$C74,0)</f>
        <v>132</v>
      </c>
      <c r="G74" s="122">
        <f>$G$23</f>
        <v>1</v>
      </c>
      <c r="H74" s="52"/>
      <c r="I74" s="123">
        <f t="shared" si="10"/>
        <v>132</v>
      </c>
      <c r="J74" s="129">
        <f>$J$23</f>
        <v>1</v>
      </c>
      <c r="K74" s="52"/>
      <c r="L74" s="132">
        <f>ROUND(J74*$C74,0)</f>
        <v>132</v>
      </c>
      <c r="N74" s="146"/>
      <c r="O74" s="146"/>
      <c r="P74" s="149"/>
      <c r="Q74" s="105"/>
      <c r="R74" s="105"/>
      <c r="S74" s="52"/>
      <c r="T74" s="52"/>
      <c r="U74" s="146"/>
      <c r="V74" s="146"/>
      <c r="W74" s="146"/>
      <c r="X74" s="146"/>
      <c r="Y74" s="146"/>
      <c r="Z74" s="146"/>
      <c r="AA74" s="149"/>
      <c r="AB74" s="149"/>
      <c r="AC74" s="149"/>
      <c r="AD74" s="149"/>
      <c r="AE74" s="52"/>
      <c r="AF74" s="52"/>
      <c r="AG74" s="52"/>
      <c r="AH74" s="52"/>
      <c r="AI74" s="52"/>
      <c r="AK74" s="124"/>
    </row>
    <row r="75" spans="1:37" hidden="1">
      <c r="A75" s="104" t="s">
        <v>376</v>
      </c>
      <c r="C75" s="121">
        <f>508+204</f>
        <v>712</v>
      </c>
      <c r="D75" s="122"/>
      <c r="F75" s="123"/>
      <c r="G75" s="122"/>
      <c r="I75" s="123"/>
      <c r="J75" s="122"/>
      <c r="L75" s="123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55"/>
      <c r="AB75" s="146"/>
      <c r="AC75" s="146"/>
      <c r="AD75" s="146"/>
      <c r="AE75" s="52"/>
      <c r="AF75" s="52"/>
      <c r="AG75" s="52"/>
      <c r="AH75" s="52"/>
      <c r="AI75" s="52"/>
      <c r="AK75" s="124"/>
    </row>
    <row r="76" spans="1:37" hidden="1">
      <c r="A76" s="104" t="s">
        <v>377</v>
      </c>
      <c r="C76" s="121">
        <f>121496+30346</f>
        <v>151842</v>
      </c>
      <c r="D76" s="129"/>
      <c r="E76" s="52"/>
      <c r="F76" s="132">
        <f>SUM(F67:F74)</f>
        <v>18870</v>
      </c>
      <c r="G76" s="129"/>
      <c r="H76" s="52"/>
      <c r="I76" s="132">
        <f>SUM(I67:I74)</f>
        <v>19820.760000000002</v>
      </c>
      <c r="J76" s="129"/>
      <c r="K76" s="52"/>
      <c r="L76" s="132">
        <f>SUM(L67:L74)</f>
        <v>19820</v>
      </c>
      <c r="N76" s="146"/>
      <c r="O76" s="146"/>
      <c r="P76" s="154"/>
      <c r="Q76" s="146"/>
      <c r="R76" s="146"/>
      <c r="S76" s="52"/>
      <c r="T76" s="52"/>
      <c r="U76" s="52"/>
      <c r="V76" s="52"/>
      <c r="W76" s="52"/>
      <c r="X76" s="52"/>
      <c r="Y76" s="52"/>
      <c r="Z76" s="146"/>
      <c r="AA76" s="146"/>
      <c r="AB76" s="146"/>
      <c r="AC76" s="146"/>
      <c r="AD76" s="146"/>
      <c r="AE76" s="52"/>
      <c r="AF76" s="52"/>
      <c r="AG76" s="52"/>
      <c r="AH76" s="52"/>
      <c r="AI76" s="52"/>
      <c r="AK76" s="124"/>
    </row>
    <row r="77" spans="1:37" hidden="1">
      <c r="A77" s="104" t="s">
        <v>197</v>
      </c>
      <c r="C77" s="121">
        <v>-2717.2956224062523</v>
      </c>
      <c r="D77" s="129"/>
      <c r="E77" s="52"/>
      <c r="F77" s="132">
        <v>-309.18561909415229</v>
      </c>
      <c r="G77" s="129"/>
      <c r="H77" s="52"/>
      <c r="I77" s="132">
        <f>F77</f>
        <v>-309.18561909415229</v>
      </c>
      <c r="J77" s="129"/>
      <c r="K77" s="52"/>
      <c r="L77" s="132">
        <f>F77</f>
        <v>-309.18561909415229</v>
      </c>
      <c r="N77" s="156"/>
      <c r="O77" s="156"/>
      <c r="P77" s="154"/>
      <c r="Q77" s="146"/>
      <c r="R77" s="146"/>
      <c r="S77" s="146"/>
      <c r="T77" s="146"/>
      <c r="U77" s="151"/>
      <c r="V77" s="151"/>
      <c r="W77" s="151"/>
      <c r="X77" s="151"/>
      <c r="Y77" s="149"/>
      <c r="Z77" s="146"/>
      <c r="AA77" s="146"/>
      <c r="AB77" s="146"/>
      <c r="AC77" s="146"/>
      <c r="AD77" s="146"/>
      <c r="AE77" s="52"/>
      <c r="AF77" s="52"/>
      <c r="AG77" s="52"/>
      <c r="AH77" s="52"/>
      <c r="AI77" s="52"/>
      <c r="AK77" s="124"/>
    </row>
    <row r="78" spans="1:37" ht="16.5" hidden="1" thickBot="1">
      <c r="A78" s="104" t="s">
        <v>198</v>
      </c>
      <c r="C78" s="134">
        <f>C76+C77</f>
        <v>149124.70437759373</v>
      </c>
      <c r="D78" s="135"/>
      <c r="E78" s="135"/>
      <c r="F78" s="135">
        <f>F76+F77</f>
        <v>18560.814380905849</v>
      </c>
      <c r="G78" s="135"/>
      <c r="H78" s="135"/>
      <c r="I78" s="135">
        <f>I76+I77</f>
        <v>19511.574380905851</v>
      </c>
      <c r="J78" s="135"/>
      <c r="K78" s="135"/>
      <c r="L78" s="135">
        <f>L76+L77</f>
        <v>19510.814380905849</v>
      </c>
      <c r="N78" s="157"/>
      <c r="O78" s="157"/>
      <c r="P78" s="158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52"/>
      <c r="AF78" s="52"/>
      <c r="AG78" s="52"/>
      <c r="AH78" s="52"/>
      <c r="AI78" s="52"/>
      <c r="AK78" s="124"/>
    </row>
    <row r="79" spans="1:37" hidden="1">
      <c r="C79" s="140"/>
      <c r="D79" s="140"/>
      <c r="E79" s="140"/>
      <c r="F79" s="120"/>
      <c r="G79" s="140"/>
      <c r="H79" s="140"/>
      <c r="I79" s="120"/>
      <c r="J79" s="141" t="s">
        <v>280</v>
      </c>
      <c r="K79" s="140"/>
      <c r="L79" s="123" t="s">
        <v>280</v>
      </c>
      <c r="N79" s="52"/>
      <c r="O79" s="52"/>
      <c r="P79" s="105"/>
      <c r="Q79" s="105"/>
      <c r="R79" s="105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K79" s="124"/>
    </row>
    <row r="80" spans="1:37">
      <c r="A80" s="159" t="s">
        <v>379</v>
      </c>
      <c r="B80" s="141"/>
      <c r="C80" s="141"/>
      <c r="D80" s="160"/>
      <c r="E80" s="160"/>
      <c r="F80" s="141"/>
      <c r="G80" s="160"/>
      <c r="H80" s="141"/>
      <c r="I80" s="141"/>
      <c r="J80" s="160"/>
      <c r="K80" s="141"/>
      <c r="L80" s="141"/>
      <c r="N80" s="52"/>
      <c r="O80" s="52"/>
      <c r="P80" s="105"/>
      <c r="Q80" s="105"/>
      <c r="R80" s="105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K80" s="124"/>
    </row>
    <row r="81" spans="1:37">
      <c r="A81" s="141" t="s">
        <v>206</v>
      </c>
      <c r="B81" s="141"/>
      <c r="C81" s="141"/>
      <c r="D81" s="160"/>
      <c r="E81" s="160"/>
      <c r="F81" s="141"/>
      <c r="G81" s="160"/>
      <c r="H81" s="141"/>
      <c r="I81" s="141"/>
      <c r="J81" s="160"/>
      <c r="K81" s="141"/>
      <c r="L81" s="141"/>
      <c r="N81" s="161"/>
      <c r="O81" s="161"/>
      <c r="P81" s="105"/>
      <c r="Q81" s="105"/>
      <c r="R81" s="105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K81" s="124"/>
    </row>
    <row r="82" spans="1:37">
      <c r="A82" s="162"/>
      <c r="B82" s="141"/>
      <c r="C82" s="141"/>
      <c r="D82" s="160"/>
      <c r="E82" s="160"/>
      <c r="F82" s="141"/>
      <c r="G82" s="160"/>
      <c r="H82" s="141"/>
      <c r="I82" s="141"/>
      <c r="J82" s="160"/>
      <c r="K82" s="141"/>
      <c r="L82" s="141"/>
      <c r="N82" s="52"/>
      <c r="O82" s="52"/>
      <c r="P82" s="105"/>
      <c r="Q82" s="163" t="s">
        <v>207</v>
      </c>
      <c r="R82" s="163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K82" s="124"/>
    </row>
    <row r="83" spans="1:37">
      <c r="A83" s="141" t="s">
        <v>208</v>
      </c>
      <c r="B83" s="141"/>
      <c r="C83" s="160">
        <f t="shared" ref="C83:C90" si="11">C96+C109+C122+C135</f>
        <v>1247577</v>
      </c>
      <c r="D83" s="164">
        <v>6</v>
      </c>
      <c r="E83" s="141"/>
      <c r="F83" s="123">
        <f t="shared" ref="F83:I90" si="12">F96+F109+F122+F135</f>
        <v>7485462</v>
      </c>
      <c r="G83" s="164">
        <v>6</v>
      </c>
      <c r="H83" s="141"/>
      <c r="I83" s="123">
        <f t="shared" si="12"/>
        <v>7485462</v>
      </c>
      <c r="J83" s="164">
        <v>6</v>
      </c>
      <c r="K83" s="141"/>
      <c r="L83" s="123">
        <f t="shared" ref="L83:L89" si="13">L96+L109+L122+L135</f>
        <v>7485462</v>
      </c>
      <c r="N83" s="124" t="e">
        <f>J83*#REF!</f>
        <v>#REF!</v>
      </c>
      <c r="Q83" s="62">
        <f t="shared" ref="Q83:Q88" si="14">(J83-G83)/G83</f>
        <v>0</v>
      </c>
      <c r="R83" s="92"/>
      <c r="S83" s="165" t="s">
        <v>280</v>
      </c>
      <c r="AD83" s="52"/>
      <c r="AE83" s="52"/>
      <c r="AF83" s="52"/>
      <c r="AG83" s="52"/>
      <c r="AH83" s="52"/>
      <c r="AI83" s="52"/>
      <c r="AK83" s="124"/>
    </row>
    <row r="84" spans="1:37">
      <c r="A84" s="141" t="s">
        <v>209</v>
      </c>
      <c r="B84" s="141"/>
      <c r="C84" s="160">
        <f t="shared" si="11"/>
        <v>704700397.72097492</v>
      </c>
      <c r="D84" s="166">
        <v>5.1929999999999996</v>
      </c>
      <c r="E84" s="141" t="s">
        <v>210</v>
      </c>
      <c r="F84" s="123">
        <f t="shared" si="12"/>
        <v>36595092</v>
      </c>
      <c r="G84" s="166">
        <v>5.8579999999999997</v>
      </c>
      <c r="H84" s="141" t="s">
        <v>210</v>
      </c>
      <c r="I84" s="123">
        <f t="shared" si="12"/>
        <v>41281349</v>
      </c>
      <c r="J84" s="166">
        <v>5.9489999999999998</v>
      </c>
      <c r="K84" s="141" t="s">
        <v>210</v>
      </c>
      <c r="L84" s="123">
        <f t="shared" si="13"/>
        <v>41922626</v>
      </c>
      <c r="N84" s="124" t="e">
        <f>(J84/100)*#REF!</f>
        <v>#REF!</v>
      </c>
      <c r="Q84" s="62">
        <f t="shared" si="14"/>
        <v>1.5534312051894879E-2</v>
      </c>
      <c r="R84" s="92"/>
      <c r="S84" s="92">
        <f>(G85-G84)/G84</f>
        <v>0.58142710822806443</v>
      </c>
      <c r="U84" s="92"/>
      <c r="W84" s="124"/>
      <c r="X84" s="124"/>
      <c r="Y84" s="92"/>
      <c r="AD84" s="52"/>
      <c r="AE84" s="52"/>
      <c r="AF84" s="52"/>
      <c r="AG84" s="52"/>
      <c r="AH84" s="52"/>
      <c r="AI84" s="52"/>
      <c r="AK84" s="124"/>
    </row>
    <row r="85" spans="1:37">
      <c r="A85" s="141" t="s">
        <v>211</v>
      </c>
      <c r="B85" s="141"/>
      <c r="C85" s="160">
        <f t="shared" si="11"/>
        <v>933774927.24598777</v>
      </c>
      <c r="D85" s="166">
        <v>8.1929999999999996</v>
      </c>
      <c r="E85" s="141" t="s">
        <v>210</v>
      </c>
      <c r="F85" s="123">
        <f t="shared" si="12"/>
        <v>76504179</v>
      </c>
      <c r="G85" s="166">
        <v>9.2640000000000011</v>
      </c>
      <c r="H85" s="141" t="s">
        <v>210</v>
      </c>
      <c r="I85" s="123">
        <f t="shared" si="12"/>
        <v>86504910</v>
      </c>
      <c r="J85" s="166">
        <f>ROUND((G85/G84*J84),3)+0.008</f>
        <v>9.4159999999999986</v>
      </c>
      <c r="K85" s="141" t="s">
        <v>210</v>
      </c>
      <c r="L85" s="123">
        <f t="shared" si="13"/>
        <v>87924247</v>
      </c>
      <c r="N85" s="124" t="e">
        <f>(J85/100)*#REF!</f>
        <v>#REF!</v>
      </c>
      <c r="O85" s="167"/>
      <c r="Q85" s="62">
        <f t="shared" si="14"/>
        <v>1.6407599309153437E-2</v>
      </c>
      <c r="R85" s="92"/>
      <c r="S85" s="92">
        <f>(J85-J84)/J84</f>
        <v>0.58278702302908036</v>
      </c>
      <c r="U85" s="92"/>
      <c r="W85" s="168"/>
      <c r="X85" s="168"/>
      <c r="Y85" s="92"/>
      <c r="AD85" s="52"/>
      <c r="AE85" s="52"/>
      <c r="AF85" s="52"/>
      <c r="AG85" s="52"/>
      <c r="AH85" s="52"/>
      <c r="AI85" s="52"/>
      <c r="AK85" s="124"/>
    </row>
    <row r="86" spans="1:37">
      <c r="A86" s="141" t="s">
        <v>212</v>
      </c>
      <c r="B86" s="141"/>
      <c r="C86" s="160">
        <f t="shared" si="11"/>
        <v>5366</v>
      </c>
      <c r="D86" s="164">
        <v>1.6</v>
      </c>
      <c r="E86" s="141"/>
      <c r="F86" s="123">
        <f t="shared" si="12"/>
        <v>8586</v>
      </c>
      <c r="G86" s="164">
        <v>1.65</v>
      </c>
      <c r="H86" s="141"/>
      <c r="I86" s="123">
        <f t="shared" si="12"/>
        <v>8854</v>
      </c>
      <c r="J86" s="164">
        <v>1.65</v>
      </c>
      <c r="K86" s="141"/>
      <c r="L86" s="123">
        <f t="shared" si="13"/>
        <v>8854</v>
      </c>
      <c r="N86" s="124" t="e">
        <f>J86*#REF!</f>
        <v>#REF!</v>
      </c>
      <c r="Q86" s="62">
        <f t="shared" si="14"/>
        <v>0</v>
      </c>
      <c r="R86" s="92"/>
      <c r="S86" s="109"/>
      <c r="W86" s="124"/>
      <c r="X86" s="124"/>
      <c r="Y86" s="92"/>
      <c r="AD86" s="52"/>
      <c r="AE86" s="52"/>
      <c r="AF86" s="52"/>
      <c r="AG86" s="52"/>
      <c r="AH86" s="52"/>
      <c r="AI86" s="52"/>
      <c r="AK86" s="124"/>
    </row>
    <row r="87" spans="1:37">
      <c r="A87" s="169" t="s">
        <v>213</v>
      </c>
      <c r="B87" s="169"/>
      <c r="C87" s="160">
        <f t="shared" si="11"/>
        <v>889</v>
      </c>
      <c r="D87" s="164">
        <v>3.1</v>
      </c>
      <c r="E87" s="169"/>
      <c r="F87" s="123">
        <f t="shared" si="12"/>
        <v>2756</v>
      </c>
      <c r="G87" s="164">
        <v>3.2</v>
      </c>
      <c r="H87" s="169"/>
      <c r="I87" s="123">
        <f t="shared" si="12"/>
        <v>2845</v>
      </c>
      <c r="J87" s="164">
        <f>ROUND(J86/G86*G87,2)</f>
        <v>3.2</v>
      </c>
      <c r="K87" s="169"/>
      <c r="L87" s="123">
        <f t="shared" si="13"/>
        <v>2845</v>
      </c>
      <c r="N87" s="124" t="e">
        <f>J87*#REF!</f>
        <v>#REF!</v>
      </c>
      <c r="Q87" s="62">
        <f t="shared" si="14"/>
        <v>0</v>
      </c>
      <c r="R87" s="92"/>
      <c r="S87" s="109"/>
      <c r="AD87" s="52"/>
      <c r="AE87" s="52"/>
      <c r="AF87" s="52"/>
      <c r="AG87" s="52"/>
      <c r="AH87" s="52"/>
      <c r="AI87" s="52"/>
      <c r="AK87" s="124"/>
    </row>
    <row r="88" spans="1:37">
      <c r="A88" s="169" t="s">
        <v>214</v>
      </c>
      <c r="B88" s="169"/>
      <c r="C88" s="160">
        <f t="shared" si="11"/>
        <v>88</v>
      </c>
      <c r="D88" s="170">
        <v>-1.6</v>
      </c>
      <c r="E88" s="169"/>
      <c r="F88" s="123">
        <f t="shared" si="12"/>
        <v>-140</v>
      </c>
      <c r="G88" s="170">
        <v>-1.65</v>
      </c>
      <c r="H88" s="169"/>
      <c r="I88" s="123">
        <f t="shared" si="12"/>
        <v>-145</v>
      </c>
      <c r="J88" s="170">
        <f>-J86</f>
        <v>-1.65</v>
      </c>
      <c r="K88" s="169"/>
      <c r="L88" s="123">
        <f t="shared" si="13"/>
        <v>-145</v>
      </c>
      <c r="N88" s="124" t="e">
        <f>J88*#REF!</f>
        <v>#REF!</v>
      </c>
      <c r="Q88" s="62">
        <f t="shared" si="14"/>
        <v>0</v>
      </c>
      <c r="R88" s="92"/>
      <c r="S88" s="109"/>
      <c r="AD88" s="52"/>
      <c r="AE88" s="52"/>
      <c r="AF88" s="52"/>
      <c r="AG88" s="52"/>
      <c r="AH88" s="52"/>
      <c r="AI88" s="52"/>
      <c r="AK88" s="124"/>
    </row>
    <row r="89" spans="1:37">
      <c r="A89" s="141" t="s">
        <v>215</v>
      </c>
      <c r="B89" s="171"/>
      <c r="C89" s="160">
        <f t="shared" si="11"/>
        <v>1638475324.9669628</v>
      </c>
      <c r="D89" s="172"/>
      <c r="E89" s="123"/>
      <c r="F89" s="123">
        <f t="shared" si="12"/>
        <v>120595935</v>
      </c>
      <c r="G89" s="172"/>
      <c r="H89" s="123"/>
      <c r="I89" s="123">
        <f t="shared" si="12"/>
        <v>135283275</v>
      </c>
      <c r="J89" s="123"/>
      <c r="K89" s="123"/>
      <c r="L89" s="123">
        <f t="shared" si="13"/>
        <v>137343889</v>
      </c>
      <c r="N89" s="124" t="e">
        <f>SUM(N83:N88)</f>
        <v>#REF!</v>
      </c>
      <c r="P89" s="62"/>
      <c r="AD89" s="52"/>
      <c r="AE89" s="52"/>
      <c r="AF89" s="52"/>
      <c r="AG89" s="52"/>
      <c r="AH89" s="52"/>
      <c r="AI89" s="52"/>
      <c r="AK89" s="124"/>
    </row>
    <row r="90" spans="1:37">
      <c r="A90" s="141" t="s">
        <v>197</v>
      </c>
      <c r="B90" s="173"/>
      <c r="C90" s="174">
        <f t="shared" si="11"/>
        <v>24413208.039273039</v>
      </c>
      <c r="D90" s="175"/>
      <c r="E90" s="175"/>
      <c r="F90" s="176">
        <f t="shared" si="12"/>
        <v>2311971.3761651944</v>
      </c>
      <c r="G90" s="175"/>
      <c r="H90" s="175"/>
      <c r="I90" s="176">
        <f>F90</f>
        <v>2311971.3761651944</v>
      </c>
      <c r="J90" s="175"/>
      <c r="K90" s="175"/>
      <c r="L90" s="176">
        <f>F90</f>
        <v>2311971.3761651944</v>
      </c>
      <c r="AD90" s="52"/>
      <c r="AE90" s="52"/>
      <c r="AF90" s="52"/>
      <c r="AG90" s="52"/>
      <c r="AH90" s="52"/>
      <c r="AI90" s="52"/>
      <c r="AK90" s="124"/>
    </row>
    <row r="91" spans="1:37" ht="16.5" thickBot="1">
      <c r="A91" s="141" t="s">
        <v>216</v>
      </c>
      <c r="B91" s="141"/>
      <c r="C91" s="177">
        <f>C89+C90</f>
        <v>1662888533.0062358</v>
      </c>
      <c r="D91" s="178"/>
      <c r="E91" s="178"/>
      <c r="F91" s="178">
        <f>F89+F90</f>
        <v>122907906.3761652</v>
      </c>
      <c r="G91" s="178"/>
      <c r="H91" s="178"/>
      <c r="I91" s="178">
        <f>I89+I90</f>
        <v>137595246.37616518</v>
      </c>
      <c r="J91" s="178"/>
      <c r="K91" s="178"/>
      <c r="L91" s="178">
        <f>L89+L90</f>
        <v>139655860.37616518</v>
      </c>
      <c r="O91" s="136" t="s">
        <v>199</v>
      </c>
      <c r="P91" s="137">
        <v>139655136.00944573</v>
      </c>
      <c r="Q91" s="138">
        <v>1.4970645335007433E-2</v>
      </c>
      <c r="R91" s="139"/>
      <c r="AD91" s="52"/>
      <c r="AE91" s="52"/>
      <c r="AF91" s="52"/>
      <c r="AG91" s="52"/>
      <c r="AH91" s="52"/>
      <c r="AI91" s="52"/>
      <c r="AK91" s="124"/>
    </row>
    <row r="92" spans="1:37" ht="16.5" thickTop="1">
      <c r="A92" s="141"/>
      <c r="B92" s="179"/>
      <c r="C92" s="160"/>
      <c r="D92" s="160"/>
      <c r="E92" s="160"/>
      <c r="G92" s="160"/>
      <c r="H92" s="141"/>
      <c r="J92" s="141" t="s">
        <v>280</v>
      </c>
      <c r="K92" s="141"/>
      <c r="L92" s="123" t="s">
        <v>280</v>
      </c>
      <c r="O92" s="142" t="s">
        <v>200</v>
      </c>
      <c r="P92" s="180">
        <f>P91-L91</f>
        <v>-724.3667194545269</v>
      </c>
      <c r="Q92" s="181" t="s">
        <v>280</v>
      </c>
      <c r="R92" s="182"/>
      <c r="AD92" s="52"/>
      <c r="AE92" s="52"/>
      <c r="AF92" s="52"/>
      <c r="AG92" s="52"/>
      <c r="AH92" s="52"/>
      <c r="AI92" s="52"/>
      <c r="AK92" s="124"/>
    </row>
    <row r="93" spans="1:37">
      <c r="A93" s="159" t="s">
        <v>217</v>
      </c>
      <c r="B93" s="141"/>
      <c r="C93" s="141" t="s">
        <v>280</v>
      </c>
      <c r="D93" s="160" t="s">
        <v>280</v>
      </c>
      <c r="E93" s="160"/>
      <c r="F93" s="141"/>
      <c r="G93" s="160" t="s">
        <v>280</v>
      </c>
      <c r="H93" s="141"/>
      <c r="I93" s="141"/>
      <c r="J93" s="160"/>
      <c r="K93" s="141"/>
      <c r="L93" s="141"/>
      <c r="N93" s="52"/>
      <c r="O93" s="52"/>
      <c r="P93" s="96"/>
      <c r="Q93" s="105"/>
      <c r="R93" s="105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K93" s="124"/>
    </row>
    <row r="94" spans="1:37">
      <c r="A94" s="141" t="s">
        <v>332</v>
      </c>
      <c r="B94" s="141"/>
      <c r="C94" s="141"/>
      <c r="D94" s="160"/>
      <c r="E94" s="160"/>
      <c r="F94" s="141"/>
      <c r="G94" s="160"/>
      <c r="H94" s="141"/>
      <c r="I94" s="141"/>
      <c r="J94" s="160"/>
      <c r="K94" s="141"/>
      <c r="L94" s="141"/>
      <c r="N94" s="52"/>
      <c r="O94" s="52"/>
      <c r="P94" s="105"/>
      <c r="Q94" s="105"/>
      <c r="R94" s="105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K94" s="124"/>
    </row>
    <row r="95" spans="1:37">
      <c r="A95" s="183" t="s">
        <v>218</v>
      </c>
      <c r="B95" s="141"/>
      <c r="C95" s="141"/>
      <c r="D95" s="160"/>
      <c r="E95" s="160"/>
      <c r="F95" s="141"/>
      <c r="G95" s="160"/>
      <c r="H95" s="141"/>
      <c r="I95" s="141"/>
      <c r="J95" s="160"/>
      <c r="K95" s="141"/>
      <c r="L95" s="141"/>
      <c r="N95" s="52"/>
      <c r="O95" s="52"/>
      <c r="P95" s="105"/>
      <c r="Q95" s="105"/>
      <c r="R95" s="105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K95" s="124"/>
    </row>
    <row r="96" spans="1:37">
      <c r="A96" s="141" t="s">
        <v>208</v>
      </c>
      <c r="B96" s="141"/>
      <c r="C96" s="160">
        <f>1198520+27+180</f>
        <v>1198727</v>
      </c>
      <c r="D96" s="164">
        <v>6</v>
      </c>
      <c r="E96" s="141"/>
      <c r="F96" s="123">
        <f>ROUND(D96*$C96,0)</f>
        <v>7192362</v>
      </c>
      <c r="G96" s="164">
        <f>$G$83</f>
        <v>6</v>
      </c>
      <c r="H96" s="141"/>
      <c r="I96" s="123">
        <f>ROUND(G96*C96,0)</f>
        <v>7192362</v>
      </c>
      <c r="J96" s="164">
        <f>$J$83</f>
        <v>6</v>
      </c>
      <c r="K96" s="141"/>
      <c r="L96" s="123">
        <f>ROUND(J96*$C96,0)</f>
        <v>7192362</v>
      </c>
      <c r="N96" s="52"/>
      <c r="O96" s="52"/>
      <c r="P96" s="105"/>
      <c r="Q96" s="105"/>
      <c r="R96" s="105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K96" s="124"/>
    </row>
    <row r="97" spans="1:37">
      <c r="A97" s="141" t="s">
        <v>209</v>
      </c>
      <c r="B97" s="141"/>
      <c r="C97" s="160">
        <v>676855975.28000283</v>
      </c>
      <c r="D97" s="166">
        <v>5.1929999999999996</v>
      </c>
      <c r="E97" s="141" t="s">
        <v>210</v>
      </c>
      <c r="F97" s="123">
        <f>ROUND(D97*$C97/100,0)</f>
        <v>35149131</v>
      </c>
      <c r="G97" s="166">
        <f>$G$84</f>
        <v>5.8579999999999997</v>
      </c>
      <c r="H97" s="141" t="s">
        <v>210</v>
      </c>
      <c r="I97" s="123">
        <f>ROUND(C97*G97/100,0)</f>
        <v>39650223</v>
      </c>
      <c r="J97" s="166">
        <f>$J$84</f>
        <v>5.9489999999999998</v>
      </c>
      <c r="K97" s="141" t="s">
        <v>210</v>
      </c>
      <c r="L97" s="123">
        <f>ROUND(J97*$C97/100,0)</f>
        <v>40266162</v>
      </c>
      <c r="N97" s="52"/>
      <c r="O97" s="52"/>
      <c r="P97" s="105"/>
      <c r="Q97" s="105"/>
      <c r="R97" s="105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K97" s="124"/>
    </row>
    <row r="98" spans="1:37">
      <c r="A98" s="141" t="s">
        <v>211</v>
      </c>
      <c r="B98" s="160"/>
      <c r="C98" s="160">
        <v>895661508.38271058</v>
      </c>
      <c r="D98" s="166">
        <v>8.1929999999999996</v>
      </c>
      <c r="E98" s="141" t="s">
        <v>210</v>
      </c>
      <c r="F98" s="123">
        <f>ROUND(D98*$C98/100,0)</f>
        <v>73381547</v>
      </c>
      <c r="G98" s="166">
        <f>$G$85</f>
        <v>9.2640000000000011</v>
      </c>
      <c r="H98" s="141" t="s">
        <v>210</v>
      </c>
      <c r="I98" s="123">
        <f>ROUND(C98*G98/100,0)</f>
        <v>82974082</v>
      </c>
      <c r="J98" s="166">
        <f>$J$85</f>
        <v>9.4159999999999986</v>
      </c>
      <c r="K98" s="141" t="s">
        <v>210</v>
      </c>
      <c r="L98" s="123">
        <f>ROUND(J98*$C98/100,0)</f>
        <v>84335488</v>
      </c>
      <c r="N98" s="52"/>
      <c r="O98" s="52"/>
      <c r="P98" s="105"/>
      <c r="Q98" s="105"/>
      <c r="R98" s="105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K98" s="124"/>
    </row>
    <row r="99" spans="1:37">
      <c r="A99" s="141" t="s">
        <v>212</v>
      </c>
      <c r="B99" s="141"/>
      <c r="C99" s="160">
        <v>0</v>
      </c>
      <c r="D99" s="164">
        <v>1.6</v>
      </c>
      <c r="E99" s="141"/>
      <c r="F99" s="123">
        <f>ROUND(D99*$C99,0)</f>
        <v>0</v>
      </c>
      <c r="G99" s="164">
        <f>$G$86</f>
        <v>1.65</v>
      </c>
      <c r="H99" s="141"/>
      <c r="I99" s="123">
        <v>0</v>
      </c>
      <c r="J99" s="164">
        <f>$J$86</f>
        <v>1.65</v>
      </c>
      <c r="K99" s="141"/>
      <c r="L99" s="123">
        <f>ROUND(J99*$C99,0)</f>
        <v>0</v>
      </c>
      <c r="N99" s="52"/>
      <c r="O99" s="52"/>
      <c r="P99" s="105"/>
      <c r="Q99" s="105"/>
      <c r="R99" s="105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K99" s="124"/>
    </row>
    <row r="100" spans="1:37">
      <c r="A100" s="169" t="s">
        <v>213</v>
      </c>
      <c r="B100" s="169"/>
      <c r="C100" s="160">
        <v>0</v>
      </c>
      <c r="D100" s="164">
        <v>3.1</v>
      </c>
      <c r="E100" s="169"/>
      <c r="F100" s="123">
        <f>ROUND(D100*$C100,0)</f>
        <v>0</v>
      </c>
      <c r="G100" s="164">
        <f>$G$87</f>
        <v>3.2</v>
      </c>
      <c r="H100" s="169"/>
      <c r="I100" s="123">
        <v>0</v>
      </c>
      <c r="J100" s="164">
        <f>$J$87</f>
        <v>3.2</v>
      </c>
      <c r="K100" s="169"/>
      <c r="L100" s="123">
        <f>ROUND(J100*$C100,0)</f>
        <v>0</v>
      </c>
      <c r="N100" s="52"/>
      <c r="O100" s="52"/>
      <c r="P100" s="105"/>
      <c r="Q100" s="105"/>
      <c r="R100" s="105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K100" s="124"/>
    </row>
    <row r="101" spans="1:37">
      <c r="A101" s="169" t="s">
        <v>214</v>
      </c>
      <c r="B101" s="169"/>
      <c r="C101" s="160">
        <v>0</v>
      </c>
      <c r="D101" s="170">
        <v>-1.6</v>
      </c>
      <c r="E101" s="169"/>
      <c r="F101" s="123">
        <f>ROUND(D101*$C101,0)</f>
        <v>0</v>
      </c>
      <c r="G101" s="170">
        <f>-G99</f>
        <v>-1.65</v>
      </c>
      <c r="H101" s="169"/>
      <c r="I101" s="123">
        <v>0</v>
      </c>
      <c r="J101" s="170">
        <f>-J99</f>
        <v>-1.65</v>
      </c>
      <c r="K101" s="169"/>
      <c r="L101" s="123">
        <f>ROUND(J101*$C101,0)</f>
        <v>0</v>
      </c>
      <c r="N101" s="52"/>
      <c r="O101" s="52"/>
      <c r="P101" s="105"/>
      <c r="Q101" s="105"/>
      <c r="R101" s="105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K101" s="124"/>
    </row>
    <row r="102" spans="1:37">
      <c r="A102" s="141" t="s">
        <v>215</v>
      </c>
      <c r="B102" s="171"/>
      <c r="C102" s="160">
        <f>SUM(C97:C98)</f>
        <v>1572517483.6627135</v>
      </c>
      <c r="D102" s="172"/>
      <c r="E102" s="123"/>
      <c r="F102" s="123">
        <f>SUM(F96:F101)</f>
        <v>115723040</v>
      </c>
      <c r="G102" s="172"/>
      <c r="H102" s="123"/>
      <c r="I102" s="123">
        <f>SUM(I96:I101)</f>
        <v>129816667</v>
      </c>
      <c r="J102" s="123"/>
      <c r="K102" s="123"/>
      <c r="L102" s="123">
        <f>SUM(L96:L101)</f>
        <v>131794012</v>
      </c>
      <c r="N102" s="52"/>
      <c r="O102" s="52"/>
      <c r="P102" s="184"/>
      <c r="Q102" s="105"/>
      <c r="R102" s="105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K102" s="124"/>
    </row>
    <row r="103" spans="1:37">
      <c r="A103" s="141" t="s">
        <v>197</v>
      </c>
      <c r="B103" s="173"/>
      <c r="C103" s="185">
        <v>23402926.626040429</v>
      </c>
      <c r="D103" s="175"/>
      <c r="E103" s="175"/>
      <c r="F103" s="176">
        <v>2216085.0878990265</v>
      </c>
      <c r="G103" s="175"/>
      <c r="H103" s="175"/>
      <c r="I103" s="174">
        <f>F103</f>
        <v>2216085.0878990265</v>
      </c>
      <c r="J103" s="175"/>
      <c r="K103" s="175"/>
      <c r="L103" s="176">
        <f>F103</f>
        <v>2216085.0878990265</v>
      </c>
      <c r="N103" s="156"/>
      <c r="O103" s="156"/>
      <c r="P103" s="154"/>
      <c r="Q103" s="105"/>
      <c r="R103" s="105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K103" s="124"/>
    </row>
    <row r="104" spans="1:37" ht="16.5" thickBot="1">
      <c r="A104" s="141" t="s">
        <v>216</v>
      </c>
      <c r="B104" s="141"/>
      <c r="C104" s="177">
        <f>C102+C103</f>
        <v>1595920410.288754</v>
      </c>
      <c r="D104" s="178"/>
      <c r="E104" s="178"/>
      <c r="F104" s="178">
        <f>F102+F103</f>
        <v>117939125.08789903</v>
      </c>
      <c r="G104" s="178"/>
      <c r="H104" s="178"/>
      <c r="I104" s="186">
        <f>SUM(I102:I103)</f>
        <v>132032752.08789903</v>
      </c>
      <c r="J104" s="178"/>
      <c r="K104" s="178"/>
      <c r="L104" s="178">
        <f>L102+L103</f>
        <v>134010097.08789903</v>
      </c>
      <c r="N104" s="157"/>
      <c r="O104" s="157"/>
      <c r="P104" s="158"/>
      <c r="Q104" s="105"/>
      <c r="R104" s="105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K104" s="124"/>
    </row>
    <row r="105" spans="1:37" ht="16.5" thickTop="1">
      <c r="A105" s="141"/>
      <c r="B105" s="179"/>
      <c r="C105" s="160"/>
      <c r="D105" s="160"/>
      <c r="E105" s="160"/>
      <c r="G105" s="160"/>
      <c r="H105" s="141"/>
      <c r="I105" s="124" t="s">
        <v>280</v>
      </c>
      <c r="J105" s="141" t="s">
        <v>280</v>
      </c>
      <c r="K105" s="141"/>
      <c r="L105" s="123" t="s">
        <v>280</v>
      </c>
      <c r="N105" s="52"/>
      <c r="O105" s="52"/>
      <c r="P105" s="105"/>
      <c r="Q105" s="105"/>
      <c r="R105" s="105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K105" s="124"/>
    </row>
    <row r="106" spans="1:37">
      <c r="A106" s="159" t="s">
        <v>219</v>
      </c>
      <c r="B106" s="141"/>
      <c r="C106" s="141"/>
      <c r="D106" s="160"/>
      <c r="E106" s="160"/>
      <c r="F106" s="141"/>
      <c r="G106" s="160"/>
      <c r="H106" s="141"/>
      <c r="I106" s="141"/>
      <c r="J106" s="160"/>
      <c r="K106" s="141"/>
      <c r="L106" s="141"/>
      <c r="N106" s="52"/>
      <c r="O106" s="52"/>
      <c r="P106" s="105"/>
      <c r="Q106" s="105"/>
      <c r="R106" s="105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K106" s="124"/>
    </row>
    <row r="107" spans="1:37">
      <c r="A107" s="141" t="s">
        <v>332</v>
      </c>
      <c r="B107" s="141"/>
      <c r="C107" s="141"/>
      <c r="D107" s="160"/>
      <c r="E107" s="160"/>
      <c r="F107" s="141"/>
      <c r="G107" s="160"/>
      <c r="H107" s="141"/>
      <c r="I107" s="141"/>
      <c r="J107" s="160"/>
      <c r="K107" s="141"/>
      <c r="L107" s="141"/>
      <c r="N107" s="52"/>
      <c r="O107" s="52"/>
      <c r="P107" s="105"/>
      <c r="Q107" s="105"/>
      <c r="R107" s="105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K107" s="124"/>
    </row>
    <row r="108" spans="1:37">
      <c r="A108" s="162"/>
      <c r="B108" s="141"/>
      <c r="C108" s="141"/>
      <c r="D108" s="160"/>
      <c r="E108" s="160"/>
      <c r="F108" s="141"/>
      <c r="G108" s="160"/>
      <c r="H108" s="141"/>
      <c r="I108" s="141"/>
      <c r="J108" s="160"/>
      <c r="K108" s="141"/>
      <c r="L108" s="141"/>
      <c r="N108" s="52"/>
      <c r="O108" s="52"/>
      <c r="P108" s="105"/>
      <c r="Q108" s="105"/>
      <c r="R108" s="105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K108" s="124"/>
    </row>
    <row r="109" spans="1:37">
      <c r="A109" s="141" t="s">
        <v>208</v>
      </c>
      <c r="B109" s="141"/>
      <c r="C109" s="160">
        <f>47507</f>
        <v>47507</v>
      </c>
      <c r="D109" s="164">
        <v>6</v>
      </c>
      <c r="E109" s="141"/>
      <c r="F109" s="123">
        <f>ROUND(D109*$C109,0)</f>
        <v>285042</v>
      </c>
      <c r="G109" s="164">
        <f>$G$83</f>
        <v>6</v>
      </c>
      <c r="H109" s="141"/>
      <c r="I109" s="123">
        <f>ROUND(G109*C109,0)</f>
        <v>285042</v>
      </c>
      <c r="J109" s="164">
        <f>$J$83</f>
        <v>6</v>
      </c>
      <c r="K109" s="141"/>
      <c r="L109" s="123">
        <f>ROUND(J109*$C109,0)</f>
        <v>285042</v>
      </c>
      <c r="N109" s="52"/>
      <c r="O109" s="52"/>
      <c r="P109" s="105"/>
      <c r="Q109" s="105"/>
      <c r="R109" s="105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K109" s="124"/>
    </row>
    <row r="110" spans="1:37">
      <c r="A110" s="141" t="s">
        <v>209</v>
      </c>
      <c r="B110" s="141"/>
      <c r="C110" s="160">
        <f>27072487</f>
        <v>27072487</v>
      </c>
      <c r="D110" s="166">
        <v>5.1929999999999996</v>
      </c>
      <c r="E110" s="141" t="s">
        <v>210</v>
      </c>
      <c r="F110" s="123">
        <f>ROUND(D110*$C110/100,0)</f>
        <v>1405874</v>
      </c>
      <c r="G110" s="166">
        <f>$G$84</f>
        <v>5.8579999999999997</v>
      </c>
      <c r="H110" s="141" t="s">
        <v>210</v>
      </c>
      <c r="I110" s="123">
        <f>ROUND(C110*G110/100,0)</f>
        <v>1585906</v>
      </c>
      <c r="J110" s="166">
        <f>$J$84</f>
        <v>5.9489999999999998</v>
      </c>
      <c r="K110" s="141" t="s">
        <v>210</v>
      </c>
      <c r="L110" s="123">
        <f>ROUND(J110*$C110/100,0)</f>
        <v>1610542</v>
      </c>
      <c r="N110" s="52"/>
      <c r="O110" s="52"/>
      <c r="P110" s="105"/>
      <c r="Q110" s="105"/>
      <c r="R110" s="105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K110" s="124"/>
    </row>
    <row r="111" spans="1:37">
      <c r="A111" s="141" t="s">
        <v>211</v>
      </c>
      <c r="B111" s="141"/>
      <c r="C111" s="160">
        <f>62932050-C110</f>
        <v>35859563</v>
      </c>
      <c r="D111" s="166">
        <v>8.1929999999999996</v>
      </c>
      <c r="E111" s="141" t="s">
        <v>210</v>
      </c>
      <c r="F111" s="123">
        <f>ROUND(D111*$C111/100,0)</f>
        <v>2937974</v>
      </c>
      <c r="G111" s="166">
        <f>$G$85</f>
        <v>9.2640000000000011</v>
      </c>
      <c r="H111" s="141" t="s">
        <v>210</v>
      </c>
      <c r="I111" s="123">
        <f>ROUND(C111*G111/100,0)</f>
        <v>3322030</v>
      </c>
      <c r="J111" s="166">
        <f>$J$85</f>
        <v>9.4159999999999986</v>
      </c>
      <c r="K111" s="141" t="s">
        <v>210</v>
      </c>
      <c r="L111" s="123">
        <f>ROUND(J111*$C111/100,0)</f>
        <v>3376536</v>
      </c>
      <c r="N111" s="52"/>
      <c r="O111" s="52"/>
      <c r="P111" s="105"/>
      <c r="Q111" s="105"/>
      <c r="R111" s="105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K111" s="124"/>
    </row>
    <row r="112" spans="1:37">
      <c r="A112" s="141" t="s">
        <v>212</v>
      </c>
      <c r="B112" s="141"/>
      <c r="C112" s="160">
        <v>0</v>
      </c>
      <c r="D112" s="164">
        <v>1.6</v>
      </c>
      <c r="E112" s="141"/>
      <c r="F112" s="123">
        <f>ROUND(D112*$C112,0)</f>
        <v>0</v>
      </c>
      <c r="G112" s="164">
        <f>$G$86</f>
        <v>1.65</v>
      </c>
      <c r="H112" s="141"/>
      <c r="I112" s="123">
        <v>0</v>
      </c>
      <c r="J112" s="164">
        <f>$J$86</f>
        <v>1.65</v>
      </c>
      <c r="K112" s="141"/>
      <c r="L112" s="123">
        <f>ROUND(J112*$C112,0)</f>
        <v>0</v>
      </c>
      <c r="N112" s="52"/>
      <c r="O112" s="52"/>
      <c r="P112" s="105"/>
      <c r="Q112" s="105"/>
      <c r="R112" s="105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K112" s="124"/>
    </row>
    <row r="113" spans="1:37">
      <c r="A113" s="169" t="s">
        <v>213</v>
      </c>
      <c r="B113" s="169"/>
      <c r="C113" s="160">
        <v>0</v>
      </c>
      <c r="D113" s="164">
        <v>3.1</v>
      </c>
      <c r="E113" s="169"/>
      <c r="F113" s="123">
        <f>ROUND(D113*$C113,0)</f>
        <v>0</v>
      </c>
      <c r="G113" s="164">
        <f>$G$87</f>
        <v>3.2</v>
      </c>
      <c r="H113" s="169"/>
      <c r="I113" s="123">
        <v>0</v>
      </c>
      <c r="J113" s="164">
        <f>$J$87</f>
        <v>3.2</v>
      </c>
      <c r="K113" s="169"/>
      <c r="L113" s="123">
        <f>ROUND(J113*$C113,0)</f>
        <v>0</v>
      </c>
      <c r="N113" s="52"/>
      <c r="O113" s="52"/>
      <c r="P113" s="105"/>
      <c r="Q113" s="105"/>
      <c r="R113" s="105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K113" s="124"/>
    </row>
    <row r="114" spans="1:37">
      <c r="A114" s="169" t="s">
        <v>214</v>
      </c>
      <c r="B114" s="169"/>
      <c r="C114" s="160">
        <v>0</v>
      </c>
      <c r="D114" s="170">
        <v>-1.6</v>
      </c>
      <c r="E114" s="169"/>
      <c r="F114" s="123">
        <f>ROUND(D114*$C114,0)</f>
        <v>0</v>
      </c>
      <c r="G114" s="170">
        <f>-G112</f>
        <v>-1.65</v>
      </c>
      <c r="H114" s="169"/>
      <c r="I114" s="123">
        <v>0</v>
      </c>
      <c r="J114" s="170">
        <f>-J112</f>
        <v>-1.65</v>
      </c>
      <c r="K114" s="169"/>
      <c r="L114" s="123">
        <f>ROUND(J114*$C114,0)</f>
        <v>0</v>
      </c>
      <c r="N114" s="52"/>
      <c r="O114" s="52"/>
      <c r="P114" s="105"/>
      <c r="Q114" s="105"/>
      <c r="R114" s="105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K114" s="124"/>
    </row>
    <row r="115" spans="1:37">
      <c r="A115" s="141" t="s">
        <v>215</v>
      </c>
      <c r="B115" s="141"/>
      <c r="C115" s="160">
        <f>SUM(C110:C111)</f>
        <v>62932050</v>
      </c>
      <c r="D115" s="172"/>
      <c r="E115" s="123"/>
      <c r="F115" s="123">
        <f>SUM(F109:F114)</f>
        <v>4628890</v>
      </c>
      <c r="G115" s="172"/>
      <c r="H115" s="123"/>
      <c r="I115" s="123">
        <f>SUM(I109:I114)</f>
        <v>5192978</v>
      </c>
      <c r="J115" s="123"/>
      <c r="K115" s="123"/>
      <c r="L115" s="123">
        <f>SUM(L109:L114)</f>
        <v>5272120</v>
      </c>
      <c r="N115" s="52"/>
      <c r="O115" s="52"/>
      <c r="P115" s="105"/>
      <c r="Q115" s="105"/>
      <c r="R115" s="105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K115" s="124"/>
    </row>
    <row r="116" spans="1:37">
      <c r="A116" s="141" t="s">
        <v>197</v>
      </c>
      <c r="B116" s="141"/>
      <c r="C116" s="185">
        <v>964791.33553901361</v>
      </c>
      <c r="D116" s="175"/>
      <c r="E116" s="175"/>
      <c r="F116" s="176">
        <v>91163.320351323026</v>
      </c>
      <c r="G116" s="175"/>
      <c r="H116" s="175"/>
      <c r="I116" s="174">
        <f>F116</f>
        <v>91163.320351323026</v>
      </c>
      <c r="J116" s="175"/>
      <c r="K116" s="175"/>
      <c r="L116" s="176">
        <f>F116</f>
        <v>91163.320351323026</v>
      </c>
      <c r="N116" s="156"/>
      <c r="O116" s="156"/>
      <c r="P116" s="154"/>
      <c r="Q116" s="105"/>
      <c r="R116" s="105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K116" s="124"/>
    </row>
    <row r="117" spans="1:37" ht="16.5" thickBot="1">
      <c r="A117" s="141" t="s">
        <v>216</v>
      </c>
      <c r="B117" s="141"/>
      <c r="C117" s="177">
        <f>C115+C116</f>
        <v>63896841.335539013</v>
      </c>
      <c r="D117" s="178"/>
      <c r="E117" s="178"/>
      <c r="F117" s="178">
        <f>F115+F116</f>
        <v>4720053.3203513231</v>
      </c>
      <c r="G117" s="178"/>
      <c r="H117" s="178"/>
      <c r="I117" s="186">
        <f>SUM(I115:I116)</f>
        <v>5284141.3203513231</v>
      </c>
      <c r="J117" s="178"/>
      <c r="K117" s="178"/>
      <c r="L117" s="178">
        <f>L115+L116</f>
        <v>5363283.3203513231</v>
      </c>
      <c r="N117" s="157"/>
      <c r="O117" s="157"/>
      <c r="P117" s="158"/>
      <c r="Q117" s="105"/>
      <c r="R117" s="105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K117" s="124"/>
    </row>
    <row r="118" spans="1:37" ht="16.5" thickTop="1">
      <c r="A118" s="141"/>
      <c r="B118" s="179"/>
      <c r="C118" s="160"/>
      <c r="D118" s="160"/>
      <c r="E118" s="160"/>
      <c r="G118" s="160"/>
      <c r="H118" s="141"/>
      <c r="J118" s="141" t="s">
        <v>280</v>
      </c>
      <c r="K118" s="141"/>
      <c r="L118" s="123" t="s">
        <v>280</v>
      </c>
      <c r="N118" s="52"/>
      <c r="O118" s="52"/>
      <c r="P118" s="105"/>
      <c r="Q118" s="105"/>
      <c r="R118" s="105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K118" s="124"/>
    </row>
    <row r="119" spans="1:37">
      <c r="A119" s="159" t="s">
        <v>220</v>
      </c>
      <c r="B119" s="141"/>
      <c r="C119" s="141"/>
      <c r="D119" s="160"/>
      <c r="E119" s="160"/>
      <c r="F119" s="141"/>
      <c r="G119" s="160"/>
      <c r="H119" s="141"/>
      <c r="I119" s="141"/>
      <c r="J119" s="160"/>
      <c r="K119" s="141"/>
      <c r="L119" s="141"/>
      <c r="N119" s="52"/>
      <c r="O119" s="52"/>
      <c r="P119" s="105"/>
      <c r="Q119" s="105"/>
      <c r="R119" s="105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K119" s="124"/>
    </row>
    <row r="120" spans="1:37">
      <c r="A120" s="141" t="s">
        <v>332</v>
      </c>
      <c r="B120" s="141"/>
      <c r="C120" s="141"/>
      <c r="D120" s="160"/>
      <c r="E120" s="160"/>
      <c r="F120" s="141"/>
      <c r="G120" s="160"/>
      <c r="H120" s="141"/>
      <c r="I120" s="141"/>
      <c r="J120" s="160"/>
      <c r="K120" s="141"/>
      <c r="L120" s="141"/>
      <c r="N120" s="52"/>
      <c r="O120" s="52"/>
      <c r="P120" s="105"/>
      <c r="Q120" s="105"/>
      <c r="R120" s="105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K120" s="124"/>
    </row>
    <row r="121" spans="1:37">
      <c r="A121" s="162"/>
      <c r="B121" s="141"/>
      <c r="C121" s="141"/>
      <c r="D121" s="160"/>
      <c r="E121" s="160"/>
      <c r="F121" s="141"/>
      <c r="G121" s="160"/>
      <c r="H121" s="141"/>
      <c r="I121" s="141"/>
      <c r="J121" s="160"/>
      <c r="K121" s="141"/>
      <c r="L121" s="141"/>
      <c r="N121" s="52"/>
      <c r="O121" s="52"/>
      <c r="P121" s="105"/>
      <c r="Q121" s="105"/>
      <c r="R121" s="105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K121" s="124"/>
    </row>
    <row r="122" spans="1:37">
      <c r="A122" s="141" t="s">
        <v>208</v>
      </c>
      <c r="B122" s="141"/>
      <c r="C122" s="160">
        <f>1073</f>
        <v>1073</v>
      </c>
      <c r="D122" s="164">
        <v>6</v>
      </c>
      <c r="E122" s="141"/>
      <c r="F122" s="123">
        <f>ROUND(D122*$C122,0)</f>
        <v>6438</v>
      </c>
      <c r="G122" s="164">
        <f>$G$83</f>
        <v>6</v>
      </c>
      <c r="H122" s="141"/>
      <c r="I122" s="123">
        <f>ROUND(G122*C122,0)</f>
        <v>6438</v>
      </c>
      <c r="J122" s="164">
        <f>$J$83</f>
        <v>6</v>
      </c>
      <c r="K122" s="141"/>
      <c r="L122" s="123">
        <f>ROUND(J122*$C122,0)</f>
        <v>6438</v>
      </c>
      <c r="N122" s="52"/>
      <c r="O122" s="52"/>
      <c r="P122" s="105"/>
      <c r="Q122" s="105"/>
      <c r="R122" s="105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K122" s="124"/>
    </row>
    <row r="123" spans="1:37">
      <c r="A123" s="141" t="s">
        <v>209</v>
      </c>
      <c r="B123" s="141"/>
      <c r="C123" s="160">
        <v>615959.44097212027</v>
      </c>
      <c r="D123" s="166">
        <v>5.1929999999999996</v>
      </c>
      <c r="E123" s="141" t="s">
        <v>210</v>
      </c>
      <c r="F123" s="123">
        <f>ROUND(D123*$C123/100,0)</f>
        <v>31987</v>
      </c>
      <c r="G123" s="166">
        <f>$G$84</f>
        <v>5.8579999999999997</v>
      </c>
      <c r="H123" s="141" t="s">
        <v>210</v>
      </c>
      <c r="I123" s="123">
        <f>ROUND(C123*G123/100,0)</f>
        <v>36083</v>
      </c>
      <c r="J123" s="166">
        <f>$J$84</f>
        <v>5.9489999999999998</v>
      </c>
      <c r="K123" s="141" t="s">
        <v>210</v>
      </c>
      <c r="L123" s="123">
        <f>ROUND(J123*$C123/100,0)</f>
        <v>36643</v>
      </c>
      <c r="N123" s="52"/>
      <c r="O123" s="52"/>
      <c r="P123" s="105"/>
      <c r="Q123" s="105"/>
      <c r="R123" s="105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K123" s="124"/>
    </row>
    <row r="124" spans="1:37">
      <c r="A124" s="141" t="s">
        <v>211</v>
      </c>
      <c r="B124" s="141"/>
      <c r="C124" s="160">
        <v>1893691.8632771987</v>
      </c>
      <c r="D124" s="166">
        <v>8.1929999999999996</v>
      </c>
      <c r="E124" s="141" t="s">
        <v>210</v>
      </c>
      <c r="F124" s="123">
        <f>ROUND(D124*$C124/100,0)</f>
        <v>155150</v>
      </c>
      <c r="G124" s="166">
        <f>$G$85</f>
        <v>9.2640000000000011</v>
      </c>
      <c r="H124" s="141" t="s">
        <v>210</v>
      </c>
      <c r="I124" s="123">
        <f>ROUND(C124*G124/100,0)</f>
        <v>175432</v>
      </c>
      <c r="J124" s="166">
        <f>$J$85</f>
        <v>9.4159999999999986</v>
      </c>
      <c r="K124" s="141" t="s">
        <v>210</v>
      </c>
      <c r="L124" s="123">
        <f>ROUND(J124*$C124/100,0)</f>
        <v>178310</v>
      </c>
      <c r="N124" s="52"/>
      <c r="O124" s="52"/>
      <c r="P124" s="105"/>
      <c r="Q124" s="105"/>
      <c r="R124" s="105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K124" s="124"/>
    </row>
    <row r="125" spans="1:37">
      <c r="A125" s="141" t="s">
        <v>212</v>
      </c>
      <c r="B125" s="141"/>
      <c r="C125" s="160">
        <f>4523</f>
        <v>4523</v>
      </c>
      <c r="D125" s="164">
        <v>1.6</v>
      </c>
      <c r="E125" s="141"/>
      <c r="F125" s="123">
        <f>ROUND(D125*$C125,0)</f>
        <v>7237</v>
      </c>
      <c r="G125" s="164">
        <f>$G$86</f>
        <v>1.65</v>
      </c>
      <c r="H125" s="141"/>
      <c r="I125" s="123">
        <f t="shared" ref="I125:I126" si="15">ROUND(G125*C125,0)</f>
        <v>7463</v>
      </c>
      <c r="J125" s="164">
        <f>$J$86</f>
        <v>1.65</v>
      </c>
      <c r="K125" s="141"/>
      <c r="L125" s="123">
        <f>ROUND(J125*$C125,0)</f>
        <v>7463</v>
      </c>
      <c r="N125" s="52"/>
      <c r="O125" s="52"/>
      <c r="P125" s="105"/>
      <c r="Q125" s="105"/>
      <c r="R125" s="105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K125" s="124"/>
    </row>
    <row r="126" spans="1:37">
      <c r="A126" s="169" t="s">
        <v>213</v>
      </c>
      <c r="B126" s="169"/>
      <c r="C126" s="160">
        <f>730+1</f>
        <v>731</v>
      </c>
      <c r="D126" s="164">
        <v>3.1</v>
      </c>
      <c r="E126" s="169"/>
      <c r="F126" s="123">
        <f>ROUND(D126*$C126,0)</f>
        <v>2266</v>
      </c>
      <c r="G126" s="164">
        <f>$G$87</f>
        <v>3.2</v>
      </c>
      <c r="H126" s="169"/>
      <c r="I126" s="123">
        <f t="shared" si="15"/>
        <v>2339</v>
      </c>
      <c r="J126" s="164">
        <f>$J$87</f>
        <v>3.2</v>
      </c>
      <c r="K126" s="169"/>
      <c r="L126" s="123">
        <f>ROUND(J126*$C126,0)</f>
        <v>2339</v>
      </c>
      <c r="N126" s="52"/>
      <c r="O126" s="52"/>
      <c r="P126" s="105"/>
      <c r="Q126" s="105"/>
      <c r="R126" s="105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K126" s="124"/>
    </row>
    <row r="127" spans="1:37">
      <c r="A127" s="169" t="s">
        <v>214</v>
      </c>
      <c r="B127" s="169"/>
      <c r="C127" s="160">
        <f>69</f>
        <v>69</v>
      </c>
      <c r="D127" s="170">
        <v>-1.6</v>
      </c>
      <c r="E127" s="169"/>
      <c r="F127" s="123">
        <f>ROUND(D127*$C127,0)</f>
        <v>-110</v>
      </c>
      <c r="G127" s="170">
        <f>-G125</f>
        <v>-1.65</v>
      </c>
      <c r="H127" s="169"/>
      <c r="I127" s="123">
        <f>ROUND(G127*C127,0)</f>
        <v>-114</v>
      </c>
      <c r="J127" s="170">
        <f>-J125</f>
        <v>-1.65</v>
      </c>
      <c r="K127" s="169"/>
      <c r="L127" s="123">
        <f>ROUND(J127*$C127,0)</f>
        <v>-114</v>
      </c>
      <c r="N127" s="52"/>
      <c r="O127" s="52"/>
      <c r="P127" s="105"/>
      <c r="Q127" s="105"/>
      <c r="R127" s="105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K127" s="124"/>
    </row>
    <row r="128" spans="1:37">
      <c r="A128" s="141" t="s">
        <v>215</v>
      </c>
      <c r="B128" s="171"/>
      <c r="C128" s="160">
        <f>SUM(C123:C124)</f>
        <v>2509651.3042493192</v>
      </c>
      <c r="D128" s="172"/>
      <c r="E128" s="123"/>
      <c r="F128" s="123">
        <f>SUM(F122:F127)</f>
        <v>202968</v>
      </c>
      <c r="G128" s="172"/>
      <c r="H128" s="123"/>
      <c r="I128" s="123">
        <f>SUM(I122:I127)</f>
        <v>227641</v>
      </c>
      <c r="J128" s="123"/>
      <c r="K128" s="123"/>
      <c r="L128" s="123">
        <f>SUM(L122:L127)</f>
        <v>231079</v>
      </c>
      <c r="N128" s="52"/>
      <c r="O128" s="52"/>
      <c r="P128" s="105"/>
      <c r="Q128" s="105"/>
      <c r="R128" s="105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K128" s="124"/>
    </row>
    <row r="129" spans="1:37">
      <c r="A129" s="141" t="s">
        <v>197</v>
      </c>
      <c r="B129" s="187"/>
      <c r="C129" s="185">
        <v>37577.298753057948</v>
      </c>
      <c r="D129" s="175"/>
      <c r="E129" s="175"/>
      <c r="F129" s="176">
        <v>3913.7944914660043</v>
      </c>
      <c r="G129" s="175"/>
      <c r="H129" s="175"/>
      <c r="I129" s="176">
        <f>F129</f>
        <v>3913.7944914660043</v>
      </c>
      <c r="J129" s="175"/>
      <c r="K129" s="175"/>
      <c r="L129" s="176">
        <f>F129</f>
        <v>3913.7944914660043</v>
      </c>
      <c r="N129" s="156"/>
      <c r="O129" s="156"/>
      <c r="P129" s="154"/>
      <c r="Q129" s="105"/>
      <c r="R129" s="105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K129" s="124"/>
    </row>
    <row r="130" spans="1:37" ht="16.5" thickBot="1">
      <c r="A130" s="141" t="s">
        <v>216</v>
      </c>
      <c r="B130" s="141"/>
      <c r="C130" s="177">
        <f>C128+C129</f>
        <v>2547228.6030023773</v>
      </c>
      <c r="D130" s="178"/>
      <c r="E130" s="178"/>
      <c r="F130" s="178">
        <f>F128+F129</f>
        <v>206881.79449146602</v>
      </c>
      <c r="G130" s="178"/>
      <c r="H130" s="178"/>
      <c r="I130" s="178">
        <f>I128+I129</f>
        <v>231554.79449146602</v>
      </c>
      <c r="J130" s="178"/>
      <c r="K130" s="178"/>
      <c r="L130" s="178">
        <f>L128+L129</f>
        <v>234992.79449146602</v>
      </c>
      <c r="N130" s="157"/>
      <c r="O130" s="157"/>
      <c r="P130" s="158"/>
      <c r="Q130" s="105"/>
      <c r="R130" s="105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K130" s="124"/>
    </row>
    <row r="131" spans="1:37" ht="16.5" thickTop="1">
      <c r="A131" s="141"/>
      <c r="B131" s="179"/>
      <c r="C131" s="160"/>
      <c r="D131" s="160"/>
      <c r="E131" s="160"/>
      <c r="G131" s="160"/>
      <c r="H131" s="141"/>
      <c r="J131" s="141" t="s">
        <v>280</v>
      </c>
      <c r="K131" s="141"/>
      <c r="L131" s="123" t="s">
        <v>280</v>
      </c>
      <c r="N131" s="52"/>
      <c r="O131" s="52"/>
      <c r="P131" s="105"/>
      <c r="Q131" s="105"/>
      <c r="R131" s="105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K131" s="124"/>
    </row>
    <row r="132" spans="1:37">
      <c r="A132" s="159" t="s">
        <v>221</v>
      </c>
      <c r="B132" s="141"/>
      <c r="C132" s="141"/>
      <c r="D132" s="160"/>
      <c r="E132" s="160"/>
      <c r="F132" s="141"/>
      <c r="G132" s="160"/>
      <c r="H132" s="141"/>
      <c r="I132" s="141"/>
      <c r="J132" s="160"/>
      <c r="K132" s="141"/>
      <c r="L132" s="141"/>
      <c r="N132" s="52"/>
      <c r="O132" s="52"/>
      <c r="P132" s="105"/>
      <c r="Q132" s="105"/>
      <c r="R132" s="105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K132" s="124"/>
    </row>
    <row r="133" spans="1:37">
      <c r="A133" s="141" t="s">
        <v>332</v>
      </c>
      <c r="B133" s="141"/>
      <c r="C133" s="141"/>
      <c r="D133" s="160"/>
      <c r="E133" s="160"/>
      <c r="F133" s="141"/>
      <c r="G133" s="160"/>
      <c r="H133" s="141"/>
      <c r="I133" s="141"/>
      <c r="J133" s="160"/>
      <c r="K133" s="141"/>
      <c r="L133" s="141"/>
      <c r="N133" s="52"/>
      <c r="O133" s="52"/>
      <c r="P133" s="105"/>
      <c r="Q133" s="105"/>
      <c r="R133" s="105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K133" s="124"/>
    </row>
    <row r="134" spans="1:37">
      <c r="A134" s="162"/>
      <c r="B134" s="141"/>
      <c r="C134" s="141"/>
      <c r="D134" s="160"/>
      <c r="E134" s="160"/>
      <c r="F134" s="141"/>
      <c r="G134" s="160"/>
      <c r="H134" s="141"/>
      <c r="I134" s="141"/>
      <c r="J134" s="160"/>
      <c r="K134" s="141"/>
      <c r="L134" s="141"/>
      <c r="N134" s="52"/>
      <c r="O134" s="52"/>
      <c r="P134" s="105"/>
      <c r="Q134" s="105"/>
      <c r="R134" s="105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K134" s="124"/>
    </row>
    <row r="135" spans="1:37">
      <c r="A135" s="141" t="s">
        <v>208</v>
      </c>
      <c r="B135" s="141"/>
      <c r="C135" s="160">
        <v>270</v>
      </c>
      <c r="D135" s="164">
        <v>6</v>
      </c>
      <c r="E135" s="141"/>
      <c r="F135" s="123">
        <f>ROUND(D135*$C135,0)</f>
        <v>1620</v>
      </c>
      <c r="G135" s="164">
        <f>$G$83</f>
        <v>6</v>
      </c>
      <c r="H135" s="141"/>
      <c r="I135" s="123">
        <f>ROUND(G135*C135,0)</f>
        <v>1620</v>
      </c>
      <c r="J135" s="164">
        <f>$J$83</f>
        <v>6</v>
      </c>
      <c r="K135" s="141"/>
      <c r="L135" s="123">
        <f>ROUND(J135*$C135,0)</f>
        <v>1620</v>
      </c>
      <c r="N135" s="52"/>
      <c r="O135" s="52"/>
      <c r="P135" s="105"/>
      <c r="Q135" s="105"/>
      <c r="R135" s="105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K135" s="124"/>
    </row>
    <row r="136" spans="1:37">
      <c r="A136" s="141" t="s">
        <v>209</v>
      </c>
      <c r="B136" s="141"/>
      <c r="C136" s="160">
        <v>155976</v>
      </c>
      <c r="D136" s="166">
        <v>5.1929999999999996</v>
      </c>
      <c r="E136" s="141" t="s">
        <v>210</v>
      </c>
      <c r="F136" s="123">
        <f>ROUND(D136*$C136/100,0)</f>
        <v>8100</v>
      </c>
      <c r="G136" s="166">
        <f>$G$84</f>
        <v>5.8579999999999997</v>
      </c>
      <c r="H136" s="141" t="s">
        <v>210</v>
      </c>
      <c r="I136" s="123">
        <f>ROUND(C136*G136/100,0)</f>
        <v>9137</v>
      </c>
      <c r="J136" s="166">
        <f>$J$84</f>
        <v>5.9489999999999998</v>
      </c>
      <c r="K136" s="141" t="s">
        <v>210</v>
      </c>
      <c r="L136" s="123">
        <f>ROUND(J136*$C136/100,0)</f>
        <v>9279</v>
      </c>
      <c r="N136" s="52"/>
      <c r="O136" s="52"/>
      <c r="P136" s="105"/>
      <c r="Q136" s="105"/>
      <c r="R136" s="105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K136" s="124"/>
    </row>
    <row r="137" spans="1:37">
      <c r="A137" s="141" t="s">
        <v>211</v>
      </c>
      <c r="B137" s="141"/>
      <c r="C137" s="160">
        <f>516140-C136</f>
        <v>360164</v>
      </c>
      <c r="D137" s="166">
        <v>8.1929999999999996</v>
      </c>
      <c r="E137" s="141" t="s">
        <v>210</v>
      </c>
      <c r="F137" s="123">
        <f>ROUND(D137*$C137/100,0)</f>
        <v>29508</v>
      </c>
      <c r="G137" s="166">
        <f>$G$85</f>
        <v>9.2640000000000011</v>
      </c>
      <c r="H137" s="141" t="s">
        <v>210</v>
      </c>
      <c r="I137" s="123">
        <f>ROUND(C137*G137/100,0)</f>
        <v>33366</v>
      </c>
      <c r="J137" s="166">
        <f>$J$85</f>
        <v>9.4159999999999986</v>
      </c>
      <c r="K137" s="141" t="s">
        <v>210</v>
      </c>
      <c r="L137" s="123">
        <f>ROUND(J137*$C137/100,0)</f>
        <v>33913</v>
      </c>
      <c r="N137" s="52"/>
      <c r="O137" s="52"/>
      <c r="P137" s="105"/>
      <c r="Q137" s="105"/>
      <c r="R137" s="105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K137" s="124"/>
    </row>
    <row r="138" spans="1:37">
      <c r="A138" s="141" t="s">
        <v>212</v>
      </c>
      <c r="B138" s="141"/>
      <c r="C138" s="160">
        <v>843</v>
      </c>
      <c r="D138" s="164">
        <v>1.6</v>
      </c>
      <c r="E138" s="141"/>
      <c r="F138" s="123">
        <f>ROUND(D138*$C138,0)</f>
        <v>1349</v>
      </c>
      <c r="G138" s="164">
        <f>$G$86</f>
        <v>1.65</v>
      </c>
      <c r="H138" s="141"/>
      <c r="I138" s="123">
        <f t="shared" ref="I138:I139" si="16">ROUND(G138*C138,0)</f>
        <v>1391</v>
      </c>
      <c r="J138" s="164">
        <f>$J$86</f>
        <v>1.65</v>
      </c>
      <c r="K138" s="141"/>
      <c r="L138" s="123">
        <f>ROUND(J138*$C138,0)</f>
        <v>1391</v>
      </c>
      <c r="N138" s="52"/>
      <c r="O138" s="52"/>
      <c r="P138" s="105"/>
      <c r="Q138" s="105"/>
      <c r="R138" s="105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K138" s="124"/>
    </row>
    <row r="139" spans="1:37">
      <c r="A139" s="169" t="s">
        <v>213</v>
      </c>
      <c r="B139" s="169"/>
      <c r="C139" s="160">
        <v>158</v>
      </c>
      <c r="D139" s="164">
        <v>3.1</v>
      </c>
      <c r="E139" s="169"/>
      <c r="F139" s="123">
        <f>ROUND(D139*$C139,0)</f>
        <v>490</v>
      </c>
      <c r="G139" s="164">
        <f>$G$87</f>
        <v>3.2</v>
      </c>
      <c r="H139" s="169"/>
      <c r="I139" s="123">
        <f t="shared" si="16"/>
        <v>506</v>
      </c>
      <c r="J139" s="164">
        <f>$J$87</f>
        <v>3.2</v>
      </c>
      <c r="K139" s="169"/>
      <c r="L139" s="123">
        <f>ROUND(J139*$C139,0)</f>
        <v>506</v>
      </c>
      <c r="N139" s="52"/>
      <c r="O139" s="52"/>
      <c r="P139" s="105"/>
      <c r="Q139" s="105"/>
      <c r="R139" s="105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K139" s="124"/>
    </row>
    <row r="140" spans="1:37">
      <c r="A140" s="169" t="s">
        <v>214</v>
      </c>
      <c r="B140" s="169"/>
      <c r="C140" s="160">
        <v>19</v>
      </c>
      <c r="D140" s="170">
        <v>-1.6</v>
      </c>
      <c r="E140" s="169"/>
      <c r="F140" s="123">
        <f>ROUND(D140*$C140,0)</f>
        <v>-30</v>
      </c>
      <c r="G140" s="170">
        <f>-G138</f>
        <v>-1.65</v>
      </c>
      <c r="H140" s="169"/>
      <c r="I140" s="123">
        <f>ROUND(G140*C140,0)</f>
        <v>-31</v>
      </c>
      <c r="J140" s="170">
        <f>-J138</f>
        <v>-1.65</v>
      </c>
      <c r="K140" s="169"/>
      <c r="L140" s="123">
        <f>ROUND(J140*$C140,0)</f>
        <v>-31</v>
      </c>
      <c r="N140" s="52"/>
      <c r="O140" s="52"/>
      <c r="P140" s="105"/>
      <c r="Q140" s="105"/>
      <c r="R140" s="105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K140" s="124"/>
    </row>
    <row r="141" spans="1:37">
      <c r="A141" s="141" t="s">
        <v>215</v>
      </c>
      <c r="B141" s="141"/>
      <c r="C141" s="160">
        <f>SUM(C136:C137)</f>
        <v>516140</v>
      </c>
      <c r="D141" s="172"/>
      <c r="E141" s="123"/>
      <c r="F141" s="123">
        <f>SUM(F135:F140)</f>
        <v>41037</v>
      </c>
      <c r="G141" s="172"/>
      <c r="H141" s="123"/>
      <c r="I141" s="123">
        <f>SUM(I135:I140)</f>
        <v>45989</v>
      </c>
      <c r="J141" s="123"/>
      <c r="K141" s="123"/>
      <c r="L141" s="123">
        <f>SUM(L135:L140)</f>
        <v>46678</v>
      </c>
      <c r="N141" s="52"/>
      <c r="O141" s="52"/>
      <c r="P141" s="105"/>
      <c r="Q141" s="105"/>
      <c r="R141" s="105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K141" s="124"/>
    </row>
    <row r="142" spans="1:37">
      <c r="A142" s="141" t="s">
        <v>197</v>
      </c>
      <c r="B142" s="141"/>
      <c r="C142" s="185">
        <v>7912.7789405415288</v>
      </c>
      <c r="D142" s="175"/>
      <c r="E142" s="175"/>
      <c r="F142" s="176">
        <v>809.1734233785487</v>
      </c>
      <c r="G142" s="175"/>
      <c r="H142" s="175"/>
      <c r="I142" s="176">
        <f>F142</f>
        <v>809.1734233785487</v>
      </c>
      <c r="J142" s="175"/>
      <c r="K142" s="175"/>
      <c r="L142" s="176">
        <f>F142</f>
        <v>809.1734233785487</v>
      </c>
      <c r="N142" s="156"/>
      <c r="O142" s="156"/>
      <c r="P142" s="154"/>
      <c r="Q142" s="105"/>
      <c r="R142" s="105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K142" s="124"/>
    </row>
    <row r="143" spans="1:37" ht="16.5" thickBot="1">
      <c r="A143" s="141" t="s">
        <v>216</v>
      </c>
      <c r="B143" s="141"/>
      <c r="C143" s="177">
        <f>C141+C142</f>
        <v>524052.77894054155</v>
      </c>
      <c r="D143" s="178"/>
      <c r="E143" s="178"/>
      <c r="F143" s="178">
        <f>F141+F142</f>
        <v>41846.173423378546</v>
      </c>
      <c r="G143" s="178"/>
      <c r="H143" s="178"/>
      <c r="I143" s="178">
        <f>I141+I142</f>
        <v>46798.173423378546</v>
      </c>
      <c r="J143" s="178"/>
      <c r="K143" s="178"/>
      <c r="L143" s="178">
        <f>L141+L142</f>
        <v>47487.173423378546</v>
      </c>
      <c r="N143" s="157"/>
      <c r="O143" s="157"/>
      <c r="P143" s="158"/>
      <c r="Q143" s="105"/>
      <c r="R143" s="105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K143" s="124"/>
    </row>
    <row r="144" spans="1:37" ht="16.5" thickTop="1">
      <c r="A144" s="141"/>
      <c r="B144" s="179"/>
      <c r="C144" s="160"/>
      <c r="D144" s="160"/>
      <c r="E144" s="160"/>
      <c r="G144" s="160"/>
      <c r="H144" s="141"/>
      <c r="J144" s="141" t="s">
        <v>280</v>
      </c>
      <c r="K144" s="141"/>
      <c r="L144" s="123" t="s">
        <v>280</v>
      </c>
      <c r="N144" s="52"/>
      <c r="O144" s="52"/>
      <c r="P144" s="105"/>
      <c r="Q144" s="105"/>
      <c r="R144" s="105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K144" s="124"/>
    </row>
    <row r="145" spans="1:44">
      <c r="A145" s="159" t="s">
        <v>222</v>
      </c>
      <c r="B145" s="141"/>
      <c r="C145" s="141" t="s">
        <v>280</v>
      </c>
      <c r="D145" s="123" t="s">
        <v>280</v>
      </c>
      <c r="E145" s="123"/>
      <c r="F145" s="141" t="s">
        <v>280</v>
      </c>
      <c r="G145" s="123" t="s">
        <v>280</v>
      </c>
      <c r="H145" s="141"/>
      <c r="I145" s="141"/>
      <c r="J145" s="123"/>
      <c r="K145" s="141"/>
      <c r="L145" s="141"/>
      <c r="N145" s="52"/>
      <c r="O145" s="52"/>
      <c r="P145" s="105"/>
      <c r="Q145" s="105"/>
      <c r="R145" s="105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K145" s="124"/>
    </row>
    <row r="146" spans="1:44">
      <c r="A146" s="141" t="s">
        <v>223</v>
      </c>
      <c r="B146" s="141"/>
      <c r="C146" s="141"/>
      <c r="D146" s="123"/>
      <c r="E146" s="123"/>
      <c r="F146" s="141"/>
      <c r="G146" s="123"/>
      <c r="H146" s="141"/>
      <c r="I146" s="141"/>
      <c r="J146" s="123"/>
      <c r="K146" s="141"/>
      <c r="L146" s="141"/>
      <c r="N146" s="52"/>
      <c r="O146" s="52"/>
      <c r="P146" s="105"/>
      <c r="Q146" s="105"/>
      <c r="R146" s="105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K146" s="124"/>
    </row>
    <row r="147" spans="1:44">
      <c r="A147" s="141"/>
      <c r="B147" s="141"/>
      <c r="C147" s="141"/>
      <c r="D147" s="123"/>
      <c r="E147" s="123"/>
      <c r="F147" s="141"/>
      <c r="G147" s="123"/>
      <c r="H147" s="141"/>
      <c r="I147" s="141"/>
      <c r="J147" s="123"/>
      <c r="K147" s="141"/>
      <c r="L147" s="141"/>
      <c r="N147" s="52"/>
      <c r="O147" s="52"/>
      <c r="Q147" s="105"/>
      <c r="R147" s="105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K147" s="124"/>
    </row>
    <row r="148" spans="1:44">
      <c r="A148" s="141" t="s">
        <v>224</v>
      </c>
      <c r="B148" s="141"/>
      <c r="C148" s="141"/>
      <c r="D148" s="123"/>
      <c r="E148" s="123"/>
      <c r="F148" s="141"/>
      <c r="G148" s="123"/>
      <c r="H148" s="141"/>
      <c r="I148" s="141"/>
      <c r="J148" s="123"/>
      <c r="K148" s="141"/>
      <c r="L148" s="141"/>
      <c r="N148" s="52"/>
      <c r="O148" s="52"/>
      <c r="P148" s="105"/>
      <c r="Q148" s="163" t="s">
        <v>207</v>
      </c>
      <c r="R148" s="163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K148" s="124"/>
    </row>
    <row r="149" spans="1:44">
      <c r="A149" s="141" t="s">
        <v>225</v>
      </c>
      <c r="B149" s="141"/>
      <c r="C149" s="160">
        <f>C384</f>
        <v>1</v>
      </c>
      <c r="D149" s="164">
        <v>91.679999999999993</v>
      </c>
      <c r="E149" s="123"/>
      <c r="F149" s="123">
        <f t="shared" ref="F149:I151" si="17">F355</f>
        <v>92</v>
      </c>
      <c r="G149" s="164">
        <v>103.19999999999999</v>
      </c>
      <c r="H149" s="141"/>
      <c r="I149" s="123">
        <f t="shared" si="17"/>
        <v>103</v>
      </c>
      <c r="J149" s="164">
        <f>J153*12</f>
        <v>104.52000000000001</v>
      </c>
      <c r="K149" s="141"/>
      <c r="L149" s="123">
        <f>L355</f>
        <v>105</v>
      </c>
      <c r="N149" s="124" t="e">
        <f>J149*#REF!</f>
        <v>#REF!</v>
      </c>
      <c r="Q149" s="62">
        <f>(J149-G149)/G149</f>
        <v>1.2790697674418816E-2</v>
      </c>
      <c r="R149" s="62"/>
      <c r="U149" s="188"/>
      <c r="W149" s="188"/>
      <c r="Y149" s="188"/>
      <c r="Z149" s="188"/>
      <c r="AK149" s="52"/>
      <c r="AL149" s="52"/>
      <c r="AM149" s="52"/>
      <c r="AN149" s="52"/>
      <c r="AO149" s="52"/>
      <c r="AP149" s="52"/>
      <c r="AR149" s="124"/>
    </row>
    <row r="150" spans="1:44">
      <c r="A150" s="141" t="s">
        <v>226</v>
      </c>
      <c r="B150" s="141"/>
      <c r="C150" s="160">
        <f>C356</f>
        <v>100</v>
      </c>
      <c r="D150" s="164">
        <v>136.32</v>
      </c>
      <c r="E150" s="123"/>
      <c r="F150" s="123">
        <f t="shared" si="17"/>
        <v>13632</v>
      </c>
      <c r="G150" s="164">
        <v>153.47999999999999</v>
      </c>
      <c r="H150" s="141"/>
      <c r="I150" s="123">
        <f t="shared" si="17"/>
        <v>15348</v>
      </c>
      <c r="J150" s="164">
        <f>J154*12</f>
        <v>155.76</v>
      </c>
      <c r="K150" s="141"/>
      <c r="L150" s="123">
        <f>L356</f>
        <v>15576</v>
      </c>
      <c r="N150" s="124" t="e">
        <f>J150*#REF!</f>
        <v>#REF!</v>
      </c>
      <c r="O150" s="124"/>
      <c r="Q150" s="62">
        <f>(J150-G150)/G150</f>
        <v>1.4855355746677099E-2</v>
      </c>
      <c r="R150" s="62"/>
      <c r="T150" s="124"/>
      <c r="U150" s="189"/>
      <c r="V150" s="124"/>
      <c r="W150" s="189"/>
      <c r="X150" s="124"/>
      <c r="Y150" s="124"/>
      <c r="Z150" s="189"/>
      <c r="AA150" s="92"/>
      <c r="AB150" s="124"/>
      <c r="AC150" s="124"/>
      <c r="AK150" s="52"/>
      <c r="AL150" s="52"/>
      <c r="AM150" s="52"/>
      <c r="AN150" s="52"/>
      <c r="AO150" s="52"/>
      <c r="AP150" s="52"/>
      <c r="AR150" s="124"/>
    </row>
    <row r="151" spans="1:44">
      <c r="A151" s="141" t="s">
        <v>227</v>
      </c>
      <c r="B151" s="141"/>
      <c r="C151" s="160">
        <f>C357</f>
        <v>3852</v>
      </c>
      <c r="D151" s="164">
        <v>9.66</v>
      </c>
      <c r="E151" s="123"/>
      <c r="F151" s="123">
        <f t="shared" si="17"/>
        <v>37211</v>
      </c>
      <c r="G151" s="164">
        <v>10.92</v>
      </c>
      <c r="H151" s="141"/>
      <c r="I151" s="123">
        <f t="shared" si="17"/>
        <v>42064</v>
      </c>
      <c r="J151" s="164">
        <f>J155*12</f>
        <v>11.040000000000001</v>
      </c>
      <c r="K151" s="141"/>
      <c r="L151" s="123">
        <f>L357</f>
        <v>42526</v>
      </c>
      <c r="N151" s="124" t="e">
        <f>J151*#REF!</f>
        <v>#REF!</v>
      </c>
      <c r="Q151" s="62">
        <f>(J151-G151)/G151</f>
        <v>1.098901098901108E-2</v>
      </c>
      <c r="R151" s="62"/>
      <c r="T151" s="124"/>
      <c r="U151" s="189"/>
      <c r="V151" s="124"/>
      <c r="W151" s="189"/>
      <c r="X151" s="124"/>
      <c r="Y151" s="124"/>
      <c r="Z151" s="189"/>
      <c r="AA151" s="92"/>
      <c r="AB151" s="124"/>
      <c r="AC151" s="124"/>
      <c r="AK151" s="52"/>
      <c r="AL151" s="52"/>
      <c r="AM151" s="52"/>
      <c r="AN151" s="52"/>
      <c r="AO151" s="52"/>
      <c r="AP151" s="52"/>
      <c r="AR151" s="124"/>
    </row>
    <row r="152" spans="1:44">
      <c r="A152" s="141" t="s">
        <v>228</v>
      </c>
      <c r="B152" s="141"/>
      <c r="C152" s="190"/>
      <c r="D152" s="123"/>
      <c r="E152" s="123"/>
      <c r="F152" s="141"/>
      <c r="G152" s="123"/>
      <c r="H152" s="141"/>
      <c r="I152" s="141"/>
      <c r="J152" s="123"/>
      <c r="K152" s="141"/>
      <c r="L152" s="141"/>
      <c r="Q152" s="191"/>
      <c r="R152" s="191"/>
      <c r="T152" s="124"/>
      <c r="U152" s="189"/>
      <c r="V152" s="124"/>
      <c r="W152" s="189"/>
      <c r="X152" s="124"/>
      <c r="Y152" s="124"/>
      <c r="Z152" s="189"/>
      <c r="AA152" s="92"/>
      <c r="AB152" s="124"/>
      <c r="AC152" s="124"/>
      <c r="AK152" s="52"/>
      <c r="AL152" s="52"/>
      <c r="AM152" s="52"/>
      <c r="AN152" s="52"/>
      <c r="AO152" s="52"/>
      <c r="AP152" s="52"/>
      <c r="AR152" s="124"/>
    </row>
    <row r="153" spans="1:44">
      <c r="A153" s="141" t="s">
        <v>225</v>
      </c>
      <c r="B153" s="141"/>
      <c r="C153" s="190">
        <f t="shared" ref="C153:C155" si="18">C183+C267</f>
        <v>160746</v>
      </c>
      <c r="D153" s="164">
        <v>7.64</v>
      </c>
      <c r="E153" s="192"/>
      <c r="F153" s="193">
        <f t="shared" ref="F153:I155" si="19">F183+F267</f>
        <v>1228100</v>
      </c>
      <c r="G153" s="164">
        <v>8.6</v>
      </c>
      <c r="H153" s="194"/>
      <c r="I153" s="193">
        <f t="shared" si="19"/>
        <v>1382416</v>
      </c>
      <c r="J153" s="164">
        <f>ROUND(G153*(1+$Q$176),2)-0.02</f>
        <v>8.7100000000000009</v>
      </c>
      <c r="K153" s="194"/>
      <c r="L153" s="193">
        <f>L183+L267</f>
        <v>1400097</v>
      </c>
      <c r="N153" s="124" t="e">
        <f>J153*#REF!</f>
        <v>#REF!</v>
      </c>
      <c r="Q153" s="62">
        <f>(J153-G153)/G153</f>
        <v>1.2790697674418745E-2</v>
      </c>
      <c r="R153" s="62"/>
      <c r="T153" s="124"/>
      <c r="U153" s="189"/>
      <c r="V153" s="124"/>
      <c r="W153" s="189"/>
      <c r="X153" s="124"/>
      <c r="Y153" s="124"/>
      <c r="Z153" s="189"/>
      <c r="AA153" s="92"/>
      <c r="AB153" s="124"/>
      <c r="AC153" s="124"/>
      <c r="AK153" s="52"/>
      <c r="AL153" s="52"/>
      <c r="AM153" s="52"/>
      <c r="AN153" s="52"/>
      <c r="AO153" s="52"/>
      <c r="AP153" s="52"/>
      <c r="AR153" s="124"/>
    </row>
    <row r="154" spans="1:44">
      <c r="A154" s="141" t="s">
        <v>226</v>
      </c>
      <c r="B154" s="141"/>
      <c r="C154" s="190">
        <f t="shared" si="18"/>
        <v>61678</v>
      </c>
      <c r="D154" s="164">
        <v>11.36</v>
      </c>
      <c r="E154" s="195"/>
      <c r="F154" s="193">
        <f t="shared" si="19"/>
        <v>700662</v>
      </c>
      <c r="G154" s="164">
        <v>12.79</v>
      </c>
      <c r="H154" s="196"/>
      <c r="I154" s="193">
        <f t="shared" si="19"/>
        <v>788862</v>
      </c>
      <c r="J154" s="164">
        <f>ROUND(G154*(1+$Q$176),2)</f>
        <v>12.98</v>
      </c>
      <c r="K154" s="196"/>
      <c r="L154" s="193">
        <f>L184+L268</f>
        <v>800580</v>
      </c>
      <c r="N154" s="124" t="e">
        <f>J154*#REF!</f>
        <v>#REF!</v>
      </c>
      <c r="Q154" s="62">
        <f>(J154-G154)/G154</f>
        <v>1.4855355746677193E-2</v>
      </c>
      <c r="R154" s="62"/>
      <c r="S154" s="109"/>
      <c r="T154" s="124"/>
      <c r="U154" s="189"/>
      <c r="V154" s="124"/>
      <c r="W154" s="197"/>
      <c r="X154" s="124"/>
      <c r="Y154" s="124"/>
      <c r="Z154" s="197"/>
      <c r="AB154" s="52"/>
      <c r="AC154" s="52"/>
      <c r="AD154" s="52"/>
      <c r="AE154" s="52"/>
      <c r="AF154" s="52"/>
      <c r="AG154" s="52"/>
      <c r="AH154" s="52"/>
      <c r="AI154" s="52"/>
      <c r="AK154" s="124"/>
    </row>
    <row r="155" spans="1:44">
      <c r="A155" s="141" t="s">
        <v>227</v>
      </c>
      <c r="B155" s="141"/>
      <c r="C155" s="190">
        <f t="shared" si="18"/>
        <v>1214867</v>
      </c>
      <c r="D155" s="164">
        <v>0.81</v>
      </c>
      <c r="E155" s="195"/>
      <c r="F155" s="193">
        <f t="shared" si="19"/>
        <v>984043</v>
      </c>
      <c r="G155" s="164">
        <v>0.91</v>
      </c>
      <c r="H155" s="196"/>
      <c r="I155" s="193">
        <f t="shared" si="19"/>
        <v>1105529</v>
      </c>
      <c r="J155" s="164">
        <f>ROUND(G155*(1+$Q$176),2)</f>
        <v>0.92</v>
      </c>
      <c r="K155" s="196"/>
      <c r="L155" s="193">
        <f>L185+L269</f>
        <v>1117678</v>
      </c>
      <c r="N155" s="124" t="e">
        <f>J155*#REF!</f>
        <v>#REF!</v>
      </c>
      <c r="Q155" s="62">
        <f>(J155-G155)/G155</f>
        <v>1.0989010989010999E-2</v>
      </c>
      <c r="R155" s="62"/>
      <c r="S155" s="109"/>
      <c r="V155" s="198"/>
      <c r="W155" s="198"/>
      <c r="X155" s="198"/>
      <c r="Y155" s="198"/>
      <c r="Z155" s="198"/>
      <c r="AB155" s="52"/>
      <c r="AC155" s="52"/>
      <c r="AD155" s="52"/>
      <c r="AE155" s="52"/>
      <c r="AF155" s="52"/>
      <c r="AG155" s="52"/>
      <c r="AH155" s="52"/>
      <c r="AI155" s="52"/>
      <c r="AK155" s="124"/>
    </row>
    <row r="156" spans="1:44">
      <c r="A156" s="141" t="s">
        <v>229</v>
      </c>
      <c r="B156" s="141"/>
      <c r="C156" s="190">
        <f>SUM(C153:C154)</f>
        <v>222424</v>
      </c>
      <c r="D156" s="164"/>
      <c r="E156" s="192"/>
      <c r="F156" s="193"/>
      <c r="G156" s="164"/>
      <c r="H156" s="194"/>
      <c r="I156" s="193"/>
      <c r="J156" s="164"/>
      <c r="K156" s="194"/>
      <c r="L156" s="193"/>
      <c r="Q156" s="191"/>
      <c r="R156" s="191"/>
      <c r="S156" s="109"/>
      <c r="AB156" s="52"/>
      <c r="AC156" s="52"/>
      <c r="AD156" s="52"/>
      <c r="AE156" s="52"/>
      <c r="AF156" s="52"/>
      <c r="AG156" s="52"/>
      <c r="AH156" s="52"/>
      <c r="AI156" s="52"/>
      <c r="AK156" s="124"/>
    </row>
    <row r="157" spans="1:44">
      <c r="A157" s="141" t="s">
        <v>376</v>
      </c>
      <c r="B157" s="141"/>
      <c r="C157" s="190">
        <f>C186+C271+C359</f>
        <v>220586</v>
      </c>
      <c r="D157" s="164"/>
      <c r="E157" s="192"/>
      <c r="F157" s="193"/>
      <c r="G157" s="164"/>
      <c r="H157" s="194"/>
      <c r="I157" s="193"/>
      <c r="J157" s="164"/>
      <c r="K157" s="194"/>
      <c r="L157" s="193"/>
      <c r="Q157" s="191"/>
      <c r="R157" s="191"/>
      <c r="S157" s="109"/>
      <c r="AB157" s="52"/>
      <c r="AC157" s="52"/>
      <c r="AD157" s="52"/>
      <c r="AE157" s="52"/>
      <c r="AF157" s="52"/>
      <c r="AG157" s="52"/>
      <c r="AH157" s="52"/>
      <c r="AI157" s="52"/>
      <c r="AK157" s="124"/>
    </row>
    <row r="158" spans="1:44">
      <c r="A158" s="141" t="s">
        <v>230</v>
      </c>
      <c r="B158" s="141"/>
      <c r="C158" s="190">
        <f t="shared" ref="C158:C162" si="20">C187+C272+C360</f>
        <v>779963</v>
      </c>
      <c r="D158" s="164">
        <v>2.98</v>
      </c>
      <c r="E158" s="194"/>
      <c r="F158" s="193">
        <f t="shared" ref="F158:I162" si="21">F187+F272+F360</f>
        <v>2324289</v>
      </c>
      <c r="G158" s="164">
        <v>3.35</v>
      </c>
      <c r="H158" s="194"/>
      <c r="I158" s="193">
        <f t="shared" si="21"/>
        <v>2612876</v>
      </c>
      <c r="J158" s="164">
        <f>ROUND(G158*(1+$Q$176),2)</f>
        <v>3.4</v>
      </c>
      <c r="K158" s="194"/>
      <c r="L158" s="193">
        <f>L187+L272+L360</f>
        <v>2651874</v>
      </c>
      <c r="N158" s="124" t="e">
        <f>J158*#REF!</f>
        <v>#REF!</v>
      </c>
      <c r="Q158" s="62">
        <f>(J158-G158)/G158</f>
        <v>1.4925373134328304E-2</v>
      </c>
      <c r="R158" s="62"/>
      <c r="S158" s="109"/>
      <c r="AB158" s="52"/>
      <c r="AC158" s="52"/>
      <c r="AD158" s="52"/>
      <c r="AE158" s="52"/>
      <c r="AF158" s="52"/>
      <c r="AG158" s="52"/>
      <c r="AH158" s="52"/>
      <c r="AI158" s="52"/>
      <c r="AK158" s="124"/>
    </row>
    <row r="159" spans="1:44">
      <c r="A159" s="141" t="s">
        <v>231</v>
      </c>
      <c r="B159" s="141"/>
      <c r="C159" s="190">
        <f t="shared" si="20"/>
        <v>130618301</v>
      </c>
      <c r="D159" s="166">
        <v>8.5489999999999995</v>
      </c>
      <c r="E159" s="194" t="s">
        <v>210</v>
      </c>
      <c r="F159" s="193">
        <f t="shared" si="21"/>
        <v>11166559</v>
      </c>
      <c r="G159" s="166">
        <v>9.6240000000000006</v>
      </c>
      <c r="H159" s="194" t="s">
        <v>210</v>
      </c>
      <c r="I159" s="193">
        <f t="shared" si="21"/>
        <v>12570705</v>
      </c>
      <c r="J159" s="166">
        <f>ROUND(G159*(1+$Q$176),3)-0.004</f>
        <v>9.766</v>
      </c>
      <c r="K159" s="194" t="s">
        <v>210</v>
      </c>
      <c r="L159" s="193">
        <f>L188+L273+L361</f>
        <v>12756183</v>
      </c>
      <c r="N159" s="124" t="e">
        <f>(J159/100)*#REF!</f>
        <v>#REF!</v>
      </c>
      <c r="Q159" s="62">
        <f>(J159-G159)/G159</f>
        <v>1.4754779717373177E-2</v>
      </c>
      <c r="R159" s="62"/>
      <c r="S159" s="109"/>
      <c r="T159" s="91"/>
      <c r="U159" s="91"/>
      <c r="V159" s="91"/>
      <c r="W159" s="91"/>
      <c r="X159" s="91"/>
      <c r="Y159" s="91"/>
      <c r="AB159" s="52"/>
      <c r="AC159" s="52"/>
      <c r="AD159" s="52"/>
      <c r="AE159" s="52"/>
      <c r="AF159" s="52"/>
      <c r="AG159" s="52"/>
      <c r="AH159" s="52"/>
      <c r="AI159" s="52"/>
      <c r="AK159" s="124"/>
    </row>
    <row r="160" spans="1:44">
      <c r="A160" s="141" t="s">
        <v>232</v>
      </c>
      <c r="B160" s="141"/>
      <c r="C160" s="190">
        <f t="shared" si="20"/>
        <v>282733257</v>
      </c>
      <c r="D160" s="166">
        <v>5.9020000000000001</v>
      </c>
      <c r="E160" s="194" t="s">
        <v>210</v>
      </c>
      <c r="F160" s="193">
        <f t="shared" si="21"/>
        <v>16686916</v>
      </c>
      <c r="G160" s="166">
        <v>6.6450000000000005</v>
      </c>
      <c r="H160" s="194" t="s">
        <v>210</v>
      </c>
      <c r="I160" s="193">
        <f t="shared" si="21"/>
        <v>18787625</v>
      </c>
      <c r="J160" s="166">
        <f>ROUND(G160*(1+$Q$176),3)+0.001</f>
        <v>6.7460000000000004</v>
      </c>
      <c r="K160" s="194" t="s">
        <v>210</v>
      </c>
      <c r="L160" s="193">
        <f>L189+L274+L362</f>
        <v>19073184</v>
      </c>
      <c r="N160" s="124" t="e">
        <f>(J160/100)*#REF!</f>
        <v>#REF!</v>
      </c>
      <c r="O160" s="199"/>
      <c r="Q160" s="62">
        <f>(J160-G160)/G160</f>
        <v>1.5199398043641831E-2</v>
      </c>
      <c r="R160" s="62"/>
      <c r="S160" s="109"/>
      <c r="AB160" s="52"/>
      <c r="AC160" s="52"/>
      <c r="AD160" s="52"/>
      <c r="AE160" s="52"/>
      <c r="AF160" s="52"/>
      <c r="AG160" s="52"/>
      <c r="AH160" s="52"/>
      <c r="AI160" s="52"/>
      <c r="AK160" s="124"/>
    </row>
    <row r="161" spans="1:37">
      <c r="A161" s="141" t="s">
        <v>233</v>
      </c>
      <c r="B161" s="141"/>
      <c r="C161" s="190">
        <f t="shared" si="20"/>
        <v>114425365</v>
      </c>
      <c r="D161" s="166">
        <v>5.0839999999999996</v>
      </c>
      <c r="E161" s="194" t="s">
        <v>210</v>
      </c>
      <c r="F161" s="193">
        <f t="shared" si="21"/>
        <v>5817386</v>
      </c>
      <c r="G161" s="166">
        <v>5.7249999999999996</v>
      </c>
      <c r="H161" s="194" t="s">
        <v>210</v>
      </c>
      <c r="I161" s="193">
        <f t="shared" si="21"/>
        <v>6550851</v>
      </c>
      <c r="J161" s="166">
        <f>ROUND(G161*(1+$Q$176),3)</f>
        <v>5.8120000000000003</v>
      </c>
      <c r="K161" s="194" t="s">
        <v>210</v>
      </c>
      <c r="L161" s="193">
        <f>L190+L275+L363</f>
        <v>6650402</v>
      </c>
      <c r="N161" s="124" t="e">
        <f>(J161/100)*#REF!</f>
        <v>#REF!</v>
      </c>
      <c r="O161" s="167"/>
      <c r="Q161" s="62">
        <f>(J161-G161)/G161</f>
        <v>1.5196506550218453E-2</v>
      </c>
      <c r="R161" s="62"/>
      <c r="S161" s="109"/>
      <c r="T161" s="124"/>
      <c r="U161" s="124"/>
      <c r="AB161" s="52"/>
      <c r="AC161" s="52"/>
      <c r="AD161" s="52"/>
      <c r="AE161" s="52"/>
      <c r="AF161" s="52"/>
      <c r="AG161" s="52"/>
      <c r="AH161" s="52"/>
      <c r="AI161" s="52"/>
      <c r="AK161" s="124"/>
    </row>
    <row r="162" spans="1:37">
      <c r="A162" s="141" t="s">
        <v>234</v>
      </c>
      <c r="B162" s="141"/>
      <c r="C162" s="190">
        <f t="shared" si="20"/>
        <v>110404</v>
      </c>
      <c r="D162" s="200">
        <v>50</v>
      </c>
      <c r="E162" s="192" t="s">
        <v>210</v>
      </c>
      <c r="F162" s="193">
        <f t="shared" si="21"/>
        <v>55203</v>
      </c>
      <c r="G162" s="200">
        <v>56</v>
      </c>
      <c r="H162" s="194" t="s">
        <v>210</v>
      </c>
      <c r="I162" s="193">
        <f t="shared" si="21"/>
        <v>61827</v>
      </c>
      <c r="J162" s="200">
        <f>ROUND(G162*(1+$Q$176),0)-1</f>
        <v>56</v>
      </c>
      <c r="K162" s="194" t="s">
        <v>210</v>
      </c>
      <c r="L162" s="193">
        <f>L191+L276+L364</f>
        <v>61827</v>
      </c>
      <c r="N162" s="124" t="e">
        <f>(J162/100)*#REF!</f>
        <v>#REF!</v>
      </c>
      <c r="Q162" s="62">
        <f>(J162-G162)/G162</f>
        <v>0</v>
      </c>
      <c r="R162" s="62"/>
      <c r="S162" s="109"/>
      <c r="AB162" s="52"/>
      <c r="AC162" s="52"/>
      <c r="AD162" s="52"/>
      <c r="AE162" s="52"/>
      <c r="AF162" s="52"/>
      <c r="AG162" s="52"/>
      <c r="AH162" s="52"/>
      <c r="AI162" s="52"/>
      <c r="AK162" s="124"/>
    </row>
    <row r="163" spans="1:37">
      <c r="A163" s="201" t="s">
        <v>235</v>
      </c>
      <c r="B163" s="141"/>
      <c r="C163" s="190"/>
      <c r="D163" s="202">
        <v>-0.01</v>
      </c>
      <c r="E163" s="192"/>
      <c r="F163" s="193"/>
      <c r="G163" s="202">
        <v>-0.01</v>
      </c>
      <c r="H163" s="194"/>
      <c r="I163" s="193"/>
      <c r="J163" s="202">
        <v>-0.01</v>
      </c>
      <c r="K163" s="194"/>
      <c r="L163" s="193"/>
      <c r="P163" s="203"/>
      <c r="AB163" s="52"/>
      <c r="AC163" s="52"/>
      <c r="AD163" s="52"/>
      <c r="AE163" s="52"/>
      <c r="AF163" s="52"/>
      <c r="AG163" s="52"/>
      <c r="AH163" s="52"/>
      <c r="AI163" s="52"/>
      <c r="AK163" s="124"/>
    </row>
    <row r="164" spans="1:37">
      <c r="A164" s="141" t="s">
        <v>225</v>
      </c>
      <c r="B164" s="141"/>
      <c r="C164" s="190">
        <f t="shared" ref="C164:C175" si="22">C193+C278+C366</f>
        <v>65</v>
      </c>
      <c r="D164" s="204">
        <v>7.64</v>
      </c>
      <c r="E164" s="192"/>
      <c r="F164" s="193">
        <f t="shared" ref="F164:I175" si="23">F193+F278+F366</f>
        <v>-5</v>
      </c>
      <c r="G164" s="204">
        <f>G153</f>
        <v>8.6</v>
      </c>
      <c r="H164" s="192"/>
      <c r="I164" s="193">
        <f t="shared" si="23"/>
        <v>-6</v>
      </c>
      <c r="J164" s="204">
        <f>J153</f>
        <v>8.7100000000000009</v>
      </c>
      <c r="K164" s="192"/>
      <c r="L164" s="193">
        <f t="shared" ref="L164:L174" si="24">L193+L278+L366</f>
        <v>-6</v>
      </c>
      <c r="N164" s="124" t="e">
        <f>-(J164/100)*#REF!</f>
        <v>#REF!</v>
      </c>
      <c r="AB164" s="52"/>
      <c r="AC164" s="52"/>
      <c r="AD164" s="52"/>
      <c r="AE164" s="52"/>
      <c r="AF164" s="52"/>
      <c r="AG164" s="52"/>
      <c r="AH164" s="52"/>
      <c r="AI164" s="52"/>
      <c r="AK164" s="124"/>
    </row>
    <row r="165" spans="1:37">
      <c r="A165" s="141" t="s">
        <v>226</v>
      </c>
      <c r="B165" s="141"/>
      <c r="C165" s="190">
        <f t="shared" si="22"/>
        <v>93</v>
      </c>
      <c r="D165" s="204">
        <v>11.36</v>
      </c>
      <c r="E165" s="192"/>
      <c r="F165" s="193">
        <f t="shared" si="23"/>
        <v>-11</v>
      </c>
      <c r="G165" s="204">
        <f>G154</f>
        <v>12.79</v>
      </c>
      <c r="H165" s="192"/>
      <c r="I165" s="193">
        <f t="shared" si="23"/>
        <v>-12</v>
      </c>
      <c r="J165" s="204">
        <f>J154</f>
        <v>12.98</v>
      </c>
      <c r="K165" s="192"/>
      <c r="L165" s="193">
        <f t="shared" si="24"/>
        <v>-12</v>
      </c>
      <c r="N165" s="124" t="e">
        <f>-(J165/100)*#REF!</f>
        <v>#REF!</v>
      </c>
      <c r="AD165" s="52"/>
      <c r="AE165" s="52"/>
      <c r="AF165" s="52"/>
      <c r="AG165" s="52"/>
      <c r="AH165" s="52"/>
      <c r="AI165" s="52"/>
      <c r="AK165" s="124"/>
    </row>
    <row r="166" spans="1:37">
      <c r="A166" s="141" t="s">
        <v>236</v>
      </c>
      <c r="B166" s="141"/>
      <c r="C166" s="190">
        <f t="shared" si="22"/>
        <v>1133</v>
      </c>
      <c r="D166" s="204">
        <v>0.81</v>
      </c>
      <c r="E166" s="192"/>
      <c r="F166" s="193">
        <f t="shared" si="23"/>
        <v>-9</v>
      </c>
      <c r="G166" s="204">
        <f>G155</f>
        <v>0.91</v>
      </c>
      <c r="H166" s="192"/>
      <c r="I166" s="193">
        <f t="shared" si="23"/>
        <v>-10</v>
      </c>
      <c r="J166" s="204">
        <f>J155</f>
        <v>0.92</v>
      </c>
      <c r="K166" s="192"/>
      <c r="L166" s="193">
        <f t="shared" si="24"/>
        <v>-10</v>
      </c>
      <c r="N166" s="124" t="e">
        <f>-(J166/100)*#REF!</f>
        <v>#REF!</v>
      </c>
      <c r="AD166" s="52"/>
      <c r="AE166" s="52"/>
      <c r="AF166" s="52"/>
      <c r="AG166" s="52"/>
      <c r="AH166" s="52"/>
      <c r="AI166" s="52"/>
      <c r="AK166" s="124"/>
    </row>
    <row r="167" spans="1:37">
      <c r="A167" s="141" t="s">
        <v>237</v>
      </c>
      <c r="B167" s="141"/>
      <c r="C167" s="190">
        <f t="shared" si="22"/>
        <v>686</v>
      </c>
      <c r="D167" s="204">
        <v>2.98</v>
      </c>
      <c r="E167" s="194"/>
      <c r="F167" s="193">
        <f t="shared" si="23"/>
        <v>-20</v>
      </c>
      <c r="G167" s="204">
        <f>G158</f>
        <v>3.35</v>
      </c>
      <c r="H167" s="194"/>
      <c r="I167" s="193">
        <f t="shared" si="23"/>
        <v>-23</v>
      </c>
      <c r="J167" s="204">
        <f>J158</f>
        <v>3.4</v>
      </c>
      <c r="K167" s="194"/>
      <c r="L167" s="193">
        <f t="shared" si="24"/>
        <v>-23</v>
      </c>
      <c r="N167" s="124" t="e">
        <f>-(J167/100)*#REF!</f>
        <v>#REF!</v>
      </c>
      <c r="AD167" s="52"/>
      <c r="AE167" s="52"/>
      <c r="AF167" s="52"/>
      <c r="AG167" s="52"/>
      <c r="AH167" s="52"/>
      <c r="AI167" s="52"/>
      <c r="AK167" s="124"/>
    </row>
    <row r="168" spans="1:37">
      <c r="A168" s="141" t="s">
        <v>238</v>
      </c>
      <c r="B168" s="141"/>
      <c r="C168" s="190">
        <f t="shared" si="22"/>
        <v>112432</v>
      </c>
      <c r="D168" s="205">
        <v>8.5489999999999995</v>
      </c>
      <c r="E168" s="194" t="s">
        <v>210</v>
      </c>
      <c r="F168" s="193">
        <f t="shared" si="23"/>
        <v>-96</v>
      </c>
      <c r="G168" s="205">
        <f>G159</f>
        <v>9.6240000000000006</v>
      </c>
      <c r="H168" s="194" t="s">
        <v>210</v>
      </c>
      <c r="I168" s="193">
        <f t="shared" si="23"/>
        <v>-108</v>
      </c>
      <c r="J168" s="205">
        <f>J159</f>
        <v>9.766</v>
      </c>
      <c r="K168" s="194" t="s">
        <v>210</v>
      </c>
      <c r="L168" s="193">
        <f t="shared" si="24"/>
        <v>-110</v>
      </c>
      <c r="N168" s="124" t="e">
        <f>-((J168/100)*#REF!)/100</f>
        <v>#REF!</v>
      </c>
      <c r="AD168" s="52"/>
      <c r="AE168" s="52"/>
      <c r="AF168" s="52"/>
      <c r="AG168" s="52"/>
      <c r="AH168" s="52"/>
      <c r="AI168" s="52"/>
      <c r="AK168" s="124"/>
    </row>
    <row r="169" spans="1:37">
      <c r="A169" s="141" t="s">
        <v>232</v>
      </c>
      <c r="B169" s="141"/>
      <c r="C169" s="190">
        <f t="shared" si="22"/>
        <v>391866</v>
      </c>
      <c r="D169" s="205">
        <v>5.9020000000000001</v>
      </c>
      <c r="E169" s="194" t="s">
        <v>210</v>
      </c>
      <c r="F169" s="193">
        <f t="shared" si="23"/>
        <v>-231</v>
      </c>
      <c r="G169" s="205">
        <f>G160</f>
        <v>6.6450000000000005</v>
      </c>
      <c r="H169" s="194" t="s">
        <v>210</v>
      </c>
      <c r="I169" s="193">
        <f t="shared" si="23"/>
        <v>-260</v>
      </c>
      <c r="J169" s="205">
        <f>J160</f>
        <v>6.7460000000000004</v>
      </c>
      <c r="K169" s="194" t="s">
        <v>210</v>
      </c>
      <c r="L169" s="193">
        <f t="shared" si="24"/>
        <v>-264</v>
      </c>
      <c r="N169" s="124" t="e">
        <f>-((J169/100)*#REF!)/100</f>
        <v>#REF!</v>
      </c>
      <c r="AD169" s="52"/>
      <c r="AE169" s="52"/>
      <c r="AF169" s="52"/>
      <c r="AG169" s="52"/>
      <c r="AH169" s="52"/>
      <c r="AI169" s="52"/>
      <c r="AK169" s="124"/>
    </row>
    <row r="170" spans="1:37">
      <c r="A170" s="141" t="s">
        <v>233</v>
      </c>
      <c r="B170" s="141"/>
      <c r="C170" s="190">
        <f t="shared" si="22"/>
        <v>78100</v>
      </c>
      <c r="D170" s="205">
        <v>5.0839999999999996</v>
      </c>
      <c r="E170" s="194" t="s">
        <v>210</v>
      </c>
      <c r="F170" s="193">
        <f t="shared" si="23"/>
        <v>-40</v>
      </c>
      <c r="G170" s="205">
        <f>G161</f>
        <v>5.7249999999999996</v>
      </c>
      <c r="H170" s="194" t="s">
        <v>210</v>
      </c>
      <c r="I170" s="193">
        <f t="shared" si="23"/>
        <v>-45</v>
      </c>
      <c r="J170" s="205">
        <f>J161</f>
        <v>5.8120000000000003</v>
      </c>
      <c r="K170" s="194" t="s">
        <v>210</v>
      </c>
      <c r="L170" s="193">
        <f t="shared" si="24"/>
        <v>-45</v>
      </c>
      <c r="N170" s="124" t="e">
        <f>-((J170/100)*#REF!)/100</f>
        <v>#REF!</v>
      </c>
      <c r="AB170" s="52"/>
      <c r="AC170" s="52"/>
      <c r="AD170" s="52"/>
      <c r="AE170" s="52"/>
      <c r="AF170" s="52"/>
      <c r="AG170" s="52"/>
      <c r="AH170" s="52"/>
      <c r="AI170" s="52"/>
      <c r="AK170" s="124"/>
    </row>
    <row r="171" spans="1:37">
      <c r="A171" s="141" t="s">
        <v>234</v>
      </c>
      <c r="B171" s="141"/>
      <c r="C171" s="190">
        <f t="shared" si="22"/>
        <v>2501</v>
      </c>
      <c r="D171" s="206">
        <v>50</v>
      </c>
      <c r="E171" s="194" t="s">
        <v>210</v>
      </c>
      <c r="F171" s="193">
        <f t="shared" si="23"/>
        <v>-13</v>
      </c>
      <c r="G171" s="206">
        <f>G162</f>
        <v>56</v>
      </c>
      <c r="H171" s="194" t="s">
        <v>210</v>
      </c>
      <c r="I171" s="193">
        <f t="shared" si="23"/>
        <v>-14</v>
      </c>
      <c r="J171" s="206">
        <f>J162</f>
        <v>56</v>
      </c>
      <c r="K171" s="194" t="s">
        <v>210</v>
      </c>
      <c r="L171" s="193">
        <f t="shared" si="24"/>
        <v>-14</v>
      </c>
      <c r="N171" s="124" t="e">
        <f>-((J171/100)*#REF!)/100</f>
        <v>#REF!</v>
      </c>
      <c r="AB171" s="52"/>
      <c r="AC171" s="52"/>
      <c r="AD171" s="52"/>
      <c r="AE171" s="52"/>
      <c r="AF171" s="52"/>
      <c r="AG171" s="52"/>
      <c r="AH171" s="52"/>
      <c r="AI171" s="52"/>
      <c r="AK171" s="124"/>
    </row>
    <row r="172" spans="1:37">
      <c r="A172" s="141" t="s">
        <v>239</v>
      </c>
      <c r="B172" s="141"/>
      <c r="C172" s="190">
        <f t="shared" si="22"/>
        <v>107</v>
      </c>
      <c r="D172" s="207">
        <v>60</v>
      </c>
      <c r="E172" s="192"/>
      <c r="F172" s="193">
        <f t="shared" si="23"/>
        <v>6420</v>
      </c>
      <c r="G172" s="207">
        <v>60</v>
      </c>
      <c r="H172" s="194"/>
      <c r="I172" s="193">
        <f t="shared" si="23"/>
        <v>6420</v>
      </c>
      <c r="J172" s="207">
        <v>60</v>
      </c>
      <c r="K172" s="194"/>
      <c r="L172" s="193">
        <f t="shared" si="24"/>
        <v>6420</v>
      </c>
      <c r="N172" s="124" t="e">
        <f>J172*#REF!</f>
        <v>#REF!</v>
      </c>
      <c r="AB172" s="52"/>
      <c r="AC172" s="52"/>
      <c r="AD172" s="52"/>
      <c r="AE172" s="52"/>
      <c r="AF172" s="52"/>
      <c r="AG172" s="52"/>
      <c r="AH172" s="52"/>
      <c r="AI172" s="52"/>
      <c r="AK172" s="124"/>
    </row>
    <row r="173" spans="1:37">
      <c r="A173" s="141" t="s">
        <v>240</v>
      </c>
      <c r="B173" s="141"/>
      <c r="C173" s="190">
        <f t="shared" si="22"/>
        <v>763</v>
      </c>
      <c r="D173" s="208">
        <v>-30</v>
      </c>
      <c r="E173" s="192" t="s">
        <v>210</v>
      </c>
      <c r="F173" s="193">
        <f t="shared" si="23"/>
        <v>-229</v>
      </c>
      <c r="G173" s="208">
        <v>-30</v>
      </c>
      <c r="H173" s="194" t="s">
        <v>210</v>
      </c>
      <c r="I173" s="193">
        <f t="shared" si="23"/>
        <v>-229</v>
      </c>
      <c r="J173" s="208">
        <v>-30</v>
      </c>
      <c r="K173" s="194" t="s">
        <v>210</v>
      </c>
      <c r="L173" s="193">
        <f t="shared" si="24"/>
        <v>-229</v>
      </c>
      <c r="N173" s="124" t="e">
        <f>(J173/100)*#REF!</f>
        <v>#REF!</v>
      </c>
      <c r="S173" s="209"/>
      <c r="T173" s="209"/>
      <c r="AB173" s="52"/>
      <c r="AC173" s="52"/>
      <c r="AD173" s="52"/>
      <c r="AE173" s="52"/>
      <c r="AF173" s="52"/>
      <c r="AG173" s="52"/>
      <c r="AH173" s="52"/>
      <c r="AI173" s="52"/>
      <c r="AK173" s="124"/>
    </row>
    <row r="174" spans="1:37">
      <c r="A174" s="141" t="s">
        <v>215</v>
      </c>
      <c r="B174" s="121"/>
      <c r="C174" s="190">
        <f t="shared" si="22"/>
        <v>527776923</v>
      </c>
      <c r="D174" s="200"/>
      <c r="E174" s="123"/>
      <c r="F174" s="193">
        <f t="shared" si="23"/>
        <v>39019859</v>
      </c>
      <c r="G174" s="200"/>
      <c r="H174" s="194"/>
      <c r="I174" s="193">
        <f t="shared" si="23"/>
        <v>43923920</v>
      </c>
      <c r="J174" s="200"/>
      <c r="K174" s="194"/>
      <c r="L174" s="193">
        <f t="shared" si="24"/>
        <v>44575739</v>
      </c>
      <c r="N174" s="124" t="e">
        <f>SUM(N149:N173)</f>
        <v>#REF!</v>
      </c>
      <c r="AB174" s="52"/>
      <c r="AC174" s="52"/>
      <c r="AD174" s="52"/>
      <c r="AE174" s="52"/>
      <c r="AF174" s="52"/>
      <c r="AG174" s="52"/>
      <c r="AH174" s="52"/>
      <c r="AI174" s="52"/>
      <c r="AK174" s="124"/>
    </row>
    <row r="175" spans="1:37">
      <c r="A175" s="141" t="s">
        <v>197</v>
      </c>
      <c r="B175" s="187"/>
      <c r="C175" s="210">
        <f t="shared" si="22"/>
        <v>-6886225.8869748535</v>
      </c>
      <c r="D175" s="175"/>
      <c r="E175" s="175"/>
      <c r="F175" s="211">
        <f t="shared" si="23"/>
        <v>-395517.83870996814</v>
      </c>
      <c r="G175" s="175"/>
      <c r="H175" s="175"/>
      <c r="I175" s="211">
        <f t="shared" si="23"/>
        <v>-395517.83870996814</v>
      </c>
      <c r="J175" s="175"/>
      <c r="K175" s="175"/>
      <c r="L175" s="211">
        <f>F175</f>
        <v>-395517.83870996814</v>
      </c>
      <c r="N175" s="212"/>
      <c r="Q175" s="92"/>
      <c r="R175" s="92"/>
      <c r="AB175" s="52"/>
      <c r="AC175" s="52"/>
      <c r="AD175" s="52"/>
      <c r="AE175" s="52"/>
      <c r="AF175" s="52"/>
      <c r="AG175" s="52"/>
      <c r="AH175" s="52"/>
      <c r="AI175" s="52"/>
      <c r="AK175" s="124"/>
    </row>
    <row r="176" spans="1:37" ht="16.5" thickBot="1">
      <c r="A176" s="141" t="s">
        <v>216</v>
      </c>
      <c r="B176" s="141"/>
      <c r="C176" s="177">
        <f>SUM(C174:C175)</f>
        <v>520890697.11302513</v>
      </c>
      <c r="D176" s="213"/>
      <c r="E176" s="214"/>
      <c r="F176" s="215">
        <f>F174+F175</f>
        <v>38624341.161290035</v>
      </c>
      <c r="G176" s="213"/>
      <c r="H176" s="216"/>
      <c r="I176" s="215">
        <f>I174+I175</f>
        <v>43528402.161290035</v>
      </c>
      <c r="J176" s="217"/>
      <c r="K176" s="216"/>
      <c r="L176" s="215">
        <f>L174+L175</f>
        <v>44180221.161290035</v>
      </c>
      <c r="N176" s="218"/>
      <c r="O176" s="136" t="s">
        <v>241</v>
      </c>
      <c r="P176" s="137">
        <v>44180050.432046279</v>
      </c>
      <c r="Q176" s="219">
        <v>1.5120645335007434E-2</v>
      </c>
      <c r="R176" s="220"/>
      <c r="S176" s="62" t="s">
        <v>280</v>
      </c>
      <c r="AB176" s="52"/>
      <c r="AC176" s="52"/>
      <c r="AD176" s="52"/>
      <c r="AE176" s="52"/>
      <c r="AF176" s="52"/>
      <c r="AG176" s="52"/>
      <c r="AH176" s="52"/>
      <c r="AI176" s="52"/>
      <c r="AK176" s="124"/>
    </row>
    <row r="177" spans="1:37" ht="16.5" thickTop="1">
      <c r="A177" s="141"/>
      <c r="B177" s="141"/>
      <c r="C177" s="160"/>
      <c r="D177" s="207"/>
      <c r="E177" s="123"/>
      <c r="F177" s="123"/>
      <c r="G177" s="207"/>
      <c r="H177" s="141"/>
      <c r="I177" s="123" t="s">
        <v>280</v>
      </c>
      <c r="J177" s="207"/>
      <c r="K177" s="141"/>
      <c r="L177" s="123" t="s">
        <v>280</v>
      </c>
      <c r="O177" s="142" t="s">
        <v>200</v>
      </c>
      <c r="P177" s="143">
        <f>P176-L176</f>
        <v>-170.72924375534058</v>
      </c>
      <c r="Q177" s="221" t="s">
        <v>280</v>
      </c>
      <c r="R177" s="222"/>
      <c r="AB177" s="52"/>
      <c r="AC177" s="52"/>
      <c r="AD177" s="52"/>
      <c r="AE177" s="52"/>
      <c r="AF177" s="52"/>
      <c r="AG177" s="52"/>
      <c r="AH177" s="52"/>
      <c r="AI177" s="52"/>
      <c r="AK177" s="124"/>
    </row>
    <row r="178" spans="1:37" hidden="1">
      <c r="A178" s="141"/>
      <c r="B178" s="141"/>
      <c r="C178" s="160"/>
      <c r="D178" s="207"/>
      <c r="E178" s="123"/>
      <c r="F178" s="123"/>
      <c r="G178" s="207"/>
      <c r="H178" s="141"/>
      <c r="I178" s="123"/>
      <c r="J178" s="207"/>
      <c r="K178" s="141"/>
      <c r="AB178" s="52"/>
      <c r="AC178" s="52"/>
      <c r="AD178" s="52"/>
      <c r="AE178" s="52"/>
      <c r="AF178" s="52"/>
      <c r="AG178" s="52"/>
      <c r="AH178" s="52"/>
      <c r="AI178" s="52"/>
      <c r="AK178" s="124"/>
    </row>
    <row r="179" spans="1:37" hidden="1">
      <c r="A179" s="159" t="s">
        <v>222</v>
      </c>
      <c r="B179" s="141"/>
      <c r="C179" s="141"/>
      <c r="D179" s="123"/>
      <c r="E179" s="123"/>
      <c r="F179" s="141" t="s">
        <v>280</v>
      </c>
      <c r="G179" s="123"/>
      <c r="H179" s="141"/>
      <c r="I179" s="141"/>
      <c r="J179" s="123"/>
      <c r="K179" s="141"/>
      <c r="L179" s="141"/>
      <c r="P179" s="223" t="s">
        <v>280</v>
      </c>
      <c r="Q179" s="62"/>
      <c r="R179" s="62"/>
      <c r="AB179" s="52"/>
      <c r="AC179" s="52"/>
      <c r="AD179" s="52"/>
      <c r="AE179" s="52"/>
      <c r="AF179" s="52"/>
      <c r="AG179" s="52"/>
      <c r="AH179" s="52"/>
      <c r="AI179" s="52"/>
      <c r="AK179" s="124"/>
    </row>
    <row r="180" spans="1:37" hidden="1">
      <c r="A180" s="141" t="s">
        <v>242</v>
      </c>
      <c r="B180" s="141"/>
      <c r="C180" s="141"/>
      <c r="D180" s="123"/>
      <c r="E180" s="123"/>
      <c r="F180" s="141"/>
      <c r="G180" s="123"/>
      <c r="H180" s="141"/>
      <c r="I180" s="141"/>
      <c r="J180" s="123"/>
      <c r="K180" s="141"/>
      <c r="L180" s="141"/>
      <c r="N180" s="224"/>
      <c r="O180" s="224"/>
      <c r="P180" s="105"/>
      <c r="Q180" s="105"/>
      <c r="R180" s="105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K180" s="124"/>
    </row>
    <row r="181" spans="1:37" hidden="1">
      <c r="A181" s="141"/>
      <c r="B181" s="141"/>
      <c r="C181" s="141"/>
      <c r="D181" s="123"/>
      <c r="E181" s="123"/>
      <c r="F181" s="141"/>
      <c r="G181" s="123"/>
      <c r="H181" s="141"/>
      <c r="I181" s="141"/>
      <c r="J181" s="123"/>
      <c r="K181" s="141"/>
      <c r="L181" s="141"/>
      <c r="N181" s="224"/>
      <c r="O181" s="224"/>
      <c r="P181" s="105"/>
      <c r="Q181" s="105"/>
      <c r="R181" s="105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K181" s="124"/>
    </row>
    <row r="182" spans="1:37" hidden="1">
      <c r="A182" s="141" t="s">
        <v>228</v>
      </c>
      <c r="B182" s="141"/>
      <c r="C182" s="190"/>
      <c r="D182" s="123"/>
      <c r="E182" s="123"/>
      <c r="F182" s="141"/>
      <c r="G182" s="123"/>
      <c r="H182" s="141"/>
      <c r="I182" s="141"/>
      <c r="J182" s="123"/>
      <c r="K182" s="141"/>
      <c r="L182" s="141"/>
      <c r="N182" s="52"/>
      <c r="O182" s="52"/>
      <c r="P182" s="105"/>
      <c r="Q182" s="105"/>
      <c r="R182" s="105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K182" s="124"/>
    </row>
    <row r="183" spans="1:37" hidden="1">
      <c r="A183" s="141" t="s">
        <v>225</v>
      </c>
      <c r="B183" s="141"/>
      <c r="C183" s="190">
        <f t="shared" ref="C183:C185" si="25">C211+C239</f>
        <v>156224</v>
      </c>
      <c r="D183" s="164">
        <v>7.64</v>
      </c>
      <c r="E183" s="192"/>
      <c r="F183" s="123">
        <f t="shared" ref="F183:I185" si="26">F211+F239</f>
        <v>1193552</v>
      </c>
      <c r="G183" s="164">
        <f>$G$153</f>
        <v>8.6</v>
      </c>
      <c r="H183" s="194"/>
      <c r="I183" s="123">
        <f t="shared" si="26"/>
        <v>1343527</v>
      </c>
      <c r="J183" s="164">
        <f>$J$153</f>
        <v>8.7100000000000009</v>
      </c>
      <c r="K183" s="194"/>
      <c r="L183" s="123">
        <f>L211+L239</f>
        <v>1360711</v>
      </c>
      <c r="N183" s="52"/>
      <c r="O183" s="52"/>
      <c r="P183" s="105"/>
      <c r="Q183" s="105"/>
      <c r="R183" s="105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K183" s="124"/>
    </row>
    <row r="184" spans="1:37" hidden="1">
      <c r="A184" s="141" t="s">
        <v>226</v>
      </c>
      <c r="B184" s="141"/>
      <c r="C184" s="190">
        <f t="shared" si="25"/>
        <v>61678</v>
      </c>
      <c r="D184" s="164">
        <v>11.36</v>
      </c>
      <c r="E184" s="195"/>
      <c r="F184" s="123">
        <f t="shared" si="26"/>
        <v>700662</v>
      </c>
      <c r="G184" s="164">
        <f>$G$154</f>
        <v>12.79</v>
      </c>
      <c r="H184" s="196"/>
      <c r="I184" s="123">
        <f t="shared" si="26"/>
        <v>788862</v>
      </c>
      <c r="J184" s="164">
        <f>$J$154</f>
        <v>12.98</v>
      </c>
      <c r="K184" s="196"/>
      <c r="L184" s="123">
        <f>L212+L240</f>
        <v>800580</v>
      </c>
      <c r="N184" s="52"/>
      <c r="O184" s="52"/>
      <c r="P184" s="105"/>
      <c r="Q184" s="105"/>
      <c r="R184" s="105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K184" s="124"/>
    </row>
    <row r="185" spans="1:37" hidden="1">
      <c r="A185" s="141" t="s">
        <v>227</v>
      </c>
      <c r="B185" s="141"/>
      <c r="C185" s="190">
        <f t="shared" si="25"/>
        <v>1214867</v>
      </c>
      <c r="D185" s="164">
        <v>0.81</v>
      </c>
      <c r="E185" s="195"/>
      <c r="F185" s="123">
        <f t="shared" si="26"/>
        <v>984043</v>
      </c>
      <c r="G185" s="164">
        <f>$G$155</f>
        <v>0.91</v>
      </c>
      <c r="H185" s="196"/>
      <c r="I185" s="123">
        <f t="shared" si="26"/>
        <v>1105529</v>
      </c>
      <c r="J185" s="164">
        <f>$J$155</f>
        <v>0.92</v>
      </c>
      <c r="K185" s="196"/>
      <c r="L185" s="123">
        <f>L213+L241</f>
        <v>1117678</v>
      </c>
      <c r="N185" s="52"/>
      <c r="O185" s="52"/>
      <c r="P185" s="105"/>
      <c r="Q185" s="105"/>
      <c r="R185" s="105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K185" s="124"/>
    </row>
    <row r="186" spans="1:37" hidden="1">
      <c r="A186" s="141" t="s">
        <v>229</v>
      </c>
      <c r="B186" s="141"/>
      <c r="C186" s="190">
        <f>SUM(C183:C184)</f>
        <v>217902</v>
      </c>
      <c r="D186" s="164"/>
      <c r="E186" s="192"/>
      <c r="F186" s="123"/>
      <c r="G186" s="164"/>
      <c r="H186" s="194"/>
      <c r="I186" s="123"/>
      <c r="J186" s="164"/>
      <c r="K186" s="194"/>
      <c r="L186" s="123"/>
      <c r="N186" s="52"/>
      <c r="O186" s="52"/>
      <c r="P186" s="105"/>
      <c r="Q186" s="105"/>
      <c r="R186" s="105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K186" s="124"/>
    </row>
    <row r="187" spans="1:37" hidden="1">
      <c r="A187" s="141" t="s">
        <v>230</v>
      </c>
      <c r="B187" s="141"/>
      <c r="C187" s="190">
        <f t="shared" ref="C187:C191" si="27">C215+C243</f>
        <v>767027</v>
      </c>
      <c r="D187" s="207">
        <v>2.98</v>
      </c>
      <c r="E187" s="194"/>
      <c r="F187" s="123">
        <f t="shared" ref="F187:I191" si="28">F215+F243</f>
        <v>2285740</v>
      </c>
      <c r="G187" s="207">
        <f>$G$158</f>
        <v>3.35</v>
      </c>
      <c r="H187" s="194"/>
      <c r="I187" s="123">
        <f t="shared" si="28"/>
        <v>2569541</v>
      </c>
      <c r="J187" s="207">
        <f>$J$158</f>
        <v>3.4</v>
      </c>
      <c r="K187" s="194"/>
      <c r="L187" s="123">
        <f>L215+L243</f>
        <v>2607892</v>
      </c>
      <c r="N187" s="52"/>
      <c r="O187" s="52"/>
      <c r="P187" s="105"/>
      <c r="Q187" s="105"/>
      <c r="R187" s="105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K187" s="124"/>
    </row>
    <row r="188" spans="1:37" hidden="1">
      <c r="A188" s="141" t="s">
        <v>231</v>
      </c>
      <c r="B188" s="141"/>
      <c r="C188" s="190">
        <f t="shared" si="27"/>
        <v>129200503</v>
      </c>
      <c r="D188" s="166">
        <v>8.5489999999999995</v>
      </c>
      <c r="E188" s="194" t="s">
        <v>210</v>
      </c>
      <c r="F188" s="123">
        <f t="shared" si="28"/>
        <v>11045351</v>
      </c>
      <c r="G188" s="166">
        <f>$G$159</f>
        <v>9.6240000000000006</v>
      </c>
      <c r="H188" s="194" t="s">
        <v>210</v>
      </c>
      <c r="I188" s="123">
        <f t="shared" si="28"/>
        <v>12434256</v>
      </c>
      <c r="J188" s="166">
        <f>$J$159</f>
        <v>9.766</v>
      </c>
      <c r="K188" s="194" t="s">
        <v>210</v>
      </c>
      <c r="L188" s="123">
        <f>L216+L244</f>
        <v>12617721</v>
      </c>
      <c r="N188" s="52"/>
      <c r="O188" s="52"/>
      <c r="P188" s="105"/>
      <c r="Q188" s="105"/>
      <c r="R188" s="105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K188" s="124"/>
    </row>
    <row r="189" spans="1:37" hidden="1">
      <c r="A189" s="141" t="s">
        <v>232</v>
      </c>
      <c r="B189" s="141"/>
      <c r="C189" s="190">
        <f t="shared" si="27"/>
        <v>282499534</v>
      </c>
      <c r="D189" s="166">
        <v>5.9020000000000001</v>
      </c>
      <c r="E189" s="194" t="s">
        <v>210</v>
      </c>
      <c r="F189" s="123">
        <f t="shared" si="28"/>
        <v>16673122</v>
      </c>
      <c r="G189" s="166">
        <f>$G$160</f>
        <v>6.6450000000000005</v>
      </c>
      <c r="H189" s="194" t="s">
        <v>210</v>
      </c>
      <c r="I189" s="123">
        <f t="shared" si="28"/>
        <v>18772094</v>
      </c>
      <c r="J189" s="166">
        <f>$J$160</f>
        <v>6.7460000000000004</v>
      </c>
      <c r="K189" s="194" t="s">
        <v>210</v>
      </c>
      <c r="L189" s="123">
        <f>L217+L245</f>
        <v>19057418</v>
      </c>
      <c r="N189" s="52"/>
      <c r="O189" s="52"/>
      <c r="P189" s="105"/>
      <c r="Q189" s="105"/>
      <c r="R189" s="105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K189" s="124"/>
    </row>
    <row r="190" spans="1:37" hidden="1">
      <c r="A190" s="141" t="s">
        <v>233</v>
      </c>
      <c r="B190" s="141"/>
      <c r="C190" s="190">
        <f t="shared" si="27"/>
        <v>114421725</v>
      </c>
      <c r="D190" s="166">
        <v>5.0839999999999996</v>
      </c>
      <c r="E190" s="194" t="s">
        <v>210</v>
      </c>
      <c r="F190" s="123">
        <f t="shared" si="28"/>
        <v>5817201</v>
      </c>
      <c r="G190" s="166">
        <f>$G$161</f>
        <v>5.7249999999999996</v>
      </c>
      <c r="H190" s="194" t="s">
        <v>210</v>
      </c>
      <c r="I190" s="123">
        <f t="shared" si="28"/>
        <v>6550643</v>
      </c>
      <c r="J190" s="166">
        <f>$J$161</f>
        <v>5.8120000000000003</v>
      </c>
      <c r="K190" s="194" t="s">
        <v>210</v>
      </c>
      <c r="L190" s="123">
        <f>L218+L246</f>
        <v>6650190</v>
      </c>
      <c r="N190" s="52"/>
      <c r="O190" s="52"/>
      <c r="P190" s="105"/>
      <c r="Q190" s="105"/>
      <c r="R190" s="105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K190" s="124"/>
    </row>
    <row r="191" spans="1:37" hidden="1">
      <c r="A191" s="141" t="s">
        <v>234</v>
      </c>
      <c r="B191" s="141"/>
      <c r="C191" s="190">
        <f t="shared" si="27"/>
        <v>108585</v>
      </c>
      <c r="D191" s="200">
        <v>50</v>
      </c>
      <c r="E191" s="192" t="s">
        <v>210</v>
      </c>
      <c r="F191" s="123">
        <f t="shared" si="28"/>
        <v>54293</v>
      </c>
      <c r="G191" s="200">
        <f>$G$162</f>
        <v>56</v>
      </c>
      <c r="H191" s="194" t="s">
        <v>210</v>
      </c>
      <c r="I191" s="123">
        <f t="shared" si="28"/>
        <v>60808</v>
      </c>
      <c r="J191" s="200">
        <f>$J$162</f>
        <v>56</v>
      </c>
      <c r="K191" s="194" t="s">
        <v>210</v>
      </c>
      <c r="L191" s="123">
        <f>L219+L247</f>
        <v>60808</v>
      </c>
      <c r="N191" s="52"/>
      <c r="O191" s="52"/>
      <c r="P191" s="105"/>
      <c r="Q191" s="105"/>
      <c r="R191" s="105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K191" s="124"/>
    </row>
    <row r="192" spans="1:37" hidden="1">
      <c r="A192" s="201" t="s">
        <v>235</v>
      </c>
      <c r="B192" s="141"/>
      <c r="C192" s="190"/>
      <c r="D192" s="202">
        <v>-0.01</v>
      </c>
      <c r="E192" s="192"/>
      <c r="F192" s="123"/>
      <c r="G192" s="202">
        <v>-0.01</v>
      </c>
      <c r="H192" s="194"/>
      <c r="I192" s="123"/>
      <c r="J192" s="202">
        <v>-0.01</v>
      </c>
      <c r="K192" s="194"/>
      <c r="L192" s="123"/>
      <c r="N192" s="52"/>
      <c r="O192" s="52"/>
      <c r="P192" s="105"/>
      <c r="Q192" s="105"/>
      <c r="R192" s="105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K192" s="124"/>
    </row>
    <row r="193" spans="1:37" hidden="1">
      <c r="A193" s="141" t="s">
        <v>225</v>
      </c>
      <c r="B193" s="141"/>
      <c r="C193" s="190">
        <f t="shared" ref="C193:C204" si="29">C221+C249</f>
        <v>65</v>
      </c>
      <c r="D193" s="204">
        <v>7.64</v>
      </c>
      <c r="E193" s="192"/>
      <c r="F193" s="123">
        <f t="shared" ref="F193:I204" si="30">F221+F249</f>
        <v>-5</v>
      </c>
      <c r="G193" s="204">
        <f>G183</f>
        <v>8.6</v>
      </c>
      <c r="H193" s="192"/>
      <c r="I193" s="123">
        <f t="shared" si="30"/>
        <v>-6</v>
      </c>
      <c r="J193" s="204">
        <f>J183</f>
        <v>8.7100000000000009</v>
      </c>
      <c r="K193" s="192"/>
      <c r="L193" s="123">
        <f t="shared" ref="L193:L203" si="31">L221+L249</f>
        <v>-6</v>
      </c>
      <c r="N193" s="52"/>
      <c r="O193" s="52"/>
      <c r="P193" s="105"/>
      <c r="Q193" s="105"/>
      <c r="R193" s="105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K193" s="124"/>
    </row>
    <row r="194" spans="1:37" hidden="1">
      <c r="A194" s="141" t="s">
        <v>226</v>
      </c>
      <c r="B194" s="141"/>
      <c r="C194" s="190">
        <f t="shared" si="29"/>
        <v>93</v>
      </c>
      <c r="D194" s="204">
        <v>11.36</v>
      </c>
      <c r="E194" s="192"/>
      <c r="F194" s="123">
        <f t="shared" si="30"/>
        <v>-11</v>
      </c>
      <c r="G194" s="204">
        <f>G184</f>
        <v>12.79</v>
      </c>
      <c r="H194" s="192"/>
      <c r="I194" s="123">
        <f t="shared" si="30"/>
        <v>-12</v>
      </c>
      <c r="J194" s="204">
        <f>J184</f>
        <v>12.98</v>
      </c>
      <c r="K194" s="192"/>
      <c r="L194" s="123">
        <f t="shared" si="31"/>
        <v>-12</v>
      </c>
      <c r="N194" s="52"/>
      <c r="O194" s="52"/>
      <c r="P194" s="105"/>
      <c r="Q194" s="105"/>
      <c r="R194" s="105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K194" s="124"/>
    </row>
    <row r="195" spans="1:37" hidden="1">
      <c r="A195" s="141" t="s">
        <v>236</v>
      </c>
      <c r="B195" s="141"/>
      <c r="C195" s="190">
        <f t="shared" si="29"/>
        <v>1133</v>
      </c>
      <c r="D195" s="204">
        <v>0.81</v>
      </c>
      <c r="E195" s="192"/>
      <c r="F195" s="123">
        <f t="shared" si="30"/>
        <v>-9</v>
      </c>
      <c r="G195" s="204">
        <f>G185</f>
        <v>0.91</v>
      </c>
      <c r="H195" s="192"/>
      <c r="I195" s="123">
        <f t="shared" si="30"/>
        <v>-10</v>
      </c>
      <c r="J195" s="204">
        <f>J185</f>
        <v>0.92</v>
      </c>
      <c r="K195" s="192"/>
      <c r="L195" s="123">
        <f t="shared" si="31"/>
        <v>-10</v>
      </c>
      <c r="N195" s="52"/>
      <c r="O195" s="52"/>
      <c r="P195" s="105"/>
      <c r="Q195" s="105"/>
      <c r="R195" s="105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K195" s="124"/>
    </row>
    <row r="196" spans="1:37" hidden="1">
      <c r="A196" s="141" t="s">
        <v>237</v>
      </c>
      <c r="B196" s="141"/>
      <c r="C196" s="190">
        <f t="shared" si="29"/>
        <v>686</v>
      </c>
      <c r="D196" s="204">
        <v>2.98</v>
      </c>
      <c r="E196" s="194"/>
      <c r="F196" s="123">
        <f t="shared" si="30"/>
        <v>-20</v>
      </c>
      <c r="G196" s="204">
        <f>G187</f>
        <v>3.35</v>
      </c>
      <c r="H196" s="194"/>
      <c r="I196" s="123">
        <f t="shared" si="30"/>
        <v>-23</v>
      </c>
      <c r="J196" s="204">
        <f>J187</f>
        <v>3.4</v>
      </c>
      <c r="K196" s="194"/>
      <c r="L196" s="123">
        <f t="shared" si="31"/>
        <v>-23</v>
      </c>
      <c r="N196" s="52"/>
      <c r="O196" s="52"/>
      <c r="P196" s="105"/>
      <c r="Q196" s="105"/>
      <c r="R196" s="105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K196" s="124"/>
    </row>
    <row r="197" spans="1:37" hidden="1">
      <c r="A197" s="141" t="s">
        <v>238</v>
      </c>
      <c r="B197" s="141"/>
      <c r="C197" s="190">
        <f t="shared" si="29"/>
        <v>112432</v>
      </c>
      <c r="D197" s="205">
        <v>8.5489999999999995</v>
      </c>
      <c r="E197" s="194" t="s">
        <v>210</v>
      </c>
      <c r="F197" s="123">
        <f t="shared" si="30"/>
        <v>-96</v>
      </c>
      <c r="G197" s="205">
        <f>G188</f>
        <v>9.6240000000000006</v>
      </c>
      <c r="H197" s="194" t="s">
        <v>210</v>
      </c>
      <c r="I197" s="123">
        <f t="shared" si="30"/>
        <v>-108</v>
      </c>
      <c r="J197" s="205">
        <f>J188</f>
        <v>9.766</v>
      </c>
      <c r="K197" s="194" t="s">
        <v>210</v>
      </c>
      <c r="L197" s="123">
        <f t="shared" si="31"/>
        <v>-110</v>
      </c>
      <c r="N197" s="52"/>
      <c r="O197" s="52"/>
      <c r="P197" s="105"/>
      <c r="Q197" s="105"/>
      <c r="R197" s="105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K197" s="124"/>
    </row>
    <row r="198" spans="1:37" hidden="1">
      <c r="A198" s="141" t="s">
        <v>232</v>
      </c>
      <c r="B198" s="141"/>
      <c r="C198" s="190">
        <f t="shared" si="29"/>
        <v>391866</v>
      </c>
      <c r="D198" s="205">
        <v>5.9020000000000001</v>
      </c>
      <c r="E198" s="194" t="s">
        <v>210</v>
      </c>
      <c r="F198" s="123">
        <f t="shared" si="30"/>
        <v>-231</v>
      </c>
      <c r="G198" s="205">
        <f>G189</f>
        <v>6.6450000000000005</v>
      </c>
      <c r="H198" s="194" t="s">
        <v>210</v>
      </c>
      <c r="I198" s="123">
        <f t="shared" si="30"/>
        <v>-260</v>
      </c>
      <c r="J198" s="205">
        <f>J189</f>
        <v>6.7460000000000004</v>
      </c>
      <c r="K198" s="194" t="s">
        <v>210</v>
      </c>
      <c r="L198" s="123">
        <f t="shared" si="31"/>
        <v>-264</v>
      </c>
      <c r="N198" s="52"/>
      <c r="O198" s="52"/>
      <c r="P198" s="105"/>
      <c r="Q198" s="105"/>
      <c r="R198" s="105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K198" s="124"/>
    </row>
    <row r="199" spans="1:37" hidden="1">
      <c r="A199" s="141" t="s">
        <v>233</v>
      </c>
      <c r="B199" s="141"/>
      <c r="C199" s="190">
        <f t="shared" si="29"/>
        <v>78100</v>
      </c>
      <c r="D199" s="205">
        <v>5.0839999999999996</v>
      </c>
      <c r="E199" s="194" t="s">
        <v>210</v>
      </c>
      <c r="F199" s="123">
        <f t="shared" si="30"/>
        <v>-40</v>
      </c>
      <c r="G199" s="205">
        <f>G190</f>
        <v>5.7249999999999996</v>
      </c>
      <c r="H199" s="194" t="s">
        <v>210</v>
      </c>
      <c r="I199" s="123">
        <f t="shared" si="30"/>
        <v>-45</v>
      </c>
      <c r="J199" s="205">
        <f>J190</f>
        <v>5.8120000000000003</v>
      </c>
      <c r="K199" s="194" t="s">
        <v>210</v>
      </c>
      <c r="L199" s="123">
        <f t="shared" si="31"/>
        <v>-45</v>
      </c>
      <c r="N199" s="52"/>
      <c r="O199" s="52"/>
      <c r="P199" s="105"/>
      <c r="Q199" s="105"/>
      <c r="R199" s="105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K199" s="124"/>
    </row>
    <row r="200" spans="1:37" hidden="1">
      <c r="A200" s="141" t="s">
        <v>234</v>
      </c>
      <c r="B200" s="141"/>
      <c r="C200" s="190">
        <f t="shared" si="29"/>
        <v>2501</v>
      </c>
      <c r="D200" s="206">
        <v>50</v>
      </c>
      <c r="E200" s="194" t="s">
        <v>210</v>
      </c>
      <c r="F200" s="123">
        <f t="shared" si="30"/>
        <v>-13</v>
      </c>
      <c r="G200" s="206">
        <f>G191</f>
        <v>56</v>
      </c>
      <c r="H200" s="194" t="s">
        <v>210</v>
      </c>
      <c r="I200" s="123">
        <f t="shared" si="30"/>
        <v>-14</v>
      </c>
      <c r="J200" s="206">
        <f>J191</f>
        <v>56</v>
      </c>
      <c r="K200" s="194" t="s">
        <v>210</v>
      </c>
      <c r="L200" s="123">
        <f t="shared" si="31"/>
        <v>-14</v>
      </c>
      <c r="N200" s="52"/>
      <c r="O200" s="52"/>
      <c r="P200" s="105"/>
      <c r="Q200" s="105"/>
      <c r="R200" s="105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K200" s="124"/>
    </row>
    <row r="201" spans="1:37" hidden="1">
      <c r="A201" s="141" t="s">
        <v>239</v>
      </c>
      <c r="B201" s="141"/>
      <c r="C201" s="190">
        <f t="shared" si="29"/>
        <v>107</v>
      </c>
      <c r="D201" s="207">
        <v>60</v>
      </c>
      <c r="E201" s="192"/>
      <c r="F201" s="123">
        <f t="shared" si="30"/>
        <v>6420</v>
      </c>
      <c r="G201" s="207">
        <f>$D$172</f>
        <v>60</v>
      </c>
      <c r="H201" s="194"/>
      <c r="I201" s="123">
        <f t="shared" si="30"/>
        <v>6420</v>
      </c>
      <c r="J201" s="207">
        <f>$J$172</f>
        <v>60</v>
      </c>
      <c r="K201" s="194"/>
      <c r="L201" s="123">
        <f t="shared" si="31"/>
        <v>6420</v>
      </c>
      <c r="N201" s="52"/>
      <c r="O201" s="52"/>
      <c r="P201" s="105"/>
      <c r="Q201" s="105"/>
      <c r="R201" s="105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K201" s="124"/>
    </row>
    <row r="202" spans="1:37" hidden="1">
      <c r="A202" s="141" t="s">
        <v>240</v>
      </c>
      <c r="B202" s="141"/>
      <c r="C202" s="190">
        <f t="shared" si="29"/>
        <v>763</v>
      </c>
      <c r="D202" s="208">
        <v>-30</v>
      </c>
      <c r="E202" s="192" t="s">
        <v>210</v>
      </c>
      <c r="F202" s="123">
        <f t="shared" si="30"/>
        <v>-229</v>
      </c>
      <c r="G202" s="208">
        <f>$D$173</f>
        <v>-30</v>
      </c>
      <c r="H202" s="194" t="s">
        <v>210</v>
      </c>
      <c r="I202" s="123">
        <f t="shared" si="30"/>
        <v>-229</v>
      </c>
      <c r="J202" s="208">
        <f>$J$173</f>
        <v>-30</v>
      </c>
      <c r="K202" s="194" t="s">
        <v>210</v>
      </c>
      <c r="L202" s="123">
        <f t="shared" si="31"/>
        <v>-229</v>
      </c>
      <c r="N202" s="52"/>
      <c r="O202" s="52"/>
      <c r="P202" s="105"/>
      <c r="Q202" s="105"/>
      <c r="R202" s="105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K202" s="124"/>
    </row>
    <row r="203" spans="1:37" hidden="1">
      <c r="A203" s="141" t="s">
        <v>215</v>
      </c>
      <c r="B203" s="121"/>
      <c r="C203" s="190">
        <f t="shared" si="29"/>
        <v>526121762</v>
      </c>
      <c r="D203" s="200"/>
      <c r="E203" s="123"/>
      <c r="F203" s="123">
        <f t="shared" si="30"/>
        <v>38759730</v>
      </c>
      <c r="G203" s="200"/>
      <c r="H203" s="194"/>
      <c r="I203" s="123">
        <f t="shared" si="30"/>
        <v>43630973</v>
      </c>
      <c r="J203" s="200"/>
      <c r="K203" s="194"/>
      <c r="L203" s="123">
        <f t="shared" si="31"/>
        <v>44278705</v>
      </c>
      <c r="N203" s="52"/>
      <c r="O203" s="52"/>
      <c r="P203" s="105"/>
      <c r="Q203" s="105"/>
      <c r="R203" s="105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K203" s="124"/>
    </row>
    <row r="204" spans="1:37" hidden="1">
      <c r="A204" s="141" t="s">
        <v>197</v>
      </c>
      <c r="B204" s="225"/>
      <c r="C204" s="210">
        <f t="shared" si="29"/>
        <v>-6864714.0068614734</v>
      </c>
      <c r="D204" s="175"/>
      <c r="E204" s="175"/>
      <c r="F204" s="211">
        <f t="shared" si="30"/>
        <v>-392873.23948437849</v>
      </c>
      <c r="G204" s="175"/>
      <c r="H204" s="175"/>
      <c r="I204" s="211">
        <f t="shared" si="30"/>
        <v>-392873.23948437849</v>
      </c>
      <c r="J204" s="175"/>
      <c r="K204" s="175"/>
      <c r="L204" s="211">
        <f>F204</f>
        <v>-392873.23948437849</v>
      </c>
      <c r="N204" s="156"/>
      <c r="O204" s="156"/>
      <c r="P204" s="154"/>
      <c r="Q204" s="105"/>
      <c r="R204" s="105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K204" s="124"/>
    </row>
    <row r="205" spans="1:37" ht="16.5" hidden="1" thickBot="1">
      <c r="A205" s="141" t="s">
        <v>216</v>
      </c>
      <c r="B205" s="141"/>
      <c r="C205" s="177">
        <f>SUM(C203:C204)</f>
        <v>519257047.99313855</v>
      </c>
      <c r="D205" s="213"/>
      <c r="E205" s="214"/>
      <c r="F205" s="215">
        <f>F203+F204</f>
        <v>38366856.760515623</v>
      </c>
      <c r="G205" s="213"/>
      <c r="H205" s="216"/>
      <c r="I205" s="215">
        <f>I203+I204</f>
        <v>43238099.760515623</v>
      </c>
      <c r="J205" s="213"/>
      <c r="K205" s="216"/>
      <c r="L205" s="215">
        <f>L203+L204</f>
        <v>43885831.760515623</v>
      </c>
      <c r="N205" s="157"/>
      <c r="O205" s="157"/>
      <c r="P205" s="158"/>
      <c r="Q205" s="105"/>
      <c r="R205" s="105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K205" s="124"/>
    </row>
    <row r="206" spans="1:37" hidden="1">
      <c r="A206" s="141"/>
      <c r="B206" s="141"/>
      <c r="C206" s="160"/>
      <c r="D206" s="207"/>
      <c r="E206" s="123"/>
      <c r="F206" s="123"/>
      <c r="G206" s="207"/>
      <c r="H206" s="141"/>
      <c r="I206" s="123"/>
      <c r="J206" s="207"/>
      <c r="K206" s="141"/>
      <c r="L206" s="123" t="s">
        <v>280</v>
      </c>
      <c r="N206" s="52"/>
      <c r="O206" s="52"/>
      <c r="P206" s="105"/>
      <c r="Q206" s="105"/>
      <c r="R206" s="105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K206" s="124"/>
    </row>
    <row r="207" spans="1:37" hidden="1">
      <c r="A207" s="159" t="s">
        <v>222</v>
      </c>
      <c r="B207" s="141"/>
      <c r="C207" s="141"/>
      <c r="D207" s="123"/>
      <c r="E207" s="123"/>
      <c r="F207" s="141" t="s">
        <v>280</v>
      </c>
      <c r="G207" s="123"/>
      <c r="H207" s="141"/>
      <c r="I207" s="141"/>
      <c r="J207" s="123"/>
      <c r="K207" s="141"/>
      <c r="L207" s="141"/>
      <c r="N207" s="52"/>
      <c r="O207" s="52"/>
      <c r="P207" s="105"/>
      <c r="Q207" s="105"/>
      <c r="R207" s="105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K207" s="124"/>
    </row>
    <row r="208" spans="1:37" hidden="1">
      <c r="A208" s="141" t="s">
        <v>243</v>
      </c>
      <c r="B208" s="141"/>
      <c r="C208" s="141"/>
      <c r="D208" s="123"/>
      <c r="E208" s="123"/>
      <c r="F208" s="141"/>
      <c r="G208" s="123"/>
      <c r="H208" s="141"/>
      <c r="I208" s="141"/>
      <c r="J208" s="123"/>
      <c r="K208" s="141"/>
      <c r="L208" s="141"/>
      <c r="N208" s="52"/>
      <c r="O208" s="52"/>
      <c r="P208" s="105"/>
      <c r="Q208" s="105"/>
      <c r="R208" s="105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K208" s="124"/>
    </row>
    <row r="209" spans="1:37" hidden="1">
      <c r="A209" s="183" t="s">
        <v>244</v>
      </c>
      <c r="B209" s="141"/>
      <c r="C209" s="160"/>
      <c r="D209" s="123"/>
      <c r="E209" s="123"/>
      <c r="F209" s="141"/>
      <c r="G209" s="123"/>
      <c r="H209" s="141"/>
      <c r="I209" s="141"/>
      <c r="J209" s="123"/>
      <c r="K209" s="141"/>
      <c r="L209" s="141"/>
      <c r="N209" s="52"/>
      <c r="O209" s="52"/>
      <c r="P209" s="105"/>
      <c r="Q209" s="105"/>
      <c r="R209" s="105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K209" s="124"/>
    </row>
    <row r="210" spans="1:37" hidden="1">
      <c r="A210" s="141" t="s">
        <v>228</v>
      </c>
      <c r="B210" s="141"/>
      <c r="C210" s="190"/>
      <c r="D210" s="123"/>
      <c r="E210" s="123"/>
      <c r="F210" s="141"/>
      <c r="G210" s="123"/>
      <c r="H210" s="141"/>
      <c r="I210" s="141"/>
      <c r="J210" s="123"/>
      <c r="K210" s="141"/>
      <c r="L210" s="141"/>
      <c r="N210" s="52"/>
      <c r="O210" s="52"/>
      <c r="P210" s="105"/>
      <c r="Q210" s="105"/>
      <c r="R210" s="105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K210" s="124"/>
    </row>
    <row r="211" spans="1:37" hidden="1">
      <c r="A211" s="141" t="s">
        <v>225</v>
      </c>
      <c r="B211" s="141"/>
      <c r="C211" s="190">
        <f>31543+65+122248+20+21+96</f>
        <v>153993</v>
      </c>
      <c r="D211" s="164">
        <v>7.64</v>
      </c>
      <c r="E211" s="192"/>
      <c r="F211" s="123">
        <f>ROUND(D211*$C211,0)</f>
        <v>1176507</v>
      </c>
      <c r="G211" s="164">
        <f>$G$153</f>
        <v>8.6</v>
      </c>
      <c r="H211" s="194"/>
      <c r="I211" s="123">
        <f>ROUND(G211*$C211,0)</f>
        <v>1324340</v>
      </c>
      <c r="J211" s="164">
        <f>$J$153</f>
        <v>8.7100000000000009</v>
      </c>
      <c r="K211" s="194"/>
      <c r="L211" s="123">
        <f>ROUND(J211*$C211,0)</f>
        <v>1341279</v>
      </c>
      <c r="N211" s="52"/>
      <c r="O211" s="52"/>
      <c r="P211" s="105"/>
      <c r="Q211" s="105"/>
      <c r="R211" s="105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K211" s="124"/>
    </row>
    <row r="212" spans="1:37" hidden="1">
      <c r="A212" s="141" t="s">
        <v>226</v>
      </c>
      <c r="B212" s="141"/>
      <c r="C212" s="190">
        <f>12+6926+36+51+42+51239+24</f>
        <v>58330</v>
      </c>
      <c r="D212" s="164">
        <v>11.36</v>
      </c>
      <c r="E212" s="195"/>
      <c r="F212" s="123">
        <f>ROUND(D212*$C212,0)</f>
        <v>662629</v>
      </c>
      <c r="G212" s="164">
        <f>$G$154</f>
        <v>12.79</v>
      </c>
      <c r="H212" s="196"/>
      <c r="I212" s="123">
        <f t="shared" ref="I212:I213" si="32">ROUND(G212*$C212,0)</f>
        <v>746041</v>
      </c>
      <c r="J212" s="164">
        <f>$J$154</f>
        <v>12.98</v>
      </c>
      <c r="K212" s="196"/>
      <c r="L212" s="123">
        <f>ROUND(J212*$C212,0)</f>
        <v>757123</v>
      </c>
      <c r="N212" s="52"/>
      <c r="O212" s="52"/>
      <c r="P212" s="105"/>
      <c r="Q212" s="105"/>
      <c r="R212" s="105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K212" s="124"/>
    </row>
    <row r="213" spans="1:37" hidden="1">
      <c r="A213" s="141" t="s">
        <v>227</v>
      </c>
      <c r="B213" s="141"/>
      <c r="C213" s="190">
        <f>87392+1060270+87</f>
        <v>1147749</v>
      </c>
      <c r="D213" s="164">
        <v>0.81</v>
      </c>
      <c r="E213" s="195"/>
      <c r="F213" s="123">
        <f>ROUND(D213*$C213,0)</f>
        <v>929677</v>
      </c>
      <c r="G213" s="164">
        <f>$G$155</f>
        <v>0.91</v>
      </c>
      <c r="H213" s="196"/>
      <c r="I213" s="123">
        <f t="shared" si="32"/>
        <v>1044452</v>
      </c>
      <c r="J213" s="164">
        <f>$J$155</f>
        <v>0.92</v>
      </c>
      <c r="K213" s="196"/>
      <c r="L213" s="123">
        <f>ROUND(J213*$C213,0)</f>
        <v>1055929</v>
      </c>
      <c r="N213" s="52"/>
      <c r="O213" s="52"/>
      <c r="P213" s="105"/>
      <c r="Q213" s="105"/>
      <c r="R213" s="105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K213" s="124"/>
    </row>
    <row r="214" spans="1:37" hidden="1">
      <c r="A214" s="141" t="s">
        <v>229</v>
      </c>
      <c r="B214" s="141"/>
      <c r="C214" s="190">
        <f>SUM(C211:C212)</f>
        <v>212323</v>
      </c>
      <c r="D214" s="164"/>
      <c r="E214" s="192"/>
      <c r="F214" s="123"/>
      <c r="G214" s="164"/>
      <c r="H214" s="194"/>
      <c r="I214" s="123"/>
      <c r="J214" s="164"/>
      <c r="K214" s="194"/>
      <c r="L214" s="123"/>
      <c r="N214" s="52"/>
      <c r="O214" s="52"/>
      <c r="P214" s="105"/>
      <c r="Q214" s="105"/>
      <c r="R214" s="105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K214" s="124"/>
    </row>
    <row r="215" spans="1:37" hidden="1">
      <c r="A215" s="141" t="s">
        <v>230</v>
      </c>
      <c r="B215" s="141"/>
      <c r="C215" s="190">
        <f>50167+676796+82</f>
        <v>727045</v>
      </c>
      <c r="D215" s="207">
        <v>2.98</v>
      </c>
      <c r="E215" s="194"/>
      <c r="F215" s="123">
        <f>ROUND(D215*$C215,0)</f>
        <v>2166594</v>
      </c>
      <c r="G215" s="207">
        <f>$G$158</f>
        <v>3.35</v>
      </c>
      <c r="H215" s="194"/>
      <c r="I215" s="123">
        <f>ROUND(G215*C215,0)</f>
        <v>2435601</v>
      </c>
      <c r="J215" s="207">
        <f>$J$158</f>
        <v>3.4</v>
      </c>
      <c r="K215" s="194"/>
      <c r="L215" s="123">
        <f>ROUND(J215*$C215,0)</f>
        <v>2471953</v>
      </c>
      <c r="N215" s="52"/>
      <c r="O215" s="52"/>
      <c r="P215" s="105"/>
      <c r="Q215" s="105"/>
      <c r="R215" s="105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K215" s="124"/>
    </row>
    <row r="216" spans="1:37" hidden="1">
      <c r="A216" s="141" t="s">
        <v>231</v>
      </c>
      <c r="B216" s="190"/>
      <c r="C216" s="190">
        <v>125559876</v>
      </c>
      <c r="D216" s="166">
        <v>8.5489999999999995</v>
      </c>
      <c r="E216" s="194" t="s">
        <v>210</v>
      </c>
      <c r="F216" s="123">
        <f>ROUND(D216*$C216/100,0)</f>
        <v>10734114</v>
      </c>
      <c r="G216" s="166">
        <f>$G$159</f>
        <v>9.6240000000000006</v>
      </c>
      <c r="H216" s="194" t="s">
        <v>210</v>
      </c>
      <c r="I216" s="123">
        <f>ROUND(G216*C216/100,0)</f>
        <v>12083882</v>
      </c>
      <c r="J216" s="166">
        <f>$J$159</f>
        <v>9.766</v>
      </c>
      <c r="K216" s="194" t="s">
        <v>210</v>
      </c>
      <c r="L216" s="123">
        <f>ROUND(J216*$C216/100,0)</f>
        <v>12262177</v>
      </c>
      <c r="N216" s="226"/>
      <c r="O216" s="226"/>
      <c r="P216" s="105"/>
      <c r="Q216" s="105"/>
      <c r="R216" s="105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K216" s="124"/>
    </row>
    <row r="217" spans="1:37" hidden="1">
      <c r="A217" s="141" t="s">
        <v>232</v>
      </c>
      <c r="B217" s="190"/>
      <c r="C217" s="190">
        <v>272240057</v>
      </c>
      <c r="D217" s="166">
        <v>5.9020000000000001</v>
      </c>
      <c r="E217" s="194" t="s">
        <v>210</v>
      </c>
      <c r="F217" s="123">
        <f>ROUND(D217*$C217/100,0)</f>
        <v>16067608</v>
      </c>
      <c r="G217" s="166">
        <f>$G$160</f>
        <v>6.6450000000000005</v>
      </c>
      <c r="H217" s="194" t="s">
        <v>210</v>
      </c>
      <c r="I217" s="123">
        <f t="shared" ref="I217:I219" si="33">ROUND(G217*C217/100,0)</f>
        <v>18090352</v>
      </c>
      <c r="J217" s="166">
        <f>$J$160</f>
        <v>6.7460000000000004</v>
      </c>
      <c r="K217" s="194" t="s">
        <v>210</v>
      </c>
      <c r="L217" s="123">
        <f>ROUND(J217*$C217/100,0)</f>
        <v>18365314</v>
      </c>
      <c r="N217" s="226"/>
      <c r="O217" s="226"/>
      <c r="P217" s="105"/>
      <c r="Q217" s="105"/>
      <c r="R217" s="105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K217" s="124"/>
    </row>
    <row r="218" spans="1:37" hidden="1">
      <c r="A218" s="141" t="s">
        <v>233</v>
      </c>
      <c r="B218" s="190"/>
      <c r="C218" s="190">
        <v>110161088</v>
      </c>
      <c r="D218" s="166">
        <v>5.0839999999999996</v>
      </c>
      <c r="E218" s="194" t="s">
        <v>210</v>
      </c>
      <c r="F218" s="123">
        <f>ROUND(D218*$C218/100,0)</f>
        <v>5600590</v>
      </c>
      <c r="G218" s="166">
        <f>$G$161</f>
        <v>5.7249999999999996</v>
      </c>
      <c r="H218" s="194" t="s">
        <v>210</v>
      </c>
      <c r="I218" s="123">
        <f t="shared" si="33"/>
        <v>6306722</v>
      </c>
      <c r="J218" s="166">
        <f>$J$161</f>
        <v>5.8120000000000003</v>
      </c>
      <c r="K218" s="194" t="s">
        <v>210</v>
      </c>
      <c r="L218" s="123">
        <f>ROUND(J218*$C218/100,0)</f>
        <v>6402562</v>
      </c>
      <c r="N218" s="226"/>
      <c r="O218" s="226"/>
      <c r="P218" s="105"/>
      <c r="Q218" s="105"/>
      <c r="R218" s="105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K218" s="124"/>
    </row>
    <row r="219" spans="1:37" hidden="1">
      <c r="A219" s="141" t="s">
        <v>234</v>
      </c>
      <c r="B219" s="160"/>
      <c r="C219" s="190">
        <f>9929+82459+63</f>
        <v>92451</v>
      </c>
      <c r="D219" s="200">
        <v>50</v>
      </c>
      <c r="E219" s="192" t="s">
        <v>210</v>
      </c>
      <c r="F219" s="123">
        <f>ROUND(D219*$C219/100,0)</f>
        <v>46226</v>
      </c>
      <c r="G219" s="200">
        <f>$G$162</f>
        <v>56</v>
      </c>
      <c r="H219" s="194" t="s">
        <v>210</v>
      </c>
      <c r="I219" s="123">
        <f t="shared" si="33"/>
        <v>51773</v>
      </c>
      <c r="J219" s="200">
        <f>$J$162</f>
        <v>56</v>
      </c>
      <c r="K219" s="194" t="s">
        <v>210</v>
      </c>
      <c r="L219" s="123">
        <f>ROUND(J219*$C219/100,0)</f>
        <v>51773</v>
      </c>
      <c r="N219" s="52"/>
      <c r="O219" s="52"/>
      <c r="P219" s="105"/>
      <c r="Q219" s="105"/>
      <c r="R219" s="105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K219" s="124"/>
    </row>
    <row r="220" spans="1:37" hidden="1">
      <c r="A220" s="201" t="s">
        <v>235</v>
      </c>
      <c r="B220" s="160"/>
      <c r="C220" s="190"/>
      <c r="D220" s="202">
        <v>-0.01</v>
      </c>
      <c r="E220" s="192"/>
      <c r="F220" s="123"/>
      <c r="G220" s="202">
        <v>-0.01</v>
      </c>
      <c r="H220" s="194"/>
      <c r="I220" s="123"/>
      <c r="J220" s="202">
        <v>-0.01</v>
      </c>
      <c r="K220" s="194"/>
      <c r="L220" s="123"/>
      <c r="N220" s="52"/>
      <c r="O220" s="52"/>
      <c r="P220" s="105"/>
      <c r="Q220" s="105"/>
      <c r="R220" s="105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K220" s="124"/>
    </row>
    <row r="221" spans="1:37" hidden="1">
      <c r="A221" s="141" t="s">
        <v>225</v>
      </c>
      <c r="B221" s="141"/>
      <c r="C221" s="190">
        <f>65</f>
        <v>65</v>
      </c>
      <c r="D221" s="204">
        <v>7.64</v>
      </c>
      <c r="E221" s="192"/>
      <c r="F221" s="123">
        <f>-ROUND(D221*$C221/100,0)</f>
        <v>-5</v>
      </c>
      <c r="G221" s="204">
        <f>G211</f>
        <v>8.6</v>
      </c>
      <c r="H221" s="192"/>
      <c r="I221" s="123">
        <f>-ROUND(G221*$C221/100,0)</f>
        <v>-6</v>
      </c>
      <c r="J221" s="204">
        <f>J211</f>
        <v>8.7100000000000009</v>
      </c>
      <c r="K221" s="192"/>
      <c r="L221" s="123">
        <f>-ROUND(J221*$C221/100,0)</f>
        <v>-6</v>
      </c>
      <c r="N221" s="52"/>
      <c r="O221" s="52"/>
      <c r="P221" s="105"/>
      <c r="Q221" s="105"/>
      <c r="R221" s="105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K221" s="124"/>
    </row>
    <row r="222" spans="1:37" hidden="1">
      <c r="A222" s="141" t="s">
        <v>226</v>
      </c>
      <c r="B222" s="141"/>
      <c r="C222" s="190">
        <f>51+42</f>
        <v>93</v>
      </c>
      <c r="D222" s="204">
        <v>11.36</v>
      </c>
      <c r="E222" s="192"/>
      <c r="F222" s="123">
        <f>-ROUND(D222*$C222/100,0)</f>
        <v>-11</v>
      </c>
      <c r="G222" s="204">
        <f>G212</f>
        <v>12.79</v>
      </c>
      <c r="H222" s="192"/>
      <c r="I222" s="123">
        <f t="shared" ref="I222:I224" si="34">-ROUND(G222*$C222/100,0)</f>
        <v>-12</v>
      </c>
      <c r="J222" s="204">
        <f>J212</f>
        <v>12.98</v>
      </c>
      <c r="K222" s="192"/>
      <c r="L222" s="123">
        <f>-ROUND(J222*$C222/100,0)</f>
        <v>-12</v>
      </c>
      <c r="N222" s="52"/>
      <c r="O222" s="52"/>
      <c r="P222" s="105"/>
      <c r="Q222" s="105"/>
      <c r="R222" s="105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K222" s="124"/>
    </row>
    <row r="223" spans="1:37" hidden="1">
      <c r="A223" s="141" t="s">
        <v>236</v>
      </c>
      <c r="B223" s="141"/>
      <c r="C223" s="190">
        <f>143+589+401</f>
        <v>1133</v>
      </c>
      <c r="D223" s="204">
        <v>0.81</v>
      </c>
      <c r="E223" s="192"/>
      <c r="F223" s="123">
        <f>-ROUND(D223*$C223/100,0)</f>
        <v>-9</v>
      </c>
      <c r="G223" s="204">
        <f>G213</f>
        <v>0.91</v>
      </c>
      <c r="H223" s="192"/>
      <c r="I223" s="123">
        <f t="shared" si="34"/>
        <v>-10</v>
      </c>
      <c r="J223" s="204">
        <f>J213</f>
        <v>0.92</v>
      </c>
      <c r="K223" s="192"/>
      <c r="L223" s="123">
        <f>-ROUND(J223*$C223/100,0)</f>
        <v>-10</v>
      </c>
      <c r="N223" s="52"/>
      <c r="O223" s="52"/>
      <c r="P223" s="105"/>
      <c r="Q223" s="105"/>
      <c r="R223" s="105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K223" s="124"/>
    </row>
    <row r="224" spans="1:37" hidden="1">
      <c r="A224" s="141" t="s">
        <v>245</v>
      </c>
      <c r="B224" s="141"/>
      <c r="C224" s="190">
        <f>90+310+286</f>
        <v>686</v>
      </c>
      <c r="D224" s="204">
        <v>2.98</v>
      </c>
      <c r="E224" s="194"/>
      <c r="F224" s="123">
        <f>-ROUND(D224*$C224/100,0)</f>
        <v>-20</v>
      </c>
      <c r="G224" s="204">
        <f>G215</f>
        <v>3.35</v>
      </c>
      <c r="H224" s="194"/>
      <c r="I224" s="123">
        <f t="shared" si="34"/>
        <v>-23</v>
      </c>
      <c r="J224" s="204">
        <f>J215</f>
        <v>3.4</v>
      </c>
      <c r="K224" s="194"/>
      <c r="L224" s="123">
        <f>-ROUND(J224*$C224/100,0)</f>
        <v>-23</v>
      </c>
      <c r="N224" s="52"/>
      <c r="O224" s="52"/>
      <c r="P224" s="105"/>
      <c r="Q224" s="105"/>
      <c r="R224" s="105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K224" s="124"/>
    </row>
    <row r="225" spans="1:37" hidden="1">
      <c r="A225" s="141" t="s">
        <v>238</v>
      </c>
      <c r="B225" s="141"/>
      <c r="C225" s="190">
        <f>65167+22065+25200</f>
        <v>112432</v>
      </c>
      <c r="D225" s="205">
        <v>8.5489999999999995</v>
      </c>
      <c r="E225" s="194" t="s">
        <v>210</v>
      </c>
      <c r="F225" s="123">
        <f>ROUND(D225*$C225/100*D220,0)</f>
        <v>-96</v>
      </c>
      <c r="G225" s="205">
        <f>G216</f>
        <v>9.6240000000000006</v>
      </c>
      <c r="H225" s="194" t="s">
        <v>210</v>
      </c>
      <c r="I225" s="123">
        <f>ROUND(G225*$C225/100*G220,0)</f>
        <v>-108</v>
      </c>
      <c r="J225" s="205">
        <f>J216</f>
        <v>9.766</v>
      </c>
      <c r="K225" s="194" t="s">
        <v>210</v>
      </c>
      <c r="L225" s="123">
        <f>ROUND(J225*$C225/100*J220,0)</f>
        <v>-110</v>
      </c>
      <c r="N225" s="52"/>
      <c r="O225" s="52"/>
      <c r="P225" s="105"/>
      <c r="Q225" s="105"/>
      <c r="R225" s="105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K225" s="124"/>
    </row>
    <row r="226" spans="1:37" hidden="1">
      <c r="A226" s="141" t="s">
        <v>232</v>
      </c>
      <c r="B226" s="141"/>
      <c r="C226" s="190">
        <f>165879+131667+94320</f>
        <v>391866</v>
      </c>
      <c r="D226" s="205">
        <v>5.9020000000000001</v>
      </c>
      <c r="E226" s="194" t="s">
        <v>210</v>
      </c>
      <c r="F226" s="123">
        <f>ROUND(D226*$C226/100*D220,0)</f>
        <v>-231</v>
      </c>
      <c r="G226" s="205">
        <f>G217</f>
        <v>6.6450000000000005</v>
      </c>
      <c r="H226" s="194" t="s">
        <v>210</v>
      </c>
      <c r="I226" s="123">
        <f>ROUND(G226*$C226/100*G220,0)</f>
        <v>-260</v>
      </c>
      <c r="J226" s="205">
        <f>J217</f>
        <v>6.7460000000000004</v>
      </c>
      <c r="K226" s="194" t="s">
        <v>210</v>
      </c>
      <c r="L226" s="123">
        <f>ROUND(J226*$C226/100*J220,0)</f>
        <v>-264</v>
      </c>
      <c r="N226" s="52"/>
      <c r="O226" s="52"/>
      <c r="P226" s="105"/>
      <c r="Q226" s="105"/>
      <c r="R226" s="105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K226" s="124"/>
    </row>
    <row r="227" spans="1:37" hidden="1">
      <c r="A227" s="141" t="s">
        <v>233</v>
      </c>
      <c r="B227" s="141"/>
      <c r="C227" s="190">
        <f>231046+227632+123720-C225-C226</f>
        <v>78100</v>
      </c>
      <c r="D227" s="205">
        <v>5.0839999999999996</v>
      </c>
      <c r="E227" s="194" t="s">
        <v>210</v>
      </c>
      <c r="F227" s="123">
        <f>ROUND(D227*$C227/100*D220,0)</f>
        <v>-40</v>
      </c>
      <c r="G227" s="205">
        <f>G218</f>
        <v>5.7249999999999996</v>
      </c>
      <c r="H227" s="194" t="s">
        <v>210</v>
      </c>
      <c r="I227" s="123">
        <f>ROUND(G227*$C227/100*G220,0)</f>
        <v>-45</v>
      </c>
      <c r="J227" s="205">
        <f>J218</f>
        <v>5.8120000000000003</v>
      </c>
      <c r="K227" s="194" t="s">
        <v>210</v>
      </c>
      <c r="L227" s="123">
        <f>ROUND(J227*$C227/100*J220,0)</f>
        <v>-45</v>
      </c>
      <c r="N227" s="52"/>
      <c r="O227" s="52"/>
      <c r="P227" s="105"/>
      <c r="Q227" s="105"/>
      <c r="R227" s="105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K227" s="124"/>
    </row>
    <row r="228" spans="1:37" hidden="1">
      <c r="A228" s="141" t="s">
        <v>234</v>
      </c>
      <c r="B228" s="141"/>
      <c r="C228" s="190">
        <f>1001+1500</f>
        <v>2501</v>
      </c>
      <c r="D228" s="206">
        <v>50</v>
      </c>
      <c r="E228" s="194" t="s">
        <v>210</v>
      </c>
      <c r="F228" s="123">
        <f>ROUND(D228*$C228/100*D220,0)</f>
        <v>-13</v>
      </c>
      <c r="G228" s="206">
        <f>G219</f>
        <v>56</v>
      </c>
      <c r="H228" s="194" t="s">
        <v>210</v>
      </c>
      <c r="I228" s="123">
        <f>ROUND(G228*$C228/100*G220,0)</f>
        <v>-14</v>
      </c>
      <c r="J228" s="206">
        <f>J219</f>
        <v>56</v>
      </c>
      <c r="K228" s="194" t="s">
        <v>210</v>
      </c>
      <c r="L228" s="123">
        <f>ROUND(J228*$C228/100*J220,0)</f>
        <v>-14</v>
      </c>
      <c r="N228" s="52"/>
      <c r="O228" s="52"/>
      <c r="P228" s="105"/>
      <c r="Q228" s="105"/>
      <c r="R228" s="105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K228" s="124"/>
    </row>
    <row r="229" spans="1:37" hidden="1">
      <c r="A229" s="141" t="s">
        <v>239</v>
      </c>
      <c r="B229" s="141"/>
      <c r="C229" s="190">
        <f>65+42</f>
        <v>107</v>
      </c>
      <c r="D229" s="207">
        <v>60</v>
      </c>
      <c r="E229" s="192"/>
      <c r="F229" s="123">
        <f>ROUND(D229*$C229,0)</f>
        <v>6420</v>
      </c>
      <c r="G229" s="207">
        <f>$D$172</f>
        <v>60</v>
      </c>
      <c r="H229" s="194"/>
      <c r="I229" s="123">
        <f>ROUND(G229*C229,0)</f>
        <v>6420</v>
      </c>
      <c r="J229" s="207">
        <f>$J$172</f>
        <v>60</v>
      </c>
      <c r="K229" s="194"/>
      <c r="L229" s="123">
        <f>ROUND(J229*$C229,0)</f>
        <v>6420</v>
      </c>
      <c r="N229" s="52"/>
      <c r="O229" s="52"/>
      <c r="P229" s="105"/>
      <c r="Q229" s="105"/>
      <c r="R229" s="105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K229" s="124"/>
    </row>
    <row r="230" spans="1:37" hidden="1">
      <c r="A230" s="141" t="s">
        <v>240</v>
      </c>
      <c r="B230" s="141"/>
      <c r="C230" s="190">
        <f>143+219+401</f>
        <v>763</v>
      </c>
      <c r="D230" s="208">
        <v>-30</v>
      </c>
      <c r="E230" s="192" t="s">
        <v>210</v>
      </c>
      <c r="F230" s="123">
        <f>ROUND(D230*$C230/100,0)</f>
        <v>-229</v>
      </c>
      <c r="G230" s="208">
        <f>$D$173</f>
        <v>-30</v>
      </c>
      <c r="H230" s="194" t="s">
        <v>210</v>
      </c>
      <c r="I230" s="123">
        <f>ROUND(G230*C230/100,0)</f>
        <v>-229</v>
      </c>
      <c r="J230" s="208">
        <f>$J$173</f>
        <v>-30</v>
      </c>
      <c r="K230" s="194" t="s">
        <v>210</v>
      </c>
      <c r="L230" s="123">
        <f>ROUND(J230*$C230/100,0)</f>
        <v>-229</v>
      </c>
      <c r="N230" s="52"/>
      <c r="O230" s="52"/>
      <c r="P230" s="105"/>
      <c r="Q230" s="105"/>
      <c r="R230" s="105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K230" s="124"/>
    </row>
    <row r="231" spans="1:37" hidden="1">
      <c r="A231" s="141" t="s">
        <v>215</v>
      </c>
      <c r="B231" s="173"/>
      <c r="C231" s="190">
        <f>SUM(C216:C218)</f>
        <v>507961021</v>
      </c>
      <c r="D231" s="200"/>
      <c r="E231" s="123"/>
      <c r="F231" s="123">
        <f>SUM(F211:F230)</f>
        <v>37389711</v>
      </c>
      <c r="G231" s="200"/>
      <c r="H231" s="194"/>
      <c r="I231" s="123">
        <f>SUM(I211:I230)</f>
        <v>42088876</v>
      </c>
      <c r="J231" s="200"/>
      <c r="K231" s="194"/>
      <c r="L231" s="123">
        <f>SUM(L211:L230)</f>
        <v>42713817</v>
      </c>
      <c r="N231" s="224"/>
      <c r="O231" s="224"/>
      <c r="P231" s="105"/>
      <c r="Q231" s="105"/>
      <c r="R231" s="105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K231" s="124"/>
    </row>
    <row r="232" spans="1:37" hidden="1">
      <c r="A232" s="141" t="s">
        <v>197</v>
      </c>
      <c r="B232" s="141"/>
      <c r="C232" s="227">
        <v>-6539717.6157512814</v>
      </c>
      <c r="D232" s="175"/>
      <c r="E232" s="175"/>
      <c r="F232" s="211">
        <v>-370482.98088859691</v>
      </c>
      <c r="G232" s="175"/>
      <c r="H232" s="175"/>
      <c r="I232" s="211">
        <f>F232</f>
        <v>-370482.98088859691</v>
      </c>
      <c r="J232" s="175"/>
      <c r="K232" s="175"/>
      <c r="L232" s="211">
        <f>F232</f>
        <v>-370482.98088859691</v>
      </c>
      <c r="N232" s="156"/>
      <c r="O232" s="156"/>
      <c r="P232" s="154"/>
      <c r="Q232" s="105"/>
      <c r="R232" s="105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K232" s="124"/>
    </row>
    <row r="233" spans="1:37" ht="16.5" hidden="1" thickBot="1">
      <c r="A233" s="141" t="s">
        <v>216</v>
      </c>
      <c r="B233" s="141"/>
      <c r="C233" s="177">
        <f>SUM(C231:C232)</f>
        <v>501421303.38424873</v>
      </c>
      <c r="D233" s="213"/>
      <c r="E233" s="214"/>
      <c r="F233" s="215">
        <f>F231+F232</f>
        <v>37019228.019111402</v>
      </c>
      <c r="G233" s="213"/>
      <c r="H233" s="216"/>
      <c r="I233" s="215">
        <f>I231+I232</f>
        <v>41718393.019111402</v>
      </c>
      <c r="J233" s="213"/>
      <c r="K233" s="216"/>
      <c r="L233" s="215">
        <f>L231+L232</f>
        <v>42343334.019111402</v>
      </c>
      <c r="N233" s="157"/>
      <c r="O233" s="157"/>
      <c r="P233" s="158"/>
      <c r="Q233" s="105"/>
      <c r="R233" s="105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K233" s="124"/>
    </row>
    <row r="234" spans="1:37" hidden="1">
      <c r="A234" s="141"/>
      <c r="B234" s="141"/>
      <c r="C234" s="160"/>
      <c r="D234" s="207"/>
      <c r="E234" s="123"/>
      <c r="F234" s="123"/>
      <c r="G234" s="207"/>
      <c r="H234" s="141"/>
      <c r="I234" s="123"/>
      <c r="J234" s="207"/>
      <c r="K234" s="141"/>
      <c r="L234" s="123" t="s">
        <v>280</v>
      </c>
      <c r="N234" s="52"/>
      <c r="O234" s="52"/>
      <c r="P234" s="105"/>
      <c r="Q234" s="105"/>
      <c r="R234" s="105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K234" s="124"/>
    </row>
    <row r="235" spans="1:37" hidden="1">
      <c r="A235" s="159" t="s">
        <v>222</v>
      </c>
      <c r="B235" s="141"/>
      <c r="C235" s="141"/>
      <c r="D235" s="123"/>
      <c r="E235" s="123"/>
      <c r="F235" s="141" t="s">
        <v>280</v>
      </c>
      <c r="G235" s="123"/>
      <c r="H235" s="141"/>
      <c r="I235" s="141"/>
      <c r="J235" s="123"/>
      <c r="K235" s="141"/>
      <c r="L235" s="141"/>
      <c r="N235" s="52"/>
      <c r="O235" s="52"/>
      <c r="P235" s="105"/>
      <c r="Q235" s="105"/>
      <c r="R235" s="105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K235" s="124"/>
    </row>
    <row r="236" spans="1:37" hidden="1">
      <c r="A236" s="141" t="s">
        <v>246</v>
      </c>
      <c r="B236" s="141"/>
      <c r="C236" s="160"/>
      <c r="D236" s="123"/>
      <c r="E236" s="123"/>
      <c r="F236" s="141"/>
      <c r="G236" s="123"/>
      <c r="H236" s="141"/>
      <c r="I236" s="141"/>
      <c r="J236" s="123"/>
      <c r="K236" s="141"/>
      <c r="L236" s="141"/>
      <c r="N236" s="52"/>
      <c r="O236" s="52"/>
      <c r="P236" s="105"/>
      <c r="Q236" s="105"/>
      <c r="R236" s="105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K236" s="124"/>
    </row>
    <row r="237" spans="1:37" hidden="1">
      <c r="A237" s="141"/>
      <c r="B237" s="141"/>
      <c r="C237" s="141"/>
      <c r="D237" s="123"/>
      <c r="E237" s="123"/>
      <c r="F237" s="141"/>
      <c r="G237" s="123"/>
      <c r="H237" s="141"/>
      <c r="I237" s="141"/>
      <c r="J237" s="123"/>
      <c r="K237" s="141"/>
      <c r="L237" s="141"/>
      <c r="N237" s="52"/>
      <c r="O237" s="52"/>
      <c r="P237" s="105"/>
      <c r="Q237" s="105"/>
      <c r="R237" s="105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K237" s="124"/>
    </row>
    <row r="238" spans="1:37" hidden="1">
      <c r="A238" s="141" t="s">
        <v>228</v>
      </c>
      <c r="B238" s="141"/>
      <c r="C238" s="190"/>
      <c r="D238" s="123"/>
      <c r="E238" s="123"/>
      <c r="F238" s="141"/>
      <c r="G238" s="123"/>
      <c r="H238" s="141"/>
      <c r="I238" s="141"/>
      <c r="J238" s="123"/>
      <c r="K238" s="141"/>
      <c r="L238" s="141"/>
      <c r="N238" s="52"/>
      <c r="O238" s="52"/>
      <c r="P238" s="105"/>
      <c r="Q238" s="105"/>
      <c r="R238" s="105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K238" s="124"/>
    </row>
    <row r="239" spans="1:37" hidden="1">
      <c r="A239" s="141" t="s">
        <v>225</v>
      </c>
      <c r="B239" s="141"/>
      <c r="C239" s="190">
        <f>521+1710</f>
        <v>2231</v>
      </c>
      <c r="D239" s="164">
        <v>7.64</v>
      </c>
      <c r="E239" s="192"/>
      <c r="F239" s="123">
        <f>ROUND(D239*$C239,0)</f>
        <v>17045</v>
      </c>
      <c r="G239" s="164">
        <f>$G$153</f>
        <v>8.6</v>
      </c>
      <c r="H239" s="194"/>
      <c r="I239" s="123">
        <f>ROUND(G239*$C239,0)</f>
        <v>19187</v>
      </c>
      <c r="J239" s="164">
        <f>$J$153</f>
        <v>8.7100000000000009</v>
      </c>
      <c r="K239" s="194"/>
      <c r="L239" s="123">
        <f>ROUND(J239*$C239,0)</f>
        <v>19432</v>
      </c>
      <c r="N239" s="52"/>
      <c r="O239" s="52"/>
      <c r="P239" s="105"/>
      <c r="Q239" s="105"/>
      <c r="R239" s="105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K239" s="124"/>
    </row>
    <row r="240" spans="1:37" hidden="1">
      <c r="A240" s="141" t="s">
        <v>226</v>
      </c>
      <c r="B240" s="141"/>
      <c r="C240" s="190">
        <f>632+2711+5</f>
        <v>3348</v>
      </c>
      <c r="D240" s="164">
        <v>11.36</v>
      </c>
      <c r="E240" s="195"/>
      <c r="F240" s="123">
        <f>ROUND(D240*$C240,0)</f>
        <v>38033</v>
      </c>
      <c r="G240" s="164">
        <f>$G$154</f>
        <v>12.79</v>
      </c>
      <c r="H240" s="196"/>
      <c r="I240" s="123">
        <f t="shared" ref="I240:I241" si="35">ROUND(G240*$C240,0)</f>
        <v>42821</v>
      </c>
      <c r="J240" s="164">
        <f>$J$154</f>
        <v>12.98</v>
      </c>
      <c r="K240" s="196"/>
      <c r="L240" s="123">
        <f>ROUND(J240*$C240,0)</f>
        <v>43457</v>
      </c>
      <c r="N240" s="52"/>
      <c r="O240" s="52"/>
      <c r="P240" s="105"/>
      <c r="Q240" s="105"/>
      <c r="R240" s="105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K240" s="124"/>
    </row>
    <row r="241" spans="1:37" hidden="1">
      <c r="A241" s="141" t="s">
        <v>227</v>
      </c>
      <c r="B241" s="141"/>
      <c r="C241" s="190">
        <f>662+10927+3472+52057</f>
        <v>67118</v>
      </c>
      <c r="D241" s="164">
        <v>0.81</v>
      </c>
      <c r="E241" s="195"/>
      <c r="F241" s="123">
        <f>ROUND(D241*$C241,0)</f>
        <v>54366</v>
      </c>
      <c r="G241" s="164">
        <f>$G$155</f>
        <v>0.91</v>
      </c>
      <c r="H241" s="196"/>
      <c r="I241" s="123">
        <f t="shared" si="35"/>
        <v>61077</v>
      </c>
      <c r="J241" s="164">
        <f>$J$155</f>
        <v>0.92</v>
      </c>
      <c r="K241" s="196"/>
      <c r="L241" s="123">
        <f>ROUND(J241*$C241,0)</f>
        <v>61749</v>
      </c>
      <c r="N241" s="52"/>
      <c r="O241" s="52"/>
      <c r="P241" s="105"/>
      <c r="Q241" s="105"/>
      <c r="R241" s="105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K241" s="124"/>
    </row>
    <row r="242" spans="1:37" hidden="1">
      <c r="A242" s="141" t="s">
        <v>229</v>
      </c>
      <c r="B242" s="141"/>
      <c r="C242" s="190">
        <f>SUM(C239:C240)</f>
        <v>5579</v>
      </c>
      <c r="D242" s="164"/>
      <c r="E242" s="192"/>
      <c r="F242" s="123"/>
      <c r="G242" s="164"/>
      <c r="H242" s="194"/>
      <c r="I242" s="123"/>
      <c r="J242" s="164"/>
      <c r="K242" s="194"/>
      <c r="L242" s="123"/>
      <c r="N242" s="52"/>
      <c r="O242" s="52"/>
      <c r="P242" s="105"/>
      <c r="Q242" s="105"/>
      <c r="R242" s="105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K242" s="124"/>
    </row>
    <row r="243" spans="1:37" hidden="1">
      <c r="A243" s="141" t="s">
        <v>230</v>
      </c>
      <c r="B243" s="141"/>
      <c r="C243" s="190">
        <f>324+3436+1648+34574</f>
        <v>39982</v>
      </c>
      <c r="D243" s="207">
        <v>2.98</v>
      </c>
      <c r="E243" s="194"/>
      <c r="F243" s="123">
        <f>ROUND(D243*$C243,0)</f>
        <v>119146</v>
      </c>
      <c r="G243" s="207">
        <f>$G$158</f>
        <v>3.35</v>
      </c>
      <c r="H243" s="194"/>
      <c r="I243" s="123">
        <f>ROUND(G243*C243,0)</f>
        <v>133940</v>
      </c>
      <c r="J243" s="207">
        <f>$J$158</f>
        <v>3.4</v>
      </c>
      <c r="K243" s="194"/>
      <c r="L243" s="123">
        <f>ROUND(J243*$C243,0)</f>
        <v>135939</v>
      </c>
      <c r="N243" s="52"/>
      <c r="O243" s="52"/>
      <c r="P243" s="105"/>
      <c r="Q243" s="105"/>
      <c r="R243" s="105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K243" s="124"/>
    </row>
    <row r="244" spans="1:37" hidden="1">
      <c r="A244" s="141" t="s">
        <v>231</v>
      </c>
      <c r="B244" s="141"/>
      <c r="C244" s="190">
        <f>151395+362488+980650+2146002+92</f>
        <v>3640627</v>
      </c>
      <c r="D244" s="166">
        <v>8.5489999999999995</v>
      </c>
      <c r="E244" s="194" t="s">
        <v>210</v>
      </c>
      <c r="F244" s="123">
        <f>ROUND(D244*$C244/100,0)</f>
        <v>311237</v>
      </c>
      <c r="G244" s="166">
        <f>$G$159</f>
        <v>9.6240000000000006</v>
      </c>
      <c r="H244" s="194" t="s">
        <v>210</v>
      </c>
      <c r="I244" s="123">
        <f>ROUND(G244*C244/100,0)</f>
        <v>350374</v>
      </c>
      <c r="J244" s="166">
        <f>$J$159</f>
        <v>9.766</v>
      </c>
      <c r="K244" s="194" t="s">
        <v>210</v>
      </c>
      <c r="L244" s="123">
        <f>ROUND(J244*$C244/100,0)</f>
        <v>355544</v>
      </c>
      <c r="N244" s="52"/>
      <c r="O244" s="52"/>
      <c r="P244" s="105"/>
      <c r="Q244" s="105"/>
      <c r="R244" s="105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K244" s="124"/>
    </row>
    <row r="245" spans="1:37" hidden="1">
      <c r="A245" s="141" t="s">
        <v>232</v>
      </c>
      <c r="B245" s="141"/>
      <c r="C245" s="190">
        <f>156564+906937+1360961+7835015</f>
        <v>10259477</v>
      </c>
      <c r="D245" s="166">
        <v>5.9020000000000001</v>
      </c>
      <c r="E245" s="194" t="s">
        <v>210</v>
      </c>
      <c r="F245" s="123">
        <f>ROUND(D245*$C245/100,0)</f>
        <v>605514</v>
      </c>
      <c r="G245" s="166">
        <f>$G$160</f>
        <v>6.6450000000000005</v>
      </c>
      <c r="H245" s="194" t="s">
        <v>210</v>
      </c>
      <c r="I245" s="123">
        <f t="shared" ref="I245:I247" si="36">ROUND(G245*C245/100,0)</f>
        <v>681742</v>
      </c>
      <c r="J245" s="166">
        <f>$J$160</f>
        <v>6.7460000000000004</v>
      </c>
      <c r="K245" s="194" t="s">
        <v>210</v>
      </c>
      <c r="L245" s="123">
        <f>ROUND(J245*$C245/100,0)</f>
        <v>692104</v>
      </c>
      <c r="N245" s="52"/>
      <c r="O245" s="52"/>
      <c r="P245" s="105"/>
      <c r="Q245" s="105"/>
      <c r="R245" s="105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K245" s="124"/>
    </row>
    <row r="246" spans="1:37" hidden="1">
      <c r="A246" s="141" t="s">
        <v>233</v>
      </c>
      <c r="B246" s="141"/>
      <c r="C246" s="190">
        <f>329375+1508520+2400013+13922741+92-C244-C245</f>
        <v>4260637</v>
      </c>
      <c r="D246" s="166">
        <v>5.0839999999999996</v>
      </c>
      <c r="E246" s="194" t="s">
        <v>210</v>
      </c>
      <c r="F246" s="123">
        <f>ROUND(D246*$C246/100,0)</f>
        <v>216611</v>
      </c>
      <c r="G246" s="166">
        <f>$G$161</f>
        <v>5.7249999999999996</v>
      </c>
      <c r="H246" s="194" t="s">
        <v>210</v>
      </c>
      <c r="I246" s="123">
        <f t="shared" si="36"/>
        <v>243921</v>
      </c>
      <c r="J246" s="166">
        <f>$J$161</f>
        <v>5.8120000000000003</v>
      </c>
      <c r="K246" s="194" t="s">
        <v>210</v>
      </c>
      <c r="L246" s="123">
        <f>ROUND(J246*$C246/100,0)</f>
        <v>247628</v>
      </c>
      <c r="N246" s="52"/>
      <c r="O246" s="52"/>
      <c r="P246" s="105"/>
      <c r="Q246" s="105"/>
      <c r="R246" s="105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K246" s="124"/>
    </row>
    <row r="247" spans="1:37" hidden="1">
      <c r="A247" s="141" t="s">
        <v>234</v>
      </c>
      <c r="B247" s="141"/>
      <c r="C247" s="190">
        <f>2093+14041</f>
        <v>16134</v>
      </c>
      <c r="D247" s="200">
        <v>50</v>
      </c>
      <c r="E247" s="192" t="s">
        <v>210</v>
      </c>
      <c r="F247" s="123">
        <f>ROUND(D247*$C247/100,0)</f>
        <v>8067</v>
      </c>
      <c r="G247" s="200">
        <f>$G$162</f>
        <v>56</v>
      </c>
      <c r="H247" s="194" t="s">
        <v>210</v>
      </c>
      <c r="I247" s="123">
        <f t="shared" si="36"/>
        <v>9035</v>
      </c>
      <c r="J247" s="200">
        <f>$J$162</f>
        <v>56</v>
      </c>
      <c r="K247" s="194" t="s">
        <v>210</v>
      </c>
      <c r="L247" s="123">
        <f>ROUND(J247*$C247/100,0)</f>
        <v>9035</v>
      </c>
      <c r="N247" s="52"/>
      <c r="O247" s="52"/>
      <c r="P247" s="105"/>
      <c r="Q247" s="105"/>
      <c r="R247" s="105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K247" s="124"/>
    </row>
    <row r="248" spans="1:37" hidden="1">
      <c r="A248" s="201" t="s">
        <v>235</v>
      </c>
      <c r="B248" s="141"/>
      <c r="C248" s="190"/>
      <c r="D248" s="202">
        <v>-0.01</v>
      </c>
      <c r="E248" s="192"/>
      <c r="F248" s="123"/>
      <c r="G248" s="202">
        <v>-0.01</v>
      </c>
      <c r="H248" s="194"/>
      <c r="I248" s="123"/>
      <c r="J248" s="202">
        <v>-0.01</v>
      </c>
      <c r="K248" s="194"/>
      <c r="L248" s="123"/>
      <c r="N248" s="52"/>
      <c r="O248" s="52"/>
      <c r="P248" s="105"/>
      <c r="Q248" s="105"/>
      <c r="R248" s="105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K248" s="124"/>
    </row>
    <row r="249" spans="1:37" hidden="1">
      <c r="A249" s="141" t="s">
        <v>225</v>
      </c>
      <c r="B249" s="141"/>
      <c r="C249" s="190">
        <v>0</v>
      </c>
      <c r="D249" s="204">
        <v>7.64</v>
      </c>
      <c r="E249" s="192"/>
      <c r="F249" s="123">
        <f>-ROUND(D249*$C249/100,0)</f>
        <v>0</v>
      </c>
      <c r="G249" s="204">
        <f>G239</f>
        <v>8.6</v>
      </c>
      <c r="H249" s="192"/>
      <c r="I249" s="123">
        <f>-ROUND(G249*$C249/100,0)</f>
        <v>0</v>
      </c>
      <c r="J249" s="204">
        <f>J239</f>
        <v>8.7100000000000009</v>
      </c>
      <c r="K249" s="192"/>
      <c r="L249" s="123">
        <f>-ROUND(J249*$C249/100,0)</f>
        <v>0</v>
      </c>
      <c r="N249" s="52"/>
      <c r="O249" s="52"/>
      <c r="P249" s="105"/>
      <c r="Q249" s="105"/>
      <c r="R249" s="105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K249" s="124"/>
    </row>
    <row r="250" spans="1:37" hidden="1">
      <c r="A250" s="141" t="s">
        <v>226</v>
      </c>
      <c r="B250" s="141"/>
      <c r="C250" s="190">
        <v>0</v>
      </c>
      <c r="D250" s="204">
        <v>11.36</v>
      </c>
      <c r="E250" s="192"/>
      <c r="F250" s="123">
        <f>-ROUND(D250*$C250/100,0)</f>
        <v>0</v>
      </c>
      <c r="G250" s="204">
        <f>G240</f>
        <v>12.79</v>
      </c>
      <c r="H250" s="192"/>
      <c r="I250" s="123">
        <f t="shared" ref="I250:I252" si="37">-ROUND(G250*$C250/100,0)</f>
        <v>0</v>
      </c>
      <c r="J250" s="204">
        <f>J240</f>
        <v>12.98</v>
      </c>
      <c r="K250" s="192"/>
      <c r="L250" s="123">
        <f>-ROUND(J250*$C250/100,0)</f>
        <v>0</v>
      </c>
      <c r="N250" s="52"/>
      <c r="O250" s="52"/>
      <c r="P250" s="105"/>
      <c r="Q250" s="105"/>
      <c r="R250" s="105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K250" s="124"/>
    </row>
    <row r="251" spans="1:37" hidden="1">
      <c r="A251" s="141" t="s">
        <v>236</v>
      </c>
      <c r="B251" s="141"/>
      <c r="C251" s="190">
        <v>0</v>
      </c>
      <c r="D251" s="204">
        <v>0.81</v>
      </c>
      <c r="E251" s="192"/>
      <c r="F251" s="123">
        <f>-ROUND(D251*$C251/100,0)</f>
        <v>0</v>
      </c>
      <c r="G251" s="204">
        <f>G241</f>
        <v>0.91</v>
      </c>
      <c r="H251" s="192"/>
      <c r="I251" s="123">
        <f t="shared" si="37"/>
        <v>0</v>
      </c>
      <c r="J251" s="204">
        <f>J241</f>
        <v>0.92</v>
      </c>
      <c r="K251" s="192"/>
      <c r="L251" s="123">
        <f>-ROUND(J251*$C251/100,0)</f>
        <v>0</v>
      </c>
      <c r="N251" s="52"/>
      <c r="O251" s="52"/>
      <c r="P251" s="105"/>
      <c r="Q251" s="105"/>
      <c r="R251" s="105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K251" s="124"/>
    </row>
    <row r="252" spans="1:37" hidden="1">
      <c r="A252" s="141" t="s">
        <v>237</v>
      </c>
      <c r="B252" s="141"/>
      <c r="C252" s="190">
        <v>0</v>
      </c>
      <c r="D252" s="204">
        <v>2.98</v>
      </c>
      <c r="E252" s="194"/>
      <c r="F252" s="123">
        <f>-ROUND(D252*$C252/100,0)</f>
        <v>0</v>
      </c>
      <c r="G252" s="204">
        <f>G243</f>
        <v>3.35</v>
      </c>
      <c r="H252" s="194"/>
      <c r="I252" s="123">
        <f t="shared" si="37"/>
        <v>0</v>
      </c>
      <c r="J252" s="204">
        <f>J243</f>
        <v>3.4</v>
      </c>
      <c r="K252" s="194"/>
      <c r="L252" s="123">
        <f>-ROUND(J252*$C252/100,0)</f>
        <v>0</v>
      </c>
      <c r="N252" s="52"/>
      <c r="O252" s="52"/>
      <c r="P252" s="105"/>
      <c r="Q252" s="105"/>
      <c r="R252" s="105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K252" s="124"/>
    </row>
    <row r="253" spans="1:37" hidden="1">
      <c r="A253" s="141" t="s">
        <v>238</v>
      </c>
      <c r="B253" s="141"/>
      <c r="C253" s="190">
        <v>0</v>
      </c>
      <c r="D253" s="205">
        <v>8.5489999999999995</v>
      </c>
      <c r="E253" s="194" t="s">
        <v>210</v>
      </c>
      <c r="F253" s="123">
        <f>ROUND(D253*$C253/100*D248,0)</f>
        <v>0</v>
      </c>
      <c r="G253" s="205">
        <f>G244</f>
        <v>9.6240000000000006</v>
      </c>
      <c r="H253" s="194" t="s">
        <v>210</v>
      </c>
      <c r="I253" s="123">
        <f>ROUND(G253*$C253/100*G248,0)</f>
        <v>0</v>
      </c>
      <c r="J253" s="205">
        <f>J244</f>
        <v>9.766</v>
      </c>
      <c r="K253" s="194" t="s">
        <v>210</v>
      </c>
      <c r="L253" s="123">
        <f>ROUND(J253*$C253/100*J248,0)</f>
        <v>0</v>
      </c>
      <c r="N253" s="52"/>
      <c r="O253" s="52"/>
      <c r="P253" s="105"/>
      <c r="Q253" s="105"/>
      <c r="R253" s="105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K253" s="124"/>
    </row>
    <row r="254" spans="1:37" hidden="1">
      <c r="A254" s="141" t="s">
        <v>232</v>
      </c>
      <c r="B254" s="141"/>
      <c r="C254" s="190">
        <v>0</v>
      </c>
      <c r="D254" s="205">
        <v>5.9020000000000001</v>
      </c>
      <c r="E254" s="194" t="s">
        <v>210</v>
      </c>
      <c r="F254" s="123">
        <f>ROUND(D254*$C254/100*D248,0)</f>
        <v>0</v>
      </c>
      <c r="G254" s="205">
        <f>G245</f>
        <v>6.6450000000000005</v>
      </c>
      <c r="H254" s="194" t="s">
        <v>210</v>
      </c>
      <c r="I254" s="123">
        <f>ROUND(G254*$C254/100*G248,0)</f>
        <v>0</v>
      </c>
      <c r="J254" s="205">
        <f>J245</f>
        <v>6.7460000000000004</v>
      </c>
      <c r="K254" s="194" t="s">
        <v>210</v>
      </c>
      <c r="L254" s="123">
        <f>ROUND(J254*$C254/100*J248,0)</f>
        <v>0</v>
      </c>
      <c r="N254" s="52"/>
      <c r="O254" s="52"/>
      <c r="P254" s="105"/>
      <c r="Q254" s="105"/>
      <c r="R254" s="105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K254" s="124"/>
    </row>
    <row r="255" spans="1:37" hidden="1">
      <c r="A255" s="141" t="s">
        <v>233</v>
      </c>
      <c r="B255" s="141"/>
      <c r="C255" s="190">
        <v>0</v>
      </c>
      <c r="D255" s="205">
        <v>5.0839999999999996</v>
      </c>
      <c r="E255" s="194" t="s">
        <v>210</v>
      </c>
      <c r="F255" s="123">
        <f>ROUND(D255*$C255/100*D248,0)</f>
        <v>0</v>
      </c>
      <c r="G255" s="205">
        <f>G246</f>
        <v>5.7249999999999996</v>
      </c>
      <c r="H255" s="194" t="s">
        <v>210</v>
      </c>
      <c r="I255" s="123">
        <f>ROUND(G255*$C255/100*G248,0)</f>
        <v>0</v>
      </c>
      <c r="J255" s="205">
        <f>J246</f>
        <v>5.8120000000000003</v>
      </c>
      <c r="K255" s="194" t="s">
        <v>210</v>
      </c>
      <c r="L255" s="123">
        <f>ROUND(J255*$C255/100*J248,0)</f>
        <v>0</v>
      </c>
      <c r="N255" s="52"/>
      <c r="O255" s="52"/>
      <c r="P255" s="105"/>
      <c r="Q255" s="105"/>
      <c r="R255" s="105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K255" s="124"/>
    </row>
    <row r="256" spans="1:37" hidden="1">
      <c r="A256" s="141" t="s">
        <v>234</v>
      </c>
      <c r="B256" s="141"/>
      <c r="C256" s="190">
        <v>0</v>
      </c>
      <c r="D256" s="206">
        <v>50</v>
      </c>
      <c r="E256" s="194" t="s">
        <v>210</v>
      </c>
      <c r="F256" s="123">
        <f>ROUND(D256*$C256/100*D248,0)</f>
        <v>0</v>
      </c>
      <c r="G256" s="206">
        <f>G247</f>
        <v>56</v>
      </c>
      <c r="H256" s="194" t="s">
        <v>210</v>
      </c>
      <c r="I256" s="123">
        <f>ROUND(G256*$C256/100*G248,0)</f>
        <v>0</v>
      </c>
      <c r="J256" s="206">
        <f>J247</f>
        <v>56</v>
      </c>
      <c r="K256" s="194" t="s">
        <v>210</v>
      </c>
      <c r="L256" s="123">
        <f>ROUND(J256*$C256/100*J248,0)</f>
        <v>0</v>
      </c>
      <c r="N256" s="52"/>
      <c r="O256" s="52"/>
      <c r="P256" s="105"/>
      <c r="Q256" s="105"/>
      <c r="R256" s="105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K256" s="124"/>
    </row>
    <row r="257" spans="1:37" hidden="1">
      <c r="A257" s="141" t="s">
        <v>239</v>
      </c>
      <c r="B257" s="141"/>
      <c r="C257" s="190">
        <v>0</v>
      </c>
      <c r="D257" s="207">
        <v>60</v>
      </c>
      <c r="E257" s="192"/>
      <c r="F257" s="123">
        <f>ROUND(D257*$C257,0)</f>
        <v>0</v>
      </c>
      <c r="G257" s="207">
        <f>$D$172</f>
        <v>60</v>
      </c>
      <c r="H257" s="194"/>
      <c r="I257" s="123">
        <f>ROUND(G257*C257,0)</f>
        <v>0</v>
      </c>
      <c r="J257" s="207">
        <f>$J$172</f>
        <v>60</v>
      </c>
      <c r="K257" s="194"/>
      <c r="L257" s="123">
        <f>ROUND(J257*$C257,0)</f>
        <v>0</v>
      </c>
      <c r="N257" s="52"/>
      <c r="O257" s="52"/>
      <c r="P257" s="105"/>
      <c r="Q257" s="105"/>
      <c r="R257" s="105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K257" s="124"/>
    </row>
    <row r="258" spans="1:37" hidden="1">
      <c r="A258" s="141" t="s">
        <v>240</v>
      </c>
      <c r="B258" s="141"/>
      <c r="C258" s="190">
        <v>0</v>
      </c>
      <c r="D258" s="208">
        <v>-30</v>
      </c>
      <c r="E258" s="192" t="s">
        <v>210</v>
      </c>
      <c r="F258" s="123">
        <f>ROUND(D258*$C258/100,0)</f>
        <v>0</v>
      </c>
      <c r="G258" s="208">
        <f>$D$173</f>
        <v>-30</v>
      </c>
      <c r="H258" s="194" t="s">
        <v>210</v>
      </c>
      <c r="I258" s="123">
        <f>ROUND(G258*C258/100,0)</f>
        <v>0</v>
      </c>
      <c r="J258" s="208">
        <f>$J$173</f>
        <v>-30</v>
      </c>
      <c r="K258" s="194" t="s">
        <v>210</v>
      </c>
      <c r="L258" s="123">
        <f>ROUND(J258*$C258/100,0)</f>
        <v>0</v>
      </c>
      <c r="N258" s="52"/>
      <c r="O258" s="52"/>
      <c r="P258" s="105"/>
      <c r="Q258" s="105"/>
      <c r="R258" s="105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K258" s="124"/>
    </row>
    <row r="259" spans="1:37" hidden="1">
      <c r="A259" s="141" t="s">
        <v>215</v>
      </c>
      <c r="B259" s="141"/>
      <c r="C259" s="190">
        <f>SUM(C244:C246)</f>
        <v>18160741</v>
      </c>
      <c r="D259" s="200"/>
      <c r="E259" s="123"/>
      <c r="F259" s="123">
        <f>SUM(F239:F258)</f>
        <v>1370019</v>
      </c>
      <c r="G259" s="200"/>
      <c r="H259" s="194"/>
      <c r="I259" s="123">
        <f>SUM(I239:I258)</f>
        <v>1542097</v>
      </c>
      <c r="J259" s="200"/>
      <c r="K259" s="194"/>
      <c r="L259" s="123">
        <f>SUM(L239:L258)</f>
        <v>1564888</v>
      </c>
      <c r="N259" s="52"/>
      <c r="O259" s="52"/>
      <c r="P259" s="105"/>
      <c r="Q259" s="105"/>
      <c r="R259" s="105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K259" s="124"/>
    </row>
    <row r="260" spans="1:37" hidden="1">
      <c r="A260" s="141" t="s">
        <v>197</v>
      </c>
      <c r="B260" s="141"/>
      <c r="C260" s="227">
        <v>-324996.39111019176</v>
      </c>
      <c r="D260" s="175"/>
      <c r="E260" s="175"/>
      <c r="F260" s="211">
        <v>-22390.258595781572</v>
      </c>
      <c r="G260" s="175"/>
      <c r="H260" s="175"/>
      <c r="I260" s="211">
        <f>F260</f>
        <v>-22390.258595781572</v>
      </c>
      <c r="J260" s="175"/>
      <c r="K260" s="175"/>
      <c r="L260" s="211">
        <f>F260</f>
        <v>-22390.258595781572</v>
      </c>
      <c r="N260" s="156"/>
      <c r="O260" s="156"/>
      <c r="P260" s="154"/>
      <c r="Q260" s="105"/>
      <c r="R260" s="105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K260" s="124"/>
    </row>
    <row r="261" spans="1:37" ht="16.5" hidden="1" thickBot="1">
      <c r="A261" s="141" t="s">
        <v>216</v>
      </c>
      <c r="B261" s="141"/>
      <c r="C261" s="177">
        <f>SUM(C259:C260)</f>
        <v>17835744.608889807</v>
      </c>
      <c r="D261" s="213"/>
      <c r="E261" s="214"/>
      <c r="F261" s="215">
        <f>F259+F260</f>
        <v>1347628.7414042184</v>
      </c>
      <c r="G261" s="213"/>
      <c r="H261" s="216"/>
      <c r="I261" s="215">
        <f>I259+I260</f>
        <v>1519706.7414042184</v>
      </c>
      <c r="J261" s="213"/>
      <c r="K261" s="216"/>
      <c r="L261" s="215">
        <f>L259+L260</f>
        <v>1542497.7414042184</v>
      </c>
      <c r="N261" s="157"/>
      <c r="O261" s="157"/>
      <c r="P261" s="158"/>
      <c r="Q261" s="105"/>
      <c r="R261" s="105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K261" s="124"/>
    </row>
    <row r="262" spans="1:37" hidden="1">
      <c r="A262" s="141"/>
      <c r="B262" s="141"/>
      <c r="C262" s="228"/>
      <c r="D262" s="229"/>
      <c r="E262" s="230"/>
      <c r="F262" s="193"/>
      <c r="G262" s="229"/>
      <c r="H262" s="231"/>
      <c r="I262" s="193"/>
      <c r="J262" s="229"/>
      <c r="K262" s="231"/>
      <c r="L262" s="193"/>
      <c r="N262" s="52"/>
      <c r="O262" s="52"/>
      <c r="P262" s="105"/>
      <c r="Q262" s="105"/>
      <c r="R262" s="105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K262" s="124"/>
    </row>
    <row r="263" spans="1:37" hidden="1">
      <c r="A263" s="159" t="s">
        <v>247</v>
      </c>
      <c r="B263" s="141"/>
      <c r="C263" s="141"/>
      <c r="D263" s="123"/>
      <c r="E263" s="123"/>
      <c r="F263" s="141" t="s">
        <v>280</v>
      </c>
      <c r="G263" s="123"/>
      <c r="H263" s="141"/>
      <c r="I263" s="141"/>
      <c r="J263" s="123"/>
      <c r="K263" s="141"/>
      <c r="L263" s="141"/>
      <c r="N263" s="52"/>
      <c r="O263" s="52"/>
      <c r="P263" s="105"/>
      <c r="Q263" s="105"/>
      <c r="R263" s="105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K263" s="124"/>
    </row>
    <row r="264" spans="1:37" hidden="1">
      <c r="A264" s="141" t="s">
        <v>242</v>
      </c>
      <c r="B264" s="141"/>
      <c r="C264" s="141"/>
      <c r="D264" s="123"/>
      <c r="E264" s="123"/>
      <c r="F264" s="141"/>
      <c r="G264" s="123"/>
      <c r="H264" s="141"/>
      <c r="I264" s="141"/>
      <c r="J264" s="123"/>
      <c r="K264" s="141"/>
      <c r="L264" s="141"/>
      <c r="N264" s="52"/>
      <c r="O264" s="52"/>
      <c r="P264" s="105"/>
      <c r="Q264" s="105"/>
      <c r="R264" s="105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K264" s="124"/>
    </row>
    <row r="265" spans="1:37" hidden="1">
      <c r="A265" s="141"/>
      <c r="B265" s="141"/>
      <c r="C265" s="141"/>
      <c r="D265" s="123"/>
      <c r="E265" s="123"/>
      <c r="F265" s="141"/>
      <c r="G265" s="123"/>
      <c r="H265" s="141"/>
      <c r="I265" s="141"/>
      <c r="J265" s="123"/>
      <c r="K265" s="141"/>
      <c r="L265" s="141"/>
      <c r="N265" s="52"/>
      <c r="O265" s="52"/>
      <c r="P265" s="105"/>
      <c r="Q265" s="105"/>
      <c r="R265" s="105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K265" s="124"/>
    </row>
    <row r="266" spans="1:37" hidden="1">
      <c r="A266" s="141" t="s">
        <v>228</v>
      </c>
      <c r="B266" s="141"/>
      <c r="C266" s="190"/>
      <c r="D266" s="123"/>
      <c r="E266" s="123"/>
      <c r="F266" s="141"/>
      <c r="G266" s="123"/>
      <c r="H266" s="141"/>
      <c r="I266" s="141"/>
      <c r="J266" s="123"/>
      <c r="K266" s="141"/>
      <c r="L266" s="141"/>
      <c r="N266" s="52"/>
      <c r="O266" s="52"/>
      <c r="P266" s="105"/>
      <c r="Q266" s="105"/>
      <c r="R266" s="105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K266" s="124"/>
    </row>
    <row r="267" spans="1:37" hidden="1">
      <c r="A267" s="141" t="s">
        <v>248</v>
      </c>
      <c r="B267" s="141"/>
      <c r="C267" s="190">
        <f t="shared" ref="C267:C269" si="38">C296+C325</f>
        <v>4522</v>
      </c>
      <c r="D267" s="164">
        <v>7.64</v>
      </c>
      <c r="E267" s="192"/>
      <c r="F267" s="123">
        <f t="shared" ref="F267:F269" si="39">F296+F325</f>
        <v>34548</v>
      </c>
      <c r="G267" s="164">
        <f>$G$153</f>
        <v>8.6</v>
      </c>
      <c r="H267" s="194"/>
      <c r="I267" s="123">
        <f>ROUND(G267*$C267,0)</f>
        <v>38889</v>
      </c>
      <c r="J267" s="164">
        <f>$J$153</f>
        <v>8.7100000000000009</v>
      </c>
      <c r="K267" s="194"/>
      <c r="L267" s="123">
        <f>L296+L325</f>
        <v>39386</v>
      </c>
      <c r="N267" s="52"/>
      <c r="O267" s="52"/>
      <c r="P267" s="105"/>
      <c r="Q267" s="105"/>
      <c r="R267" s="105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K267" s="124"/>
    </row>
    <row r="268" spans="1:37" hidden="1">
      <c r="A268" s="141" t="s">
        <v>226</v>
      </c>
      <c r="B268" s="141"/>
      <c r="C268" s="190">
        <f t="shared" si="38"/>
        <v>0</v>
      </c>
      <c r="D268" s="164">
        <v>11.36</v>
      </c>
      <c r="E268" s="195"/>
      <c r="F268" s="123">
        <f t="shared" si="39"/>
        <v>0</v>
      </c>
      <c r="G268" s="164">
        <f>$G$154</f>
        <v>12.79</v>
      </c>
      <c r="H268" s="196"/>
      <c r="I268" s="123">
        <f t="shared" ref="I268:I269" si="40">ROUND(G268*$C268,0)</f>
        <v>0</v>
      </c>
      <c r="J268" s="164">
        <f>$J$154</f>
        <v>12.98</v>
      </c>
      <c r="K268" s="196"/>
      <c r="L268" s="123">
        <f>L297+L326</f>
        <v>0</v>
      </c>
      <c r="N268" s="52"/>
      <c r="O268" s="52"/>
      <c r="P268" s="105"/>
      <c r="Q268" s="105"/>
      <c r="R268" s="105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K268" s="124"/>
    </row>
    <row r="269" spans="1:37" hidden="1">
      <c r="A269" s="141" t="s">
        <v>227</v>
      </c>
      <c r="B269" s="141"/>
      <c r="C269" s="190">
        <f t="shared" si="38"/>
        <v>0</v>
      </c>
      <c r="D269" s="164">
        <v>0.81</v>
      </c>
      <c r="E269" s="195"/>
      <c r="F269" s="123">
        <f t="shared" si="39"/>
        <v>0</v>
      </c>
      <c r="G269" s="164">
        <f>$G$155</f>
        <v>0.91</v>
      </c>
      <c r="H269" s="196"/>
      <c r="I269" s="123">
        <f t="shared" si="40"/>
        <v>0</v>
      </c>
      <c r="J269" s="164">
        <f>$J$155</f>
        <v>0.92</v>
      </c>
      <c r="K269" s="196"/>
      <c r="L269" s="123">
        <f>L298+L327</f>
        <v>0</v>
      </c>
      <c r="N269" s="52"/>
      <c r="O269" s="52"/>
      <c r="P269" s="105"/>
      <c r="Q269" s="105"/>
      <c r="R269" s="105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K269" s="124"/>
    </row>
    <row r="270" spans="1:37" hidden="1">
      <c r="A270" s="141" t="s">
        <v>229</v>
      </c>
      <c r="B270" s="141"/>
      <c r="C270" s="190">
        <f>SUM(C267:C268)</f>
        <v>4522</v>
      </c>
      <c r="D270" s="164"/>
      <c r="E270" s="192"/>
      <c r="F270" s="123"/>
      <c r="G270" s="164"/>
      <c r="H270" s="194"/>
      <c r="I270" s="123"/>
      <c r="J270" s="164"/>
      <c r="K270" s="194"/>
      <c r="L270" s="123"/>
      <c r="N270" s="52"/>
      <c r="O270" s="52"/>
      <c r="P270" s="105"/>
      <c r="Q270" s="105"/>
      <c r="R270" s="105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K270" s="124"/>
    </row>
    <row r="271" spans="1:37" hidden="1">
      <c r="A271" s="141" t="s">
        <v>376</v>
      </c>
      <c r="B271" s="141"/>
      <c r="C271" s="190">
        <f t="shared" ref="C271:C276" si="41">C300+C329</f>
        <v>1470</v>
      </c>
      <c r="D271" s="164"/>
      <c r="E271" s="192"/>
      <c r="F271" s="123"/>
      <c r="G271" s="164"/>
      <c r="H271" s="194"/>
      <c r="I271" s="123"/>
      <c r="J271" s="164"/>
      <c r="K271" s="194"/>
      <c r="L271" s="123"/>
      <c r="N271" s="52"/>
      <c r="O271" s="52"/>
      <c r="P271" s="105"/>
      <c r="Q271" s="105"/>
      <c r="R271" s="105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K271" s="124"/>
    </row>
    <row r="272" spans="1:37" hidden="1">
      <c r="A272" s="141" t="s">
        <v>230</v>
      </c>
      <c r="B272" s="141"/>
      <c r="C272" s="190">
        <f t="shared" si="41"/>
        <v>0</v>
      </c>
      <c r="D272" s="207">
        <v>2.98</v>
      </c>
      <c r="E272" s="194"/>
      <c r="F272" s="123">
        <f t="shared" ref="F272:F276" si="42">F301+F330</f>
        <v>0</v>
      </c>
      <c r="G272" s="207">
        <f>$G$158</f>
        <v>3.35</v>
      </c>
      <c r="H272" s="194"/>
      <c r="I272" s="123">
        <f>ROUND(G272*C272,0)</f>
        <v>0</v>
      </c>
      <c r="J272" s="207">
        <f>$J$158</f>
        <v>3.4</v>
      </c>
      <c r="K272" s="194"/>
      <c r="L272" s="123">
        <f>L301+L330</f>
        <v>0</v>
      </c>
      <c r="N272" s="52"/>
      <c r="O272" s="52"/>
      <c r="P272" s="105"/>
      <c r="Q272" s="105"/>
      <c r="R272" s="105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K272" s="124"/>
    </row>
    <row r="273" spans="1:37" hidden="1">
      <c r="A273" s="141" t="s">
        <v>231</v>
      </c>
      <c r="B273" s="141"/>
      <c r="C273" s="190">
        <f t="shared" si="41"/>
        <v>1237885</v>
      </c>
      <c r="D273" s="166">
        <v>8.5489999999999995</v>
      </c>
      <c r="E273" s="194" t="s">
        <v>210</v>
      </c>
      <c r="F273" s="123">
        <f t="shared" si="42"/>
        <v>105827</v>
      </c>
      <c r="G273" s="166">
        <f>$G$159</f>
        <v>9.6240000000000006</v>
      </c>
      <c r="H273" s="194" t="s">
        <v>210</v>
      </c>
      <c r="I273" s="123">
        <f>ROUND(G273*C273/100,0)</f>
        <v>119134</v>
      </c>
      <c r="J273" s="166">
        <f>$J$159</f>
        <v>9.766</v>
      </c>
      <c r="K273" s="194" t="s">
        <v>210</v>
      </c>
      <c r="L273" s="123">
        <f>L302+L331</f>
        <v>120892</v>
      </c>
      <c r="N273" s="52"/>
      <c r="O273" s="52"/>
      <c r="P273" s="105"/>
      <c r="Q273" s="105"/>
      <c r="R273" s="105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K273" s="124"/>
    </row>
    <row r="274" spans="1:37" hidden="1">
      <c r="A274" s="141" t="s">
        <v>232</v>
      </c>
      <c r="B274" s="141"/>
      <c r="C274" s="190">
        <f t="shared" si="41"/>
        <v>64812</v>
      </c>
      <c r="D274" s="166">
        <v>5.9020000000000001</v>
      </c>
      <c r="E274" s="194" t="s">
        <v>210</v>
      </c>
      <c r="F274" s="123">
        <f t="shared" si="42"/>
        <v>3825</v>
      </c>
      <c r="G274" s="166">
        <f>$G$160</f>
        <v>6.6450000000000005</v>
      </c>
      <c r="H274" s="194" t="s">
        <v>210</v>
      </c>
      <c r="I274" s="123">
        <f t="shared" ref="I274:I276" si="43">ROUND(G274*C274/100,0)</f>
        <v>4307</v>
      </c>
      <c r="J274" s="166">
        <f>$J$160</f>
        <v>6.7460000000000004</v>
      </c>
      <c r="K274" s="194" t="s">
        <v>210</v>
      </c>
      <c r="L274" s="123">
        <f>L303+L332</f>
        <v>4372</v>
      </c>
      <c r="N274" s="52"/>
      <c r="O274" s="52"/>
      <c r="P274" s="105"/>
      <c r="Q274" s="105"/>
      <c r="R274" s="105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K274" s="124"/>
    </row>
    <row r="275" spans="1:37" hidden="1">
      <c r="A275" s="141" t="s">
        <v>233</v>
      </c>
      <c r="B275" s="141"/>
      <c r="C275" s="190">
        <f t="shared" si="41"/>
        <v>0</v>
      </c>
      <c r="D275" s="166">
        <v>5.0839999999999996</v>
      </c>
      <c r="E275" s="194" t="s">
        <v>210</v>
      </c>
      <c r="F275" s="123">
        <f t="shared" si="42"/>
        <v>0</v>
      </c>
      <c r="G275" s="166">
        <f>$G$161</f>
        <v>5.7249999999999996</v>
      </c>
      <c r="H275" s="194" t="s">
        <v>210</v>
      </c>
      <c r="I275" s="123">
        <f t="shared" si="43"/>
        <v>0</v>
      </c>
      <c r="J275" s="166">
        <f>$J$161</f>
        <v>5.8120000000000003</v>
      </c>
      <c r="K275" s="194" t="s">
        <v>210</v>
      </c>
      <c r="L275" s="123">
        <f>L304+L333</f>
        <v>0</v>
      </c>
      <c r="N275" s="52"/>
      <c r="O275" s="52"/>
      <c r="P275" s="105"/>
      <c r="Q275" s="105"/>
      <c r="R275" s="105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K275" s="124"/>
    </row>
    <row r="276" spans="1:37" hidden="1">
      <c r="A276" s="141" t="s">
        <v>234</v>
      </c>
      <c r="B276" s="141"/>
      <c r="C276" s="190">
        <f t="shared" si="41"/>
        <v>0</v>
      </c>
      <c r="D276" s="200">
        <v>50</v>
      </c>
      <c r="E276" s="192" t="s">
        <v>210</v>
      </c>
      <c r="F276" s="123">
        <f t="shared" si="42"/>
        <v>0</v>
      </c>
      <c r="G276" s="200">
        <f>$G$162</f>
        <v>56</v>
      </c>
      <c r="H276" s="194" t="s">
        <v>210</v>
      </c>
      <c r="I276" s="123">
        <f t="shared" si="43"/>
        <v>0</v>
      </c>
      <c r="J276" s="200">
        <f>$J$162</f>
        <v>56</v>
      </c>
      <c r="K276" s="194" t="s">
        <v>210</v>
      </c>
      <c r="L276" s="123">
        <f>L305+L334</f>
        <v>0</v>
      </c>
      <c r="N276" s="52"/>
      <c r="O276" s="52"/>
      <c r="P276" s="105"/>
      <c r="Q276" s="105"/>
      <c r="R276" s="105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K276" s="124"/>
    </row>
    <row r="277" spans="1:37" hidden="1">
      <c r="A277" s="201" t="s">
        <v>235</v>
      </c>
      <c r="B277" s="141"/>
      <c r="C277" s="190"/>
      <c r="D277" s="202">
        <v>-0.01</v>
      </c>
      <c r="E277" s="192"/>
      <c r="F277" s="123"/>
      <c r="G277" s="202">
        <v>-0.01</v>
      </c>
      <c r="H277" s="194"/>
      <c r="I277" s="123"/>
      <c r="J277" s="202">
        <v>-0.01</v>
      </c>
      <c r="K277" s="194"/>
      <c r="L277" s="123"/>
      <c r="N277" s="52"/>
      <c r="O277" s="52"/>
      <c r="P277" s="105"/>
      <c r="Q277" s="105"/>
      <c r="R277" s="105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K277" s="124"/>
    </row>
    <row r="278" spans="1:37" hidden="1">
      <c r="A278" s="141" t="s">
        <v>225</v>
      </c>
      <c r="B278" s="141"/>
      <c r="C278" s="190">
        <v>0</v>
      </c>
      <c r="D278" s="204">
        <v>7.64</v>
      </c>
      <c r="E278" s="192"/>
      <c r="F278" s="123">
        <f t="shared" ref="F278:I289" si="44">F307+F336</f>
        <v>0</v>
      </c>
      <c r="G278" s="204">
        <f>G267</f>
        <v>8.6</v>
      </c>
      <c r="H278" s="192"/>
      <c r="I278" s="123">
        <f>-ROUND(G278*$C278/100,0)</f>
        <v>0</v>
      </c>
      <c r="J278" s="204">
        <f>J267</f>
        <v>8.7100000000000009</v>
      </c>
      <c r="K278" s="192"/>
      <c r="L278" s="123">
        <f t="shared" ref="L278:L288" si="45">L307+L336</f>
        <v>0</v>
      </c>
      <c r="N278" s="52"/>
      <c r="O278" s="52"/>
      <c r="P278" s="105"/>
      <c r="Q278" s="105"/>
      <c r="R278" s="105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K278" s="124"/>
    </row>
    <row r="279" spans="1:37" hidden="1">
      <c r="A279" s="141" t="s">
        <v>226</v>
      </c>
      <c r="B279" s="141"/>
      <c r="C279" s="190">
        <v>0</v>
      </c>
      <c r="D279" s="204">
        <v>11.36</v>
      </c>
      <c r="E279" s="192"/>
      <c r="F279" s="123">
        <f t="shared" si="44"/>
        <v>0</v>
      </c>
      <c r="G279" s="204">
        <f>G268</f>
        <v>12.79</v>
      </c>
      <c r="H279" s="192"/>
      <c r="I279" s="123">
        <f t="shared" ref="I279:I281" si="46">-ROUND(G279*$C279/100,0)</f>
        <v>0</v>
      </c>
      <c r="J279" s="204">
        <f>J268</f>
        <v>12.98</v>
      </c>
      <c r="K279" s="192"/>
      <c r="L279" s="123">
        <f t="shared" si="45"/>
        <v>0</v>
      </c>
      <c r="N279" s="52"/>
      <c r="O279" s="52"/>
      <c r="P279" s="105"/>
      <c r="Q279" s="105"/>
      <c r="R279" s="105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K279" s="124"/>
    </row>
    <row r="280" spans="1:37" hidden="1">
      <c r="A280" s="141" t="s">
        <v>236</v>
      </c>
      <c r="B280" s="141"/>
      <c r="C280" s="190">
        <v>0</v>
      </c>
      <c r="D280" s="204">
        <v>0.81</v>
      </c>
      <c r="E280" s="192"/>
      <c r="F280" s="123">
        <f t="shared" si="44"/>
        <v>0</v>
      </c>
      <c r="G280" s="204">
        <f>G269</f>
        <v>0.91</v>
      </c>
      <c r="H280" s="192"/>
      <c r="I280" s="123">
        <f t="shared" si="46"/>
        <v>0</v>
      </c>
      <c r="J280" s="204">
        <f>J269</f>
        <v>0.92</v>
      </c>
      <c r="K280" s="192"/>
      <c r="L280" s="123">
        <f t="shared" si="45"/>
        <v>0</v>
      </c>
      <c r="N280" s="52"/>
      <c r="O280" s="52"/>
      <c r="P280" s="105"/>
      <c r="Q280" s="105"/>
      <c r="R280" s="105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K280" s="124"/>
    </row>
    <row r="281" spans="1:37" hidden="1">
      <c r="A281" s="141" t="s">
        <v>237</v>
      </c>
      <c r="B281" s="141"/>
      <c r="C281" s="190">
        <v>0</v>
      </c>
      <c r="D281" s="204">
        <v>2.98</v>
      </c>
      <c r="E281" s="194"/>
      <c r="F281" s="123">
        <f t="shared" si="44"/>
        <v>0</v>
      </c>
      <c r="G281" s="204">
        <f>G272</f>
        <v>3.35</v>
      </c>
      <c r="H281" s="194"/>
      <c r="I281" s="123">
        <f t="shared" si="46"/>
        <v>0</v>
      </c>
      <c r="J281" s="204">
        <f>J272</f>
        <v>3.4</v>
      </c>
      <c r="K281" s="194"/>
      <c r="L281" s="123">
        <f t="shared" si="45"/>
        <v>0</v>
      </c>
      <c r="N281" s="52"/>
      <c r="O281" s="52"/>
      <c r="P281" s="105"/>
      <c r="Q281" s="105"/>
      <c r="R281" s="105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K281" s="124"/>
    </row>
    <row r="282" spans="1:37" hidden="1">
      <c r="A282" s="141" t="s">
        <v>238</v>
      </c>
      <c r="B282" s="141"/>
      <c r="C282" s="190">
        <v>0</v>
      </c>
      <c r="D282" s="205">
        <v>8.5489999999999995</v>
      </c>
      <c r="E282" s="194" t="s">
        <v>210</v>
      </c>
      <c r="F282" s="123">
        <f t="shared" si="44"/>
        <v>0</v>
      </c>
      <c r="G282" s="205">
        <f>G273</f>
        <v>9.6240000000000006</v>
      </c>
      <c r="H282" s="194" t="s">
        <v>210</v>
      </c>
      <c r="I282" s="123">
        <f>ROUND(G282*$C282/100*G277,0)</f>
        <v>0</v>
      </c>
      <c r="J282" s="205">
        <f>J273</f>
        <v>9.766</v>
      </c>
      <c r="K282" s="194" t="s">
        <v>210</v>
      </c>
      <c r="L282" s="123">
        <f t="shared" si="45"/>
        <v>0</v>
      </c>
      <c r="N282" s="52"/>
      <c r="O282" s="52"/>
      <c r="P282" s="105"/>
      <c r="Q282" s="105"/>
      <c r="R282" s="105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K282" s="124"/>
    </row>
    <row r="283" spans="1:37" hidden="1">
      <c r="A283" s="141" t="s">
        <v>232</v>
      </c>
      <c r="B283" s="141"/>
      <c r="C283" s="190">
        <v>0</v>
      </c>
      <c r="D283" s="205">
        <v>5.9020000000000001</v>
      </c>
      <c r="E283" s="194" t="s">
        <v>210</v>
      </c>
      <c r="F283" s="123">
        <f t="shared" si="44"/>
        <v>0</v>
      </c>
      <c r="G283" s="205">
        <f>G274</f>
        <v>6.6450000000000005</v>
      </c>
      <c r="H283" s="194" t="s">
        <v>210</v>
      </c>
      <c r="I283" s="123">
        <f>ROUND(G283*$C283/100*G277,0)</f>
        <v>0</v>
      </c>
      <c r="J283" s="205">
        <f>J274</f>
        <v>6.7460000000000004</v>
      </c>
      <c r="K283" s="194" t="s">
        <v>210</v>
      </c>
      <c r="L283" s="123">
        <f t="shared" si="45"/>
        <v>0</v>
      </c>
      <c r="N283" s="52"/>
      <c r="O283" s="52"/>
      <c r="P283" s="105"/>
      <c r="Q283" s="105"/>
      <c r="R283" s="105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K283" s="124"/>
    </row>
    <row r="284" spans="1:37" hidden="1">
      <c r="A284" s="141" t="s">
        <v>233</v>
      </c>
      <c r="B284" s="141"/>
      <c r="C284" s="190">
        <v>0</v>
      </c>
      <c r="D284" s="205">
        <v>5.0839999999999996</v>
      </c>
      <c r="E284" s="194" t="s">
        <v>210</v>
      </c>
      <c r="F284" s="123">
        <f t="shared" si="44"/>
        <v>0</v>
      </c>
      <c r="G284" s="205">
        <f>G275</f>
        <v>5.7249999999999996</v>
      </c>
      <c r="H284" s="194" t="s">
        <v>210</v>
      </c>
      <c r="I284" s="123">
        <f>ROUND(G284*$C284/100*G277,0)</f>
        <v>0</v>
      </c>
      <c r="J284" s="205">
        <f>J275</f>
        <v>5.8120000000000003</v>
      </c>
      <c r="K284" s="194" t="s">
        <v>210</v>
      </c>
      <c r="L284" s="123">
        <f t="shared" si="45"/>
        <v>0</v>
      </c>
      <c r="N284" s="52"/>
      <c r="O284" s="52"/>
      <c r="P284" s="105"/>
      <c r="Q284" s="105"/>
      <c r="R284" s="105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K284" s="124"/>
    </row>
    <row r="285" spans="1:37" hidden="1">
      <c r="A285" s="141" t="s">
        <v>234</v>
      </c>
      <c r="B285" s="141"/>
      <c r="C285" s="190">
        <v>0</v>
      </c>
      <c r="D285" s="206">
        <v>50</v>
      </c>
      <c r="E285" s="194" t="s">
        <v>210</v>
      </c>
      <c r="F285" s="123">
        <f t="shared" si="44"/>
        <v>0</v>
      </c>
      <c r="G285" s="206">
        <f>G276</f>
        <v>56</v>
      </c>
      <c r="H285" s="194" t="s">
        <v>210</v>
      </c>
      <c r="I285" s="123">
        <f>ROUND(G285*$C285/100*G277,0)</f>
        <v>0</v>
      </c>
      <c r="J285" s="206">
        <f>J276</f>
        <v>56</v>
      </c>
      <c r="K285" s="194" t="s">
        <v>210</v>
      </c>
      <c r="L285" s="123">
        <f t="shared" si="45"/>
        <v>0</v>
      </c>
      <c r="N285" s="52"/>
      <c r="O285" s="52"/>
      <c r="P285" s="105"/>
      <c r="Q285" s="105"/>
      <c r="R285" s="105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K285" s="124"/>
    </row>
    <row r="286" spans="1:37" hidden="1">
      <c r="A286" s="141" t="s">
        <v>239</v>
      </c>
      <c r="B286" s="141"/>
      <c r="C286" s="190">
        <v>0</v>
      </c>
      <c r="D286" s="207">
        <v>60</v>
      </c>
      <c r="E286" s="192"/>
      <c r="F286" s="123">
        <f t="shared" si="44"/>
        <v>0</v>
      </c>
      <c r="G286" s="207">
        <f>$D$172</f>
        <v>60</v>
      </c>
      <c r="H286" s="194"/>
      <c r="I286" s="123">
        <f>ROUND(G286*C286,0)</f>
        <v>0</v>
      </c>
      <c r="J286" s="207">
        <f>$J$172</f>
        <v>60</v>
      </c>
      <c r="K286" s="194"/>
      <c r="L286" s="123">
        <f t="shared" si="45"/>
        <v>0</v>
      </c>
      <c r="N286" s="52"/>
      <c r="O286" s="52"/>
      <c r="P286" s="105"/>
      <c r="Q286" s="105"/>
      <c r="R286" s="105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K286" s="124"/>
    </row>
    <row r="287" spans="1:37" hidden="1">
      <c r="A287" s="141" t="s">
        <v>240</v>
      </c>
      <c r="B287" s="141"/>
      <c r="C287" s="190">
        <v>0</v>
      </c>
      <c r="D287" s="208">
        <v>-30</v>
      </c>
      <c r="E287" s="192" t="s">
        <v>210</v>
      </c>
      <c r="F287" s="123">
        <f t="shared" si="44"/>
        <v>0</v>
      </c>
      <c r="G287" s="208">
        <f>$D$173</f>
        <v>-30</v>
      </c>
      <c r="H287" s="194" t="s">
        <v>210</v>
      </c>
      <c r="I287" s="123">
        <f>ROUND(G287*C287/100,0)</f>
        <v>0</v>
      </c>
      <c r="J287" s="208">
        <f>$J$173</f>
        <v>-30</v>
      </c>
      <c r="K287" s="194" t="s">
        <v>210</v>
      </c>
      <c r="L287" s="123">
        <f t="shared" si="45"/>
        <v>0</v>
      </c>
      <c r="N287" s="52"/>
      <c r="O287" s="52"/>
      <c r="P287" s="105"/>
      <c r="Q287" s="105"/>
      <c r="R287" s="105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K287" s="124"/>
    </row>
    <row r="288" spans="1:37" hidden="1">
      <c r="A288" s="141" t="s">
        <v>215</v>
      </c>
      <c r="B288" s="141"/>
      <c r="C288" s="190">
        <f>C317+C346</f>
        <v>1302697</v>
      </c>
      <c r="D288" s="200"/>
      <c r="E288" s="123"/>
      <c r="F288" s="123">
        <f t="shared" si="44"/>
        <v>144200</v>
      </c>
      <c r="G288" s="200"/>
      <c r="H288" s="194"/>
      <c r="I288" s="123">
        <f t="shared" si="44"/>
        <v>162331</v>
      </c>
      <c r="J288" s="200"/>
      <c r="K288" s="194"/>
      <c r="L288" s="123">
        <f t="shared" si="45"/>
        <v>164650</v>
      </c>
      <c r="N288" s="52"/>
      <c r="O288" s="52"/>
      <c r="P288" s="105"/>
      <c r="Q288" s="105"/>
      <c r="R288" s="105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K288" s="124"/>
    </row>
    <row r="289" spans="1:37" hidden="1">
      <c r="A289" s="141" t="s">
        <v>197</v>
      </c>
      <c r="B289" s="141"/>
      <c r="C289" s="210">
        <f>C318+C347</f>
        <v>-16938.767292909921</v>
      </c>
      <c r="D289" s="175"/>
      <c r="E289" s="175"/>
      <c r="F289" s="211">
        <f t="shared" si="44"/>
        <v>-1476.3685744994384</v>
      </c>
      <c r="G289" s="175"/>
      <c r="H289" s="175"/>
      <c r="I289" s="211">
        <f t="shared" si="44"/>
        <v>-1476.3685744994384</v>
      </c>
      <c r="J289" s="175"/>
      <c r="K289" s="175"/>
      <c r="L289" s="211">
        <f>F289</f>
        <v>-1476.3685744994384</v>
      </c>
      <c r="N289" s="156"/>
      <c r="O289" s="156"/>
      <c r="P289" s="154"/>
      <c r="Q289" s="105"/>
      <c r="R289" s="105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K289" s="124"/>
    </row>
    <row r="290" spans="1:37" ht="16.5" hidden="1" thickBot="1">
      <c r="A290" s="141" t="s">
        <v>216</v>
      </c>
      <c r="B290" s="141"/>
      <c r="C290" s="177">
        <f>SUM(C288:C289)</f>
        <v>1285758.23270709</v>
      </c>
      <c r="D290" s="213"/>
      <c r="E290" s="214"/>
      <c r="F290" s="215">
        <f>F288+F289</f>
        <v>142723.63142550056</v>
      </c>
      <c r="G290" s="213"/>
      <c r="H290" s="216"/>
      <c r="I290" s="215">
        <f>I288+I289</f>
        <v>160854.63142550056</v>
      </c>
      <c r="J290" s="213"/>
      <c r="K290" s="216"/>
      <c r="L290" s="215">
        <f>L288+L289</f>
        <v>163173.63142550056</v>
      </c>
      <c r="N290" s="157"/>
      <c r="O290" s="157"/>
      <c r="P290" s="158"/>
      <c r="Q290" s="105"/>
      <c r="R290" s="105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K290" s="124"/>
    </row>
    <row r="291" spans="1:37" hidden="1">
      <c r="A291" s="141"/>
      <c r="B291" s="141"/>
      <c r="C291" s="160"/>
      <c r="D291" s="207"/>
      <c r="E291" s="123"/>
      <c r="F291" s="123"/>
      <c r="G291" s="207"/>
      <c r="H291" s="141"/>
      <c r="I291" s="123"/>
      <c r="J291" s="207"/>
      <c r="K291" s="141"/>
      <c r="L291" s="123" t="s">
        <v>280</v>
      </c>
      <c r="N291" s="52"/>
      <c r="O291" s="52"/>
      <c r="P291" s="105"/>
      <c r="Q291" s="105"/>
      <c r="R291" s="105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K291" s="124"/>
    </row>
    <row r="292" spans="1:37" hidden="1">
      <c r="A292" s="159" t="s">
        <v>247</v>
      </c>
      <c r="B292" s="141"/>
      <c r="C292" s="141"/>
      <c r="D292" s="123"/>
      <c r="E292" s="123"/>
      <c r="F292" s="141" t="s">
        <v>280</v>
      </c>
      <c r="G292" s="123"/>
      <c r="H292" s="141"/>
      <c r="I292" s="141"/>
      <c r="J292" s="123"/>
      <c r="K292" s="141"/>
      <c r="L292" s="141"/>
      <c r="N292" s="52"/>
      <c r="O292" s="52"/>
      <c r="P292" s="105"/>
      <c r="Q292" s="105"/>
      <c r="R292" s="105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K292" s="124"/>
    </row>
    <row r="293" spans="1:37" hidden="1">
      <c r="A293" s="141" t="s">
        <v>243</v>
      </c>
      <c r="B293" s="141"/>
      <c r="C293" s="141"/>
      <c r="D293" s="123"/>
      <c r="E293" s="123"/>
      <c r="F293" s="141"/>
      <c r="G293" s="123"/>
      <c r="H293" s="141"/>
      <c r="I293" s="141"/>
      <c r="J293" s="123"/>
      <c r="K293" s="141"/>
      <c r="L293" s="141"/>
      <c r="N293" s="52"/>
      <c r="O293" s="52"/>
      <c r="P293" s="105"/>
      <c r="Q293" s="105"/>
      <c r="R293" s="105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K293" s="124"/>
    </row>
    <row r="294" spans="1:37" hidden="1">
      <c r="A294" s="141"/>
      <c r="B294" s="141"/>
      <c r="C294" s="141"/>
      <c r="D294" s="123"/>
      <c r="E294" s="123"/>
      <c r="F294" s="141"/>
      <c r="G294" s="123"/>
      <c r="H294" s="141"/>
      <c r="I294" s="141"/>
      <c r="J294" s="123"/>
      <c r="K294" s="141"/>
      <c r="L294" s="141"/>
      <c r="N294" s="52"/>
      <c r="O294" s="52"/>
      <c r="P294" s="105"/>
      <c r="Q294" s="105"/>
      <c r="R294" s="105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K294" s="124"/>
    </row>
    <row r="295" spans="1:37" hidden="1">
      <c r="A295" s="141" t="s">
        <v>228</v>
      </c>
      <c r="B295" s="141"/>
      <c r="C295" s="190"/>
      <c r="D295" s="123"/>
      <c r="E295" s="123"/>
      <c r="F295" s="141"/>
      <c r="G295" s="123"/>
      <c r="H295" s="141"/>
      <c r="I295" s="141"/>
      <c r="J295" s="123"/>
      <c r="K295" s="141"/>
      <c r="L295" s="141"/>
      <c r="N295" s="52"/>
      <c r="O295" s="52"/>
      <c r="P295" s="105"/>
      <c r="Q295" s="105"/>
      <c r="R295" s="105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K295" s="124"/>
    </row>
    <row r="296" spans="1:37" hidden="1">
      <c r="A296" s="141" t="s">
        <v>248</v>
      </c>
      <c r="B296" s="141"/>
      <c r="C296" s="190">
        <f>324+3682</f>
        <v>4006</v>
      </c>
      <c r="D296" s="164">
        <v>7.64</v>
      </c>
      <c r="E296" s="192"/>
      <c r="F296" s="123">
        <f>ROUND(D296*$C296,0)</f>
        <v>30606</v>
      </c>
      <c r="G296" s="164">
        <f>$G$153</f>
        <v>8.6</v>
      </c>
      <c r="H296" s="194"/>
      <c r="I296" s="123">
        <f>ROUND(G296*$C296,0)</f>
        <v>34452</v>
      </c>
      <c r="J296" s="164">
        <f>$J$153</f>
        <v>8.7100000000000009</v>
      </c>
      <c r="K296" s="194"/>
      <c r="L296" s="123">
        <f>ROUND(J296*$C296,0)</f>
        <v>34892</v>
      </c>
      <c r="N296" s="52"/>
      <c r="O296" s="52"/>
      <c r="P296" s="105"/>
      <c r="Q296" s="105"/>
      <c r="R296" s="105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K296" s="124"/>
    </row>
    <row r="297" spans="1:37" hidden="1">
      <c r="A297" s="141" t="s">
        <v>226</v>
      </c>
      <c r="B297" s="141"/>
      <c r="C297" s="190">
        <v>0</v>
      </c>
      <c r="D297" s="164">
        <v>11.36</v>
      </c>
      <c r="E297" s="195"/>
      <c r="F297" s="123">
        <f>ROUND(D297*$C297,0)</f>
        <v>0</v>
      </c>
      <c r="G297" s="164">
        <f>$G$154</f>
        <v>12.79</v>
      </c>
      <c r="H297" s="196"/>
      <c r="I297" s="123">
        <f t="shared" ref="I297:I298" si="47">ROUND(G297*$C297,0)</f>
        <v>0</v>
      </c>
      <c r="J297" s="164">
        <f>$J$154</f>
        <v>12.98</v>
      </c>
      <c r="K297" s="196"/>
      <c r="L297" s="123">
        <f>ROUND(J297*$C297,0)</f>
        <v>0</v>
      </c>
      <c r="N297" s="52"/>
      <c r="O297" s="52"/>
      <c r="P297" s="105"/>
      <c r="Q297" s="105"/>
      <c r="R297" s="105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K297" s="124"/>
    </row>
    <row r="298" spans="1:37" hidden="1">
      <c r="A298" s="141" t="s">
        <v>227</v>
      </c>
      <c r="B298" s="141"/>
      <c r="C298" s="190">
        <v>0</v>
      </c>
      <c r="D298" s="164">
        <v>0.81</v>
      </c>
      <c r="E298" s="195"/>
      <c r="F298" s="123">
        <f>ROUND(D298*$C298,0)</f>
        <v>0</v>
      </c>
      <c r="G298" s="164">
        <f>$G$155</f>
        <v>0.91</v>
      </c>
      <c r="H298" s="196"/>
      <c r="I298" s="123">
        <f t="shared" si="47"/>
        <v>0</v>
      </c>
      <c r="J298" s="164">
        <f>$J$155</f>
        <v>0.92</v>
      </c>
      <c r="K298" s="196"/>
      <c r="L298" s="123">
        <f>ROUND(J298*$C298,0)</f>
        <v>0</v>
      </c>
      <c r="N298" s="52"/>
      <c r="O298" s="52"/>
      <c r="P298" s="105"/>
      <c r="Q298" s="105"/>
      <c r="R298" s="105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K298" s="124"/>
    </row>
    <row r="299" spans="1:37" hidden="1">
      <c r="A299" s="141" t="s">
        <v>229</v>
      </c>
      <c r="B299" s="141"/>
      <c r="C299" s="190">
        <f>SUM(C296:C297)</f>
        <v>4006</v>
      </c>
      <c r="D299" s="164"/>
      <c r="E299" s="192"/>
      <c r="F299" s="123"/>
      <c r="G299" s="164"/>
      <c r="H299" s="194"/>
      <c r="I299" s="123"/>
      <c r="J299" s="164"/>
      <c r="K299" s="194"/>
      <c r="L299" s="123"/>
      <c r="N299" s="52"/>
      <c r="O299" s="52"/>
      <c r="P299" s="105"/>
      <c r="Q299" s="105"/>
      <c r="R299" s="105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K299" s="124"/>
    </row>
    <row r="300" spans="1:37" hidden="1">
      <c r="A300" s="141" t="s">
        <v>376</v>
      </c>
      <c r="B300" s="141"/>
      <c r="C300" s="190">
        <f>72+1350</f>
        <v>1422</v>
      </c>
      <c r="D300" s="164"/>
      <c r="E300" s="192"/>
      <c r="F300" s="123"/>
      <c r="G300" s="164"/>
      <c r="H300" s="194"/>
      <c r="I300" s="123"/>
      <c r="J300" s="164"/>
      <c r="K300" s="194"/>
      <c r="L300" s="123"/>
      <c r="N300" s="52"/>
      <c r="O300" s="52"/>
      <c r="P300" s="105"/>
      <c r="Q300" s="105"/>
      <c r="R300" s="105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K300" s="124"/>
    </row>
    <row r="301" spans="1:37" hidden="1">
      <c r="A301" s="141" t="s">
        <v>230</v>
      </c>
      <c r="B301" s="141"/>
      <c r="C301" s="190">
        <v>0</v>
      </c>
      <c r="D301" s="207">
        <v>2.98</v>
      </c>
      <c r="E301" s="194"/>
      <c r="F301" s="123">
        <f>ROUND(D301*$C301,0)</f>
        <v>0</v>
      </c>
      <c r="G301" s="207">
        <f>$G$158</f>
        <v>3.35</v>
      </c>
      <c r="H301" s="194"/>
      <c r="I301" s="123">
        <f>ROUND(G301*C301,0)</f>
        <v>0</v>
      </c>
      <c r="J301" s="207">
        <f>$J$158</f>
        <v>3.4</v>
      </c>
      <c r="K301" s="194"/>
      <c r="L301" s="123">
        <f>ROUND(J301*$C301,0)</f>
        <v>0</v>
      </c>
      <c r="N301" s="52"/>
      <c r="O301" s="52"/>
      <c r="P301" s="105"/>
      <c r="Q301" s="105"/>
      <c r="R301" s="105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K301" s="124"/>
    </row>
    <row r="302" spans="1:37" hidden="1">
      <c r="A302" s="141" t="s">
        <v>231</v>
      </c>
      <c r="B302" s="141"/>
      <c r="C302" s="190">
        <f>864+153420+1050289</f>
        <v>1204573</v>
      </c>
      <c r="D302" s="166">
        <v>8.5489999999999995</v>
      </c>
      <c r="E302" s="194" t="s">
        <v>210</v>
      </c>
      <c r="F302" s="123">
        <f>ROUND(D302*$C302/100,0)</f>
        <v>102979</v>
      </c>
      <c r="G302" s="166">
        <f>$G$159</f>
        <v>9.6240000000000006</v>
      </c>
      <c r="H302" s="194" t="s">
        <v>210</v>
      </c>
      <c r="I302" s="123">
        <f>ROUND(G302*C302/100,0)</f>
        <v>115928</v>
      </c>
      <c r="J302" s="166">
        <f>$J$159</f>
        <v>9.766</v>
      </c>
      <c r="K302" s="194" t="s">
        <v>210</v>
      </c>
      <c r="L302" s="123">
        <f>ROUND(J302*$C302/100,0)</f>
        <v>117639</v>
      </c>
      <c r="N302" s="52"/>
      <c r="O302" s="52"/>
      <c r="P302" s="105"/>
      <c r="Q302" s="105"/>
      <c r="R302" s="105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K302" s="124"/>
    </row>
    <row r="303" spans="1:37" hidden="1">
      <c r="A303" s="141" t="s">
        <v>232</v>
      </c>
      <c r="B303" s="160"/>
      <c r="C303" s="190">
        <f>64812</f>
        <v>64812</v>
      </c>
      <c r="D303" s="166">
        <v>5.9020000000000001</v>
      </c>
      <c r="E303" s="194" t="s">
        <v>210</v>
      </c>
      <c r="F303" s="123">
        <f>ROUND(D303*$C303/100,0)</f>
        <v>3825</v>
      </c>
      <c r="G303" s="166">
        <f>$G$160</f>
        <v>6.6450000000000005</v>
      </c>
      <c r="H303" s="194" t="s">
        <v>210</v>
      </c>
      <c r="I303" s="123">
        <f t="shared" ref="I303:I305" si="48">ROUND(G303*C303/100,0)</f>
        <v>4307</v>
      </c>
      <c r="J303" s="166">
        <f>$J$160</f>
        <v>6.7460000000000004</v>
      </c>
      <c r="K303" s="194" t="s">
        <v>210</v>
      </c>
      <c r="L303" s="123">
        <f>ROUND(J303*$C303/100,0)</f>
        <v>4372</v>
      </c>
      <c r="N303" s="52"/>
      <c r="O303" s="52"/>
      <c r="P303" s="105"/>
      <c r="Q303" s="105"/>
      <c r="R303" s="105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K303" s="124"/>
    </row>
    <row r="304" spans="1:37" hidden="1">
      <c r="A304" s="141" t="s">
        <v>233</v>
      </c>
      <c r="B304" s="141"/>
      <c r="C304" s="190">
        <f>0</f>
        <v>0</v>
      </c>
      <c r="D304" s="166">
        <v>5.0839999999999996</v>
      </c>
      <c r="E304" s="194" t="s">
        <v>210</v>
      </c>
      <c r="F304" s="123">
        <f>ROUND(D304*$C304/100,0)</f>
        <v>0</v>
      </c>
      <c r="G304" s="166">
        <f>$G$161</f>
        <v>5.7249999999999996</v>
      </c>
      <c r="H304" s="194" t="s">
        <v>210</v>
      </c>
      <c r="I304" s="123">
        <f t="shared" si="48"/>
        <v>0</v>
      </c>
      <c r="J304" s="166">
        <f>$J$161</f>
        <v>5.8120000000000003</v>
      </c>
      <c r="K304" s="194" t="s">
        <v>210</v>
      </c>
      <c r="L304" s="123">
        <f>ROUND(J304*$C304/100,0)</f>
        <v>0</v>
      </c>
      <c r="N304" s="52"/>
      <c r="O304" s="52"/>
      <c r="P304" s="105"/>
      <c r="Q304" s="105"/>
      <c r="R304" s="105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K304" s="124"/>
    </row>
    <row r="305" spans="1:37" hidden="1">
      <c r="A305" s="141" t="s">
        <v>234</v>
      </c>
      <c r="B305" s="141"/>
      <c r="C305" s="190">
        <v>0</v>
      </c>
      <c r="D305" s="200">
        <v>50</v>
      </c>
      <c r="E305" s="192" t="s">
        <v>210</v>
      </c>
      <c r="F305" s="123">
        <f>ROUND(D305*$C305/100,0)</f>
        <v>0</v>
      </c>
      <c r="G305" s="200">
        <f>$G$162</f>
        <v>56</v>
      </c>
      <c r="H305" s="194" t="s">
        <v>210</v>
      </c>
      <c r="I305" s="123">
        <f t="shared" si="48"/>
        <v>0</v>
      </c>
      <c r="J305" s="200">
        <f>$J$162</f>
        <v>56</v>
      </c>
      <c r="K305" s="194" t="s">
        <v>210</v>
      </c>
      <c r="L305" s="123">
        <f>ROUND(J305*$C305/100,0)</f>
        <v>0</v>
      </c>
      <c r="N305" s="52"/>
      <c r="O305" s="52"/>
      <c r="P305" s="105"/>
      <c r="Q305" s="105"/>
      <c r="R305" s="105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K305" s="124"/>
    </row>
    <row r="306" spans="1:37" hidden="1">
      <c r="A306" s="201" t="s">
        <v>235</v>
      </c>
      <c r="B306" s="141"/>
      <c r="C306" s="190"/>
      <c r="D306" s="202">
        <v>-0.01</v>
      </c>
      <c r="E306" s="192"/>
      <c r="F306" s="123"/>
      <c r="G306" s="202">
        <v>-0.01</v>
      </c>
      <c r="H306" s="194"/>
      <c r="I306" s="123"/>
      <c r="J306" s="202">
        <v>-0.01</v>
      </c>
      <c r="K306" s="194"/>
      <c r="L306" s="123"/>
      <c r="N306" s="52"/>
      <c r="O306" s="52"/>
      <c r="P306" s="105"/>
      <c r="Q306" s="105"/>
      <c r="R306" s="105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K306" s="124"/>
    </row>
    <row r="307" spans="1:37" hidden="1">
      <c r="A307" s="141" t="s">
        <v>225</v>
      </c>
      <c r="B307" s="141"/>
      <c r="C307" s="190">
        <v>0</v>
      </c>
      <c r="D307" s="204">
        <v>7.64</v>
      </c>
      <c r="E307" s="192"/>
      <c r="F307" s="123">
        <f>-ROUND(D307*$C307/100,0)</f>
        <v>0</v>
      </c>
      <c r="G307" s="204">
        <f>G296</f>
        <v>8.6</v>
      </c>
      <c r="H307" s="192"/>
      <c r="I307" s="123">
        <f>-ROUND(G307*$C307/100,0)</f>
        <v>0</v>
      </c>
      <c r="J307" s="204">
        <f>J296</f>
        <v>8.7100000000000009</v>
      </c>
      <c r="K307" s="192"/>
      <c r="L307" s="123">
        <f>-ROUND(J307*$C307/100,0)</f>
        <v>0</v>
      </c>
      <c r="N307" s="52"/>
      <c r="O307" s="52"/>
      <c r="P307" s="105"/>
      <c r="Q307" s="105"/>
      <c r="R307" s="105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K307" s="124"/>
    </row>
    <row r="308" spans="1:37" hidden="1">
      <c r="A308" s="141" t="s">
        <v>226</v>
      </c>
      <c r="B308" s="141"/>
      <c r="C308" s="190">
        <v>0</v>
      </c>
      <c r="D308" s="204">
        <v>11.36</v>
      </c>
      <c r="E308" s="192"/>
      <c r="F308" s="123">
        <f>-ROUND(D308*$C308/100,0)</f>
        <v>0</v>
      </c>
      <c r="G308" s="204">
        <f>G297</f>
        <v>12.79</v>
      </c>
      <c r="H308" s="192"/>
      <c r="I308" s="123">
        <f t="shared" ref="I308:I310" si="49">-ROUND(G308*$C308/100,0)</f>
        <v>0</v>
      </c>
      <c r="J308" s="204">
        <f>J297</f>
        <v>12.98</v>
      </c>
      <c r="K308" s="192"/>
      <c r="L308" s="123">
        <f>-ROUND(J308*$C308/100,0)</f>
        <v>0</v>
      </c>
      <c r="N308" s="52"/>
      <c r="O308" s="52"/>
      <c r="P308" s="105"/>
      <c r="Q308" s="105"/>
      <c r="R308" s="105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K308" s="124"/>
    </row>
    <row r="309" spans="1:37" hidden="1">
      <c r="A309" s="141" t="s">
        <v>236</v>
      </c>
      <c r="B309" s="141"/>
      <c r="C309" s="190">
        <v>0</v>
      </c>
      <c r="D309" s="204">
        <v>0.81</v>
      </c>
      <c r="E309" s="192"/>
      <c r="F309" s="123">
        <f>-ROUND(D309*$C309/100,0)</f>
        <v>0</v>
      </c>
      <c r="G309" s="204">
        <f>G298</f>
        <v>0.91</v>
      </c>
      <c r="H309" s="192"/>
      <c r="I309" s="123">
        <f t="shared" si="49"/>
        <v>0</v>
      </c>
      <c r="J309" s="204">
        <f>J298</f>
        <v>0.92</v>
      </c>
      <c r="K309" s="192"/>
      <c r="L309" s="123">
        <f>-ROUND(J309*$C309/100,0)</f>
        <v>0</v>
      </c>
      <c r="N309" s="52"/>
      <c r="O309" s="52"/>
      <c r="P309" s="105"/>
      <c r="Q309" s="105"/>
      <c r="R309" s="105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K309" s="124"/>
    </row>
    <row r="310" spans="1:37" hidden="1">
      <c r="A310" s="141" t="s">
        <v>237</v>
      </c>
      <c r="B310" s="141"/>
      <c r="C310" s="190">
        <v>0</v>
      </c>
      <c r="D310" s="204">
        <v>2.98</v>
      </c>
      <c r="E310" s="194"/>
      <c r="F310" s="123">
        <f>-ROUND(D310*$C310/100,0)</f>
        <v>0</v>
      </c>
      <c r="G310" s="204">
        <f>G301</f>
        <v>3.35</v>
      </c>
      <c r="H310" s="194"/>
      <c r="I310" s="123">
        <f t="shared" si="49"/>
        <v>0</v>
      </c>
      <c r="J310" s="204">
        <f>J301</f>
        <v>3.4</v>
      </c>
      <c r="K310" s="194"/>
      <c r="L310" s="123">
        <f>-ROUND(J310*$C310/100,0)</f>
        <v>0</v>
      </c>
      <c r="N310" s="52"/>
      <c r="O310" s="52"/>
      <c r="P310" s="105"/>
      <c r="Q310" s="105"/>
      <c r="R310" s="105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K310" s="124"/>
    </row>
    <row r="311" spans="1:37" hidden="1">
      <c r="A311" s="141" t="s">
        <v>238</v>
      </c>
      <c r="B311" s="141"/>
      <c r="C311" s="190">
        <v>0</v>
      </c>
      <c r="D311" s="205">
        <v>8.5489999999999995</v>
      </c>
      <c r="E311" s="194" t="s">
        <v>210</v>
      </c>
      <c r="F311" s="123">
        <f>ROUND(D311*$C311/100*D306,0)</f>
        <v>0</v>
      </c>
      <c r="G311" s="205">
        <f>G302</f>
        <v>9.6240000000000006</v>
      </c>
      <c r="H311" s="194" t="s">
        <v>210</v>
      </c>
      <c r="I311" s="123">
        <f>ROUND(G311*$C311/100*G306,0)</f>
        <v>0</v>
      </c>
      <c r="J311" s="205">
        <f>J302</f>
        <v>9.766</v>
      </c>
      <c r="K311" s="194" t="s">
        <v>210</v>
      </c>
      <c r="L311" s="123">
        <f>ROUND(J311*$C311/100*J306,0)</f>
        <v>0</v>
      </c>
      <c r="N311" s="52"/>
      <c r="O311" s="52"/>
      <c r="P311" s="105"/>
      <c r="Q311" s="105"/>
      <c r="R311" s="105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K311" s="124"/>
    </row>
    <row r="312" spans="1:37" hidden="1">
      <c r="A312" s="141" t="s">
        <v>232</v>
      </c>
      <c r="B312" s="141"/>
      <c r="C312" s="190">
        <v>0</v>
      </c>
      <c r="D312" s="205">
        <v>5.9020000000000001</v>
      </c>
      <c r="E312" s="194" t="s">
        <v>210</v>
      </c>
      <c r="F312" s="123">
        <f>ROUND(D312*$C312/100*D306,0)</f>
        <v>0</v>
      </c>
      <c r="G312" s="205">
        <f>G303</f>
        <v>6.6450000000000005</v>
      </c>
      <c r="H312" s="194" t="s">
        <v>210</v>
      </c>
      <c r="I312" s="123">
        <f>ROUND(G312*$C312/100*G306,0)</f>
        <v>0</v>
      </c>
      <c r="J312" s="205">
        <f>J303</f>
        <v>6.7460000000000004</v>
      </c>
      <c r="K312" s="194" t="s">
        <v>210</v>
      </c>
      <c r="L312" s="123">
        <f>ROUND(J312*$C312/100*J306,0)</f>
        <v>0</v>
      </c>
      <c r="N312" s="52"/>
      <c r="O312" s="52"/>
      <c r="P312" s="105"/>
      <c r="Q312" s="105"/>
      <c r="R312" s="105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K312" s="124"/>
    </row>
    <row r="313" spans="1:37" hidden="1">
      <c r="A313" s="141" t="s">
        <v>233</v>
      </c>
      <c r="B313" s="141"/>
      <c r="C313" s="190">
        <v>0</v>
      </c>
      <c r="D313" s="205">
        <v>5.0839999999999996</v>
      </c>
      <c r="E313" s="194" t="s">
        <v>210</v>
      </c>
      <c r="F313" s="123">
        <f>ROUND(D313*$C313/100*D306,0)</f>
        <v>0</v>
      </c>
      <c r="G313" s="205">
        <f>G304</f>
        <v>5.7249999999999996</v>
      </c>
      <c r="H313" s="194" t="s">
        <v>210</v>
      </c>
      <c r="I313" s="123">
        <f>ROUND(G313*$C313/100*G306,0)</f>
        <v>0</v>
      </c>
      <c r="J313" s="205">
        <f>J304</f>
        <v>5.8120000000000003</v>
      </c>
      <c r="K313" s="194" t="s">
        <v>210</v>
      </c>
      <c r="L313" s="123">
        <f>ROUND(J313*$C313/100*J306,0)</f>
        <v>0</v>
      </c>
      <c r="N313" s="52"/>
      <c r="O313" s="52"/>
      <c r="P313" s="105"/>
      <c r="Q313" s="105"/>
      <c r="R313" s="105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K313" s="124"/>
    </row>
    <row r="314" spans="1:37" hidden="1">
      <c r="A314" s="141" t="s">
        <v>234</v>
      </c>
      <c r="B314" s="141"/>
      <c r="C314" s="190">
        <v>0</v>
      </c>
      <c r="D314" s="206">
        <v>50</v>
      </c>
      <c r="E314" s="194" t="s">
        <v>210</v>
      </c>
      <c r="F314" s="123">
        <f>ROUND(D314*$C314/100*D306,0)</f>
        <v>0</v>
      </c>
      <c r="G314" s="206">
        <f>G305</f>
        <v>56</v>
      </c>
      <c r="H314" s="194" t="s">
        <v>210</v>
      </c>
      <c r="I314" s="123">
        <f>ROUND(G314*$C314/100*G306,0)</f>
        <v>0</v>
      </c>
      <c r="J314" s="206">
        <f>J305</f>
        <v>56</v>
      </c>
      <c r="K314" s="194" t="s">
        <v>210</v>
      </c>
      <c r="L314" s="123">
        <f>ROUND(J314*$C314/100*J306,0)</f>
        <v>0</v>
      </c>
      <c r="N314" s="52"/>
      <c r="O314" s="52"/>
      <c r="P314" s="105"/>
      <c r="Q314" s="105"/>
      <c r="R314" s="105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K314" s="124"/>
    </row>
    <row r="315" spans="1:37" hidden="1">
      <c r="A315" s="141" t="s">
        <v>239</v>
      </c>
      <c r="B315" s="141"/>
      <c r="C315" s="190">
        <v>0</v>
      </c>
      <c r="D315" s="207">
        <v>60</v>
      </c>
      <c r="E315" s="192"/>
      <c r="F315" s="123">
        <f>ROUND(D315*$C315,0)</f>
        <v>0</v>
      </c>
      <c r="G315" s="207">
        <f>$D$172</f>
        <v>60</v>
      </c>
      <c r="H315" s="194"/>
      <c r="I315" s="123">
        <f>ROUND(G315*C315,0)</f>
        <v>0</v>
      </c>
      <c r="J315" s="207">
        <f>$J$172</f>
        <v>60</v>
      </c>
      <c r="K315" s="194"/>
      <c r="L315" s="123">
        <f>ROUND(J315*$C315,0)</f>
        <v>0</v>
      </c>
      <c r="N315" s="52"/>
      <c r="O315" s="52"/>
      <c r="P315" s="105"/>
      <c r="Q315" s="105"/>
      <c r="R315" s="105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K315" s="124"/>
    </row>
    <row r="316" spans="1:37" hidden="1">
      <c r="A316" s="141" t="s">
        <v>240</v>
      </c>
      <c r="B316" s="141"/>
      <c r="C316" s="190">
        <v>0</v>
      </c>
      <c r="D316" s="208">
        <v>-30</v>
      </c>
      <c r="E316" s="192" t="s">
        <v>210</v>
      </c>
      <c r="F316" s="123">
        <f>ROUND(D316*$C316/100,0)</f>
        <v>0</v>
      </c>
      <c r="G316" s="208">
        <f>$D$173</f>
        <v>-30</v>
      </c>
      <c r="H316" s="194" t="s">
        <v>210</v>
      </c>
      <c r="I316" s="123">
        <f>ROUND(G316*C316/100,0)</f>
        <v>0</v>
      </c>
      <c r="J316" s="208">
        <f>$J$173</f>
        <v>-30</v>
      </c>
      <c r="K316" s="194" t="s">
        <v>210</v>
      </c>
      <c r="L316" s="123">
        <f>ROUND(J316*$C316/100,0)</f>
        <v>0</v>
      </c>
      <c r="N316" s="52"/>
      <c r="O316" s="52"/>
      <c r="P316" s="105"/>
      <c r="Q316" s="105"/>
      <c r="R316" s="105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K316" s="124"/>
    </row>
    <row r="317" spans="1:37" hidden="1">
      <c r="A317" s="141" t="s">
        <v>215</v>
      </c>
      <c r="B317" s="141"/>
      <c r="C317" s="190">
        <f>SUM(C302:C304)</f>
        <v>1269385</v>
      </c>
      <c r="D317" s="200"/>
      <c r="E317" s="123"/>
      <c r="F317" s="123">
        <f>SUM(F296:F316)</f>
        <v>137410</v>
      </c>
      <c r="G317" s="200"/>
      <c r="H317" s="194"/>
      <c r="I317" s="123">
        <f>SUM(I296:I316)</f>
        <v>154687</v>
      </c>
      <c r="J317" s="200"/>
      <c r="K317" s="194"/>
      <c r="L317" s="123">
        <f>SUM(L296:L316)</f>
        <v>156903</v>
      </c>
      <c r="N317" s="52"/>
      <c r="O317" s="52"/>
      <c r="P317" s="105"/>
      <c r="Q317" s="105"/>
      <c r="R317" s="105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K317" s="124"/>
    </row>
    <row r="318" spans="1:37" hidden="1">
      <c r="A318" s="141" t="s">
        <v>197</v>
      </c>
      <c r="B318" s="141"/>
      <c r="C318" s="227">
        <v>-16342.630836767372</v>
      </c>
      <c r="D318" s="175"/>
      <c r="E318" s="175"/>
      <c r="F318" s="211">
        <v>-1364.9362623758163</v>
      </c>
      <c r="G318" s="175"/>
      <c r="H318" s="175"/>
      <c r="I318" s="211">
        <f>F318</f>
        <v>-1364.9362623758163</v>
      </c>
      <c r="J318" s="175"/>
      <c r="K318" s="175"/>
      <c r="L318" s="211">
        <f>F318</f>
        <v>-1364.9362623758163</v>
      </c>
      <c r="N318" s="156"/>
      <c r="O318" s="156"/>
      <c r="P318" s="154"/>
      <c r="Q318" s="105"/>
      <c r="R318" s="105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K318" s="124"/>
    </row>
    <row r="319" spans="1:37" ht="16.5" hidden="1" thickBot="1">
      <c r="A319" s="141" t="s">
        <v>216</v>
      </c>
      <c r="B319" s="141"/>
      <c r="C319" s="177">
        <f>SUM(C317:C318)</f>
        <v>1253042.3691632326</v>
      </c>
      <c r="D319" s="213"/>
      <c r="E319" s="214"/>
      <c r="F319" s="215">
        <f>F317+F318</f>
        <v>136045.06373762418</v>
      </c>
      <c r="G319" s="213"/>
      <c r="H319" s="216"/>
      <c r="I319" s="215">
        <f>I317+I318</f>
        <v>153322.06373762418</v>
      </c>
      <c r="J319" s="213"/>
      <c r="K319" s="216"/>
      <c r="L319" s="215">
        <f>L317+L318</f>
        <v>155538.06373762418</v>
      </c>
      <c r="N319" s="157"/>
      <c r="O319" s="157"/>
      <c r="P319" s="158"/>
      <c r="Q319" s="105"/>
      <c r="R319" s="105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K319" s="124"/>
    </row>
    <row r="320" spans="1:37" hidden="1">
      <c r="A320" s="141"/>
      <c r="B320" s="141"/>
      <c r="C320" s="160"/>
      <c r="D320" s="207"/>
      <c r="E320" s="123"/>
      <c r="F320" s="123"/>
      <c r="G320" s="207"/>
      <c r="H320" s="141"/>
      <c r="I320" s="123"/>
      <c r="J320" s="207"/>
      <c r="K320" s="141"/>
      <c r="L320" s="123" t="s">
        <v>280</v>
      </c>
      <c r="N320" s="52"/>
      <c r="O320" s="52"/>
      <c r="P320" s="105"/>
      <c r="Q320" s="105"/>
      <c r="R320" s="105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K320" s="124"/>
    </row>
    <row r="321" spans="1:37" hidden="1">
      <c r="A321" s="159" t="s">
        <v>247</v>
      </c>
      <c r="B321" s="141"/>
      <c r="C321" s="141"/>
      <c r="D321" s="123"/>
      <c r="E321" s="123"/>
      <c r="F321" s="141" t="s">
        <v>280</v>
      </c>
      <c r="G321" s="123"/>
      <c r="H321" s="141"/>
      <c r="I321" s="141"/>
      <c r="J321" s="123"/>
      <c r="K321" s="141"/>
      <c r="L321" s="141"/>
      <c r="N321" s="52"/>
      <c r="O321" s="52"/>
      <c r="P321" s="105"/>
      <c r="Q321" s="105"/>
      <c r="R321" s="105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K321" s="124"/>
    </row>
    <row r="322" spans="1:37" hidden="1">
      <c r="A322" s="141" t="s">
        <v>246</v>
      </c>
      <c r="B322" s="141"/>
      <c r="C322" s="141"/>
      <c r="D322" s="123"/>
      <c r="E322" s="123"/>
      <c r="F322" s="141"/>
      <c r="G322" s="123"/>
      <c r="H322" s="141"/>
      <c r="I322" s="141"/>
      <c r="J322" s="123"/>
      <c r="K322" s="141"/>
      <c r="L322" s="141"/>
      <c r="N322" s="52"/>
      <c r="O322" s="52"/>
      <c r="P322" s="105"/>
      <c r="Q322" s="105"/>
      <c r="R322" s="105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K322" s="124"/>
    </row>
    <row r="323" spans="1:37" hidden="1">
      <c r="A323" s="141"/>
      <c r="B323" s="141"/>
      <c r="C323" s="141"/>
      <c r="D323" s="123"/>
      <c r="E323" s="123"/>
      <c r="F323" s="141"/>
      <c r="G323" s="123"/>
      <c r="H323" s="141"/>
      <c r="I323" s="141"/>
      <c r="J323" s="123"/>
      <c r="K323" s="141"/>
      <c r="L323" s="141"/>
      <c r="N323" s="52"/>
      <c r="O323" s="52"/>
      <c r="P323" s="105"/>
      <c r="Q323" s="105"/>
      <c r="R323" s="105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K323" s="124"/>
    </row>
    <row r="324" spans="1:37" hidden="1">
      <c r="A324" s="141" t="s">
        <v>228</v>
      </c>
      <c r="B324" s="141"/>
      <c r="C324" s="190"/>
      <c r="D324" s="123"/>
      <c r="E324" s="123"/>
      <c r="F324" s="141"/>
      <c r="G324" s="123"/>
      <c r="H324" s="141"/>
      <c r="I324" s="141"/>
      <c r="J324" s="123"/>
      <c r="K324" s="141"/>
      <c r="L324" s="141"/>
      <c r="N324" s="52"/>
      <c r="O324" s="52"/>
      <c r="P324" s="105"/>
      <c r="Q324" s="105"/>
      <c r="R324" s="105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K324" s="124"/>
    </row>
    <row r="325" spans="1:37" hidden="1">
      <c r="A325" s="141" t="s">
        <v>248</v>
      </c>
      <c r="B325" s="141"/>
      <c r="C325" s="190">
        <v>516</v>
      </c>
      <c r="D325" s="164">
        <v>7.64</v>
      </c>
      <c r="E325" s="192"/>
      <c r="F325" s="123">
        <f>ROUND(D325*$C325,0)</f>
        <v>3942</v>
      </c>
      <c r="G325" s="164">
        <f>$G$153</f>
        <v>8.6</v>
      </c>
      <c r="H325" s="194"/>
      <c r="I325" s="123">
        <f>ROUND(G325*$C325,0)</f>
        <v>4438</v>
      </c>
      <c r="J325" s="164">
        <f>$J$153</f>
        <v>8.7100000000000009</v>
      </c>
      <c r="K325" s="194"/>
      <c r="L325" s="123">
        <f>ROUND(J325*$C325,0)</f>
        <v>4494</v>
      </c>
      <c r="N325" s="52"/>
      <c r="O325" s="52"/>
      <c r="P325" s="105"/>
      <c r="Q325" s="105"/>
      <c r="R325" s="105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K325" s="124"/>
    </row>
    <row r="326" spans="1:37" hidden="1">
      <c r="A326" s="141" t="s">
        <v>226</v>
      </c>
      <c r="B326" s="141"/>
      <c r="C326" s="190">
        <v>0</v>
      </c>
      <c r="D326" s="164">
        <v>11.36</v>
      </c>
      <c r="E326" s="195"/>
      <c r="F326" s="123">
        <f>ROUND(D326*$C326,0)</f>
        <v>0</v>
      </c>
      <c r="G326" s="164">
        <f>$G$154</f>
        <v>12.79</v>
      </c>
      <c r="H326" s="196"/>
      <c r="I326" s="123">
        <f t="shared" ref="I326:I327" si="50">ROUND(G326*$C326,0)</f>
        <v>0</v>
      </c>
      <c r="J326" s="164">
        <f>$J$154</f>
        <v>12.98</v>
      </c>
      <c r="K326" s="196"/>
      <c r="L326" s="123">
        <f>ROUND(J326*$C326,0)</f>
        <v>0</v>
      </c>
      <c r="N326" s="52"/>
      <c r="O326" s="52"/>
      <c r="P326" s="105"/>
      <c r="Q326" s="105"/>
      <c r="R326" s="105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K326" s="124"/>
    </row>
    <row r="327" spans="1:37" hidden="1">
      <c r="A327" s="141" t="s">
        <v>227</v>
      </c>
      <c r="B327" s="141"/>
      <c r="C327" s="190">
        <v>0</v>
      </c>
      <c r="D327" s="164">
        <v>0.81</v>
      </c>
      <c r="E327" s="195"/>
      <c r="F327" s="123">
        <f>ROUND(D327*$C327,0)</f>
        <v>0</v>
      </c>
      <c r="G327" s="164">
        <f>$G$155</f>
        <v>0.91</v>
      </c>
      <c r="H327" s="196"/>
      <c r="I327" s="123">
        <f t="shared" si="50"/>
        <v>0</v>
      </c>
      <c r="J327" s="164">
        <f>$J$155</f>
        <v>0.92</v>
      </c>
      <c r="K327" s="196"/>
      <c r="L327" s="123">
        <f>ROUND(J327*$C327,0)</f>
        <v>0</v>
      </c>
      <c r="N327" s="52"/>
      <c r="O327" s="52"/>
      <c r="P327" s="105"/>
      <c r="Q327" s="105"/>
      <c r="R327" s="105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K327" s="124"/>
    </row>
    <row r="328" spans="1:37" hidden="1">
      <c r="A328" s="141" t="s">
        <v>229</v>
      </c>
      <c r="B328" s="141"/>
      <c r="C328" s="190">
        <f>SUM(C325:C326)</f>
        <v>516</v>
      </c>
      <c r="D328" s="164"/>
      <c r="E328" s="192"/>
      <c r="F328" s="123"/>
      <c r="G328" s="164"/>
      <c r="H328" s="194"/>
      <c r="I328" s="123"/>
      <c r="J328" s="164"/>
      <c r="K328" s="194"/>
      <c r="L328" s="123"/>
      <c r="N328" s="52"/>
      <c r="O328" s="52"/>
      <c r="P328" s="105"/>
      <c r="Q328" s="105"/>
      <c r="R328" s="105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K328" s="124"/>
    </row>
    <row r="329" spans="1:37" hidden="1">
      <c r="A329" s="141" t="s">
        <v>376</v>
      </c>
      <c r="B329" s="141"/>
      <c r="C329" s="190">
        <v>48</v>
      </c>
      <c r="D329" s="164"/>
      <c r="E329" s="192"/>
      <c r="F329" s="123"/>
      <c r="G329" s="164"/>
      <c r="H329" s="194"/>
      <c r="I329" s="123"/>
      <c r="J329" s="164"/>
      <c r="K329" s="194"/>
      <c r="L329" s="123"/>
      <c r="N329" s="52"/>
      <c r="O329" s="52"/>
      <c r="P329" s="105"/>
      <c r="Q329" s="105"/>
      <c r="R329" s="105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K329" s="124"/>
    </row>
    <row r="330" spans="1:37" hidden="1">
      <c r="A330" s="141" t="s">
        <v>230</v>
      </c>
      <c r="B330" s="141"/>
      <c r="C330" s="190">
        <v>0</v>
      </c>
      <c r="D330" s="207">
        <v>2.98</v>
      </c>
      <c r="E330" s="194"/>
      <c r="F330" s="123">
        <f>ROUND(D330*$C330,0)</f>
        <v>0</v>
      </c>
      <c r="G330" s="207">
        <f>$G$158</f>
        <v>3.35</v>
      </c>
      <c r="H330" s="194"/>
      <c r="I330" s="123">
        <f>ROUND(G330*C330,0)</f>
        <v>0</v>
      </c>
      <c r="J330" s="207">
        <f>$J$158</f>
        <v>3.4</v>
      </c>
      <c r="K330" s="194"/>
      <c r="L330" s="123">
        <f>ROUND(J330*$C330,0)</f>
        <v>0</v>
      </c>
      <c r="N330" s="52"/>
      <c r="O330" s="52"/>
      <c r="P330" s="105"/>
      <c r="Q330" s="105"/>
      <c r="R330" s="105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K330" s="124"/>
    </row>
    <row r="331" spans="1:37" hidden="1">
      <c r="A331" s="141" t="s">
        <v>231</v>
      </c>
      <c r="B331" s="141"/>
      <c r="C331" s="190">
        <f>33312</f>
        <v>33312</v>
      </c>
      <c r="D331" s="166">
        <v>8.5489999999999995</v>
      </c>
      <c r="E331" s="194" t="s">
        <v>210</v>
      </c>
      <c r="F331" s="123">
        <f>ROUND(D331*$C331/100,0)</f>
        <v>2848</v>
      </c>
      <c r="G331" s="166">
        <f>$G$159</f>
        <v>9.6240000000000006</v>
      </c>
      <c r="H331" s="194" t="s">
        <v>210</v>
      </c>
      <c r="I331" s="123">
        <f>ROUND(G331*C331/100,0)</f>
        <v>3206</v>
      </c>
      <c r="J331" s="166">
        <f>$J$159</f>
        <v>9.766</v>
      </c>
      <c r="K331" s="194" t="s">
        <v>210</v>
      </c>
      <c r="L331" s="123">
        <f>ROUND(J331*$C331/100,0)</f>
        <v>3253</v>
      </c>
      <c r="N331" s="52"/>
      <c r="O331" s="52"/>
      <c r="P331" s="105"/>
      <c r="Q331" s="105"/>
      <c r="R331" s="105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K331" s="124"/>
    </row>
    <row r="332" spans="1:37" hidden="1">
      <c r="A332" s="141" t="s">
        <v>232</v>
      </c>
      <c r="B332" s="141"/>
      <c r="C332" s="190">
        <v>0</v>
      </c>
      <c r="D332" s="166">
        <v>5.9020000000000001</v>
      </c>
      <c r="E332" s="194" t="s">
        <v>210</v>
      </c>
      <c r="F332" s="123">
        <f>ROUND(D332*$C332/100,0)</f>
        <v>0</v>
      </c>
      <c r="G332" s="166">
        <f>$G$160</f>
        <v>6.6450000000000005</v>
      </c>
      <c r="H332" s="194" t="s">
        <v>210</v>
      </c>
      <c r="I332" s="123">
        <f t="shared" ref="I332:I334" si="51">ROUND(G332*C332/100,0)</f>
        <v>0</v>
      </c>
      <c r="J332" s="166">
        <f>$J$160</f>
        <v>6.7460000000000004</v>
      </c>
      <c r="K332" s="194" t="s">
        <v>210</v>
      </c>
      <c r="L332" s="123">
        <f>ROUND(J332*$C332/100,0)</f>
        <v>0</v>
      </c>
      <c r="N332" s="52"/>
      <c r="O332" s="52"/>
      <c r="P332" s="105"/>
      <c r="Q332" s="105"/>
      <c r="R332" s="105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K332" s="124"/>
    </row>
    <row r="333" spans="1:37" hidden="1">
      <c r="A333" s="141" t="s">
        <v>233</v>
      </c>
      <c r="B333" s="141"/>
      <c r="C333" s="190">
        <f>33312-C331</f>
        <v>0</v>
      </c>
      <c r="D333" s="166">
        <v>5.0839999999999996</v>
      </c>
      <c r="E333" s="194" t="s">
        <v>210</v>
      </c>
      <c r="F333" s="123">
        <f>ROUND(D333*$C333/100,0)</f>
        <v>0</v>
      </c>
      <c r="G333" s="166">
        <f>$G$161</f>
        <v>5.7249999999999996</v>
      </c>
      <c r="H333" s="194" t="s">
        <v>210</v>
      </c>
      <c r="I333" s="123">
        <f t="shared" si="51"/>
        <v>0</v>
      </c>
      <c r="J333" s="166">
        <f>$J$161</f>
        <v>5.8120000000000003</v>
      </c>
      <c r="K333" s="194" t="s">
        <v>210</v>
      </c>
      <c r="L333" s="123">
        <f>ROUND(J333*$C333/100,0)</f>
        <v>0</v>
      </c>
      <c r="N333" s="52"/>
      <c r="O333" s="52"/>
      <c r="P333" s="105"/>
      <c r="Q333" s="105"/>
      <c r="R333" s="105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K333" s="124"/>
    </row>
    <row r="334" spans="1:37" hidden="1">
      <c r="A334" s="141" t="s">
        <v>234</v>
      </c>
      <c r="B334" s="141"/>
      <c r="C334" s="190">
        <v>0</v>
      </c>
      <c r="D334" s="200">
        <v>50</v>
      </c>
      <c r="E334" s="192" t="s">
        <v>210</v>
      </c>
      <c r="F334" s="123">
        <f>ROUND(D334*$C334/100,0)</f>
        <v>0</v>
      </c>
      <c r="G334" s="200">
        <f>$G$162</f>
        <v>56</v>
      </c>
      <c r="H334" s="194" t="s">
        <v>210</v>
      </c>
      <c r="I334" s="123">
        <f t="shared" si="51"/>
        <v>0</v>
      </c>
      <c r="J334" s="200">
        <f>$J$162</f>
        <v>56</v>
      </c>
      <c r="K334" s="194" t="s">
        <v>210</v>
      </c>
      <c r="L334" s="123">
        <f>ROUND(J334*$C334/100,0)</f>
        <v>0</v>
      </c>
      <c r="N334" s="52"/>
      <c r="O334" s="52"/>
      <c r="P334" s="105"/>
      <c r="Q334" s="105"/>
      <c r="R334" s="105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K334" s="124"/>
    </row>
    <row r="335" spans="1:37" hidden="1">
      <c r="A335" s="201" t="s">
        <v>235</v>
      </c>
      <c r="B335" s="141"/>
      <c r="C335" s="190"/>
      <c r="D335" s="202">
        <v>-0.01</v>
      </c>
      <c r="E335" s="192"/>
      <c r="F335" s="123"/>
      <c r="G335" s="202">
        <v>-0.01</v>
      </c>
      <c r="H335" s="194"/>
      <c r="I335" s="123"/>
      <c r="J335" s="202">
        <v>-0.01</v>
      </c>
      <c r="K335" s="194"/>
      <c r="L335" s="123"/>
      <c r="N335" s="52"/>
      <c r="O335" s="52"/>
      <c r="P335" s="105"/>
      <c r="Q335" s="105"/>
      <c r="R335" s="105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K335" s="124"/>
    </row>
    <row r="336" spans="1:37" hidden="1">
      <c r="A336" s="141" t="s">
        <v>225</v>
      </c>
      <c r="B336" s="141"/>
      <c r="C336" s="190">
        <v>0</v>
      </c>
      <c r="D336" s="204">
        <v>7.64</v>
      </c>
      <c r="E336" s="192"/>
      <c r="F336" s="123">
        <f>-ROUND(D336*$C336/100,0)</f>
        <v>0</v>
      </c>
      <c r="G336" s="204">
        <f>G325</f>
        <v>8.6</v>
      </c>
      <c r="H336" s="192"/>
      <c r="I336" s="123">
        <f>-ROUND(G336*$C336/100,0)</f>
        <v>0</v>
      </c>
      <c r="J336" s="204">
        <f>J325</f>
        <v>8.7100000000000009</v>
      </c>
      <c r="K336" s="192"/>
      <c r="L336" s="123">
        <f>-ROUND(J336*$C336/100,0)</f>
        <v>0</v>
      </c>
      <c r="N336" s="52"/>
      <c r="O336" s="52"/>
      <c r="P336" s="105"/>
      <c r="Q336" s="105"/>
      <c r="R336" s="105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K336" s="124"/>
    </row>
    <row r="337" spans="1:37" hidden="1">
      <c r="A337" s="141" t="s">
        <v>226</v>
      </c>
      <c r="B337" s="141"/>
      <c r="C337" s="190">
        <v>0</v>
      </c>
      <c r="D337" s="204">
        <v>11.36</v>
      </c>
      <c r="E337" s="192"/>
      <c r="F337" s="123">
        <f>-ROUND(D337*$C337/100,0)</f>
        <v>0</v>
      </c>
      <c r="G337" s="204">
        <f>G326</f>
        <v>12.79</v>
      </c>
      <c r="H337" s="192"/>
      <c r="I337" s="123">
        <f t="shared" ref="I337:I339" si="52">-ROUND(G337*$C337/100,0)</f>
        <v>0</v>
      </c>
      <c r="J337" s="204">
        <f>J326</f>
        <v>12.98</v>
      </c>
      <c r="K337" s="192"/>
      <c r="L337" s="123">
        <f>-ROUND(J337*$C337/100,0)</f>
        <v>0</v>
      </c>
      <c r="N337" s="52"/>
      <c r="O337" s="52"/>
      <c r="P337" s="105"/>
      <c r="Q337" s="105"/>
      <c r="R337" s="105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K337" s="124"/>
    </row>
    <row r="338" spans="1:37" hidden="1">
      <c r="A338" s="141" t="s">
        <v>236</v>
      </c>
      <c r="B338" s="141"/>
      <c r="C338" s="190">
        <v>0</v>
      </c>
      <c r="D338" s="204">
        <v>0.81</v>
      </c>
      <c r="E338" s="192"/>
      <c r="F338" s="123">
        <f>-ROUND(D338*$C338/100,0)</f>
        <v>0</v>
      </c>
      <c r="G338" s="204">
        <f>G327</f>
        <v>0.91</v>
      </c>
      <c r="H338" s="192"/>
      <c r="I338" s="123">
        <f t="shared" si="52"/>
        <v>0</v>
      </c>
      <c r="J338" s="204">
        <f>J327</f>
        <v>0.92</v>
      </c>
      <c r="K338" s="192"/>
      <c r="L338" s="123">
        <f>-ROUND(J338*$C338/100,0)</f>
        <v>0</v>
      </c>
      <c r="N338" s="52"/>
      <c r="O338" s="52"/>
      <c r="P338" s="105"/>
      <c r="Q338" s="105"/>
      <c r="R338" s="105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K338" s="124"/>
    </row>
    <row r="339" spans="1:37" hidden="1">
      <c r="A339" s="141" t="s">
        <v>237</v>
      </c>
      <c r="B339" s="141"/>
      <c r="C339" s="190">
        <v>0</v>
      </c>
      <c r="D339" s="204">
        <v>2.98</v>
      </c>
      <c r="E339" s="194"/>
      <c r="F339" s="123">
        <f>-ROUND(D339*$C339/100,0)</f>
        <v>0</v>
      </c>
      <c r="G339" s="204">
        <f>G330</f>
        <v>3.35</v>
      </c>
      <c r="H339" s="194"/>
      <c r="I339" s="123">
        <f t="shared" si="52"/>
        <v>0</v>
      </c>
      <c r="J339" s="204">
        <f>J330</f>
        <v>3.4</v>
      </c>
      <c r="K339" s="194"/>
      <c r="L339" s="123">
        <f>-ROUND(J339*$C339/100,0)</f>
        <v>0</v>
      </c>
      <c r="N339" s="52"/>
      <c r="O339" s="52"/>
      <c r="P339" s="105"/>
      <c r="Q339" s="105"/>
      <c r="R339" s="105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K339" s="124"/>
    </row>
    <row r="340" spans="1:37" hidden="1">
      <c r="A340" s="141" t="s">
        <v>238</v>
      </c>
      <c r="B340" s="141"/>
      <c r="C340" s="190">
        <v>0</v>
      </c>
      <c r="D340" s="205">
        <v>8.5489999999999995</v>
      </c>
      <c r="E340" s="194" t="s">
        <v>210</v>
      </c>
      <c r="F340" s="123">
        <f>ROUND(D340*$C340/100*D335,0)</f>
        <v>0</v>
      </c>
      <c r="G340" s="205">
        <f>G331</f>
        <v>9.6240000000000006</v>
      </c>
      <c r="H340" s="194" t="s">
        <v>210</v>
      </c>
      <c r="I340" s="123">
        <f>ROUND(G340*$C340/100*G335,0)</f>
        <v>0</v>
      </c>
      <c r="J340" s="205">
        <f>J331</f>
        <v>9.766</v>
      </c>
      <c r="K340" s="194" t="s">
        <v>210</v>
      </c>
      <c r="L340" s="123">
        <f>ROUND(J340*$C340/100*J335,0)</f>
        <v>0</v>
      </c>
      <c r="N340" s="52"/>
      <c r="O340" s="52"/>
      <c r="P340" s="105"/>
      <c r="Q340" s="105"/>
      <c r="R340" s="105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K340" s="124"/>
    </row>
    <row r="341" spans="1:37" hidden="1">
      <c r="A341" s="141" t="s">
        <v>232</v>
      </c>
      <c r="B341" s="141"/>
      <c r="C341" s="190">
        <v>0</v>
      </c>
      <c r="D341" s="205">
        <v>5.9020000000000001</v>
      </c>
      <c r="E341" s="194" t="s">
        <v>210</v>
      </c>
      <c r="F341" s="123">
        <f>ROUND(D341*$C341/100*D335,0)</f>
        <v>0</v>
      </c>
      <c r="G341" s="205">
        <f>G332</f>
        <v>6.6450000000000005</v>
      </c>
      <c r="H341" s="194" t="s">
        <v>210</v>
      </c>
      <c r="I341" s="123">
        <f>ROUND(G341*$C341/100*G335,0)</f>
        <v>0</v>
      </c>
      <c r="J341" s="205">
        <f>J332</f>
        <v>6.7460000000000004</v>
      </c>
      <c r="K341" s="194" t="s">
        <v>210</v>
      </c>
      <c r="L341" s="123">
        <f>ROUND(J341*$C341/100*J335,0)</f>
        <v>0</v>
      </c>
      <c r="N341" s="52"/>
      <c r="O341" s="52"/>
      <c r="P341" s="105"/>
      <c r="Q341" s="105"/>
      <c r="R341" s="105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K341" s="124"/>
    </row>
    <row r="342" spans="1:37" hidden="1">
      <c r="A342" s="141" t="s">
        <v>233</v>
      </c>
      <c r="B342" s="141"/>
      <c r="C342" s="190">
        <v>0</v>
      </c>
      <c r="D342" s="205">
        <v>5.0839999999999996</v>
      </c>
      <c r="E342" s="194" t="s">
        <v>210</v>
      </c>
      <c r="F342" s="123">
        <f>ROUND(D342*$C342/100*D335,0)</f>
        <v>0</v>
      </c>
      <c r="G342" s="205">
        <f>G333</f>
        <v>5.7249999999999996</v>
      </c>
      <c r="H342" s="194" t="s">
        <v>210</v>
      </c>
      <c r="I342" s="123">
        <f>ROUND(G342*$C342/100*G335,0)</f>
        <v>0</v>
      </c>
      <c r="J342" s="205">
        <f>J333</f>
        <v>5.8120000000000003</v>
      </c>
      <c r="K342" s="194" t="s">
        <v>210</v>
      </c>
      <c r="L342" s="123">
        <f>ROUND(J342*$C342/100*J335,0)</f>
        <v>0</v>
      </c>
      <c r="N342" s="52"/>
      <c r="O342" s="52"/>
      <c r="P342" s="105"/>
      <c r="Q342" s="105"/>
      <c r="R342" s="105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K342" s="124"/>
    </row>
    <row r="343" spans="1:37" hidden="1">
      <c r="A343" s="141" t="s">
        <v>234</v>
      </c>
      <c r="B343" s="141"/>
      <c r="C343" s="190">
        <v>0</v>
      </c>
      <c r="D343" s="206">
        <v>50</v>
      </c>
      <c r="E343" s="194" t="s">
        <v>210</v>
      </c>
      <c r="F343" s="123">
        <f>ROUND(D343*$C343/100*D335,0)</f>
        <v>0</v>
      </c>
      <c r="G343" s="206">
        <f>G334</f>
        <v>56</v>
      </c>
      <c r="H343" s="194" t="s">
        <v>210</v>
      </c>
      <c r="I343" s="123">
        <f>ROUND(G343*$C343/100*G335,0)</f>
        <v>0</v>
      </c>
      <c r="J343" s="206">
        <f>J334</f>
        <v>56</v>
      </c>
      <c r="K343" s="194" t="s">
        <v>210</v>
      </c>
      <c r="L343" s="123">
        <f>ROUND(J343*$C343/100*J335,0)</f>
        <v>0</v>
      </c>
      <c r="N343" s="52"/>
      <c r="O343" s="52"/>
      <c r="P343" s="105"/>
      <c r="Q343" s="105"/>
      <c r="R343" s="105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K343" s="124"/>
    </row>
    <row r="344" spans="1:37" hidden="1">
      <c r="A344" s="141" t="s">
        <v>239</v>
      </c>
      <c r="B344" s="141"/>
      <c r="C344" s="190">
        <v>0</v>
      </c>
      <c r="D344" s="207">
        <v>60</v>
      </c>
      <c r="E344" s="192"/>
      <c r="F344" s="123">
        <f>ROUND(D344*$C344,0)</f>
        <v>0</v>
      </c>
      <c r="G344" s="207">
        <f>$D$172</f>
        <v>60</v>
      </c>
      <c r="H344" s="194"/>
      <c r="I344" s="123">
        <f>ROUND(G344*C344,0)</f>
        <v>0</v>
      </c>
      <c r="J344" s="207">
        <f>$J$172</f>
        <v>60</v>
      </c>
      <c r="K344" s="194"/>
      <c r="L344" s="123">
        <f>ROUND(J344*$C344,0)</f>
        <v>0</v>
      </c>
      <c r="N344" s="52"/>
      <c r="O344" s="52"/>
      <c r="P344" s="105"/>
      <c r="Q344" s="105"/>
      <c r="R344" s="105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K344" s="124"/>
    </row>
    <row r="345" spans="1:37" hidden="1">
      <c r="A345" s="141" t="s">
        <v>240</v>
      </c>
      <c r="B345" s="141"/>
      <c r="C345" s="190">
        <v>0</v>
      </c>
      <c r="D345" s="208">
        <v>-30</v>
      </c>
      <c r="E345" s="192" t="s">
        <v>210</v>
      </c>
      <c r="F345" s="123">
        <f>ROUND(D345*$C345/100,0)</f>
        <v>0</v>
      </c>
      <c r="G345" s="208">
        <f>$D$173</f>
        <v>-30</v>
      </c>
      <c r="H345" s="194" t="s">
        <v>210</v>
      </c>
      <c r="I345" s="123">
        <f>ROUND(G345*C345/100,0)</f>
        <v>0</v>
      </c>
      <c r="J345" s="208">
        <f>$J$173</f>
        <v>-30</v>
      </c>
      <c r="K345" s="194" t="s">
        <v>210</v>
      </c>
      <c r="L345" s="123">
        <f>ROUND(J345*$C345/100,0)</f>
        <v>0</v>
      </c>
      <c r="N345" s="52"/>
      <c r="O345" s="52"/>
      <c r="P345" s="105"/>
      <c r="Q345" s="105"/>
      <c r="R345" s="105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K345" s="124"/>
    </row>
    <row r="346" spans="1:37" hidden="1">
      <c r="A346" s="141" t="s">
        <v>215</v>
      </c>
      <c r="B346" s="141"/>
      <c r="C346" s="190">
        <f>SUM(C331:C333)</f>
        <v>33312</v>
      </c>
      <c r="D346" s="200"/>
      <c r="E346" s="123"/>
      <c r="F346" s="123">
        <f>SUM(F325:F345)</f>
        <v>6790</v>
      </c>
      <c r="G346" s="200"/>
      <c r="H346" s="194"/>
      <c r="I346" s="123">
        <f>SUM(I325:I345)</f>
        <v>7644</v>
      </c>
      <c r="J346" s="200"/>
      <c r="K346" s="194"/>
      <c r="L346" s="123">
        <f>SUM(L325:L345)</f>
        <v>7747</v>
      </c>
      <c r="N346" s="52"/>
      <c r="O346" s="52"/>
      <c r="P346" s="105"/>
      <c r="Q346" s="105"/>
      <c r="R346" s="105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K346" s="124"/>
    </row>
    <row r="347" spans="1:37" hidden="1">
      <c r="A347" s="141" t="s">
        <v>197</v>
      </c>
      <c r="B347" s="141"/>
      <c r="C347" s="227">
        <v>-596.13645614254995</v>
      </c>
      <c r="D347" s="175"/>
      <c r="E347" s="175"/>
      <c r="F347" s="211">
        <v>-111.43231212362207</v>
      </c>
      <c r="G347" s="175"/>
      <c r="H347" s="175"/>
      <c r="I347" s="211">
        <f>F347</f>
        <v>-111.43231212362207</v>
      </c>
      <c r="J347" s="175"/>
      <c r="K347" s="175"/>
      <c r="L347" s="211">
        <f>F347</f>
        <v>-111.43231212362207</v>
      </c>
      <c r="N347" s="156"/>
      <c r="O347" s="156"/>
      <c r="P347" s="154"/>
      <c r="Q347" s="105"/>
      <c r="R347" s="105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K347" s="124"/>
    </row>
    <row r="348" spans="1:37" ht="16.5" hidden="1" thickBot="1">
      <c r="A348" s="141" t="s">
        <v>216</v>
      </c>
      <c r="B348" s="141"/>
      <c r="C348" s="177">
        <f>SUM(C346:C347)</f>
        <v>32715.863543857449</v>
      </c>
      <c r="D348" s="213"/>
      <c r="E348" s="214"/>
      <c r="F348" s="215">
        <f>F346+F347</f>
        <v>6678.5676878763779</v>
      </c>
      <c r="G348" s="213"/>
      <c r="H348" s="216"/>
      <c r="I348" s="215">
        <f>I346+I347</f>
        <v>7532.5676878763779</v>
      </c>
      <c r="J348" s="213"/>
      <c r="K348" s="216"/>
      <c r="L348" s="215">
        <f>L346+L347</f>
        <v>7635.5676878763779</v>
      </c>
      <c r="N348" s="157"/>
      <c r="O348" s="157"/>
      <c r="P348" s="158"/>
      <c r="Q348" s="105"/>
      <c r="R348" s="105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K348" s="124"/>
    </row>
    <row r="349" spans="1:37" hidden="1">
      <c r="A349" s="141"/>
      <c r="B349" s="141"/>
      <c r="C349" s="160"/>
      <c r="D349" s="207"/>
      <c r="E349" s="123"/>
      <c r="F349" s="123"/>
      <c r="G349" s="207"/>
      <c r="H349" s="141"/>
      <c r="I349" s="123"/>
      <c r="J349" s="232" t="s">
        <v>280</v>
      </c>
      <c r="K349" s="141"/>
      <c r="L349" s="123" t="s">
        <v>280</v>
      </c>
      <c r="N349" s="52"/>
      <c r="O349" s="52"/>
      <c r="P349" s="105"/>
      <c r="Q349" s="105"/>
      <c r="R349" s="105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K349" s="124"/>
    </row>
    <row r="350" spans="1:37" hidden="1">
      <c r="A350" s="141"/>
      <c r="B350" s="141"/>
      <c r="C350" s="160"/>
      <c r="D350" s="207"/>
      <c r="E350" s="123"/>
      <c r="F350" s="123"/>
      <c r="G350" s="207"/>
      <c r="H350" s="141"/>
      <c r="I350" s="123"/>
      <c r="J350" s="232" t="s">
        <v>280</v>
      </c>
      <c r="K350" s="141"/>
      <c r="L350" s="123" t="s">
        <v>280</v>
      </c>
      <c r="N350" s="52"/>
      <c r="O350" s="52"/>
      <c r="P350" s="105"/>
      <c r="Q350" s="105"/>
      <c r="R350" s="105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K350" s="124"/>
    </row>
    <row r="351" spans="1:37" hidden="1">
      <c r="A351" s="159" t="s">
        <v>249</v>
      </c>
      <c r="B351" s="141"/>
      <c r="C351" s="141"/>
      <c r="D351" s="123"/>
      <c r="E351" s="123"/>
      <c r="F351" s="141" t="s">
        <v>280</v>
      </c>
      <c r="G351" s="123"/>
      <c r="H351" s="141"/>
      <c r="I351" s="141"/>
      <c r="J351" s="123"/>
      <c r="K351" s="141"/>
      <c r="L351" s="141"/>
      <c r="N351" s="52"/>
      <c r="O351" s="52"/>
      <c r="P351" s="105"/>
      <c r="Q351" s="105"/>
      <c r="R351" s="105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K351" s="124"/>
    </row>
    <row r="352" spans="1:37" hidden="1">
      <c r="A352" s="141" t="s">
        <v>242</v>
      </c>
      <c r="B352" s="141"/>
      <c r="C352" s="141"/>
      <c r="D352" s="123"/>
      <c r="E352" s="123"/>
      <c r="F352" s="141"/>
      <c r="G352" s="123"/>
      <c r="H352" s="141"/>
      <c r="I352" s="141"/>
      <c r="J352" s="123"/>
      <c r="K352" s="141"/>
      <c r="L352" s="141"/>
      <c r="N352" s="52"/>
      <c r="O352" s="52"/>
      <c r="P352" s="105"/>
      <c r="Q352" s="105"/>
      <c r="R352" s="105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</row>
    <row r="353" spans="1:35" hidden="1">
      <c r="A353" s="141" t="s">
        <v>250</v>
      </c>
      <c r="B353" s="141"/>
      <c r="C353" s="141"/>
      <c r="D353" s="123"/>
      <c r="E353" s="123"/>
      <c r="F353" s="141"/>
      <c r="G353" s="123"/>
      <c r="H353" s="141"/>
      <c r="I353" s="141"/>
      <c r="J353" s="123"/>
      <c r="K353" s="141"/>
      <c r="L353" s="141"/>
      <c r="N353" s="52"/>
      <c r="O353" s="52"/>
      <c r="P353" s="105"/>
      <c r="Q353" s="105"/>
      <c r="R353" s="105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</row>
    <row r="354" spans="1:35" hidden="1">
      <c r="A354" s="141" t="s">
        <v>228</v>
      </c>
      <c r="B354" s="141"/>
      <c r="C354" s="190"/>
      <c r="D354" s="123"/>
      <c r="E354" s="123"/>
      <c r="F354" s="141"/>
      <c r="G354" s="123"/>
      <c r="H354" s="141"/>
      <c r="I354" s="141"/>
      <c r="J354" s="123"/>
      <c r="K354" s="141"/>
      <c r="L354" s="141"/>
      <c r="N354" s="52"/>
      <c r="O354" s="52"/>
      <c r="P354" s="105"/>
      <c r="Q354" s="105"/>
      <c r="R354" s="105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</row>
    <row r="355" spans="1:35" hidden="1">
      <c r="A355" s="141" t="s">
        <v>225</v>
      </c>
      <c r="B355" s="141"/>
      <c r="C355" s="190">
        <f t="shared" ref="C355:C364" si="53">C384+C413</f>
        <v>1</v>
      </c>
      <c r="D355" s="164">
        <v>91.679999999999993</v>
      </c>
      <c r="E355" s="192"/>
      <c r="F355" s="123">
        <f t="shared" ref="F355:I357" si="54">F384+F413</f>
        <v>92</v>
      </c>
      <c r="G355" s="164">
        <f>$G$149</f>
        <v>103.19999999999999</v>
      </c>
      <c r="H355" s="194"/>
      <c r="I355" s="123">
        <f t="shared" si="54"/>
        <v>103</v>
      </c>
      <c r="J355" s="164">
        <f>$J$149</f>
        <v>104.52000000000001</v>
      </c>
      <c r="K355" s="194"/>
      <c r="L355" s="123">
        <f>L384+L413</f>
        <v>105</v>
      </c>
      <c r="N355" s="52"/>
      <c r="O355" s="52"/>
      <c r="P355" s="105"/>
      <c r="Q355" s="105"/>
      <c r="R355" s="105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</row>
    <row r="356" spans="1:35" hidden="1">
      <c r="A356" s="141" t="s">
        <v>226</v>
      </c>
      <c r="B356" s="141"/>
      <c r="C356" s="190">
        <f t="shared" si="53"/>
        <v>100</v>
      </c>
      <c r="D356" s="164">
        <v>136.32</v>
      </c>
      <c r="E356" s="195"/>
      <c r="F356" s="123">
        <f t="shared" si="54"/>
        <v>13632</v>
      </c>
      <c r="G356" s="164">
        <f>$G$150</f>
        <v>153.47999999999999</v>
      </c>
      <c r="H356" s="196"/>
      <c r="I356" s="123">
        <f t="shared" si="54"/>
        <v>15348</v>
      </c>
      <c r="J356" s="164">
        <f>$J$150</f>
        <v>155.76</v>
      </c>
      <c r="K356" s="196"/>
      <c r="L356" s="123">
        <f>L385+L414</f>
        <v>15576</v>
      </c>
      <c r="N356" s="52"/>
      <c r="O356" s="52"/>
      <c r="P356" s="105"/>
      <c r="Q356" s="105"/>
      <c r="R356" s="105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</row>
    <row r="357" spans="1:35" hidden="1">
      <c r="A357" s="141" t="s">
        <v>227</v>
      </c>
      <c r="B357" s="141"/>
      <c r="C357" s="190">
        <f t="shared" si="53"/>
        <v>3852</v>
      </c>
      <c r="D357" s="164">
        <v>9.66</v>
      </c>
      <c r="E357" s="195"/>
      <c r="F357" s="123">
        <f t="shared" si="54"/>
        <v>37211</v>
      </c>
      <c r="G357" s="164">
        <f>$G$151</f>
        <v>10.92</v>
      </c>
      <c r="H357" s="196"/>
      <c r="I357" s="123">
        <f t="shared" si="54"/>
        <v>42064</v>
      </c>
      <c r="J357" s="164">
        <f>$J$151</f>
        <v>11.040000000000001</v>
      </c>
      <c r="K357" s="196"/>
      <c r="L357" s="123">
        <f>L386+L415</f>
        <v>42526</v>
      </c>
      <c r="N357" s="52"/>
      <c r="O357" s="52"/>
      <c r="P357" s="105"/>
      <c r="Q357" s="105"/>
      <c r="R357" s="105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</row>
    <row r="358" spans="1:35" hidden="1">
      <c r="A358" s="141" t="s">
        <v>229</v>
      </c>
      <c r="B358" s="141"/>
      <c r="C358" s="190">
        <f t="shared" si="53"/>
        <v>101</v>
      </c>
      <c r="D358" s="164"/>
      <c r="E358" s="192"/>
      <c r="F358" s="123"/>
      <c r="G358" s="164"/>
      <c r="H358" s="194"/>
      <c r="I358" s="123"/>
      <c r="J358" s="164"/>
      <c r="K358" s="194"/>
      <c r="L358" s="123"/>
      <c r="N358" s="52"/>
      <c r="O358" s="52"/>
      <c r="P358" s="105"/>
      <c r="Q358" s="105"/>
      <c r="R358" s="105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</row>
    <row r="359" spans="1:35" hidden="1">
      <c r="A359" s="141" t="s">
        <v>251</v>
      </c>
      <c r="B359" s="141"/>
      <c r="C359" s="190">
        <f t="shared" si="53"/>
        <v>1214</v>
      </c>
      <c r="D359" s="164"/>
      <c r="E359" s="192"/>
      <c r="F359" s="123"/>
      <c r="G359" s="164"/>
      <c r="H359" s="194"/>
      <c r="I359" s="123"/>
      <c r="J359" s="164"/>
      <c r="K359" s="194"/>
      <c r="L359" s="123"/>
      <c r="N359" s="52"/>
      <c r="O359" s="52"/>
      <c r="P359" s="105"/>
      <c r="Q359" s="105"/>
      <c r="R359" s="105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</row>
    <row r="360" spans="1:35" hidden="1">
      <c r="A360" s="141" t="s">
        <v>230</v>
      </c>
      <c r="B360" s="141"/>
      <c r="C360" s="190">
        <f t="shared" si="53"/>
        <v>12936</v>
      </c>
      <c r="D360" s="207">
        <v>2.98</v>
      </c>
      <c r="E360" s="194"/>
      <c r="F360" s="123">
        <f t="shared" ref="F360:I364" si="55">F389+F418</f>
        <v>38549</v>
      </c>
      <c r="G360" s="207">
        <f>$G$158</f>
        <v>3.35</v>
      </c>
      <c r="H360" s="194"/>
      <c r="I360" s="123">
        <f t="shared" si="55"/>
        <v>43335</v>
      </c>
      <c r="J360" s="207">
        <f>$J$158</f>
        <v>3.4</v>
      </c>
      <c r="K360" s="194"/>
      <c r="L360" s="123">
        <f>L389+L418</f>
        <v>43982</v>
      </c>
      <c r="N360" s="52"/>
      <c r="O360" s="52"/>
      <c r="P360" s="105"/>
      <c r="Q360" s="105"/>
      <c r="R360" s="105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</row>
    <row r="361" spans="1:35" hidden="1">
      <c r="A361" s="141" t="s">
        <v>231</v>
      </c>
      <c r="B361" s="141"/>
      <c r="C361" s="190">
        <f t="shared" si="53"/>
        <v>179913</v>
      </c>
      <c r="D361" s="166">
        <v>8.5489999999999995</v>
      </c>
      <c r="E361" s="194" t="s">
        <v>210</v>
      </c>
      <c r="F361" s="123">
        <f t="shared" si="55"/>
        <v>15381</v>
      </c>
      <c r="G361" s="166">
        <f>$G$159</f>
        <v>9.6240000000000006</v>
      </c>
      <c r="H361" s="194" t="s">
        <v>210</v>
      </c>
      <c r="I361" s="123">
        <f t="shared" si="55"/>
        <v>17315</v>
      </c>
      <c r="J361" s="166">
        <f>$J$159</f>
        <v>9.766</v>
      </c>
      <c r="K361" s="194" t="s">
        <v>210</v>
      </c>
      <c r="L361" s="123">
        <f>L390+L419</f>
        <v>17570</v>
      </c>
      <c r="N361" s="52"/>
      <c r="O361" s="52"/>
      <c r="P361" s="105"/>
      <c r="Q361" s="105"/>
      <c r="R361" s="105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</row>
    <row r="362" spans="1:35" hidden="1">
      <c r="A362" s="141" t="s">
        <v>232</v>
      </c>
      <c r="B362" s="141"/>
      <c r="C362" s="190">
        <f t="shared" si="53"/>
        <v>168911</v>
      </c>
      <c r="D362" s="166">
        <v>5.9020000000000001</v>
      </c>
      <c r="E362" s="194" t="s">
        <v>210</v>
      </c>
      <c r="F362" s="123">
        <f t="shared" si="55"/>
        <v>9969</v>
      </c>
      <c r="G362" s="166">
        <f>$G$189</f>
        <v>6.6450000000000005</v>
      </c>
      <c r="H362" s="194" t="s">
        <v>210</v>
      </c>
      <c r="I362" s="123">
        <f t="shared" si="55"/>
        <v>11224</v>
      </c>
      <c r="J362" s="166">
        <f>$J$160</f>
        <v>6.7460000000000004</v>
      </c>
      <c r="K362" s="194" t="s">
        <v>210</v>
      </c>
      <c r="L362" s="123">
        <f>L391+L420</f>
        <v>11394</v>
      </c>
      <c r="N362" s="52"/>
      <c r="O362" s="52"/>
      <c r="P362" s="105"/>
      <c r="Q362" s="105"/>
      <c r="R362" s="105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</row>
    <row r="363" spans="1:35" hidden="1">
      <c r="A363" s="141" t="s">
        <v>233</v>
      </c>
      <c r="B363" s="141"/>
      <c r="C363" s="190">
        <f t="shared" si="53"/>
        <v>3640</v>
      </c>
      <c r="D363" s="166">
        <v>5.0839999999999996</v>
      </c>
      <c r="E363" s="194" t="s">
        <v>210</v>
      </c>
      <c r="F363" s="123">
        <f t="shared" si="55"/>
        <v>185</v>
      </c>
      <c r="G363" s="166">
        <f>$G$161</f>
        <v>5.7249999999999996</v>
      </c>
      <c r="H363" s="194" t="s">
        <v>210</v>
      </c>
      <c r="I363" s="123">
        <f t="shared" si="55"/>
        <v>208</v>
      </c>
      <c r="J363" s="166">
        <f>$J$161</f>
        <v>5.8120000000000003</v>
      </c>
      <c r="K363" s="194" t="s">
        <v>210</v>
      </c>
      <c r="L363" s="123">
        <f>L392+L421</f>
        <v>212</v>
      </c>
      <c r="N363" s="52"/>
      <c r="O363" s="52"/>
      <c r="P363" s="105"/>
      <c r="Q363" s="105"/>
      <c r="R363" s="105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</row>
    <row r="364" spans="1:35" hidden="1">
      <c r="A364" s="141" t="s">
        <v>234</v>
      </c>
      <c r="B364" s="141"/>
      <c r="C364" s="190">
        <f t="shared" si="53"/>
        <v>1819</v>
      </c>
      <c r="D364" s="200">
        <v>50</v>
      </c>
      <c r="E364" s="192" t="s">
        <v>210</v>
      </c>
      <c r="F364" s="123">
        <f t="shared" si="55"/>
        <v>910</v>
      </c>
      <c r="G364" s="200">
        <f>$G$162</f>
        <v>56</v>
      </c>
      <c r="H364" s="194" t="s">
        <v>210</v>
      </c>
      <c r="I364" s="123">
        <f t="shared" si="55"/>
        <v>1019</v>
      </c>
      <c r="J364" s="200">
        <f>$J$162</f>
        <v>56</v>
      </c>
      <c r="K364" s="194" t="s">
        <v>210</v>
      </c>
      <c r="L364" s="123">
        <f>L393+L422</f>
        <v>1019</v>
      </c>
      <c r="N364" s="52"/>
      <c r="O364" s="52"/>
      <c r="P364" s="105"/>
      <c r="Q364" s="105"/>
      <c r="R364" s="105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</row>
    <row r="365" spans="1:35" hidden="1">
      <c r="A365" s="201" t="s">
        <v>235</v>
      </c>
      <c r="B365" s="141"/>
      <c r="C365" s="190"/>
      <c r="D365" s="202">
        <v>-0.01</v>
      </c>
      <c r="E365" s="192"/>
      <c r="F365" s="123"/>
      <c r="G365" s="202">
        <v>-0.01</v>
      </c>
      <c r="H365" s="194"/>
      <c r="I365" s="123"/>
      <c r="J365" s="202">
        <v>-0.01</v>
      </c>
      <c r="K365" s="194"/>
      <c r="L365" s="123"/>
      <c r="N365" s="52"/>
      <c r="O365" s="52"/>
      <c r="P365" s="105"/>
      <c r="Q365" s="105"/>
      <c r="R365" s="105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</row>
    <row r="366" spans="1:35" hidden="1">
      <c r="A366" s="141" t="s">
        <v>225</v>
      </c>
      <c r="B366" s="141"/>
      <c r="C366" s="190">
        <v>0</v>
      </c>
      <c r="D366" s="204">
        <v>91.679999999999993</v>
      </c>
      <c r="E366" s="192"/>
      <c r="F366" s="123">
        <f t="shared" ref="F366:I377" si="56">F395+F424</f>
        <v>0</v>
      </c>
      <c r="G366" s="204">
        <f>G355</f>
        <v>103.19999999999999</v>
      </c>
      <c r="H366" s="192"/>
      <c r="I366" s="123">
        <f t="shared" si="56"/>
        <v>0</v>
      </c>
      <c r="J366" s="204">
        <f>J355</f>
        <v>104.52000000000001</v>
      </c>
      <c r="K366" s="192"/>
      <c r="L366" s="123">
        <f t="shared" ref="L366:L376" si="57">L395+L424</f>
        <v>0</v>
      </c>
      <c r="N366" s="52"/>
      <c r="O366" s="52"/>
      <c r="P366" s="105"/>
      <c r="Q366" s="105"/>
      <c r="R366" s="105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</row>
    <row r="367" spans="1:35" hidden="1">
      <c r="A367" s="141" t="s">
        <v>226</v>
      </c>
      <c r="B367" s="141"/>
      <c r="C367" s="190">
        <v>0</v>
      </c>
      <c r="D367" s="204">
        <v>136.32</v>
      </c>
      <c r="E367" s="192"/>
      <c r="F367" s="123">
        <f t="shared" si="56"/>
        <v>0</v>
      </c>
      <c r="G367" s="204">
        <f>G356</f>
        <v>153.47999999999999</v>
      </c>
      <c r="H367" s="192"/>
      <c r="I367" s="123">
        <f t="shared" si="56"/>
        <v>0</v>
      </c>
      <c r="J367" s="204">
        <f>J356</f>
        <v>155.76</v>
      </c>
      <c r="K367" s="192"/>
      <c r="L367" s="123">
        <f t="shared" si="57"/>
        <v>0</v>
      </c>
      <c r="N367" s="52"/>
      <c r="O367" s="52"/>
      <c r="P367" s="105"/>
      <c r="Q367" s="105"/>
      <c r="R367" s="105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</row>
    <row r="368" spans="1:35" hidden="1">
      <c r="A368" s="141" t="s">
        <v>236</v>
      </c>
      <c r="B368" s="141"/>
      <c r="C368" s="190">
        <v>0</v>
      </c>
      <c r="D368" s="204">
        <v>9.66</v>
      </c>
      <c r="E368" s="192"/>
      <c r="F368" s="123">
        <f t="shared" si="56"/>
        <v>0</v>
      </c>
      <c r="G368" s="204">
        <f>G357</f>
        <v>10.92</v>
      </c>
      <c r="H368" s="192"/>
      <c r="I368" s="123">
        <f t="shared" si="56"/>
        <v>0</v>
      </c>
      <c r="J368" s="204">
        <f>J357</f>
        <v>11.040000000000001</v>
      </c>
      <c r="K368" s="192"/>
      <c r="L368" s="123">
        <f t="shared" si="57"/>
        <v>0</v>
      </c>
      <c r="N368" s="52"/>
      <c r="O368" s="52"/>
      <c r="P368" s="105"/>
      <c r="Q368" s="105"/>
      <c r="R368" s="105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</row>
    <row r="369" spans="1:35" hidden="1">
      <c r="A369" s="141" t="s">
        <v>237</v>
      </c>
      <c r="B369" s="141"/>
      <c r="C369" s="190">
        <v>0</v>
      </c>
      <c r="D369" s="204">
        <v>2.98</v>
      </c>
      <c r="E369" s="194"/>
      <c r="F369" s="123">
        <f t="shared" si="56"/>
        <v>0</v>
      </c>
      <c r="G369" s="204">
        <f>G360</f>
        <v>3.35</v>
      </c>
      <c r="H369" s="194"/>
      <c r="I369" s="123">
        <f t="shared" si="56"/>
        <v>0</v>
      </c>
      <c r="J369" s="204">
        <f>J360</f>
        <v>3.4</v>
      </c>
      <c r="K369" s="194"/>
      <c r="L369" s="123">
        <f t="shared" si="57"/>
        <v>0</v>
      </c>
      <c r="N369" s="52"/>
      <c r="O369" s="52"/>
      <c r="P369" s="105"/>
      <c r="Q369" s="105"/>
      <c r="R369" s="105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</row>
    <row r="370" spans="1:35" hidden="1">
      <c r="A370" s="141" t="s">
        <v>238</v>
      </c>
      <c r="B370" s="141"/>
      <c r="C370" s="190">
        <v>0</v>
      </c>
      <c r="D370" s="205">
        <v>8.5489999999999995</v>
      </c>
      <c r="E370" s="194" t="s">
        <v>210</v>
      </c>
      <c r="F370" s="123">
        <f t="shared" si="56"/>
        <v>0</v>
      </c>
      <c r="G370" s="205">
        <f>G361</f>
        <v>9.6240000000000006</v>
      </c>
      <c r="H370" s="194" t="s">
        <v>210</v>
      </c>
      <c r="I370" s="123">
        <f t="shared" si="56"/>
        <v>0</v>
      </c>
      <c r="J370" s="205">
        <f>J361</f>
        <v>9.766</v>
      </c>
      <c r="K370" s="194" t="s">
        <v>210</v>
      </c>
      <c r="L370" s="123">
        <f t="shared" si="57"/>
        <v>0</v>
      </c>
      <c r="N370" s="52"/>
      <c r="O370" s="52"/>
      <c r="P370" s="105"/>
      <c r="Q370" s="105"/>
      <c r="R370" s="105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</row>
    <row r="371" spans="1:35" hidden="1">
      <c r="A371" s="141" t="s">
        <v>232</v>
      </c>
      <c r="B371" s="141"/>
      <c r="C371" s="190">
        <v>0</v>
      </c>
      <c r="D371" s="205">
        <v>5.9020000000000001</v>
      </c>
      <c r="E371" s="194" t="s">
        <v>210</v>
      </c>
      <c r="F371" s="123">
        <f t="shared" si="56"/>
        <v>0</v>
      </c>
      <c r="G371" s="205">
        <f>G362</f>
        <v>6.6450000000000005</v>
      </c>
      <c r="H371" s="194" t="s">
        <v>210</v>
      </c>
      <c r="I371" s="123">
        <f t="shared" si="56"/>
        <v>0</v>
      </c>
      <c r="J371" s="205">
        <f>J362</f>
        <v>6.7460000000000004</v>
      </c>
      <c r="K371" s="194" t="s">
        <v>210</v>
      </c>
      <c r="L371" s="123">
        <f t="shared" si="57"/>
        <v>0</v>
      </c>
      <c r="N371" s="52"/>
      <c r="O371" s="52"/>
      <c r="P371" s="105"/>
      <c r="Q371" s="105"/>
      <c r="R371" s="105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</row>
    <row r="372" spans="1:35" hidden="1">
      <c r="A372" s="141" t="s">
        <v>233</v>
      </c>
      <c r="B372" s="141"/>
      <c r="C372" s="190">
        <v>0</v>
      </c>
      <c r="D372" s="205">
        <v>5.0839999999999996</v>
      </c>
      <c r="E372" s="194" t="s">
        <v>210</v>
      </c>
      <c r="F372" s="123">
        <f t="shared" si="56"/>
        <v>0</v>
      </c>
      <c r="G372" s="205">
        <f>G363</f>
        <v>5.7249999999999996</v>
      </c>
      <c r="H372" s="194" t="s">
        <v>210</v>
      </c>
      <c r="I372" s="123">
        <f t="shared" si="56"/>
        <v>0</v>
      </c>
      <c r="J372" s="205">
        <f>J363</f>
        <v>5.8120000000000003</v>
      </c>
      <c r="K372" s="194" t="s">
        <v>210</v>
      </c>
      <c r="L372" s="123">
        <f t="shared" si="57"/>
        <v>0</v>
      </c>
      <c r="N372" s="52"/>
      <c r="O372" s="52"/>
      <c r="P372" s="105"/>
      <c r="Q372" s="105"/>
      <c r="R372" s="105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</row>
    <row r="373" spans="1:35" hidden="1">
      <c r="A373" s="141" t="s">
        <v>234</v>
      </c>
      <c r="B373" s="141"/>
      <c r="C373" s="190">
        <v>0</v>
      </c>
      <c r="D373" s="206">
        <v>50</v>
      </c>
      <c r="E373" s="194" t="s">
        <v>210</v>
      </c>
      <c r="F373" s="123">
        <f t="shared" si="56"/>
        <v>0</v>
      </c>
      <c r="G373" s="206">
        <f>G364</f>
        <v>56</v>
      </c>
      <c r="H373" s="194" t="s">
        <v>210</v>
      </c>
      <c r="I373" s="123">
        <f t="shared" si="56"/>
        <v>0</v>
      </c>
      <c r="J373" s="206">
        <f>J364</f>
        <v>56</v>
      </c>
      <c r="K373" s="194" t="s">
        <v>210</v>
      </c>
      <c r="L373" s="123">
        <f t="shared" si="57"/>
        <v>0</v>
      </c>
      <c r="N373" s="52"/>
      <c r="O373" s="52"/>
      <c r="P373" s="105"/>
      <c r="Q373" s="105"/>
      <c r="R373" s="105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</row>
    <row r="374" spans="1:35" hidden="1">
      <c r="A374" s="141" t="s">
        <v>239</v>
      </c>
      <c r="B374" s="141"/>
      <c r="C374" s="190">
        <v>0</v>
      </c>
      <c r="D374" s="207">
        <v>60</v>
      </c>
      <c r="E374" s="192"/>
      <c r="F374" s="123">
        <f t="shared" si="56"/>
        <v>0</v>
      </c>
      <c r="G374" s="207">
        <f>$D$172</f>
        <v>60</v>
      </c>
      <c r="H374" s="194"/>
      <c r="I374" s="123">
        <f t="shared" si="56"/>
        <v>0</v>
      </c>
      <c r="J374" s="207">
        <f>$J$172</f>
        <v>60</v>
      </c>
      <c r="K374" s="194"/>
      <c r="L374" s="123">
        <f t="shared" si="57"/>
        <v>0</v>
      </c>
      <c r="N374" s="52"/>
      <c r="O374" s="52"/>
      <c r="P374" s="105"/>
      <c r="Q374" s="105"/>
      <c r="R374" s="105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</row>
    <row r="375" spans="1:35" hidden="1">
      <c r="A375" s="141" t="s">
        <v>240</v>
      </c>
      <c r="B375" s="141"/>
      <c r="C375" s="190">
        <v>0</v>
      </c>
      <c r="D375" s="208">
        <v>-30</v>
      </c>
      <c r="E375" s="192" t="s">
        <v>210</v>
      </c>
      <c r="F375" s="123">
        <f t="shared" si="56"/>
        <v>0</v>
      </c>
      <c r="G375" s="208">
        <f>$D$173</f>
        <v>-30</v>
      </c>
      <c r="H375" s="194" t="s">
        <v>210</v>
      </c>
      <c r="I375" s="123">
        <f t="shared" si="56"/>
        <v>0</v>
      </c>
      <c r="J375" s="208">
        <f>$J$173</f>
        <v>-30</v>
      </c>
      <c r="K375" s="194" t="s">
        <v>210</v>
      </c>
      <c r="L375" s="123">
        <f t="shared" si="57"/>
        <v>0</v>
      </c>
      <c r="N375" s="52"/>
      <c r="O375" s="52"/>
      <c r="P375" s="105"/>
      <c r="Q375" s="105"/>
      <c r="R375" s="105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</row>
    <row r="376" spans="1:35" hidden="1">
      <c r="A376" s="141" t="s">
        <v>215</v>
      </c>
      <c r="B376" s="141"/>
      <c r="C376" s="190">
        <f>C405+C434</f>
        <v>352464</v>
      </c>
      <c r="D376" s="200"/>
      <c r="E376" s="123"/>
      <c r="F376" s="123">
        <f t="shared" si="56"/>
        <v>115929</v>
      </c>
      <c r="G376" s="200"/>
      <c r="H376" s="194"/>
      <c r="I376" s="123">
        <f t="shared" si="56"/>
        <v>130616</v>
      </c>
      <c r="J376" s="123"/>
      <c r="K376" s="194"/>
      <c r="L376" s="123">
        <f t="shared" si="57"/>
        <v>132384</v>
      </c>
      <c r="N376" s="52"/>
      <c r="O376" s="52"/>
      <c r="P376" s="105"/>
      <c r="Q376" s="105"/>
      <c r="R376" s="105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</row>
    <row r="377" spans="1:35" hidden="1">
      <c r="A377" s="141" t="s">
        <v>197</v>
      </c>
      <c r="B377" s="141"/>
      <c r="C377" s="210">
        <f>C406+C435</f>
        <v>-4573.1128204697397</v>
      </c>
      <c r="D377" s="175"/>
      <c r="E377" s="175"/>
      <c r="F377" s="211">
        <f t="shared" si="56"/>
        <v>-1168.2306510901842</v>
      </c>
      <c r="G377" s="175"/>
      <c r="H377" s="175"/>
      <c r="I377" s="211">
        <f t="shared" si="56"/>
        <v>-1168.2306510901842</v>
      </c>
      <c r="J377" s="175"/>
      <c r="K377" s="175"/>
      <c r="L377" s="211">
        <f>F377</f>
        <v>-1168.2306510901842</v>
      </c>
      <c r="N377" s="156"/>
      <c r="O377" s="156"/>
      <c r="P377" s="154"/>
      <c r="Q377" s="105"/>
      <c r="R377" s="105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</row>
    <row r="378" spans="1:35" ht="16.5" hidden="1" thickBot="1">
      <c r="A378" s="141" t="s">
        <v>216</v>
      </c>
      <c r="B378" s="141"/>
      <c r="C378" s="177">
        <f>SUM(C376:C377)</f>
        <v>347890.88717953028</v>
      </c>
      <c r="D378" s="213"/>
      <c r="E378" s="214"/>
      <c r="F378" s="215">
        <f>F376+F377</f>
        <v>114760.76934890982</v>
      </c>
      <c r="G378" s="213"/>
      <c r="H378" s="216"/>
      <c r="I378" s="215">
        <f>I376+I377</f>
        <v>129447.76934890982</v>
      </c>
      <c r="J378" s="213"/>
      <c r="K378" s="216"/>
      <c r="L378" s="215">
        <f>L376+L377</f>
        <v>131215.76934890982</v>
      </c>
      <c r="N378" s="157"/>
      <c r="O378" s="157"/>
      <c r="P378" s="158"/>
      <c r="Q378" s="105"/>
      <c r="R378" s="105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</row>
    <row r="379" spans="1:35" hidden="1">
      <c r="A379" s="141"/>
      <c r="B379" s="141"/>
      <c r="C379" s="160"/>
      <c r="D379" s="207"/>
      <c r="E379" s="123"/>
      <c r="F379" s="123"/>
      <c r="G379" s="207"/>
      <c r="H379" s="141"/>
      <c r="I379" s="123"/>
      <c r="J379" s="232" t="s">
        <v>280</v>
      </c>
      <c r="K379" s="141"/>
      <c r="L379" s="123" t="s">
        <v>280</v>
      </c>
      <c r="N379" s="52"/>
      <c r="O379" s="52"/>
      <c r="P379" s="105"/>
      <c r="Q379" s="105"/>
      <c r="R379" s="105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</row>
    <row r="380" spans="1:35" hidden="1">
      <c r="A380" s="159" t="s">
        <v>249</v>
      </c>
      <c r="B380" s="141"/>
      <c r="C380" s="141"/>
      <c r="D380" s="123"/>
      <c r="E380" s="123"/>
      <c r="F380" s="141" t="s">
        <v>280</v>
      </c>
      <c r="G380" s="123"/>
      <c r="H380" s="141"/>
      <c r="I380" s="141"/>
      <c r="J380" s="123"/>
      <c r="K380" s="141"/>
      <c r="L380" s="141"/>
      <c r="N380" s="52"/>
      <c r="O380" s="52"/>
      <c r="P380" s="105"/>
      <c r="Q380" s="105"/>
      <c r="R380" s="105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</row>
    <row r="381" spans="1:35" hidden="1">
      <c r="A381" s="141" t="s">
        <v>243</v>
      </c>
      <c r="B381" s="141"/>
      <c r="C381" s="141"/>
      <c r="D381" s="123"/>
      <c r="E381" s="123"/>
      <c r="F381" s="141"/>
      <c r="G381" s="123"/>
      <c r="H381" s="141"/>
      <c r="I381" s="141"/>
      <c r="J381" s="123"/>
      <c r="K381" s="141"/>
      <c r="L381" s="141"/>
      <c r="N381" s="52"/>
      <c r="O381" s="52"/>
      <c r="P381" s="105"/>
      <c r="Q381" s="105"/>
      <c r="R381" s="105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</row>
    <row r="382" spans="1:35" hidden="1">
      <c r="A382" s="141" t="s">
        <v>250</v>
      </c>
      <c r="B382" s="141"/>
      <c r="C382" s="141"/>
      <c r="D382" s="123"/>
      <c r="E382" s="123"/>
      <c r="F382" s="141"/>
      <c r="G382" s="123"/>
      <c r="H382" s="141"/>
      <c r="I382" s="141"/>
      <c r="J382" s="123"/>
      <c r="K382" s="141"/>
      <c r="L382" s="141"/>
      <c r="N382" s="52"/>
      <c r="O382" s="52"/>
      <c r="P382" s="105"/>
      <c r="Q382" s="105"/>
      <c r="R382" s="105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</row>
    <row r="383" spans="1:35" hidden="1">
      <c r="A383" s="141" t="s">
        <v>228</v>
      </c>
      <c r="B383" s="141"/>
      <c r="C383" s="190"/>
      <c r="D383" s="123"/>
      <c r="E383" s="123"/>
      <c r="F383" s="141"/>
      <c r="G383" s="123"/>
      <c r="H383" s="141"/>
      <c r="I383" s="141"/>
      <c r="J383" s="123"/>
      <c r="K383" s="141"/>
      <c r="L383" s="141"/>
      <c r="N383" s="52"/>
      <c r="O383" s="52"/>
      <c r="P383" s="105"/>
      <c r="Q383" s="105"/>
      <c r="R383" s="105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</row>
    <row r="384" spans="1:35" hidden="1">
      <c r="A384" s="141" t="s">
        <v>225</v>
      </c>
      <c r="B384" s="141"/>
      <c r="C384" s="190">
        <v>1</v>
      </c>
      <c r="D384" s="164">
        <v>91.679999999999993</v>
      </c>
      <c r="E384" s="192"/>
      <c r="F384" s="123">
        <f>ROUND(D384*$C384,0)</f>
        <v>92</v>
      </c>
      <c r="G384" s="164">
        <f>$G$149</f>
        <v>103.19999999999999</v>
      </c>
      <c r="H384" s="194"/>
      <c r="I384" s="123">
        <f>ROUND(G384*$C384,0)</f>
        <v>103</v>
      </c>
      <c r="J384" s="164">
        <f>$J$149</f>
        <v>104.52000000000001</v>
      </c>
      <c r="K384" s="194"/>
      <c r="L384" s="123">
        <f>ROUND(J384*$C384,0)</f>
        <v>105</v>
      </c>
      <c r="N384" s="52"/>
      <c r="O384" s="52"/>
      <c r="P384" s="105"/>
      <c r="Q384" s="105"/>
      <c r="R384" s="105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</row>
    <row r="385" spans="1:35" hidden="1">
      <c r="A385" s="141" t="s">
        <v>226</v>
      </c>
      <c r="B385" s="141"/>
      <c r="C385" s="190">
        <v>99</v>
      </c>
      <c r="D385" s="164">
        <v>136.32</v>
      </c>
      <c r="E385" s="195"/>
      <c r="F385" s="123">
        <f>ROUND(D385*$C385,0)</f>
        <v>13496</v>
      </c>
      <c r="G385" s="164">
        <f>$G$150</f>
        <v>153.47999999999999</v>
      </c>
      <c r="H385" s="196"/>
      <c r="I385" s="123">
        <f t="shared" ref="I385:I386" si="58">ROUND(G385*$C385,0)</f>
        <v>15195</v>
      </c>
      <c r="J385" s="164">
        <f>$J$150</f>
        <v>155.76</v>
      </c>
      <c r="K385" s="196"/>
      <c r="L385" s="123">
        <f>ROUND(J385*$C385,0)</f>
        <v>15420</v>
      </c>
      <c r="N385" s="52"/>
      <c r="O385" s="52"/>
      <c r="P385" s="105"/>
      <c r="Q385" s="105"/>
      <c r="R385" s="105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</row>
    <row r="386" spans="1:35" hidden="1">
      <c r="A386" s="141" t="s">
        <v>227</v>
      </c>
      <c r="B386" s="141"/>
      <c r="C386" s="190">
        <v>3777</v>
      </c>
      <c r="D386" s="164">
        <v>9.66</v>
      </c>
      <c r="E386" s="195"/>
      <c r="F386" s="123">
        <f>ROUND(D386*$C386,0)</f>
        <v>36486</v>
      </c>
      <c r="G386" s="164">
        <f>$G$151</f>
        <v>10.92</v>
      </c>
      <c r="H386" s="196"/>
      <c r="I386" s="123">
        <f t="shared" si="58"/>
        <v>41245</v>
      </c>
      <c r="J386" s="164">
        <f>$J$151</f>
        <v>11.040000000000001</v>
      </c>
      <c r="K386" s="196"/>
      <c r="L386" s="123">
        <f>ROUND(J386*$C386,0)</f>
        <v>41698</v>
      </c>
      <c r="N386" s="52"/>
      <c r="O386" s="52"/>
      <c r="P386" s="105"/>
      <c r="Q386" s="105"/>
      <c r="R386" s="105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</row>
    <row r="387" spans="1:35" hidden="1">
      <c r="A387" s="141" t="s">
        <v>229</v>
      </c>
      <c r="B387" s="141"/>
      <c r="C387" s="190">
        <f>SUM(C384:C385)</f>
        <v>100</v>
      </c>
      <c r="D387" s="164"/>
      <c r="E387" s="192"/>
      <c r="F387" s="123"/>
      <c r="G387" s="164"/>
      <c r="H387" s="194"/>
      <c r="I387" s="123"/>
      <c r="J387" s="164"/>
      <c r="K387" s="194"/>
      <c r="L387" s="123"/>
      <c r="N387" s="52"/>
      <c r="O387" s="52"/>
      <c r="P387" s="105"/>
      <c r="Q387" s="105"/>
      <c r="R387" s="105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</row>
    <row r="388" spans="1:35" hidden="1">
      <c r="A388" s="141" t="s">
        <v>251</v>
      </c>
      <c r="B388" s="141"/>
      <c r="C388" s="190">
        <f>12+1190</f>
        <v>1202</v>
      </c>
      <c r="D388" s="164"/>
      <c r="E388" s="192"/>
      <c r="F388" s="123"/>
      <c r="G388" s="164"/>
      <c r="H388" s="194"/>
      <c r="I388" s="123"/>
      <c r="J388" s="164"/>
      <c r="K388" s="194"/>
      <c r="L388" s="123"/>
      <c r="N388" s="52"/>
      <c r="O388" s="52"/>
      <c r="P388" s="105"/>
      <c r="Q388" s="105"/>
      <c r="R388" s="105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</row>
    <row r="389" spans="1:35" hidden="1">
      <c r="A389" s="141" t="s">
        <v>230</v>
      </c>
      <c r="B389" s="141"/>
      <c r="C389" s="190">
        <v>12658</v>
      </c>
      <c r="D389" s="207">
        <v>2.98</v>
      </c>
      <c r="E389" s="194"/>
      <c r="F389" s="123">
        <f>ROUND(D389*$C389,0)</f>
        <v>37721</v>
      </c>
      <c r="G389" s="207">
        <f>$G$158</f>
        <v>3.35</v>
      </c>
      <c r="H389" s="194"/>
      <c r="I389" s="123">
        <f>ROUND(G389*C389,0)</f>
        <v>42404</v>
      </c>
      <c r="J389" s="207">
        <f>$J$158</f>
        <v>3.4</v>
      </c>
      <c r="K389" s="194"/>
      <c r="L389" s="123">
        <f>ROUND(J389*$C389,0)</f>
        <v>43037</v>
      </c>
      <c r="N389" s="52"/>
      <c r="O389" s="52"/>
      <c r="P389" s="105"/>
      <c r="Q389" s="105"/>
      <c r="R389" s="105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</row>
    <row r="390" spans="1:35" hidden="1">
      <c r="A390" s="141" t="s">
        <v>231</v>
      </c>
      <c r="B390" s="141"/>
      <c r="C390" s="190">
        <f>4404+170213</f>
        <v>174617</v>
      </c>
      <c r="D390" s="166">
        <v>8.5489999999999995</v>
      </c>
      <c r="E390" s="194" t="s">
        <v>210</v>
      </c>
      <c r="F390" s="123">
        <f>ROUND(D390*$C390/100,0)</f>
        <v>14928</v>
      </c>
      <c r="G390" s="166">
        <f>$G$159</f>
        <v>9.6240000000000006</v>
      </c>
      <c r="H390" s="194" t="s">
        <v>210</v>
      </c>
      <c r="I390" s="123">
        <f>ROUND(G390*C390/100,0)</f>
        <v>16805</v>
      </c>
      <c r="J390" s="166">
        <f>$J$159</f>
        <v>9.766</v>
      </c>
      <c r="K390" s="194" t="s">
        <v>210</v>
      </c>
      <c r="L390" s="123">
        <f>ROUND(J390*$C390/100,0)</f>
        <v>17053</v>
      </c>
      <c r="N390" s="52"/>
      <c r="O390" s="52"/>
      <c r="P390" s="105"/>
      <c r="Q390" s="105"/>
      <c r="R390" s="105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</row>
    <row r="391" spans="1:35" hidden="1">
      <c r="A391" s="141" t="s">
        <v>232</v>
      </c>
      <c r="B391" s="141"/>
      <c r="C391" s="190">
        <f>687+166483</f>
        <v>167170</v>
      </c>
      <c r="D391" s="166">
        <v>5.9020000000000001</v>
      </c>
      <c r="E391" s="194" t="s">
        <v>210</v>
      </c>
      <c r="F391" s="123">
        <f>ROUND(D391*$C391/100,0)</f>
        <v>9866</v>
      </c>
      <c r="G391" s="166">
        <f>$G$189</f>
        <v>6.6450000000000005</v>
      </c>
      <c r="H391" s="194" t="s">
        <v>210</v>
      </c>
      <c r="I391" s="123">
        <f t="shared" ref="I391:I393" si="59">ROUND(G391*C391/100,0)</f>
        <v>11108</v>
      </c>
      <c r="J391" s="166">
        <f>$J$160</f>
        <v>6.7460000000000004</v>
      </c>
      <c r="K391" s="194" t="s">
        <v>210</v>
      </c>
      <c r="L391" s="123">
        <f>ROUND(J391*$C391/100,0)</f>
        <v>11277</v>
      </c>
      <c r="N391" s="52"/>
      <c r="O391" s="52"/>
      <c r="P391" s="105"/>
      <c r="Q391" s="105"/>
      <c r="R391" s="105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</row>
    <row r="392" spans="1:35" hidden="1">
      <c r="A392" s="141" t="s">
        <v>233</v>
      </c>
      <c r="B392" s="141"/>
      <c r="C392" s="190">
        <v>3640</v>
      </c>
      <c r="D392" s="166">
        <v>5.0839999999999996</v>
      </c>
      <c r="E392" s="194" t="s">
        <v>210</v>
      </c>
      <c r="F392" s="123">
        <f>ROUND(D392*$C392/100,0)</f>
        <v>185</v>
      </c>
      <c r="G392" s="166">
        <f>$G$161</f>
        <v>5.7249999999999996</v>
      </c>
      <c r="H392" s="194" t="s">
        <v>210</v>
      </c>
      <c r="I392" s="123">
        <f t="shared" si="59"/>
        <v>208</v>
      </c>
      <c r="J392" s="166">
        <f>$J$161</f>
        <v>5.8120000000000003</v>
      </c>
      <c r="K392" s="194" t="s">
        <v>210</v>
      </c>
      <c r="L392" s="123">
        <f>ROUND(J392*$C392/100,0)</f>
        <v>212</v>
      </c>
      <c r="N392" s="52"/>
      <c r="O392" s="52"/>
      <c r="P392" s="105"/>
      <c r="Q392" s="105"/>
      <c r="R392" s="105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</row>
    <row r="393" spans="1:35" hidden="1">
      <c r="A393" s="141" t="s">
        <v>234</v>
      </c>
      <c r="B393" s="141"/>
      <c r="C393" s="190">
        <v>1819</v>
      </c>
      <c r="D393" s="200">
        <v>50</v>
      </c>
      <c r="E393" s="192" t="s">
        <v>210</v>
      </c>
      <c r="F393" s="123">
        <f>ROUND(D393*$C393/100,0)</f>
        <v>910</v>
      </c>
      <c r="G393" s="200">
        <f>$G$162</f>
        <v>56</v>
      </c>
      <c r="H393" s="194" t="s">
        <v>210</v>
      </c>
      <c r="I393" s="123">
        <f t="shared" si="59"/>
        <v>1019</v>
      </c>
      <c r="J393" s="200">
        <f>$J$162</f>
        <v>56</v>
      </c>
      <c r="K393" s="194" t="s">
        <v>210</v>
      </c>
      <c r="L393" s="123">
        <f>ROUND(J393*$C393/100,0)</f>
        <v>1019</v>
      </c>
      <c r="N393" s="52"/>
      <c r="O393" s="52"/>
      <c r="P393" s="105"/>
      <c r="Q393" s="105"/>
      <c r="R393" s="105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</row>
    <row r="394" spans="1:35" hidden="1">
      <c r="A394" s="201" t="s">
        <v>235</v>
      </c>
      <c r="B394" s="141"/>
      <c r="C394" s="190"/>
      <c r="D394" s="202">
        <v>-0.01</v>
      </c>
      <c r="E394" s="192"/>
      <c r="F394" s="123"/>
      <c r="G394" s="202">
        <v>-0.01</v>
      </c>
      <c r="H394" s="194"/>
      <c r="I394" s="123"/>
      <c r="J394" s="202">
        <v>-0.01</v>
      </c>
      <c r="K394" s="194"/>
      <c r="L394" s="123"/>
      <c r="N394" s="52"/>
      <c r="O394" s="52"/>
      <c r="P394" s="105"/>
      <c r="Q394" s="105"/>
      <c r="R394" s="105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</row>
    <row r="395" spans="1:35" hidden="1">
      <c r="A395" s="141" t="s">
        <v>225</v>
      </c>
      <c r="B395" s="141"/>
      <c r="C395" s="190">
        <v>0</v>
      </c>
      <c r="D395" s="204">
        <v>91.679999999999993</v>
      </c>
      <c r="E395" s="192"/>
      <c r="F395" s="123">
        <f>-ROUND(D395*$C395/100,0)</f>
        <v>0</v>
      </c>
      <c r="G395" s="204">
        <f>G384</f>
        <v>103.19999999999999</v>
      </c>
      <c r="H395" s="192"/>
      <c r="I395" s="123">
        <f>-ROUND(G395*$C395/100,0)</f>
        <v>0</v>
      </c>
      <c r="J395" s="204">
        <f>J384</f>
        <v>104.52000000000001</v>
      </c>
      <c r="K395" s="192"/>
      <c r="L395" s="123">
        <f>-ROUND(J395*$C395/100,0)</f>
        <v>0</v>
      </c>
      <c r="N395" s="52"/>
      <c r="O395" s="52"/>
      <c r="P395" s="105"/>
      <c r="Q395" s="105"/>
      <c r="R395" s="105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</row>
    <row r="396" spans="1:35" hidden="1">
      <c r="A396" s="141" t="s">
        <v>226</v>
      </c>
      <c r="B396" s="141"/>
      <c r="C396" s="190">
        <v>0</v>
      </c>
      <c r="D396" s="204">
        <v>136.32</v>
      </c>
      <c r="E396" s="192"/>
      <c r="F396" s="123">
        <f>-ROUND(D396*$C396/100,0)</f>
        <v>0</v>
      </c>
      <c r="G396" s="204">
        <f>G385</f>
        <v>153.47999999999999</v>
      </c>
      <c r="H396" s="192"/>
      <c r="I396" s="123">
        <f t="shared" ref="I396:I398" si="60">-ROUND(G396*$C396/100,0)</f>
        <v>0</v>
      </c>
      <c r="J396" s="204">
        <f>J385</f>
        <v>155.76</v>
      </c>
      <c r="K396" s="192"/>
      <c r="L396" s="123">
        <f>-ROUND(J396*$C396/100,0)</f>
        <v>0</v>
      </c>
      <c r="N396" s="52"/>
      <c r="O396" s="52"/>
      <c r="P396" s="105"/>
      <c r="Q396" s="105"/>
      <c r="R396" s="105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</row>
    <row r="397" spans="1:35" hidden="1">
      <c r="A397" s="141" t="s">
        <v>236</v>
      </c>
      <c r="B397" s="141"/>
      <c r="C397" s="190">
        <v>0</v>
      </c>
      <c r="D397" s="204">
        <v>9.66</v>
      </c>
      <c r="E397" s="192"/>
      <c r="F397" s="123">
        <f>-ROUND(D397*$C397/100,0)</f>
        <v>0</v>
      </c>
      <c r="G397" s="204">
        <f>G386</f>
        <v>10.92</v>
      </c>
      <c r="H397" s="192"/>
      <c r="I397" s="123">
        <f t="shared" si="60"/>
        <v>0</v>
      </c>
      <c r="J397" s="204">
        <f>J386</f>
        <v>11.040000000000001</v>
      </c>
      <c r="K397" s="192"/>
      <c r="L397" s="123">
        <f>-ROUND(J397*$C397/100,0)</f>
        <v>0</v>
      </c>
      <c r="N397" s="52"/>
      <c r="O397" s="52"/>
      <c r="P397" s="105"/>
      <c r="Q397" s="105"/>
      <c r="R397" s="105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</row>
    <row r="398" spans="1:35" hidden="1">
      <c r="A398" s="141" t="s">
        <v>237</v>
      </c>
      <c r="B398" s="141"/>
      <c r="C398" s="190">
        <v>0</v>
      </c>
      <c r="D398" s="204">
        <v>2.98</v>
      </c>
      <c r="E398" s="194"/>
      <c r="F398" s="123">
        <f>-ROUND(D398*$C398/100,0)</f>
        <v>0</v>
      </c>
      <c r="G398" s="204">
        <f>G389</f>
        <v>3.35</v>
      </c>
      <c r="H398" s="194"/>
      <c r="I398" s="123">
        <f t="shared" si="60"/>
        <v>0</v>
      </c>
      <c r="J398" s="204">
        <f>J389</f>
        <v>3.4</v>
      </c>
      <c r="K398" s="194"/>
      <c r="L398" s="123">
        <f>-ROUND(J398*$C398/100,0)</f>
        <v>0</v>
      </c>
      <c r="N398" s="52"/>
      <c r="O398" s="52"/>
      <c r="P398" s="105"/>
      <c r="Q398" s="105"/>
      <c r="R398" s="105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</row>
    <row r="399" spans="1:35" hidden="1">
      <c r="A399" s="141" t="s">
        <v>238</v>
      </c>
      <c r="B399" s="141"/>
      <c r="C399" s="190">
        <v>0</v>
      </c>
      <c r="D399" s="205">
        <v>8.5489999999999995</v>
      </c>
      <c r="E399" s="194" t="s">
        <v>210</v>
      </c>
      <c r="F399" s="123">
        <f>ROUND(D399*$C399/100*D394,0)</f>
        <v>0</v>
      </c>
      <c r="G399" s="205">
        <f>G390</f>
        <v>9.6240000000000006</v>
      </c>
      <c r="H399" s="194" t="s">
        <v>210</v>
      </c>
      <c r="I399" s="123">
        <f>ROUND(G399*$C399/100*G394,0)</f>
        <v>0</v>
      </c>
      <c r="J399" s="205">
        <f>J390</f>
        <v>9.766</v>
      </c>
      <c r="K399" s="194" t="s">
        <v>210</v>
      </c>
      <c r="L399" s="123">
        <f>ROUND(J399*$C399/100*J394,0)</f>
        <v>0</v>
      </c>
      <c r="N399" s="52"/>
      <c r="O399" s="52"/>
      <c r="P399" s="105"/>
      <c r="Q399" s="105"/>
      <c r="R399" s="105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</row>
    <row r="400" spans="1:35" hidden="1">
      <c r="A400" s="141" t="s">
        <v>232</v>
      </c>
      <c r="B400" s="141"/>
      <c r="C400" s="190">
        <v>0</v>
      </c>
      <c r="D400" s="205">
        <v>5.9020000000000001</v>
      </c>
      <c r="E400" s="194" t="s">
        <v>210</v>
      </c>
      <c r="F400" s="123">
        <f>ROUND(D400*$C400/100*D394,0)</f>
        <v>0</v>
      </c>
      <c r="G400" s="205">
        <f>G391</f>
        <v>6.6450000000000005</v>
      </c>
      <c r="H400" s="194" t="s">
        <v>210</v>
      </c>
      <c r="I400" s="123">
        <f>ROUND(G400*$C400/100*G394,0)</f>
        <v>0</v>
      </c>
      <c r="J400" s="205">
        <f>J391</f>
        <v>6.7460000000000004</v>
      </c>
      <c r="K400" s="194" t="s">
        <v>210</v>
      </c>
      <c r="L400" s="123">
        <f>ROUND(J400*$C400/100*J394,0)</f>
        <v>0</v>
      </c>
      <c r="N400" s="52"/>
      <c r="O400" s="52"/>
      <c r="P400" s="105"/>
      <c r="Q400" s="105"/>
      <c r="R400" s="105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</row>
    <row r="401" spans="1:35" hidden="1">
      <c r="A401" s="141" t="s">
        <v>233</v>
      </c>
      <c r="B401" s="141"/>
      <c r="C401" s="190">
        <v>0</v>
      </c>
      <c r="D401" s="205">
        <v>5.0839999999999996</v>
      </c>
      <c r="E401" s="194" t="s">
        <v>210</v>
      </c>
      <c r="F401" s="123">
        <f>ROUND(D401*$C401/100*D394,0)</f>
        <v>0</v>
      </c>
      <c r="G401" s="205">
        <f>G392</f>
        <v>5.7249999999999996</v>
      </c>
      <c r="H401" s="194" t="s">
        <v>210</v>
      </c>
      <c r="I401" s="123">
        <f>ROUND(G401*$C401/100*G394,0)</f>
        <v>0</v>
      </c>
      <c r="J401" s="205">
        <f>J392</f>
        <v>5.8120000000000003</v>
      </c>
      <c r="K401" s="194" t="s">
        <v>210</v>
      </c>
      <c r="L401" s="123">
        <f>ROUND(J401*$C401/100*J394,0)</f>
        <v>0</v>
      </c>
      <c r="N401" s="52"/>
      <c r="O401" s="52"/>
      <c r="P401" s="105"/>
      <c r="Q401" s="105"/>
      <c r="R401" s="105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</row>
    <row r="402" spans="1:35" hidden="1">
      <c r="A402" s="141" t="s">
        <v>234</v>
      </c>
      <c r="B402" s="141"/>
      <c r="C402" s="190">
        <v>0</v>
      </c>
      <c r="D402" s="206">
        <v>50</v>
      </c>
      <c r="E402" s="194" t="s">
        <v>210</v>
      </c>
      <c r="F402" s="123">
        <f>ROUND(D402*$C402/100*D394,0)</f>
        <v>0</v>
      </c>
      <c r="G402" s="206">
        <f>G393</f>
        <v>56</v>
      </c>
      <c r="H402" s="194" t="s">
        <v>210</v>
      </c>
      <c r="I402" s="123">
        <f>ROUND(G402*$C402/100*G394,0)</f>
        <v>0</v>
      </c>
      <c r="J402" s="206">
        <f>J393</f>
        <v>56</v>
      </c>
      <c r="K402" s="194" t="s">
        <v>210</v>
      </c>
      <c r="L402" s="123">
        <f>ROUND(J402*$C402/100*J394,0)</f>
        <v>0</v>
      </c>
      <c r="N402" s="52"/>
      <c r="O402" s="52"/>
      <c r="P402" s="105"/>
      <c r="Q402" s="105"/>
      <c r="R402" s="105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</row>
    <row r="403" spans="1:35" hidden="1">
      <c r="A403" s="141" t="s">
        <v>239</v>
      </c>
      <c r="B403" s="141"/>
      <c r="C403" s="190">
        <v>0</v>
      </c>
      <c r="D403" s="207">
        <v>60</v>
      </c>
      <c r="E403" s="192"/>
      <c r="F403" s="123">
        <f>ROUND(D403*$C403,0)</f>
        <v>0</v>
      </c>
      <c r="G403" s="207">
        <f>$D$172</f>
        <v>60</v>
      </c>
      <c r="H403" s="194"/>
      <c r="I403" s="123">
        <f>ROUND(G403*C403,0)</f>
        <v>0</v>
      </c>
      <c r="J403" s="207">
        <f>$J$172</f>
        <v>60</v>
      </c>
      <c r="K403" s="194"/>
      <c r="L403" s="123">
        <f>ROUND(J403*$C403,0)</f>
        <v>0</v>
      </c>
      <c r="N403" s="52"/>
      <c r="O403" s="52"/>
      <c r="P403" s="105"/>
      <c r="Q403" s="105"/>
      <c r="R403" s="105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</row>
    <row r="404" spans="1:35" hidden="1">
      <c r="A404" s="141" t="s">
        <v>240</v>
      </c>
      <c r="B404" s="141"/>
      <c r="C404" s="190">
        <v>0</v>
      </c>
      <c r="D404" s="208">
        <v>-30</v>
      </c>
      <c r="E404" s="192" t="s">
        <v>210</v>
      </c>
      <c r="F404" s="123">
        <f>ROUND(D404*$C404/100,0)</f>
        <v>0</v>
      </c>
      <c r="G404" s="208">
        <f>$D$173</f>
        <v>-30</v>
      </c>
      <c r="H404" s="194" t="s">
        <v>210</v>
      </c>
      <c r="I404" s="123">
        <f>ROUND(G404*C404/100,0)</f>
        <v>0</v>
      </c>
      <c r="J404" s="208">
        <f>$J$173</f>
        <v>-30</v>
      </c>
      <c r="K404" s="194" t="s">
        <v>210</v>
      </c>
      <c r="L404" s="123">
        <f>ROUND(J404*$C404/100,0)</f>
        <v>0</v>
      </c>
      <c r="N404" s="52"/>
      <c r="O404" s="52"/>
      <c r="P404" s="105"/>
      <c r="Q404" s="105"/>
      <c r="R404" s="105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</row>
    <row r="405" spans="1:35" hidden="1">
      <c r="A405" s="141" t="s">
        <v>215</v>
      </c>
      <c r="B405" s="141"/>
      <c r="C405" s="190">
        <f>SUM(C390:C392)</f>
        <v>345427</v>
      </c>
      <c r="D405" s="200"/>
      <c r="E405" s="123"/>
      <c r="F405" s="123">
        <f>SUM(F384:F404)</f>
        <v>113684</v>
      </c>
      <c r="G405" s="200"/>
      <c r="H405" s="194"/>
      <c r="I405" s="123">
        <f>SUM(I384:I404)</f>
        <v>128087</v>
      </c>
      <c r="J405" s="200"/>
      <c r="K405" s="194"/>
      <c r="L405" s="123">
        <f>SUM(L384:L404)</f>
        <v>129821</v>
      </c>
      <c r="N405" s="52"/>
      <c r="O405" s="52"/>
      <c r="P405" s="105"/>
      <c r="Q405" s="105"/>
      <c r="R405" s="105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</row>
    <row r="406" spans="1:35" hidden="1">
      <c r="A406" s="141" t="s">
        <v>197</v>
      </c>
      <c r="B406" s="141"/>
      <c r="C406" s="227">
        <v>-4447.1818573971195</v>
      </c>
      <c r="D406" s="175"/>
      <c r="E406" s="175"/>
      <c r="F406" s="211">
        <v>-1131.4126097524352</v>
      </c>
      <c r="G406" s="175"/>
      <c r="H406" s="175"/>
      <c r="I406" s="211">
        <f>F406</f>
        <v>-1131.4126097524352</v>
      </c>
      <c r="J406" s="175"/>
      <c r="K406" s="175"/>
      <c r="L406" s="211">
        <f>F406</f>
        <v>-1131.4126097524352</v>
      </c>
      <c r="N406" s="156"/>
      <c r="O406" s="156"/>
      <c r="P406" s="154"/>
      <c r="Q406" s="105"/>
      <c r="R406" s="105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</row>
    <row r="407" spans="1:35" ht="16.5" hidden="1" thickBot="1">
      <c r="A407" s="141" t="s">
        <v>216</v>
      </c>
      <c r="B407" s="141"/>
      <c r="C407" s="177">
        <f>SUM(C405:C406)</f>
        <v>340979.81814260286</v>
      </c>
      <c r="D407" s="213"/>
      <c r="E407" s="214"/>
      <c r="F407" s="215">
        <f>F405+F406</f>
        <v>112552.58739024756</v>
      </c>
      <c r="G407" s="213"/>
      <c r="H407" s="216"/>
      <c r="I407" s="215">
        <f>I405+I406</f>
        <v>126955.58739024756</v>
      </c>
      <c r="J407" s="213"/>
      <c r="K407" s="216"/>
      <c r="L407" s="215">
        <f>L405+L406</f>
        <v>128689.58739024756</v>
      </c>
      <c r="N407" s="157"/>
      <c r="O407" s="157"/>
      <c r="P407" s="158"/>
      <c r="Q407" s="105"/>
      <c r="R407" s="105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</row>
    <row r="408" spans="1:35" hidden="1">
      <c r="A408" s="141"/>
      <c r="B408" s="141"/>
      <c r="C408" s="160"/>
      <c r="D408" s="207"/>
      <c r="E408" s="123"/>
      <c r="F408" s="123"/>
      <c r="G408" s="207"/>
      <c r="H408" s="141"/>
      <c r="I408" s="123"/>
      <c r="J408" s="232" t="s">
        <v>280</v>
      </c>
      <c r="K408" s="141"/>
      <c r="L408" s="123" t="s">
        <v>280</v>
      </c>
      <c r="N408" s="52"/>
      <c r="O408" s="52"/>
      <c r="P408" s="105"/>
      <c r="Q408" s="105"/>
      <c r="R408" s="105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</row>
    <row r="409" spans="1:35" hidden="1">
      <c r="A409" s="159" t="s">
        <v>249</v>
      </c>
      <c r="B409" s="141"/>
      <c r="C409" s="141"/>
      <c r="D409" s="123"/>
      <c r="E409" s="123"/>
      <c r="F409" s="141" t="s">
        <v>280</v>
      </c>
      <c r="G409" s="123"/>
      <c r="H409" s="141"/>
      <c r="I409" s="141"/>
      <c r="J409" s="123"/>
      <c r="K409" s="141"/>
      <c r="L409" s="141"/>
      <c r="N409" s="52"/>
      <c r="O409" s="52"/>
      <c r="P409" s="105"/>
      <c r="Q409" s="105"/>
      <c r="R409" s="105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</row>
    <row r="410" spans="1:35" hidden="1">
      <c r="A410" s="141" t="s">
        <v>246</v>
      </c>
      <c r="B410" s="141"/>
      <c r="C410" s="141"/>
      <c r="D410" s="123"/>
      <c r="E410" s="123"/>
      <c r="F410" s="141"/>
      <c r="G410" s="123"/>
      <c r="H410" s="141"/>
      <c r="I410" s="141"/>
      <c r="J410" s="123"/>
      <c r="K410" s="141"/>
      <c r="L410" s="141"/>
      <c r="N410" s="52"/>
      <c r="O410" s="52"/>
      <c r="P410" s="105"/>
      <c r="Q410" s="105"/>
      <c r="R410" s="105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</row>
    <row r="411" spans="1:35" hidden="1">
      <c r="A411" s="141" t="s">
        <v>250</v>
      </c>
      <c r="B411" s="141"/>
      <c r="C411" s="141"/>
      <c r="D411" s="123"/>
      <c r="E411" s="123"/>
      <c r="F411" s="141"/>
      <c r="G411" s="123"/>
      <c r="H411" s="141"/>
      <c r="I411" s="141"/>
      <c r="J411" s="123"/>
      <c r="K411" s="141"/>
      <c r="L411" s="141"/>
      <c r="N411" s="52"/>
      <c r="O411" s="52"/>
      <c r="P411" s="105"/>
      <c r="Q411" s="105"/>
      <c r="R411" s="105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</row>
    <row r="412" spans="1:35" hidden="1">
      <c r="A412" s="141" t="s">
        <v>228</v>
      </c>
      <c r="B412" s="141"/>
      <c r="C412" s="190"/>
      <c r="D412" s="123"/>
      <c r="E412" s="123"/>
      <c r="F412" s="141"/>
      <c r="G412" s="123"/>
      <c r="H412" s="141"/>
      <c r="I412" s="141"/>
      <c r="J412" s="123"/>
      <c r="K412" s="141"/>
      <c r="L412" s="141"/>
      <c r="N412" s="52"/>
      <c r="O412" s="52"/>
      <c r="P412" s="105"/>
      <c r="Q412" s="105"/>
      <c r="R412" s="105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</row>
    <row r="413" spans="1:35" hidden="1">
      <c r="A413" s="141" t="s">
        <v>225</v>
      </c>
      <c r="B413" s="141"/>
      <c r="C413" s="190">
        <v>0</v>
      </c>
      <c r="D413" s="164">
        <v>91.679999999999993</v>
      </c>
      <c r="E413" s="192"/>
      <c r="F413" s="123">
        <f>ROUND(D413*$C413,0)</f>
        <v>0</v>
      </c>
      <c r="G413" s="164">
        <f>$G$149</f>
        <v>103.19999999999999</v>
      </c>
      <c r="H413" s="194"/>
      <c r="I413" s="123">
        <f>ROUND(G413*$C413,0)</f>
        <v>0</v>
      </c>
      <c r="J413" s="164">
        <f>$J$149</f>
        <v>104.52000000000001</v>
      </c>
      <c r="K413" s="194"/>
      <c r="L413" s="123">
        <f>ROUND(J413*$C413,0)</f>
        <v>0</v>
      </c>
      <c r="N413" s="52"/>
      <c r="O413" s="52"/>
      <c r="P413" s="105"/>
      <c r="Q413" s="105"/>
      <c r="R413" s="105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</row>
    <row r="414" spans="1:35" hidden="1">
      <c r="A414" s="141" t="s">
        <v>226</v>
      </c>
      <c r="B414" s="141"/>
      <c r="C414" s="190">
        <v>1</v>
      </c>
      <c r="D414" s="164">
        <v>136.32</v>
      </c>
      <c r="E414" s="195"/>
      <c r="F414" s="123">
        <f>ROUND(D414*$C414,0)</f>
        <v>136</v>
      </c>
      <c r="G414" s="164">
        <f>$G$150</f>
        <v>153.47999999999999</v>
      </c>
      <c r="H414" s="196"/>
      <c r="I414" s="123">
        <f t="shared" ref="I414:I415" si="61">ROUND(G414*$C414,0)</f>
        <v>153</v>
      </c>
      <c r="J414" s="164">
        <f>$J$150</f>
        <v>155.76</v>
      </c>
      <c r="K414" s="196"/>
      <c r="L414" s="123">
        <f>ROUND(J414*$C414,0)</f>
        <v>156</v>
      </c>
      <c r="N414" s="52"/>
      <c r="O414" s="52"/>
      <c r="P414" s="105"/>
      <c r="Q414" s="105"/>
      <c r="R414" s="105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</row>
    <row r="415" spans="1:35" hidden="1">
      <c r="A415" s="141" t="s">
        <v>227</v>
      </c>
      <c r="B415" s="141"/>
      <c r="C415" s="190">
        <v>75</v>
      </c>
      <c r="D415" s="164">
        <v>9.66</v>
      </c>
      <c r="E415" s="195"/>
      <c r="F415" s="123">
        <f>ROUND(D415*$C415,0)</f>
        <v>725</v>
      </c>
      <c r="G415" s="164">
        <f>$G$151</f>
        <v>10.92</v>
      </c>
      <c r="H415" s="196"/>
      <c r="I415" s="123">
        <f t="shared" si="61"/>
        <v>819</v>
      </c>
      <c r="J415" s="164">
        <f>$J$151</f>
        <v>11.040000000000001</v>
      </c>
      <c r="K415" s="196"/>
      <c r="L415" s="123">
        <f>ROUND(J415*$C415,0)</f>
        <v>828</v>
      </c>
      <c r="N415" s="52"/>
      <c r="O415" s="52"/>
      <c r="P415" s="105"/>
      <c r="Q415" s="105"/>
      <c r="R415" s="105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</row>
    <row r="416" spans="1:35" hidden="1">
      <c r="A416" s="141" t="s">
        <v>229</v>
      </c>
      <c r="B416" s="141"/>
      <c r="C416" s="190">
        <f>SUM(C413:C414)</f>
        <v>1</v>
      </c>
      <c r="D416" s="164"/>
      <c r="E416" s="192"/>
      <c r="F416" s="123"/>
      <c r="G416" s="164"/>
      <c r="H416" s="194"/>
      <c r="I416" s="123"/>
      <c r="J416" s="164"/>
      <c r="K416" s="194"/>
      <c r="L416" s="123"/>
      <c r="N416" s="52"/>
      <c r="O416" s="52"/>
      <c r="P416" s="105"/>
      <c r="Q416" s="105"/>
      <c r="R416" s="105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</row>
    <row r="417" spans="1:35" hidden="1">
      <c r="A417" s="141" t="s">
        <v>251</v>
      </c>
      <c r="B417" s="141"/>
      <c r="C417" s="190">
        <v>12</v>
      </c>
      <c r="D417" s="164"/>
      <c r="E417" s="192"/>
      <c r="F417" s="123"/>
      <c r="G417" s="164"/>
      <c r="H417" s="194"/>
      <c r="I417" s="123"/>
      <c r="J417" s="164"/>
      <c r="K417" s="194"/>
      <c r="L417" s="123"/>
      <c r="N417" s="52"/>
      <c r="O417" s="52"/>
      <c r="P417" s="105"/>
      <c r="Q417" s="105"/>
      <c r="R417" s="105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</row>
    <row r="418" spans="1:35" hidden="1">
      <c r="A418" s="141" t="s">
        <v>230</v>
      </c>
      <c r="B418" s="141"/>
      <c r="C418" s="190">
        <v>278</v>
      </c>
      <c r="D418" s="207">
        <v>2.98</v>
      </c>
      <c r="E418" s="194"/>
      <c r="F418" s="123">
        <f>ROUND(D418*$C418,0)</f>
        <v>828</v>
      </c>
      <c r="G418" s="207">
        <f>$G$158</f>
        <v>3.35</v>
      </c>
      <c r="H418" s="194"/>
      <c r="I418" s="123">
        <f>ROUND(G418*C418,0)</f>
        <v>931</v>
      </c>
      <c r="J418" s="207">
        <f>$J$158</f>
        <v>3.4</v>
      </c>
      <c r="K418" s="194"/>
      <c r="L418" s="123">
        <f>ROUND(J418*$C418,0)</f>
        <v>945</v>
      </c>
      <c r="N418" s="52"/>
      <c r="O418" s="52"/>
      <c r="P418" s="105"/>
      <c r="Q418" s="105"/>
      <c r="R418" s="105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</row>
    <row r="419" spans="1:35" hidden="1">
      <c r="A419" s="141" t="s">
        <v>231</v>
      </c>
      <c r="B419" s="141"/>
      <c r="C419" s="190">
        <v>5296</v>
      </c>
      <c r="D419" s="166">
        <v>8.5489999999999995</v>
      </c>
      <c r="E419" s="194" t="s">
        <v>210</v>
      </c>
      <c r="F419" s="123">
        <f>ROUND(D419*$C419/100,0)</f>
        <v>453</v>
      </c>
      <c r="G419" s="166">
        <f>$G$159</f>
        <v>9.6240000000000006</v>
      </c>
      <c r="H419" s="194" t="s">
        <v>210</v>
      </c>
      <c r="I419" s="123">
        <f>ROUND(G419*C419/100,0)</f>
        <v>510</v>
      </c>
      <c r="J419" s="166">
        <f>$J$159</f>
        <v>9.766</v>
      </c>
      <c r="K419" s="194" t="s">
        <v>210</v>
      </c>
      <c r="L419" s="123">
        <f>ROUND(J419*$C419/100,0)</f>
        <v>517</v>
      </c>
      <c r="N419" s="52"/>
      <c r="O419" s="52"/>
      <c r="P419" s="105"/>
      <c r="Q419" s="105"/>
      <c r="R419" s="105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</row>
    <row r="420" spans="1:35" hidden="1">
      <c r="A420" s="141" t="s">
        <v>232</v>
      </c>
      <c r="B420" s="141"/>
      <c r="C420" s="190">
        <v>1741</v>
      </c>
      <c r="D420" s="166">
        <v>5.9020000000000001</v>
      </c>
      <c r="E420" s="194" t="s">
        <v>210</v>
      </c>
      <c r="F420" s="123">
        <f>ROUND(D420*$C420/100,0)</f>
        <v>103</v>
      </c>
      <c r="G420" s="166">
        <f>$G$189</f>
        <v>6.6450000000000005</v>
      </c>
      <c r="H420" s="194" t="s">
        <v>210</v>
      </c>
      <c r="I420" s="123">
        <f t="shared" ref="I420:I422" si="62">ROUND(G420*C420/100,0)</f>
        <v>116</v>
      </c>
      <c r="J420" s="166">
        <f>$J$160</f>
        <v>6.7460000000000004</v>
      </c>
      <c r="K420" s="194" t="s">
        <v>210</v>
      </c>
      <c r="L420" s="123">
        <f>ROUND(J420*$C420/100,0)</f>
        <v>117</v>
      </c>
      <c r="N420" s="52"/>
      <c r="O420" s="52"/>
      <c r="P420" s="105"/>
      <c r="Q420" s="105"/>
      <c r="R420" s="105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</row>
    <row r="421" spans="1:35" hidden="1">
      <c r="A421" s="141" t="s">
        <v>233</v>
      </c>
      <c r="B421" s="141"/>
      <c r="C421" s="190">
        <v>0</v>
      </c>
      <c r="D421" s="166">
        <v>5.0839999999999996</v>
      </c>
      <c r="E421" s="194" t="s">
        <v>210</v>
      </c>
      <c r="F421" s="123">
        <f>ROUND(D421*$C421/100,0)</f>
        <v>0</v>
      </c>
      <c r="G421" s="166">
        <f>$G$161</f>
        <v>5.7249999999999996</v>
      </c>
      <c r="H421" s="194" t="s">
        <v>210</v>
      </c>
      <c r="I421" s="123">
        <f t="shared" si="62"/>
        <v>0</v>
      </c>
      <c r="J421" s="166">
        <f>$J$161</f>
        <v>5.8120000000000003</v>
      </c>
      <c r="K421" s="194" t="s">
        <v>210</v>
      </c>
      <c r="L421" s="123">
        <f>ROUND(J421*$C421/100,0)</f>
        <v>0</v>
      </c>
      <c r="N421" s="52"/>
      <c r="O421" s="52"/>
      <c r="P421" s="105"/>
      <c r="Q421" s="105"/>
      <c r="R421" s="105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</row>
    <row r="422" spans="1:35" hidden="1">
      <c r="A422" s="141" t="s">
        <v>234</v>
      </c>
      <c r="B422" s="141"/>
      <c r="C422" s="190">
        <v>0</v>
      </c>
      <c r="D422" s="200">
        <v>50</v>
      </c>
      <c r="E422" s="192" t="s">
        <v>210</v>
      </c>
      <c r="F422" s="123">
        <f>ROUND(D422*$C422/100,0)</f>
        <v>0</v>
      </c>
      <c r="G422" s="200">
        <f>$G$162</f>
        <v>56</v>
      </c>
      <c r="H422" s="194" t="s">
        <v>210</v>
      </c>
      <c r="I422" s="123">
        <f t="shared" si="62"/>
        <v>0</v>
      </c>
      <c r="J422" s="200">
        <f>$J$162</f>
        <v>56</v>
      </c>
      <c r="K422" s="194" t="s">
        <v>210</v>
      </c>
      <c r="L422" s="123">
        <f>ROUND(J422*$C422/100,0)</f>
        <v>0</v>
      </c>
      <c r="N422" s="52"/>
      <c r="O422" s="52"/>
      <c r="P422" s="105"/>
      <c r="Q422" s="105"/>
      <c r="R422" s="105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</row>
    <row r="423" spans="1:35" hidden="1">
      <c r="A423" s="201" t="s">
        <v>235</v>
      </c>
      <c r="B423" s="141"/>
      <c r="C423" s="190"/>
      <c r="D423" s="202">
        <v>-0.01</v>
      </c>
      <c r="E423" s="192"/>
      <c r="F423" s="123"/>
      <c r="G423" s="202">
        <v>-0.01</v>
      </c>
      <c r="H423" s="194"/>
      <c r="I423" s="123"/>
      <c r="J423" s="202">
        <v>-0.01</v>
      </c>
      <c r="K423" s="194"/>
      <c r="L423" s="123"/>
      <c r="N423" s="52"/>
      <c r="O423" s="52"/>
      <c r="P423" s="105"/>
      <c r="Q423" s="105"/>
      <c r="R423" s="105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</row>
    <row r="424" spans="1:35" hidden="1">
      <c r="A424" s="141" t="s">
        <v>225</v>
      </c>
      <c r="B424" s="141"/>
      <c r="C424" s="190">
        <v>0</v>
      </c>
      <c r="D424" s="204">
        <v>91.679999999999993</v>
      </c>
      <c r="E424" s="192"/>
      <c r="F424" s="123">
        <f>-ROUND(D424*$C424/100,0)</f>
        <v>0</v>
      </c>
      <c r="G424" s="204">
        <f>G413</f>
        <v>103.19999999999999</v>
      </c>
      <c r="H424" s="192"/>
      <c r="I424" s="123">
        <f>-ROUND(G424*$C424/100,0)</f>
        <v>0</v>
      </c>
      <c r="J424" s="204">
        <f>J413</f>
        <v>104.52000000000001</v>
      </c>
      <c r="K424" s="192"/>
      <c r="L424" s="123">
        <f>-ROUND(J424*$C424/100,0)</f>
        <v>0</v>
      </c>
      <c r="N424" s="52"/>
      <c r="O424" s="52"/>
      <c r="P424" s="105"/>
      <c r="Q424" s="105"/>
      <c r="R424" s="105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</row>
    <row r="425" spans="1:35" hidden="1">
      <c r="A425" s="141" t="s">
        <v>226</v>
      </c>
      <c r="B425" s="141"/>
      <c r="C425" s="190">
        <v>0</v>
      </c>
      <c r="D425" s="204">
        <v>136.32</v>
      </c>
      <c r="E425" s="192"/>
      <c r="F425" s="123">
        <f>-ROUND(D425*$C425/100,0)</f>
        <v>0</v>
      </c>
      <c r="G425" s="204">
        <f>G414</f>
        <v>153.47999999999999</v>
      </c>
      <c r="H425" s="192"/>
      <c r="I425" s="123">
        <f t="shared" ref="I425:I427" si="63">-ROUND(G425*$C425/100,0)</f>
        <v>0</v>
      </c>
      <c r="J425" s="204">
        <f>J414</f>
        <v>155.76</v>
      </c>
      <c r="K425" s="192"/>
      <c r="L425" s="123">
        <f>-ROUND(J425*$C425/100,0)</f>
        <v>0</v>
      </c>
      <c r="N425" s="52"/>
      <c r="O425" s="52"/>
      <c r="P425" s="105"/>
      <c r="Q425" s="105"/>
      <c r="R425" s="105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</row>
    <row r="426" spans="1:35" hidden="1">
      <c r="A426" s="141" t="s">
        <v>236</v>
      </c>
      <c r="B426" s="141"/>
      <c r="C426" s="190">
        <v>0</v>
      </c>
      <c r="D426" s="204">
        <v>9.66</v>
      </c>
      <c r="E426" s="192"/>
      <c r="F426" s="123">
        <f>-ROUND(D426*$C426/100,0)</f>
        <v>0</v>
      </c>
      <c r="G426" s="204">
        <f>G415</f>
        <v>10.92</v>
      </c>
      <c r="H426" s="192"/>
      <c r="I426" s="123">
        <f t="shared" si="63"/>
        <v>0</v>
      </c>
      <c r="J426" s="204">
        <f>J415</f>
        <v>11.040000000000001</v>
      </c>
      <c r="K426" s="192"/>
      <c r="L426" s="123">
        <f>-ROUND(J426*$C426/100,0)</f>
        <v>0</v>
      </c>
      <c r="N426" s="52"/>
      <c r="O426" s="52"/>
      <c r="P426" s="105"/>
      <c r="Q426" s="105"/>
      <c r="R426" s="105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</row>
    <row r="427" spans="1:35" hidden="1">
      <c r="A427" s="141" t="s">
        <v>237</v>
      </c>
      <c r="B427" s="141"/>
      <c r="C427" s="190">
        <v>0</v>
      </c>
      <c r="D427" s="204">
        <v>2.98</v>
      </c>
      <c r="E427" s="194"/>
      <c r="F427" s="123">
        <f>-ROUND(D427*$C427/100,0)</f>
        <v>0</v>
      </c>
      <c r="G427" s="204">
        <f>G418</f>
        <v>3.35</v>
      </c>
      <c r="H427" s="194"/>
      <c r="I427" s="123">
        <f t="shared" si="63"/>
        <v>0</v>
      </c>
      <c r="J427" s="204">
        <f>J418</f>
        <v>3.4</v>
      </c>
      <c r="K427" s="194"/>
      <c r="L427" s="123">
        <f>-ROUND(J427*$C427/100,0)</f>
        <v>0</v>
      </c>
      <c r="N427" s="52"/>
      <c r="O427" s="52"/>
      <c r="P427" s="105"/>
      <c r="Q427" s="105"/>
      <c r="R427" s="105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</row>
    <row r="428" spans="1:35" hidden="1">
      <c r="A428" s="141" t="s">
        <v>238</v>
      </c>
      <c r="B428" s="141"/>
      <c r="C428" s="190">
        <v>0</v>
      </c>
      <c r="D428" s="205">
        <v>8.5489999999999995</v>
      </c>
      <c r="E428" s="194" t="s">
        <v>210</v>
      </c>
      <c r="F428" s="123">
        <f>ROUND(D428*$C428/100*D423,0)</f>
        <v>0</v>
      </c>
      <c r="G428" s="205">
        <f>G419</f>
        <v>9.6240000000000006</v>
      </c>
      <c r="H428" s="194" t="s">
        <v>210</v>
      </c>
      <c r="I428" s="123">
        <f>ROUND(G428*$C428/100*G423,0)</f>
        <v>0</v>
      </c>
      <c r="J428" s="205">
        <f>J419</f>
        <v>9.766</v>
      </c>
      <c r="K428" s="194" t="s">
        <v>210</v>
      </c>
      <c r="L428" s="123">
        <f>ROUND(J428*$C428/100*J423,0)</f>
        <v>0</v>
      </c>
      <c r="N428" s="52"/>
      <c r="O428" s="52"/>
      <c r="P428" s="105"/>
      <c r="Q428" s="105"/>
      <c r="R428" s="105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</row>
    <row r="429" spans="1:35" hidden="1">
      <c r="A429" s="141" t="s">
        <v>232</v>
      </c>
      <c r="B429" s="141"/>
      <c r="C429" s="190">
        <v>0</v>
      </c>
      <c r="D429" s="205">
        <v>5.9020000000000001</v>
      </c>
      <c r="E429" s="194" t="s">
        <v>210</v>
      </c>
      <c r="F429" s="123">
        <f>ROUND(D429*$C429/100*D423,0)</f>
        <v>0</v>
      </c>
      <c r="G429" s="205">
        <f>G420</f>
        <v>6.6450000000000005</v>
      </c>
      <c r="H429" s="194" t="s">
        <v>210</v>
      </c>
      <c r="I429" s="123">
        <f>ROUND(G429*$C429/100*G423,0)</f>
        <v>0</v>
      </c>
      <c r="J429" s="205">
        <f>J420</f>
        <v>6.7460000000000004</v>
      </c>
      <c r="K429" s="194" t="s">
        <v>210</v>
      </c>
      <c r="L429" s="123">
        <f>ROUND(J429*$C429/100*J423,0)</f>
        <v>0</v>
      </c>
      <c r="N429" s="52"/>
      <c r="O429" s="52"/>
      <c r="P429" s="105"/>
      <c r="Q429" s="105"/>
      <c r="R429" s="105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</row>
    <row r="430" spans="1:35" hidden="1">
      <c r="A430" s="141" t="s">
        <v>233</v>
      </c>
      <c r="B430" s="141"/>
      <c r="C430" s="190">
        <v>0</v>
      </c>
      <c r="D430" s="205">
        <v>5.0839999999999996</v>
      </c>
      <c r="E430" s="194" t="s">
        <v>210</v>
      </c>
      <c r="F430" s="123">
        <f>ROUND(D430*$C430/100*D423,0)</f>
        <v>0</v>
      </c>
      <c r="G430" s="205">
        <f>G421</f>
        <v>5.7249999999999996</v>
      </c>
      <c r="H430" s="194" t="s">
        <v>210</v>
      </c>
      <c r="I430" s="123">
        <f>ROUND(G430*$C430/100*G423,0)</f>
        <v>0</v>
      </c>
      <c r="J430" s="205">
        <f>J421</f>
        <v>5.8120000000000003</v>
      </c>
      <c r="K430" s="194" t="s">
        <v>210</v>
      </c>
      <c r="L430" s="123">
        <f>ROUND(J430*$C430/100*J423,0)</f>
        <v>0</v>
      </c>
      <c r="N430" s="52"/>
      <c r="O430" s="52"/>
      <c r="P430" s="105"/>
      <c r="Q430" s="105"/>
      <c r="R430" s="105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</row>
    <row r="431" spans="1:35" hidden="1">
      <c r="A431" s="141" t="s">
        <v>234</v>
      </c>
      <c r="B431" s="141"/>
      <c r="C431" s="190">
        <v>0</v>
      </c>
      <c r="D431" s="206">
        <v>50</v>
      </c>
      <c r="E431" s="194" t="s">
        <v>210</v>
      </c>
      <c r="F431" s="123">
        <f>ROUND(D431*$C431/100*D423,0)</f>
        <v>0</v>
      </c>
      <c r="G431" s="206">
        <f>G422</f>
        <v>56</v>
      </c>
      <c r="H431" s="194" t="s">
        <v>210</v>
      </c>
      <c r="I431" s="123">
        <f>ROUND(G431*$C431/100*G423,0)</f>
        <v>0</v>
      </c>
      <c r="J431" s="206">
        <f>J422</f>
        <v>56</v>
      </c>
      <c r="K431" s="194" t="s">
        <v>210</v>
      </c>
      <c r="L431" s="123">
        <f>ROUND(J431*$C431/100*J423,0)</f>
        <v>0</v>
      </c>
      <c r="N431" s="52"/>
      <c r="O431" s="52"/>
      <c r="P431" s="105"/>
      <c r="Q431" s="105"/>
      <c r="R431" s="105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</row>
    <row r="432" spans="1:35" hidden="1">
      <c r="A432" s="141" t="s">
        <v>239</v>
      </c>
      <c r="B432" s="141"/>
      <c r="C432" s="190">
        <v>0</v>
      </c>
      <c r="D432" s="207">
        <v>60</v>
      </c>
      <c r="E432" s="192"/>
      <c r="F432" s="123">
        <f>ROUND(D432*$C432,0)</f>
        <v>0</v>
      </c>
      <c r="G432" s="207">
        <f>$D$172</f>
        <v>60</v>
      </c>
      <c r="H432" s="194"/>
      <c r="I432" s="123">
        <f>ROUND(G432*C432,0)</f>
        <v>0</v>
      </c>
      <c r="J432" s="207">
        <f>$J$172</f>
        <v>60</v>
      </c>
      <c r="K432" s="194"/>
      <c r="L432" s="123">
        <f>ROUND(J432*$C432,0)</f>
        <v>0</v>
      </c>
      <c r="N432" s="52"/>
      <c r="O432" s="52"/>
      <c r="P432" s="105"/>
      <c r="Q432" s="105"/>
      <c r="R432" s="105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</row>
    <row r="433" spans="1:35" hidden="1">
      <c r="A433" s="141" t="s">
        <v>240</v>
      </c>
      <c r="B433" s="141"/>
      <c r="C433" s="190">
        <v>0</v>
      </c>
      <c r="D433" s="208">
        <v>-30</v>
      </c>
      <c r="E433" s="192" t="s">
        <v>210</v>
      </c>
      <c r="F433" s="123">
        <f>ROUND(D433*$C433/100,0)</f>
        <v>0</v>
      </c>
      <c r="G433" s="208">
        <f>$D$173</f>
        <v>-30</v>
      </c>
      <c r="H433" s="194" t="s">
        <v>210</v>
      </c>
      <c r="I433" s="123">
        <f>ROUND(G433*C433/100,0)</f>
        <v>0</v>
      </c>
      <c r="J433" s="208">
        <f>$J$173</f>
        <v>-30</v>
      </c>
      <c r="K433" s="194" t="s">
        <v>210</v>
      </c>
      <c r="L433" s="123">
        <f>ROUND(J433*$C433/100,0)</f>
        <v>0</v>
      </c>
      <c r="N433" s="52"/>
      <c r="O433" s="52"/>
      <c r="P433" s="105"/>
      <c r="Q433" s="105"/>
      <c r="R433" s="105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</row>
    <row r="434" spans="1:35" hidden="1">
      <c r="A434" s="141" t="s">
        <v>215</v>
      </c>
      <c r="B434" s="141"/>
      <c r="C434" s="190">
        <f>SUM(C419:C421)</f>
        <v>7037</v>
      </c>
      <c r="D434" s="200"/>
      <c r="E434" s="123"/>
      <c r="F434" s="123">
        <f>SUM(F413:F433)</f>
        <v>2245</v>
      </c>
      <c r="G434" s="200"/>
      <c r="H434" s="194"/>
      <c r="I434" s="123">
        <f>SUM(I413:I433)</f>
        <v>2529</v>
      </c>
      <c r="J434" s="200"/>
      <c r="K434" s="194"/>
      <c r="L434" s="123">
        <f>SUM(L413:L433)</f>
        <v>2563</v>
      </c>
      <c r="N434" s="52"/>
      <c r="O434" s="52"/>
      <c r="P434" s="105"/>
      <c r="Q434" s="105"/>
      <c r="R434" s="105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</row>
    <row r="435" spans="1:35" hidden="1">
      <c r="A435" s="141" t="s">
        <v>197</v>
      </c>
      <c r="B435" s="141"/>
      <c r="C435" s="227">
        <v>-125.93096307262023</v>
      </c>
      <c r="D435" s="175"/>
      <c r="E435" s="175"/>
      <c r="F435" s="211">
        <v>-36.818041337749037</v>
      </c>
      <c r="G435" s="175"/>
      <c r="H435" s="175"/>
      <c r="I435" s="211">
        <f>F435</f>
        <v>-36.818041337749037</v>
      </c>
      <c r="J435" s="175"/>
      <c r="K435" s="175"/>
      <c r="L435" s="211">
        <f>F435</f>
        <v>-36.818041337749037</v>
      </c>
      <c r="N435" s="156"/>
      <c r="O435" s="156"/>
      <c r="P435" s="154"/>
      <c r="Q435" s="105"/>
      <c r="R435" s="105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</row>
    <row r="436" spans="1:35" ht="16.5" hidden="1" thickBot="1">
      <c r="A436" s="141" t="s">
        <v>216</v>
      </c>
      <c r="B436" s="141"/>
      <c r="C436" s="177">
        <f>SUM(C434:C435)</f>
        <v>6911.0690369273798</v>
      </c>
      <c r="D436" s="213"/>
      <c r="E436" s="214"/>
      <c r="F436" s="215">
        <f>F434+F435</f>
        <v>2208.181958662251</v>
      </c>
      <c r="G436" s="213"/>
      <c r="H436" s="216"/>
      <c r="I436" s="215">
        <f>I434+I435</f>
        <v>2492.181958662251</v>
      </c>
      <c r="J436" s="213"/>
      <c r="K436" s="216"/>
      <c r="L436" s="215">
        <f>L434+L435</f>
        <v>2526.181958662251</v>
      </c>
      <c r="N436" s="157"/>
      <c r="O436" s="157"/>
      <c r="P436" s="158"/>
      <c r="Q436" s="105"/>
      <c r="R436" s="105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</row>
    <row r="437" spans="1:35" hidden="1">
      <c r="A437" s="141"/>
      <c r="B437" s="141"/>
      <c r="C437" s="160"/>
      <c r="D437" s="207"/>
      <c r="E437" s="123"/>
      <c r="F437" s="123"/>
      <c r="G437" s="207"/>
      <c r="H437" s="141"/>
      <c r="I437" s="123"/>
      <c r="J437" s="232" t="s">
        <v>280</v>
      </c>
      <c r="K437" s="141"/>
      <c r="L437" s="123" t="s">
        <v>280</v>
      </c>
      <c r="N437" s="52"/>
      <c r="O437" s="52"/>
      <c r="P437" s="105"/>
      <c r="Q437" s="105"/>
      <c r="R437" s="105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</row>
    <row r="438" spans="1:35" hidden="1">
      <c r="A438" s="141"/>
      <c r="B438" s="141"/>
      <c r="C438" s="160"/>
      <c r="D438" s="207"/>
      <c r="E438" s="123"/>
      <c r="F438" s="123"/>
      <c r="G438" s="207"/>
      <c r="H438" s="141"/>
      <c r="I438" s="123"/>
      <c r="J438" s="232" t="s">
        <v>280</v>
      </c>
      <c r="K438" s="141"/>
      <c r="L438" s="123" t="s">
        <v>280</v>
      </c>
      <c r="N438" s="52"/>
      <c r="O438" s="52"/>
      <c r="P438" s="105"/>
      <c r="Q438" s="105"/>
      <c r="R438" s="105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</row>
    <row r="439" spans="1:35">
      <c r="A439" s="159" t="s">
        <v>252</v>
      </c>
      <c r="B439" s="141"/>
      <c r="C439" s="233"/>
      <c r="D439" s="123"/>
      <c r="E439" s="123"/>
      <c r="F439" s="141"/>
      <c r="G439" s="123"/>
      <c r="H439" s="141"/>
      <c r="I439" s="141"/>
      <c r="J439" s="123"/>
      <c r="K439" s="141"/>
      <c r="L439" s="123" t="s">
        <v>280</v>
      </c>
      <c r="N439" s="52"/>
      <c r="O439" s="52"/>
      <c r="P439" s="105"/>
      <c r="Q439" s="105"/>
      <c r="R439" s="105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</row>
    <row r="440" spans="1:35">
      <c r="A440" s="194" t="s">
        <v>337</v>
      </c>
      <c r="B440" s="141"/>
      <c r="C440" s="141" t="s">
        <v>280</v>
      </c>
      <c r="D440" s="123"/>
      <c r="E440" s="123"/>
      <c r="F440" s="141"/>
      <c r="G440" s="123"/>
      <c r="H440" s="141"/>
      <c r="I440" s="141"/>
      <c r="J440" s="123"/>
      <c r="K440" s="141"/>
      <c r="L440" s="141"/>
      <c r="N440" s="52"/>
      <c r="O440" s="52"/>
      <c r="P440" s="105"/>
      <c r="Q440" s="105"/>
      <c r="R440" s="105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</row>
    <row r="441" spans="1:35">
      <c r="A441" s="194"/>
      <c r="B441" s="141"/>
      <c r="C441" s="141"/>
      <c r="D441" s="123"/>
      <c r="E441" s="123"/>
      <c r="F441" s="141"/>
      <c r="G441" s="123"/>
      <c r="H441" s="141"/>
      <c r="I441" s="141"/>
      <c r="J441" s="123"/>
      <c r="K441" s="141"/>
      <c r="L441" s="141"/>
      <c r="N441" s="52"/>
      <c r="O441" s="52"/>
      <c r="P441" s="105"/>
      <c r="Q441" s="105"/>
      <c r="R441" s="105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</row>
    <row r="442" spans="1:35">
      <c r="A442" s="194" t="s">
        <v>228</v>
      </c>
      <c r="B442" s="141"/>
      <c r="C442" s="190"/>
      <c r="D442" s="123"/>
      <c r="E442" s="123"/>
      <c r="F442" s="141"/>
      <c r="G442" s="123"/>
      <c r="H442" s="141"/>
      <c r="I442" s="141"/>
      <c r="J442" s="123"/>
      <c r="K442" s="141"/>
      <c r="L442" s="141"/>
      <c r="N442" s="52"/>
      <c r="O442" s="52"/>
      <c r="P442" s="105"/>
      <c r="Q442" s="105"/>
      <c r="R442" s="105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</row>
    <row r="443" spans="1:35">
      <c r="A443" s="194" t="s">
        <v>253</v>
      </c>
      <c r="B443" s="141"/>
      <c r="C443" s="190">
        <v>0</v>
      </c>
      <c r="D443" s="170">
        <v>227</v>
      </c>
      <c r="E443" s="194"/>
      <c r="F443" s="192">
        <f t="shared" ref="F443:F445" si="64">ROUND(D443*$C443,0)</f>
        <v>0</v>
      </c>
      <c r="G443" s="170">
        <f>G480</f>
        <v>254</v>
      </c>
      <c r="H443" s="194"/>
      <c r="I443" s="192">
        <f>ROUND(E443*$C443,0)</f>
        <v>0</v>
      </c>
      <c r="J443" s="170">
        <f>J480</f>
        <v>259</v>
      </c>
      <c r="K443" s="194"/>
      <c r="L443" s="192">
        <f>ROUND(J443*$C443,0)</f>
        <v>0</v>
      </c>
      <c r="N443" s="52"/>
      <c r="O443" s="52"/>
      <c r="P443" s="105"/>
      <c r="Q443" s="105"/>
      <c r="R443" s="105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</row>
    <row r="444" spans="1:35">
      <c r="A444" s="194" t="s">
        <v>254</v>
      </c>
      <c r="B444" s="141"/>
      <c r="C444" s="190">
        <v>0</v>
      </c>
      <c r="D444" s="170">
        <v>84</v>
      </c>
      <c r="E444" s="194"/>
      <c r="F444" s="192">
        <f t="shared" si="64"/>
        <v>0</v>
      </c>
      <c r="G444" s="170">
        <f>G481</f>
        <v>95</v>
      </c>
      <c r="H444" s="194"/>
      <c r="I444" s="192">
        <f>ROUND(E444*$C444,0)</f>
        <v>0</v>
      </c>
      <c r="J444" s="170">
        <f t="shared" ref="J444:J450" si="65">J481</f>
        <v>96</v>
      </c>
      <c r="K444" s="194"/>
      <c r="L444" s="192">
        <f>ROUND(J444*$C444,0)</f>
        <v>0</v>
      </c>
      <c r="N444" s="52"/>
      <c r="O444" s="52"/>
      <c r="P444" s="105"/>
      <c r="Q444" s="105"/>
      <c r="R444" s="105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</row>
    <row r="445" spans="1:35">
      <c r="A445" s="194" t="s">
        <v>255</v>
      </c>
      <c r="B445" s="141"/>
      <c r="C445" s="190">
        <v>0</v>
      </c>
      <c r="D445" s="170">
        <v>168</v>
      </c>
      <c r="E445" s="196"/>
      <c r="F445" s="192">
        <f t="shared" si="64"/>
        <v>0</v>
      </c>
      <c r="G445" s="170">
        <f>G482</f>
        <v>189</v>
      </c>
      <c r="H445" s="196"/>
      <c r="I445" s="192">
        <f>ROUND(E445*$C445,0)</f>
        <v>0</v>
      </c>
      <c r="J445" s="170">
        <f t="shared" si="65"/>
        <v>192</v>
      </c>
      <c r="K445" s="196"/>
      <c r="L445" s="192">
        <f>ROUND(J445*$C445,0)</f>
        <v>0</v>
      </c>
      <c r="N445" s="52"/>
      <c r="O445" s="52"/>
      <c r="P445" s="105"/>
      <c r="Q445" s="105"/>
      <c r="R445" s="105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</row>
    <row r="446" spans="1:35">
      <c r="A446" s="194" t="s">
        <v>229</v>
      </c>
      <c r="B446" s="141"/>
      <c r="C446" s="190">
        <f>SUM(C443:C445)</f>
        <v>0</v>
      </c>
      <c r="D446" s="170"/>
      <c r="E446" s="194"/>
      <c r="F446" s="192"/>
      <c r="G446" s="170"/>
      <c r="H446" s="194"/>
      <c r="I446" s="192"/>
      <c r="J446" s="170"/>
      <c r="K446" s="194"/>
      <c r="L446" s="192"/>
      <c r="N446" s="52"/>
      <c r="O446" s="52"/>
      <c r="P446" s="105"/>
      <c r="Q446" s="105"/>
      <c r="R446" s="105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</row>
    <row r="447" spans="1:35">
      <c r="A447" s="194" t="s">
        <v>254</v>
      </c>
      <c r="B447" s="141"/>
      <c r="C447" s="190">
        <v>0</v>
      </c>
      <c r="D447" s="170">
        <v>1.48</v>
      </c>
      <c r="E447" s="194" t="s">
        <v>280</v>
      </c>
      <c r="F447" s="192">
        <f>ROUND(D447*$C447,0)</f>
        <v>0</v>
      </c>
      <c r="G447" s="170">
        <f>G484</f>
        <v>1.67</v>
      </c>
      <c r="H447" s="194" t="s">
        <v>280</v>
      </c>
      <c r="I447" s="192">
        <f>ROUND(E447*$C447,0)</f>
        <v>0</v>
      </c>
      <c r="J447" s="170">
        <f t="shared" si="65"/>
        <v>1.7</v>
      </c>
      <c r="K447" s="194" t="s">
        <v>280</v>
      </c>
      <c r="L447" s="192">
        <f>ROUND(J447*$C447,0)</f>
        <v>0</v>
      </c>
      <c r="N447" s="52"/>
      <c r="O447" s="52"/>
      <c r="P447" s="105"/>
      <c r="Q447" s="105"/>
      <c r="R447" s="105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</row>
    <row r="448" spans="1:35">
      <c r="A448" s="194" t="s">
        <v>255</v>
      </c>
      <c r="B448" s="141"/>
      <c r="C448" s="190">
        <v>0</v>
      </c>
      <c r="D448" s="170">
        <v>1.22</v>
      </c>
      <c r="E448" s="194" t="s">
        <v>280</v>
      </c>
      <c r="F448" s="192">
        <f>ROUND(D448*$C448,0)</f>
        <v>0</v>
      </c>
      <c r="G448" s="170">
        <f>G485</f>
        <v>1.37</v>
      </c>
      <c r="H448" s="194" t="s">
        <v>280</v>
      </c>
      <c r="I448" s="192">
        <f>ROUND(E448*$C448,0)</f>
        <v>0</v>
      </c>
      <c r="J448" s="170">
        <f t="shared" si="65"/>
        <v>1.39</v>
      </c>
      <c r="K448" s="194" t="s">
        <v>280</v>
      </c>
      <c r="L448" s="192">
        <f>ROUND(J448*$C448,0)</f>
        <v>0</v>
      </c>
      <c r="N448" s="52"/>
      <c r="O448" s="52"/>
      <c r="P448" s="105"/>
      <c r="Q448" s="105"/>
      <c r="R448" s="105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</row>
    <row r="449" spans="1:35">
      <c r="A449" s="175" t="s">
        <v>256</v>
      </c>
      <c r="B449" s="141"/>
      <c r="C449" s="190"/>
      <c r="D449" s="170"/>
      <c r="E449" s="194"/>
      <c r="F449" s="192"/>
      <c r="G449" s="170"/>
      <c r="H449" s="194"/>
      <c r="I449" s="192"/>
      <c r="J449" s="170"/>
      <c r="K449" s="194"/>
      <c r="L449" s="192"/>
      <c r="N449" s="52"/>
      <c r="O449" s="52"/>
      <c r="P449" s="105"/>
      <c r="Q449" s="105"/>
      <c r="R449" s="105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</row>
    <row r="450" spans="1:35">
      <c r="A450" s="175" t="s">
        <v>257</v>
      </c>
      <c r="B450" s="141"/>
      <c r="C450" s="190">
        <v>0</v>
      </c>
      <c r="D450" s="170">
        <v>3.88</v>
      </c>
      <c r="E450" s="194"/>
      <c r="F450" s="192">
        <f>ROUND(D450*$C450,0)</f>
        <v>0</v>
      </c>
      <c r="G450" s="170">
        <f>G487</f>
        <v>4.37</v>
      </c>
      <c r="H450" s="194"/>
      <c r="I450" s="192">
        <f>ROUND(E450*$C450,0)</f>
        <v>0</v>
      </c>
      <c r="J450" s="170">
        <f t="shared" si="65"/>
        <v>4.4400000000000004</v>
      </c>
      <c r="K450" s="194"/>
      <c r="L450" s="192">
        <f>ROUND(J450*$C450,0)</f>
        <v>0</v>
      </c>
      <c r="N450" s="52"/>
      <c r="O450" s="52"/>
      <c r="P450" s="105"/>
      <c r="Q450" s="105"/>
      <c r="R450" s="105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</row>
    <row r="451" spans="1:35">
      <c r="A451" s="194" t="s">
        <v>258</v>
      </c>
      <c r="B451" s="141"/>
      <c r="C451" s="190"/>
      <c r="D451" s="234"/>
      <c r="E451" s="192"/>
      <c r="F451" s="192"/>
      <c r="G451" s="234"/>
      <c r="H451" s="192"/>
      <c r="I451" s="192"/>
      <c r="J451" s="234"/>
      <c r="K451" s="192"/>
      <c r="L451" s="192"/>
      <c r="N451" s="52"/>
      <c r="O451" s="52"/>
      <c r="P451" s="105"/>
      <c r="Q451" s="105"/>
      <c r="R451" s="105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</row>
    <row r="452" spans="1:35">
      <c r="A452" s="194" t="s">
        <v>259</v>
      </c>
      <c r="B452" s="141"/>
      <c r="C452" s="190">
        <v>0</v>
      </c>
      <c r="D452" s="205">
        <v>4.6340000000000003</v>
      </c>
      <c r="E452" s="192" t="s">
        <v>210</v>
      </c>
      <c r="F452" s="192">
        <f>ROUND($C452*D452/100,0)</f>
        <v>0</v>
      </c>
      <c r="G452" s="205">
        <f>G490</f>
        <v>5.2170000000000005</v>
      </c>
      <c r="H452" s="192" t="s">
        <v>210</v>
      </c>
      <c r="I452" s="192">
        <f>ROUND($C452*E452/100,0)</f>
        <v>0</v>
      </c>
      <c r="J452" s="205">
        <f>J490</f>
        <v>5.2919999999999998</v>
      </c>
      <c r="K452" s="192" t="s">
        <v>210</v>
      </c>
      <c r="L452" s="192">
        <f>ROUND($C452*J452/100,0)</f>
        <v>0</v>
      </c>
      <c r="N452" s="52"/>
      <c r="O452" s="52"/>
      <c r="P452" s="105"/>
      <c r="Q452" s="105"/>
      <c r="R452" s="105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</row>
    <row r="453" spans="1:35">
      <c r="A453" s="194" t="s">
        <v>233</v>
      </c>
      <c r="B453" s="141"/>
      <c r="C453" s="190">
        <v>0</v>
      </c>
      <c r="D453" s="205">
        <v>4.2469999999999999</v>
      </c>
      <c r="E453" s="192" t="s">
        <v>210</v>
      </c>
      <c r="F453" s="192">
        <f>ROUND($C453*D453/100,0)</f>
        <v>0</v>
      </c>
      <c r="G453" s="205">
        <f>G491</f>
        <v>4.7799999999999994</v>
      </c>
      <c r="H453" s="192" t="s">
        <v>210</v>
      </c>
      <c r="I453" s="192">
        <f>ROUND($C453*E453/100,0)</f>
        <v>0</v>
      </c>
      <c r="J453" s="205">
        <f>J491</f>
        <v>4.8499999999999996</v>
      </c>
      <c r="K453" s="192" t="s">
        <v>210</v>
      </c>
      <c r="L453" s="192">
        <f>ROUND($C453*J453/100,0)</f>
        <v>0</v>
      </c>
      <c r="N453" s="52"/>
      <c r="O453" s="52"/>
      <c r="P453" s="105"/>
      <c r="Q453" s="105"/>
      <c r="R453" s="105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</row>
    <row r="454" spans="1:35">
      <c r="A454" s="194" t="s">
        <v>234</v>
      </c>
      <c r="B454" s="141"/>
      <c r="C454" s="190">
        <v>0</v>
      </c>
      <c r="D454" s="235">
        <v>0</v>
      </c>
      <c r="E454" s="192" t="s">
        <v>210</v>
      </c>
      <c r="F454" s="192">
        <f>ROUND(D454*$C454/100,0)</f>
        <v>0</v>
      </c>
      <c r="G454" s="235">
        <v>0</v>
      </c>
      <c r="H454" s="192" t="s">
        <v>210</v>
      </c>
      <c r="I454" s="192">
        <f>ROUND(E454*$C454/100,0)</f>
        <v>0</v>
      </c>
      <c r="J454" s="235">
        <f>J492</f>
        <v>56</v>
      </c>
      <c r="K454" s="192" t="s">
        <v>210</v>
      </c>
      <c r="L454" s="192">
        <f>ROUND(J454*$C454,0)</f>
        <v>0</v>
      </c>
      <c r="N454" s="52"/>
      <c r="O454" s="52"/>
      <c r="P454" s="105"/>
      <c r="Q454" s="105"/>
      <c r="R454" s="105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</row>
    <row r="455" spans="1:35">
      <c r="A455" s="194" t="s">
        <v>260</v>
      </c>
      <c r="B455" s="141"/>
      <c r="C455" s="190">
        <v>0</v>
      </c>
      <c r="D455" s="236">
        <v>0.06</v>
      </c>
      <c r="E455" s="192"/>
      <c r="F455" s="192">
        <f>ROUND($C455*D455/100,0)</f>
        <v>0</v>
      </c>
      <c r="G455" s="236">
        <f>D455</f>
        <v>0.06</v>
      </c>
      <c r="H455" s="192"/>
      <c r="I455" s="192">
        <f>ROUND($C455*E455/100,0)</f>
        <v>0</v>
      </c>
      <c r="J455" s="236">
        <v>0.06</v>
      </c>
      <c r="K455" s="192"/>
      <c r="L455" s="192">
        <f>ROUND($C455*J455/100,0)</f>
        <v>0</v>
      </c>
      <c r="N455" s="52"/>
      <c r="O455" s="52"/>
      <c r="P455" s="105"/>
      <c r="Q455" s="105"/>
      <c r="R455" s="105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</row>
    <row r="456" spans="1:35">
      <c r="A456" s="237" t="s">
        <v>235</v>
      </c>
      <c r="B456" s="141" t="s">
        <v>280</v>
      </c>
      <c r="C456" s="190"/>
      <c r="D456" s="202">
        <v>-0.01</v>
      </c>
      <c r="E456" s="238"/>
      <c r="F456" s="238"/>
      <c r="G456" s="202">
        <v>-0.01</v>
      </c>
      <c r="H456" s="238"/>
      <c r="I456" s="238"/>
      <c r="J456" s="202">
        <v>-0.01</v>
      </c>
      <c r="K456" s="238"/>
      <c r="L456" s="123"/>
      <c r="N456" s="52"/>
      <c r="O456" s="52"/>
      <c r="P456" s="105"/>
      <c r="Q456" s="105"/>
      <c r="R456" s="105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</row>
    <row r="457" spans="1:35">
      <c r="A457" s="194" t="s">
        <v>253</v>
      </c>
      <c r="B457" s="141"/>
      <c r="C457" s="190">
        <v>0</v>
      </c>
      <c r="D457" s="170">
        <v>227</v>
      </c>
      <c r="E457" s="194"/>
      <c r="F457" s="192">
        <f t="shared" ref="F457:F462" si="66">ROUND(D457*$C457*$D$456,0)</f>
        <v>0</v>
      </c>
      <c r="G457" s="170">
        <f t="shared" ref="G457:G462" si="67">G494</f>
        <v>254</v>
      </c>
      <c r="H457" s="194"/>
      <c r="I457" s="192">
        <f t="shared" ref="I457:I462" si="68">ROUND(E457*$C457*$D$456,0)</f>
        <v>0</v>
      </c>
      <c r="J457" s="170">
        <f>J443</f>
        <v>259</v>
      </c>
      <c r="K457" s="194"/>
      <c r="L457" s="192">
        <f t="shared" ref="L457:L462" si="69">ROUND(J457*$C457*$D$456,0)</f>
        <v>0</v>
      </c>
      <c r="N457" s="52"/>
      <c r="O457" s="52"/>
      <c r="P457" s="105"/>
      <c r="Q457" s="105"/>
      <c r="R457" s="105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</row>
    <row r="458" spans="1:35">
      <c r="A458" s="194" t="s">
        <v>254</v>
      </c>
      <c r="B458" s="141"/>
      <c r="C458" s="190">
        <v>0</v>
      </c>
      <c r="D458" s="170">
        <v>84</v>
      </c>
      <c r="E458" s="194"/>
      <c r="F458" s="192">
        <f t="shared" si="66"/>
        <v>0</v>
      </c>
      <c r="G458" s="170">
        <f t="shared" si="67"/>
        <v>95</v>
      </c>
      <c r="H458" s="194"/>
      <c r="I458" s="192">
        <f t="shared" si="68"/>
        <v>0</v>
      </c>
      <c r="J458" s="170">
        <f>J444</f>
        <v>96</v>
      </c>
      <c r="K458" s="194"/>
      <c r="L458" s="192">
        <f t="shared" si="69"/>
        <v>0</v>
      </c>
      <c r="N458" s="52"/>
      <c r="O458" s="52"/>
      <c r="P458" s="105"/>
      <c r="Q458" s="105"/>
      <c r="R458" s="105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</row>
    <row r="459" spans="1:35">
      <c r="A459" s="194" t="s">
        <v>255</v>
      </c>
      <c r="B459" s="141"/>
      <c r="C459" s="190">
        <v>0</v>
      </c>
      <c r="D459" s="170">
        <v>168</v>
      </c>
      <c r="E459" s="196"/>
      <c r="F459" s="192">
        <f t="shared" si="66"/>
        <v>0</v>
      </c>
      <c r="G459" s="170">
        <f t="shared" si="67"/>
        <v>189</v>
      </c>
      <c r="H459" s="196"/>
      <c r="I459" s="192">
        <f t="shared" si="68"/>
        <v>0</v>
      </c>
      <c r="J459" s="170">
        <f>J445</f>
        <v>192</v>
      </c>
      <c r="K459" s="196"/>
      <c r="L459" s="192">
        <f t="shared" si="69"/>
        <v>0</v>
      </c>
      <c r="N459" s="52"/>
      <c r="O459" s="52"/>
      <c r="P459" s="105"/>
      <c r="Q459" s="105"/>
      <c r="R459" s="105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</row>
    <row r="460" spans="1:35">
      <c r="A460" s="194" t="s">
        <v>254</v>
      </c>
      <c r="B460" s="141"/>
      <c r="C460" s="190">
        <v>0</v>
      </c>
      <c r="D460" s="170">
        <v>1.48</v>
      </c>
      <c r="E460" s="194" t="s">
        <v>280</v>
      </c>
      <c r="F460" s="192">
        <f t="shared" si="66"/>
        <v>0</v>
      </c>
      <c r="G460" s="170">
        <f t="shared" si="67"/>
        <v>1.67</v>
      </c>
      <c r="H460" s="194" t="s">
        <v>280</v>
      </c>
      <c r="I460" s="192">
        <f t="shared" si="68"/>
        <v>0</v>
      </c>
      <c r="J460" s="170">
        <f>J447</f>
        <v>1.7</v>
      </c>
      <c r="K460" s="194" t="s">
        <v>280</v>
      </c>
      <c r="L460" s="192">
        <f t="shared" si="69"/>
        <v>0</v>
      </c>
      <c r="N460" s="52"/>
      <c r="O460" s="52"/>
      <c r="P460" s="105"/>
      <c r="Q460" s="105"/>
      <c r="R460" s="105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</row>
    <row r="461" spans="1:35">
      <c r="A461" s="194" t="s">
        <v>255</v>
      </c>
      <c r="B461" s="141"/>
      <c r="C461" s="190">
        <v>0</v>
      </c>
      <c r="D461" s="170">
        <v>1.22</v>
      </c>
      <c r="E461" s="194" t="s">
        <v>280</v>
      </c>
      <c r="F461" s="192">
        <f t="shared" si="66"/>
        <v>0</v>
      </c>
      <c r="G461" s="170">
        <f t="shared" si="67"/>
        <v>1.37</v>
      </c>
      <c r="H461" s="194" t="s">
        <v>280</v>
      </c>
      <c r="I461" s="192">
        <f t="shared" si="68"/>
        <v>0</v>
      </c>
      <c r="J461" s="170">
        <f>J448</f>
        <v>1.39</v>
      </c>
      <c r="K461" s="194" t="s">
        <v>280</v>
      </c>
      <c r="L461" s="192">
        <f t="shared" si="69"/>
        <v>0</v>
      </c>
      <c r="N461" s="52"/>
      <c r="O461" s="52"/>
      <c r="P461" s="105"/>
      <c r="Q461" s="105"/>
      <c r="R461" s="105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</row>
    <row r="462" spans="1:35">
      <c r="A462" s="175" t="s">
        <v>257</v>
      </c>
      <c r="B462" s="141"/>
      <c r="C462" s="190">
        <v>0</v>
      </c>
      <c r="D462" s="170">
        <v>3.88</v>
      </c>
      <c r="E462" s="194"/>
      <c r="F462" s="192">
        <f t="shared" si="66"/>
        <v>0</v>
      </c>
      <c r="G462" s="170">
        <f t="shared" si="67"/>
        <v>4.37</v>
      </c>
      <c r="H462" s="194"/>
      <c r="I462" s="192">
        <f t="shared" si="68"/>
        <v>0</v>
      </c>
      <c r="J462" s="170">
        <f>J450</f>
        <v>4.4400000000000004</v>
      </c>
      <c r="K462" s="194"/>
      <c r="L462" s="192">
        <f t="shared" si="69"/>
        <v>0</v>
      </c>
      <c r="N462" s="52"/>
      <c r="O462" s="52"/>
      <c r="P462" s="105"/>
      <c r="Q462" s="105"/>
      <c r="R462" s="105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</row>
    <row r="463" spans="1:35">
      <c r="A463" s="194" t="s">
        <v>259</v>
      </c>
      <c r="B463" s="141"/>
      <c r="C463" s="190">
        <v>0</v>
      </c>
      <c r="D463" s="205">
        <v>4.6340000000000003</v>
      </c>
      <c r="E463" s="192" t="s">
        <v>210</v>
      </c>
      <c r="F463" s="192">
        <f>ROUND(D463/100*$C463*D456,0)</f>
        <v>0</v>
      </c>
      <c r="G463" s="205">
        <f>G501</f>
        <v>5.2170000000000005</v>
      </c>
      <c r="H463" s="192" t="s">
        <v>210</v>
      </c>
      <c r="I463" s="192">
        <f>ROUND(E463/100*$C463*E456,0)</f>
        <v>0</v>
      </c>
      <c r="J463" s="170">
        <f>J451</f>
        <v>0</v>
      </c>
      <c r="K463" s="192" t="s">
        <v>210</v>
      </c>
      <c r="L463" s="192">
        <f>ROUND(J463/100*$C463*D456,0)</f>
        <v>0</v>
      </c>
      <c r="N463" s="52"/>
      <c r="O463" s="52"/>
      <c r="P463" s="105"/>
      <c r="Q463" s="105"/>
      <c r="R463" s="105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</row>
    <row r="464" spans="1:35">
      <c r="A464" s="194" t="s">
        <v>233</v>
      </c>
      <c r="B464" s="141"/>
      <c r="C464" s="190">
        <v>0</v>
      </c>
      <c r="D464" s="205">
        <v>4.2469999999999999</v>
      </c>
      <c r="E464" s="192" t="s">
        <v>210</v>
      </c>
      <c r="F464" s="192">
        <f>ROUND(D464/100*$C464*D456,0)</f>
        <v>0</v>
      </c>
      <c r="G464" s="205">
        <f>G502</f>
        <v>4.7799999999999994</v>
      </c>
      <c r="H464" s="192" t="s">
        <v>210</v>
      </c>
      <c r="I464" s="192">
        <f>ROUND(E464/100*$C464*E456,0)</f>
        <v>0</v>
      </c>
      <c r="J464" s="172">
        <f>J453</f>
        <v>4.8499999999999996</v>
      </c>
      <c r="K464" s="192" t="s">
        <v>210</v>
      </c>
      <c r="L464" s="192">
        <f>ROUND(J464/100*$C464*D456,0)</f>
        <v>0</v>
      </c>
      <c r="N464" s="52"/>
      <c r="O464" s="52"/>
      <c r="P464" s="105"/>
      <c r="Q464" s="105"/>
      <c r="R464" s="105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</row>
    <row r="465" spans="1:35">
      <c r="A465" s="175" t="s">
        <v>261</v>
      </c>
      <c r="B465" s="141"/>
      <c r="C465" s="190">
        <v>0</v>
      </c>
      <c r="D465" s="235">
        <v>50</v>
      </c>
      <c r="E465" s="192" t="s">
        <v>210</v>
      </c>
      <c r="F465" s="192">
        <f>ROUND(D465*$C465*$D$456,0)</f>
        <v>0</v>
      </c>
      <c r="G465" s="235">
        <f>G503</f>
        <v>56</v>
      </c>
      <c r="H465" s="192" t="s">
        <v>210</v>
      </c>
      <c r="I465" s="192">
        <f>ROUND(E465*$C465*$D$456,0)</f>
        <v>0</v>
      </c>
      <c r="J465" s="172">
        <f>J454</f>
        <v>56</v>
      </c>
      <c r="K465" s="192" t="s">
        <v>210</v>
      </c>
      <c r="L465" s="192">
        <f>ROUND(J465*$C465*$D$456,0)</f>
        <v>0</v>
      </c>
      <c r="N465" s="52"/>
      <c r="O465" s="52"/>
      <c r="P465" s="105"/>
      <c r="Q465" s="105"/>
      <c r="R465" s="105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</row>
    <row r="466" spans="1:35">
      <c r="A466" s="175" t="s">
        <v>262</v>
      </c>
      <c r="B466" s="141"/>
      <c r="C466" s="190">
        <v>0</v>
      </c>
      <c r="D466" s="239">
        <v>0.06</v>
      </c>
      <c r="E466" s="192" t="s">
        <v>210</v>
      </c>
      <c r="F466" s="192">
        <f>ROUND(D466/100*$C466*D456,0)</f>
        <v>0</v>
      </c>
      <c r="G466" s="239">
        <f>G455</f>
        <v>0.06</v>
      </c>
      <c r="H466" s="192" t="s">
        <v>210</v>
      </c>
      <c r="I466" s="192">
        <f>ROUND(E466/100*$C466*E456,0)</f>
        <v>0</v>
      </c>
      <c r="J466" s="239">
        <f>J455</f>
        <v>0.06</v>
      </c>
      <c r="K466" s="192" t="s">
        <v>210</v>
      </c>
      <c r="L466" s="192">
        <f>ROUND(J466/100*$C466*J456,0)</f>
        <v>0</v>
      </c>
      <c r="N466" s="52"/>
      <c r="O466" s="52"/>
      <c r="P466" s="105"/>
      <c r="Q466" s="105"/>
      <c r="R466" s="105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</row>
    <row r="467" spans="1:35">
      <c r="A467" s="194" t="s">
        <v>263</v>
      </c>
      <c r="B467" s="141"/>
      <c r="C467" s="190">
        <v>0</v>
      </c>
      <c r="D467" s="232">
        <v>60</v>
      </c>
      <c r="E467" s="238" t="s">
        <v>280</v>
      </c>
      <c r="F467" s="192">
        <f>ROUND(D467*$C467,0)</f>
        <v>0</v>
      </c>
      <c r="G467" s="232">
        <v>60</v>
      </c>
      <c r="H467" s="240" t="s">
        <v>280</v>
      </c>
      <c r="I467" s="192">
        <f>ROUND(E467*$C467,0)</f>
        <v>0</v>
      </c>
      <c r="J467" s="232">
        <v>60</v>
      </c>
      <c r="K467" s="240" t="s">
        <v>280</v>
      </c>
      <c r="L467" s="192">
        <f>ROUND(J467*$C467,0)</f>
        <v>0</v>
      </c>
      <c r="N467" s="52"/>
      <c r="O467" s="52"/>
      <c r="P467" s="105"/>
      <c r="Q467" s="105"/>
      <c r="R467" s="105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</row>
    <row r="468" spans="1:35">
      <c r="A468" s="194" t="s">
        <v>264</v>
      </c>
      <c r="B468" s="141"/>
      <c r="C468" s="190">
        <v>0</v>
      </c>
      <c r="D468" s="206">
        <v>-30</v>
      </c>
      <c r="E468" s="192" t="s">
        <v>210</v>
      </c>
      <c r="F468" s="192">
        <f>ROUND(D468*$C468*$D$456,0)</f>
        <v>0</v>
      </c>
      <c r="G468" s="206">
        <v>-30</v>
      </c>
      <c r="H468" s="192" t="s">
        <v>210</v>
      </c>
      <c r="I468" s="192">
        <f>ROUND(E468*$C468*$D$456,0)</f>
        <v>0</v>
      </c>
      <c r="J468" s="206">
        <v>-30</v>
      </c>
      <c r="K468" s="192" t="s">
        <v>210</v>
      </c>
      <c r="L468" s="192">
        <f>ROUND(J468*$C468*$D$456,0)</f>
        <v>0</v>
      </c>
      <c r="N468" s="52"/>
      <c r="O468" s="52"/>
      <c r="P468" s="105"/>
      <c r="Q468" s="105"/>
      <c r="R468" s="105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</row>
    <row r="469" spans="1:35">
      <c r="A469" s="175" t="s">
        <v>265</v>
      </c>
      <c r="B469" s="141"/>
      <c r="C469" s="190">
        <v>0</v>
      </c>
      <c r="D469" s="204">
        <v>1.94</v>
      </c>
      <c r="E469" s="192"/>
      <c r="F469" s="192"/>
      <c r="G469" s="204">
        <f>G450/2</f>
        <v>2.1850000000000001</v>
      </c>
      <c r="H469" s="192"/>
      <c r="I469" s="192"/>
      <c r="J469" s="170">
        <f>J462/2</f>
        <v>2.2200000000000002</v>
      </c>
      <c r="K469" s="192"/>
      <c r="L469" s="192">
        <f>ROUND($C469*J469,0)</f>
        <v>0</v>
      </c>
      <c r="N469" s="52"/>
      <c r="O469" s="52"/>
      <c r="P469" s="105"/>
      <c r="Q469" s="105"/>
      <c r="R469" s="105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</row>
    <row r="470" spans="1:35">
      <c r="A470" s="175" t="s">
        <v>266</v>
      </c>
      <c r="B470" s="141"/>
      <c r="C470" s="190">
        <v>0</v>
      </c>
      <c r="D470" s="204">
        <v>15.52</v>
      </c>
      <c r="E470" s="192"/>
      <c r="F470" s="192"/>
      <c r="G470" s="204">
        <f>G450*4</f>
        <v>17.48</v>
      </c>
      <c r="H470" s="192"/>
      <c r="I470" s="192"/>
      <c r="J470" s="170">
        <f>J462*4</f>
        <v>17.760000000000002</v>
      </c>
      <c r="K470" s="192"/>
      <c r="L470" s="192">
        <f>ROUND($C470*J470,0)</f>
        <v>0</v>
      </c>
      <c r="N470" s="52"/>
      <c r="O470" s="52"/>
      <c r="P470" s="105"/>
      <c r="Q470" s="105"/>
      <c r="R470" s="105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</row>
    <row r="471" spans="1:35">
      <c r="A471" s="104" t="s">
        <v>267</v>
      </c>
      <c r="B471" s="169"/>
      <c r="C471" s="190">
        <v>0</v>
      </c>
      <c r="D471" s="205">
        <v>16.988</v>
      </c>
      <c r="E471" s="192" t="s">
        <v>210</v>
      </c>
      <c r="F471" s="192">
        <f>ROUND($C471*D471/100,0)</f>
        <v>0</v>
      </c>
      <c r="G471" s="205">
        <f>G453*4</f>
        <v>19.119999999999997</v>
      </c>
      <c r="H471" s="192" t="s">
        <v>210</v>
      </c>
      <c r="I471" s="192">
        <f>ROUND($C471*E471/100,0)</f>
        <v>0</v>
      </c>
      <c r="J471" s="205">
        <f>J453*4</f>
        <v>19.399999999999999</v>
      </c>
      <c r="K471" s="192" t="s">
        <v>210</v>
      </c>
      <c r="L471" s="192">
        <f>ROUND($C471*J471/100,0)</f>
        <v>0</v>
      </c>
      <c r="N471" s="52"/>
      <c r="O471" s="52"/>
      <c r="P471" s="105"/>
      <c r="Q471" s="105"/>
      <c r="R471" s="105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</row>
    <row r="472" spans="1:35">
      <c r="A472" s="141" t="s">
        <v>215</v>
      </c>
      <c r="B472" s="141"/>
      <c r="C472" s="190">
        <f>SUM(C452:C453)</f>
        <v>0</v>
      </c>
      <c r="D472" s="200"/>
      <c r="E472" s="123"/>
      <c r="F472" s="123">
        <f>SUM(F443:F471)</f>
        <v>0</v>
      </c>
      <c r="G472" s="200"/>
      <c r="H472" s="194"/>
      <c r="I472" s="123">
        <f>SUM(I443:I471)</f>
        <v>0</v>
      </c>
      <c r="J472" s="200"/>
      <c r="K472" s="194"/>
      <c r="L472" s="123">
        <f>SUM(L443:L471)</f>
        <v>0</v>
      </c>
      <c r="N472" s="52"/>
      <c r="O472" s="52"/>
      <c r="P472" s="105"/>
      <c r="Q472" s="105"/>
      <c r="R472" s="105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</row>
    <row r="473" spans="1:35">
      <c r="A473" s="141" t="s">
        <v>197</v>
      </c>
      <c r="B473" s="141"/>
      <c r="C473" s="227">
        <v>0</v>
      </c>
      <c r="D473" s="175"/>
      <c r="E473" s="175"/>
      <c r="F473" s="176">
        <v>0</v>
      </c>
      <c r="G473" s="175"/>
      <c r="H473" s="175"/>
      <c r="I473" s="176">
        <v>0</v>
      </c>
      <c r="J473" s="175"/>
      <c r="K473" s="175"/>
      <c r="L473" s="176">
        <v>0</v>
      </c>
      <c r="N473" s="156"/>
      <c r="O473" s="156"/>
      <c r="P473" s="154"/>
      <c r="Q473" s="105"/>
      <c r="R473" s="105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</row>
    <row r="474" spans="1:35" ht="16.5" thickBot="1">
      <c r="A474" s="141" t="s">
        <v>216</v>
      </c>
      <c r="B474" s="141"/>
      <c r="C474" s="241">
        <f>SUM(C472:C473)</f>
        <v>0</v>
      </c>
      <c r="D474" s="213"/>
      <c r="E474" s="214"/>
      <c r="F474" s="215">
        <f>SUM(F472:F473)</f>
        <v>0</v>
      </c>
      <c r="G474" s="213"/>
      <c r="H474" s="216"/>
      <c r="I474" s="215">
        <f>SUM(I472:I473)</f>
        <v>0</v>
      </c>
      <c r="J474" s="213"/>
      <c r="K474" s="216"/>
      <c r="L474" s="215">
        <f>SUM(L472:L473)</f>
        <v>0</v>
      </c>
      <c r="N474" s="157"/>
      <c r="O474" s="157"/>
      <c r="P474" s="158"/>
      <c r="Q474" s="105"/>
      <c r="R474" s="105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</row>
    <row r="475" spans="1:35" ht="16.5" thickTop="1">
      <c r="A475" s="141"/>
      <c r="B475" s="242"/>
      <c r="C475" s="160"/>
      <c r="D475" s="207"/>
      <c r="E475" s="123"/>
      <c r="F475" s="123"/>
      <c r="G475" s="207"/>
      <c r="H475" s="141"/>
      <c r="I475" s="123"/>
      <c r="J475" s="207"/>
      <c r="K475" s="141"/>
      <c r="L475" s="123"/>
      <c r="N475" s="52"/>
      <c r="O475" s="52"/>
      <c r="P475" s="105"/>
      <c r="Q475" s="105"/>
      <c r="R475" s="105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</row>
    <row r="476" spans="1:35">
      <c r="A476" s="159" t="s">
        <v>268</v>
      </c>
      <c r="B476" s="141"/>
      <c r="C476" s="141"/>
      <c r="D476" s="123"/>
      <c r="E476" s="123"/>
      <c r="F476" s="141" t="s">
        <v>280</v>
      </c>
      <c r="G476" s="123"/>
      <c r="H476" s="141"/>
      <c r="I476" s="141"/>
      <c r="J476" s="123"/>
      <c r="K476" s="141"/>
      <c r="L476" s="141"/>
      <c r="N476" s="52"/>
      <c r="O476" s="52"/>
      <c r="P476" s="105"/>
      <c r="Q476" s="105"/>
      <c r="R476" s="105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</row>
    <row r="477" spans="1:35">
      <c r="A477" s="175" t="s">
        <v>269</v>
      </c>
      <c r="B477" s="141"/>
      <c r="C477" s="141"/>
      <c r="D477" s="123"/>
      <c r="E477" s="123"/>
      <c r="F477" s="141"/>
      <c r="G477" s="123"/>
      <c r="H477" s="141"/>
      <c r="I477" s="141"/>
      <c r="J477" s="123"/>
      <c r="K477" s="141"/>
      <c r="L477" s="141"/>
      <c r="N477" s="52"/>
      <c r="O477" s="52"/>
      <c r="P477" s="105"/>
      <c r="Q477" s="105"/>
      <c r="R477" s="105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</row>
    <row r="478" spans="1:35">
      <c r="A478" s="194"/>
      <c r="B478" s="141"/>
      <c r="C478" s="141"/>
      <c r="D478" s="123"/>
      <c r="E478" s="123"/>
      <c r="F478" s="141"/>
      <c r="G478" s="123"/>
      <c r="H478" s="141"/>
      <c r="I478" s="141"/>
      <c r="J478" s="123"/>
      <c r="K478" s="141"/>
      <c r="L478" s="141"/>
      <c r="N478" s="52"/>
      <c r="O478" s="52"/>
      <c r="Q478" s="105"/>
      <c r="R478" s="105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</row>
    <row r="479" spans="1:35">
      <c r="A479" s="194" t="s">
        <v>228</v>
      </c>
      <c r="B479" s="141"/>
      <c r="C479" s="190"/>
      <c r="D479" s="123"/>
      <c r="E479" s="123"/>
      <c r="F479" s="141"/>
      <c r="G479" s="123"/>
      <c r="H479" s="141"/>
      <c r="I479" s="141"/>
      <c r="J479" s="123"/>
      <c r="K479" s="141"/>
      <c r="L479" s="141"/>
      <c r="N479" s="52"/>
      <c r="O479" s="52"/>
      <c r="P479" s="105"/>
      <c r="Q479" s="243" t="s">
        <v>307</v>
      </c>
      <c r="R479" s="243"/>
      <c r="S479" s="52"/>
      <c r="T479" s="52"/>
      <c r="U479" s="52"/>
      <c r="V479" s="52"/>
      <c r="W479" s="52"/>
      <c r="X479" s="52"/>
      <c r="Y479" s="52"/>
      <c r="AA479" s="52"/>
      <c r="AB479" s="52"/>
      <c r="AC479" s="52"/>
      <c r="AD479" s="52"/>
      <c r="AE479" s="52"/>
      <c r="AF479" s="52"/>
      <c r="AG479" s="52"/>
      <c r="AH479" s="52"/>
      <c r="AI479" s="52"/>
    </row>
    <row r="480" spans="1:35">
      <c r="A480" s="194" t="s">
        <v>253</v>
      </c>
      <c r="B480" s="141"/>
      <c r="C480" s="190">
        <f t="shared" ref="C480:C482" si="70">C514+C548</f>
        <v>272</v>
      </c>
      <c r="D480" s="164">
        <v>227</v>
      </c>
      <c r="E480" s="194"/>
      <c r="F480" s="192">
        <f t="shared" ref="F480:I482" si="71">F514+F548</f>
        <v>61744</v>
      </c>
      <c r="G480" s="164">
        <v>254</v>
      </c>
      <c r="H480" s="194"/>
      <c r="I480" s="192">
        <f t="shared" si="71"/>
        <v>69088</v>
      </c>
      <c r="J480" s="164">
        <f>ROUND(G480*(1+$Q$508),0)+1</f>
        <v>259</v>
      </c>
      <c r="K480" s="194"/>
      <c r="L480" s="192">
        <f>L514+L548</f>
        <v>70448</v>
      </c>
      <c r="N480" s="124" t="e">
        <f>J480*#REF!</f>
        <v>#REF!</v>
      </c>
      <c r="Q480" s="62">
        <f>(J480-G480)/G480</f>
        <v>1.968503937007874E-2</v>
      </c>
      <c r="R480" s="62"/>
      <c r="Z480" s="188"/>
      <c r="AA480" s="188"/>
      <c r="AD480" s="52"/>
      <c r="AE480" s="52"/>
      <c r="AF480" s="52"/>
      <c r="AG480" s="52"/>
      <c r="AH480" s="52"/>
      <c r="AI480" s="52"/>
    </row>
    <row r="481" spans="1:35">
      <c r="A481" s="194" t="s">
        <v>254</v>
      </c>
      <c r="B481" s="141"/>
      <c r="C481" s="190">
        <f t="shared" si="70"/>
        <v>9034</v>
      </c>
      <c r="D481" s="164">
        <v>84</v>
      </c>
      <c r="E481" s="194"/>
      <c r="F481" s="192">
        <f t="shared" si="71"/>
        <v>758856</v>
      </c>
      <c r="G481" s="164">
        <v>95</v>
      </c>
      <c r="H481" s="194"/>
      <c r="I481" s="192">
        <f t="shared" si="71"/>
        <v>858230</v>
      </c>
      <c r="J481" s="164">
        <f>ROUND(G481*(1+$Q$508),0)</f>
        <v>96</v>
      </c>
      <c r="K481" s="194"/>
      <c r="L481" s="192">
        <f>L515+L549</f>
        <v>867264</v>
      </c>
      <c r="N481" s="124" t="e">
        <f>J481*#REF!</f>
        <v>#REF!</v>
      </c>
      <c r="Q481" s="62">
        <f>(J481-G481)/G481</f>
        <v>1.0526315789473684E-2</v>
      </c>
      <c r="R481" s="62"/>
      <c r="T481" s="124"/>
      <c r="U481" s="165"/>
      <c r="V481" s="124"/>
      <c r="W481" s="165"/>
      <c r="X481" s="124"/>
      <c r="Y481" s="124"/>
      <c r="Z481" s="165"/>
      <c r="AA481" s="165"/>
      <c r="AC481" s="92"/>
      <c r="AD481" s="52"/>
      <c r="AE481" s="52"/>
      <c r="AF481" s="52"/>
      <c r="AG481" s="52"/>
      <c r="AH481" s="52"/>
      <c r="AI481" s="52"/>
    </row>
    <row r="482" spans="1:35">
      <c r="A482" s="194" t="s">
        <v>255</v>
      </c>
      <c r="B482" s="141"/>
      <c r="C482" s="190">
        <f t="shared" si="70"/>
        <v>3553</v>
      </c>
      <c r="D482" s="164">
        <v>168</v>
      </c>
      <c r="E482" s="196"/>
      <c r="F482" s="192">
        <f t="shared" si="71"/>
        <v>596904</v>
      </c>
      <c r="G482" s="164">
        <v>189</v>
      </c>
      <c r="H482" s="196"/>
      <c r="I482" s="192">
        <f t="shared" si="71"/>
        <v>671517</v>
      </c>
      <c r="J482" s="164">
        <f>ROUND(G482*(1+$Q$508),0)</f>
        <v>192</v>
      </c>
      <c r="K482" s="196"/>
      <c r="L482" s="192">
        <f>L516+L550</f>
        <v>682176</v>
      </c>
      <c r="N482" s="124" t="e">
        <f>J482*#REF!</f>
        <v>#REF!</v>
      </c>
      <c r="Q482" s="62">
        <f>(J482-G482)/G482</f>
        <v>1.5873015873015872E-2</v>
      </c>
      <c r="R482" s="62"/>
      <c r="T482" s="124"/>
      <c r="U482" s="165"/>
      <c r="V482" s="124"/>
      <c r="W482" s="165"/>
      <c r="X482" s="124"/>
      <c r="Y482" s="124"/>
      <c r="Z482" s="165"/>
      <c r="AA482" s="165"/>
      <c r="AC482" s="92"/>
      <c r="AD482" s="52"/>
      <c r="AE482" s="52"/>
      <c r="AF482" s="52"/>
      <c r="AG482" s="52"/>
      <c r="AH482" s="52"/>
      <c r="AI482" s="52"/>
    </row>
    <row r="483" spans="1:35">
      <c r="A483" s="194" t="s">
        <v>229</v>
      </c>
      <c r="B483" s="141"/>
      <c r="C483" s="190">
        <f>SUM(C480:C482)</f>
        <v>12859</v>
      </c>
      <c r="D483" s="164"/>
      <c r="E483" s="194"/>
      <c r="F483" s="192"/>
      <c r="G483" s="164"/>
      <c r="H483" s="194"/>
      <c r="I483" s="192"/>
      <c r="J483" s="164"/>
      <c r="K483" s="194"/>
      <c r="L483" s="192"/>
      <c r="T483" s="124"/>
      <c r="U483" s="165"/>
      <c r="V483" s="124"/>
      <c r="W483" s="165"/>
      <c r="X483" s="124"/>
      <c r="Y483" s="124"/>
      <c r="Z483" s="165"/>
      <c r="AA483" s="165"/>
      <c r="AC483" s="92"/>
      <c r="AD483" s="52"/>
      <c r="AE483" s="52"/>
      <c r="AF483" s="52"/>
      <c r="AG483" s="52"/>
      <c r="AH483" s="52"/>
      <c r="AI483" s="52"/>
    </row>
    <row r="484" spans="1:35">
      <c r="A484" s="194" t="s">
        <v>254</v>
      </c>
      <c r="B484" s="141"/>
      <c r="C484" s="190">
        <f>C518+C552</f>
        <v>1544723</v>
      </c>
      <c r="D484" s="164">
        <v>1.48</v>
      </c>
      <c r="E484" s="194" t="s">
        <v>280</v>
      </c>
      <c r="F484" s="192">
        <f>F518+F552</f>
        <v>2286190</v>
      </c>
      <c r="G484" s="164">
        <v>1.67</v>
      </c>
      <c r="H484" s="194" t="s">
        <v>280</v>
      </c>
      <c r="I484" s="192">
        <f>I518+I552</f>
        <v>2579688</v>
      </c>
      <c r="J484" s="164">
        <f>ROUND(G484*(1+$Q$508),2)</f>
        <v>1.7</v>
      </c>
      <c r="K484" s="194" t="s">
        <v>280</v>
      </c>
      <c r="L484" s="192">
        <f>L518+L552</f>
        <v>2626029</v>
      </c>
      <c r="N484" s="124" t="e">
        <f>J484*#REF!</f>
        <v>#REF!</v>
      </c>
      <c r="Q484" s="62">
        <f>(J484-G484)/G484</f>
        <v>1.7964071856287442E-2</v>
      </c>
      <c r="R484" s="62"/>
      <c r="T484" s="124"/>
      <c r="U484" s="197"/>
      <c r="V484" s="124"/>
      <c r="W484" s="197"/>
      <c r="X484" s="124"/>
      <c r="Y484" s="124"/>
      <c r="Z484" s="197"/>
      <c r="AA484" s="197"/>
      <c r="AC484" s="52"/>
      <c r="AD484" s="52"/>
      <c r="AE484" s="52"/>
      <c r="AF484" s="52"/>
      <c r="AG484" s="52"/>
      <c r="AH484" s="52"/>
      <c r="AI484" s="52"/>
    </row>
    <row r="485" spans="1:35">
      <c r="A485" s="194" t="s">
        <v>255</v>
      </c>
      <c r="B485" s="141"/>
      <c r="C485" s="190">
        <f>C519+C553</f>
        <v>1814587</v>
      </c>
      <c r="D485" s="164">
        <v>1.22</v>
      </c>
      <c r="E485" s="194" t="s">
        <v>280</v>
      </c>
      <c r="F485" s="192">
        <f>F519+F553</f>
        <v>2213797</v>
      </c>
      <c r="G485" s="164">
        <v>1.37</v>
      </c>
      <c r="H485" s="194" t="s">
        <v>280</v>
      </c>
      <c r="I485" s="192">
        <f>I519+I553</f>
        <v>2485984</v>
      </c>
      <c r="J485" s="164">
        <f>ROUND(G485*(1+$Q$508),2)</f>
        <v>1.39</v>
      </c>
      <c r="K485" s="194" t="s">
        <v>280</v>
      </c>
      <c r="L485" s="192">
        <f>L519+L553</f>
        <v>2522276</v>
      </c>
      <c r="N485" s="124" t="e">
        <f>J485*#REF!</f>
        <v>#REF!</v>
      </c>
      <c r="Q485" s="62">
        <f>(J485-G485)/G485</f>
        <v>1.4598540145985252E-2</v>
      </c>
      <c r="R485" s="62"/>
      <c r="T485" s="124"/>
      <c r="U485" s="124"/>
      <c r="AC485" s="52"/>
      <c r="AD485" s="52"/>
      <c r="AE485" s="52"/>
      <c r="AF485" s="52"/>
      <c r="AG485" s="52"/>
      <c r="AH485" s="52"/>
      <c r="AI485" s="52"/>
    </row>
    <row r="486" spans="1:35">
      <c r="A486" s="175" t="s">
        <v>256</v>
      </c>
      <c r="B486" s="141"/>
      <c r="C486" s="190"/>
      <c r="D486" s="170"/>
      <c r="E486" s="194"/>
      <c r="F486" s="192"/>
      <c r="G486" s="170"/>
      <c r="H486" s="194"/>
      <c r="I486" s="192"/>
      <c r="J486" s="170"/>
      <c r="K486" s="194"/>
      <c r="L486" s="192"/>
      <c r="S486" s="109"/>
      <c r="AC486" s="52"/>
      <c r="AD486" s="52"/>
      <c r="AE486" s="52"/>
      <c r="AF486" s="52"/>
      <c r="AG486" s="52"/>
      <c r="AH486" s="52"/>
      <c r="AI486" s="52"/>
    </row>
    <row r="487" spans="1:35">
      <c r="A487" s="175" t="s">
        <v>257</v>
      </c>
      <c r="B487" s="141"/>
      <c r="C487" s="190">
        <f>C521+C555</f>
        <v>2534702</v>
      </c>
      <c r="D487" s="164">
        <v>3.88</v>
      </c>
      <c r="E487" s="194"/>
      <c r="F487" s="192">
        <f>F521+F555</f>
        <v>9834644</v>
      </c>
      <c r="G487" s="164">
        <v>4.37</v>
      </c>
      <c r="H487" s="194"/>
      <c r="I487" s="192">
        <f>I521+I555</f>
        <v>11076648</v>
      </c>
      <c r="J487" s="164">
        <f>ROUND(G487*(1+$Q$508),2)</f>
        <v>4.4400000000000004</v>
      </c>
      <c r="K487" s="194"/>
      <c r="L487" s="192">
        <f>L521+L555</f>
        <v>11254076</v>
      </c>
      <c r="N487" s="124" t="e">
        <f>J487*#REF!</f>
        <v>#REF!</v>
      </c>
      <c r="Q487" s="62">
        <f>(J487-G487)/G487</f>
        <v>1.6018306636155669E-2</v>
      </c>
      <c r="R487" s="62"/>
      <c r="S487" s="109"/>
      <c r="AC487" s="52"/>
      <c r="AD487" s="52"/>
      <c r="AE487" s="52"/>
      <c r="AF487" s="52"/>
      <c r="AG487" s="52"/>
      <c r="AH487" s="52"/>
      <c r="AI487" s="52"/>
    </row>
    <row r="488" spans="1:35">
      <c r="A488" s="175" t="s">
        <v>270</v>
      </c>
      <c r="B488" s="141"/>
      <c r="C488" s="190">
        <f>C522+C556</f>
        <v>4852</v>
      </c>
      <c r="D488" s="244">
        <v>3.88</v>
      </c>
      <c r="E488" s="194"/>
      <c r="F488" s="192">
        <f>F522+F556</f>
        <v>18826</v>
      </c>
      <c r="G488" s="244">
        <v>4.37</v>
      </c>
      <c r="H488" s="194"/>
      <c r="I488" s="192">
        <f>I522+I556</f>
        <v>21204</v>
      </c>
      <c r="J488" s="244">
        <f>J487</f>
        <v>4.4400000000000004</v>
      </c>
      <c r="K488" s="194"/>
      <c r="L488" s="192">
        <f>L522+L556</f>
        <v>21543</v>
      </c>
      <c r="N488" s="124" t="e">
        <f>J488*#REF!</f>
        <v>#REF!</v>
      </c>
      <c r="Q488" s="62">
        <f>(J488-G488)/G488</f>
        <v>1.6018306636155669E-2</v>
      </c>
      <c r="R488" s="62"/>
      <c r="S488" s="109"/>
      <c r="AC488" s="52"/>
      <c r="AD488" s="52"/>
      <c r="AE488" s="52"/>
      <c r="AF488" s="52"/>
      <c r="AG488" s="52"/>
      <c r="AH488" s="52"/>
      <c r="AI488" s="52"/>
    </row>
    <row r="489" spans="1:35">
      <c r="A489" s="194" t="s">
        <v>258</v>
      </c>
      <c r="B489" s="141"/>
      <c r="C489" s="190"/>
      <c r="D489" s="164"/>
      <c r="E489" s="194"/>
      <c r="F489" s="192"/>
      <c r="G489" s="164"/>
      <c r="H489" s="194"/>
      <c r="I489" s="192"/>
      <c r="J489" s="164"/>
      <c r="K489" s="194"/>
      <c r="L489" s="192"/>
      <c r="S489" s="109"/>
      <c r="AC489" s="52"/>
      <c r="AD489" s="52"/>
      <c r="AE489" s="52"/>
      <c r="AF489" s="52"/>
      <c r="AG489" s="52"/>
      <c r="AH489" s="52"/>
      <c r="AI489" s="52"/>
    </row>
    <row r="490" spans="1:35">
      <c r="A490" s="194" t="s">
        <v>259</v>
      </c>
      <c r="B490" s="190"/>
      <c r="C490" s="190">
        <f t="shared" ref="C490:C492" si="72">C524+C558</f>
        <v>401736473</v>
      </c>
      <c r="D490" s="245">
        <v>4.6340000000000003</v>
      </c>
      <c r="E490" s="194" t="s">
        <v>210</v>
      </c>
      <c r="F490" s="192">
        <f t="shared" ref="F490:I492" si="73">F524+F558</f>
        <v>18616468</v>
      </c>
      <c r="G490" s="245">
        <v>5.2170000000000005</v>
      </c>
      <c r="H490" s="194" t="s">
        <v>210</v>
      </c>
      <c r="I490" s="192">
        <f t="shared" si="73"/>
        <v>20958592</v>
      </c>
      <c r="J490" s="245">
        <f>ROUND(G490*(1+Q508),3)-0.003</f>
        <v>5.2919999999999998</v>
      </c>
      <c r="K490" s="194" t="s">
        <v>210</v>
      </c>
      <c r="L490" s="192">
        <f>L524+L558</f>
        <v>21259894</v>
      </c>
      <c r="N490" s="124" t="e">
        <f>(J490/100)*#REF!</f>
        <v>#REF!</v>
      </c>
      <c r="Q490" s="62">
        <f>(J490-G490)/G490</f>
        <v>1.4376078205865303E-2</v>
      </c>
      <c r="R490" s="62"/>
      <c r="S490" s="109"/>
      <c r="AC490" s="52"/>
      <c r="AD490" s="52"/>
      <c r="AE490" s="52"/>
      <c r="AF490" s="52"/>
      <c r="AG490" s="52"/>
      <c r="AH490" s="52"/>
      <c r="AI490" s="52"/>
    </row>
    <row r="491" spans="1:35">
      <c r="A491" s="194" t="s">
        <v>233</v>
      </c>
      <c r="B491" s="190"/>
      <c r="C491" s="190">
        <f t="shared" si="72"/>
        <v>484775092</v>
      </c>
      <c r="D491" s="245">
        <v>4.2469999999999999</v>
      </c>
      <c r="E491" s="194" t="s">
        <v>210</v>
      </c>
      <c r="F491" s="192">
        <f t="shared" si="73"/>
        <v>20588399</v>
      </c>
      <c r="G491" s="245">
        <v>4.7799999999999994</v>
      </c>
      <c r="H491" s="194" t="s">
        <v>210</v>
      </c>
      <c r="I491" s="192">
        <f t="shared" si="73"/>
        <v>23172249</v>
      </c>
      <c r="J491" s="245">
        <f>ROUND(J490/D490*D491,3)</f>
        <v>4.8499999999999996</v>
      </c>
      <c r="K491" s="194" t="s">
        <v>210</v>
      </c>
      <c r="L491" s="192">
        <f>L525+L559</f>
        <v>23511591</v>
      </c>
      <c r="N491" s="124" t="e">
        <f>(J491/100)*#REF!</f>
        <v>#REF!</v>
      </c>
      <c r="Q491" s="62">
        <f>(J491-G491)/G491</f>
        <v>1.4644351464435207E-2</v>
      </c>
      <c r="R491" s="62"/>
      <c r="S491" s="109"/>
      <c r="AD491" s="52"/>
      <c r="AE491" s="52"/>
      <c r="AF491" s="52"/>
      <c r="AG491" s="52"/>
      <c r="AH491" s="52"/>
      <c r="AI491" s="52"/>
    </row>
    <row r="492" spans="1:35">
      <c r="A492" s="194" t="s">
        <v>234</v>
      </c>
      <c r="B492" s="141"/>
      <c r="C492" s="190">
        <f t="shared" si="72"/>
        <v>567984</v>
      </c>
      <c r="D492" s="246">
        <v>50</v>
      </c>
      <c r="E492" s="194" t="s">
        <v>210</v>
      </c>
      <c r="F492" s="192">
        <f t="shared" si="73"/>
        <v>283992</v>
      </c>
      <c r="G492" s="246">
        <v>56</v>
      </c>
      <c r="H492" s="194" t="s">
        <v>210</v>
      </c>
      <c r="I492" s="192">
        <f t="shared" si="73"/>
        <v>318071</v>
      </c>
      <c r="J492" s="246">
        <f>ROUND(J491/D491*D492,0)-1</f>
        <v>56</v>
      </c>
      <c r="K492" s="194" t="s">
        <v>210</v>
      </c>
      <c r="L492" s="192">
        <f>L526+L560</f>
        <v>318071</v>
      </c>
      <c r="N492" s="124" t="e">
        <f>(J492/100)*#REF!</f>
        <v>#REF!</v>
      </c>
      <c r="Q492" s="62">
        <f>(J492-G492)/G492</f>
        <v>0</v>
      </c>
      <c r="R492" s="62"/>
      <c r="S492" s="109"/>
      <c r="AD492" s="52"/>
      <c r="AE492" s="52"/>
      <c r="AF492" s="52"/>
      <c r="AG492" s="52"/>
      <c r="AH492" s="52"/>
      <c r="AI492" s="52"/>
    </row>
    <row r="493" spans="1:35">
      <c r="A493" s="237" t="s">
        <v>235</v>
      </c>
      <c r="B493" s="141"/>
      <c r="C493" s="190"/>
      <c r="D493" s="202">
        <v>-0.01</v>
      </c>
      <c r="E493" s="123"/>
      <c r="F493" s="192"/>
      <c r="G493" s="202">
        <v>-0.01</v>
      </c>
      <c r="H493" s="141"/>
      <c r="I493" s="192"/>
      <c r="J493" s="202">
        <v>-0.01</v>
      </c>
      <c r="K493" s="141"/>
      <c r="L493" s="192"/>
      <c r="AD493" s="52"/>
      <c r="AE493" s="52"/>
      <c r="AF493" s="52"/>
      <c r="AG493" s="52"/>
      <c r="AH493" s="52"/>
      <c r="AI493" s="52"/>
    </row>
    <row r="494" spans="1:35">
      <c r="A494" s="194" t="s">
        <v>253</v>
      </c>
      <c r="B494" s="141"/>
      <c r="C494" s="190">
        <f t="shared" ref="C494:C507" si="74">C528+C562</f>
        <v>0</v>
      </c>
      <c r="D494" s="170">
        <v>227</v>
      </c>
      <c r="E494" s="240"/>
      <c r="F494" s="192">
        <f t="shared" ref="F494:I507" si="75">F528+F562</f>
        <v>0</v>
      </c>
      <c r="G494" s="170">
        <f>G480</f>
        <v>254</v>
      </c>
      <c r="H494" s="159"/>
      <c r="I494" s="192">
        <f t="shared" si="75"/>
        <v>0</v>
      </c>
      <c r="J494" s="170">
        <f>J480</f>
        <v>259</v>
      </c>
      <c r="K494" s="159"/>
      <c r="L494" s="192">
        <f t="shared" ref="L494:L506" si="76">L528+L562</f>
        <v>0</v>
      </c>
      <c r="N494" s="124" t="e">
        <f>-(J494*#REF!)/100</f>
        <v>#REF!</v>
      </c>
      <c r="AD494" s="52"/>
      <c r="AE494" s="52"/>
      <c r="AF494" s="52"/>
      <c r="AG494" s="52"/>
      <c r="AH494" s="52"/>
      <c r="AI494" s="52"/>
    </row>
    <row r="495" spans="1:35">
      <c r="A495" s="194" t="s">
        <v>254</v>
      </c>
      <c r="B495" s="141"/>
      <c r="C495" s="190">
        <f t="shared" si="74"/>
        <v>60</v>
      </c>
      <c r="D495" s="170">
        <v>84</v>
      </c>
      <c r="E495" s="240"/>
      <c r="F495" s="192">
        <f t="shared" si="75"/>
        <v>-50</v>
      </c>
      <c r="G495" s="170">
        <f>G481</f>
        <v>95</v>
      </c>
      <c r="H495" s="159"/>
      <c r="I495" s="192">
        <f t="shared" si="75"/>
        <v>-57</v>
      </c>
      <c r="J495" s="170">
        <f>J481</f>
        <v>96</v>
      </c>
      <c r="K495" s="159"/>
      <c r="L495" s="192">
        <f t="shared" si="76"/>
        <v>-58</v>
      </c>
      <c r="N495" s="124" t="e">
        <f>-(J495*#REF!)/100</f>
        <v>#REF!</v>
      </c>
      <c r="P495" s="247"/>
      <c r="AC495" s="52"/>
      <c r="AD495" s="52"/>
      <c r="AE495" s="52"/>
      <c r="AF495" s="52"/>
      <c r="AG495" s="52"/>
      <c r="AH495" s="52"/>
      <c r="AI495" s="52"/>
    </row>
    <row r="496" spans="1:35">
      <c r="A496" s="194" t="s">
        <v>255</v>
      </c>
      <c r="B496" s="141"/>
      <c r="C496" s="190">
        <f t="shared" si="74"/>
        <v>133</v>
      </c>
      <c r="D496" s="170">
        <v>168</v>
      </c>
      <c r="E496" s="248"/>
      <c r="F496" s="192">
        <f t="shared" si="75"/>
        <v>-223</v>
      </c>
      <c r="G496" s="170">
        <f>G482</f>
        <v>189</v>
      </c>
      <c r="H496" s="249"/>
      <c r="I496" s="192">
        <f t="shared" si="75"/>
        <v>-252</v>
      </c>
      <c r="J496" s="170">
        <f>J482</f>
        <v>192</v>
      </c>
      <c r="K496" s="249"/>
      <c r="L496" s="192">
        <f t="shared" si="76"/>
        <v>-256</v>
      </c>
      <c r="N496" s="124" t="e">
        <f>-(J496*#REF!)/100</f>
        <v>#REF!</v>
      </c>
      <c r="P496" s="247"/>
      <c r="AC496" s="52"/>
      <c r="AD496" s="52"/>
      <c r="AE496" s="52"/>
      <c r="AF496" s="52"/>
      <c r="AG496" s="52"/>
      <c r="AH496" s="52"/>
      <c r="AI496" s="52"/>
    </row>
    <row r="497" spans="1:35">
      <c r="A497" s="194" t="s">
        <v>254</v>
      </c>
      <c r="B497" s="141"/>
      <c r="C497" s="190">
        <f t="shared" si="74"/>
        <v>10653</v>
      </c>
      <c r="D497" s="170">
        <v>1.48</v>
      </c>
      <c r="E497" s="240"/>
      <c r="F497" s="192">
        <f t="shared" si="75"/>
        <v>-158</v>
      </c>
      <c r="G497" s="170">
        <f>G484</f>
        <v>1.67</v>
      </c>
      <c r="H497" s="159"/>
      <c r="I497" s="192">
        <f t="shared" si="75"/>
        <v>-178</v>
      </c>
      <c r="J497" s="170">
        <f>J484</f>
        <v>1.7</v>
      </c>
      <c r="K497" s="159"/>
      <c r="L497" s="192">
        <f t="shared" si="76"/>
        <v>-181</v>
      </c>
      <c r="N497" s="124" t="e">
        <f>-(J497*#REF!)/100</f>
        <v>#REF!</v>
      </c>
      <c r="AC497" s="52"/>
      <c r="AD497" s="52"/>
      <c r="AE497" s="52"/>
      <c r="AF497" s="52"/>
      <c r="AG497" s="52"/>
      <c r="AH497" s="52"/>
      <c r="AI497" s="52"/>
    </row>
    <row r="498" spans="1:35">
      <c r="A498" s="194" t="s">
        <v>255</v>
      </c>
      <c r="B498" s="141"/>
      <c r="C498" s="190">
        <f t="shared" si="74"/>
        <v>86525</v>
      </c>
      <c r="D498" s="170">
        <v>1.22</v>
      </c>
      <c r="E498" s="240" t="s">
        <v>280</v>
      </c>
      <c r="F498" s="192">
        <f t="shared" si="75"/>
        <v>-1055</v>
      </c>
      <c r="G498" s="170">
        <f>G485</f>
        <v>1.37</v>
      </c>
      <c r="H498" s="159"/>
      <c r="I498" s="192">
        <f t="shared" si="75"/>
        <v>-1185</v>
      </c>
      <c r="J498" s="170">
        <f>J485</f>
        <v>1.39</v>
      </c>
      <c r="K498" s="159"/>
      <c r="L498" s="192">
        <f t="shared" si="76"/>
        <v>-1203</v>
      </c>
      <c r="N498" s="124" t="e">
        <f>-(J498*#REF!)/100</f>
        <v>#REF!</v>
      </c>
      <c r="AC498" s="52"/>
      <c r="AD498" s="52"/>
      <c r="AE498" s="52"/>
      <c r="AF498" s="52"/>
      <c r="AG498" s="52"/>
      <c r="AH498" s="52"/>
      <c r="AI498" s="52"/>
    </row>
    <row r="499" spans="1:35">
      <c r="A499" s="175" t="s">
        <v>257</v>
      </c>
      <c r="B499" s="141"/>
      <c r="C499" s="190">
        <f t="shared" si="74"/>
        <v>73104</v>
      </c>
      <c r="D499" s="170">
        <v>3.88</v>
      </c>
      <c r="E499" s="240" t="s">
        <v>280</v>
      </c>
      <c r="F499" s="192">
        <f t="shared" si="75"/>
        <v>-2836</v>
      </c>
      <c r="G499" s="170">
        <f>G487</f>
        <v>4.37</v>
      </c>
      <c r="H499" s="159"/>
      <c r="I499" s="192">
        <f t="shared" si="75"/>
        <v>-3195</v>
      </c>
      <c r="J499" s="170">
        <f>J487</f>
        <v>4.4400000000000004</v>
      </c>
      <c r="K499" s="159"/>
      <c r="L499" s="192">
        <f t="shared" si="76"/>
        <v>-3246</v>
      </c>
      <c r="N499" s="124" t="e">
        <f>-(J499*#REF!)/100</f>
        <v>#REF!</v>
      </c>
      <c r="AC499" s="52"/>
      <c r="AD499" s="52"/>
      <c r="AE499" s="52"/>
      <c r="AF499" s="52"/>
      <c r="AG499" s="52"/>
      <c r="AH499" s="52"/>
      <c r="AI499" s="52"/>
    </row>
    <row r="500" spans="1:35">
      <c r="A500" s="175" t="s">
        <v>270</v>
      </c>
      <c r="B500" s="141"/>
      <c r="C500" s="190">
        <f t="shared" si="74"/>
        <v>200</v>
      </c>
      <c r="D500" s="170">
        <v>3.88</v>
      </c>
      <c r="E500" s="240" t="s">
        <v>280</v>
      </c>
      <c r="F500" s="192">
        <f t="shared" si="75"/>
        <v>-8</v>
      </c>
      <c r="G500" s="170">
        <f>G488</f>
        <v>4.37</v>
      </c>
      <c r="H500" s="159"/>
      <c r="I500" s="192">
        <f t="shared" si="75"/>
        <v>-9</v>
      </c>
      <c r="J500" s="170">
        <f>J488</f>
        <v>4.4400000000000004</v>
      </c>
      <c r="K500" s="159"/>
      <c r="L500" s="192">
        <f t="shared" si="76"/>
        <v>-9</v>
      </c>
      <c r="N500" s="124" t="e">
        <f>-(J500*#REF!)/100</f>
        <v>#REF!</v>
      </c>
      <c r="AC500" s="52"/>
      <c r="AD500" s="52"/>
      <c r="AE500" s="52"/>
      <c r="AF500" s="52"/>
      <c r="AG500" s="52"/>
      <c r="AH500" s="52"/>
      <c r="AI500" s="52"/>
    </row>
    <row r="501" spans="1:35">
      <c r="A501" s="194" t="s">
        <v>259</v>
      </c>
      <c r="B501" s="141"/>
      <c r="C501" s="190">
        <f t="shared" si="74"/>
        <v>7060720</v>
      </c>
      <c r="D501" s="172">
        <v>4.6340000000000003</v>
      </c>
      <c r="E501" s="192" t="s">
        <v>210</v>
      </c>
      <c r="F501" s="192">
        <f t="shared" si="75"/>
        <v>-3272</v>
      </c>
      <c r="G501" s="172">
        <f>G490</f>
        <v>5.2170000000000005</v>
      </c>
      <c r="H501" s="194" t="s">
        <v>210</v>
      </c>
      <c r="I501" s="192">
        <f t="shared" si="75"/>
        <v>-3684</v>
      </c>
      <c r="J501" s="172">
        <f>J490</f>
        <v>5.2919999999999998</v>
      </c>
      <c r="K501" s="194" t="s">
        <v>210</v>
      </c>
      <c r="L501" s="192">
        <f t="shared" si="76"/>
        <v>-3736</v>
      </c>
      <c r="N501" s="124" t="e">
        <f>-((J501*#REF!)/100)/100</f>
        <v>#REF!</v>
      </c>
      <c r="AC501" s="52"/>
      <c r="AD501" s="52"/>
      <c r="AE501" s="52"/>
      <c r="AF501" s="52"/>
      <c r="AG501" s="52"/>
      <c r="AH501" s="52"/>
      <c r="AI501" s="52"/>
    </row>
    <row r="502" spans="1:35">
      <c r="A502" s="194" t="s">
        <v>233</v>
      </c>
      <c r="B502" s="141"/>
      <c r="C502" s="190">
        <f t="shared" si="74"/>
        <v>18999318</v>
      </c>
      <c r="D502" s="172">
        <v>4.2469999999999999</v>
      </c>
      <c r="E502" s="192" t="s">
        <v>210</v>
      </c>
      <c r="F502" s="192">
        <f t="shared" si="75"/>
        <v>-8069</v>
      </c>
      <c r="G502" s="172">
        <f>G491</f>
        <v>4.7799999999999994</v>
      </c>
      <c r="H502" s="194" t="s">
        <v>210</v>
      </c>
      <c r="I502" s="192">
        <f t="shared" si="75"/>
        <v>-9081</v>
      </c>
      <c r="J502" s="172">
        <f>J491</f>
        <v>4.8499999999999996</v>
      </c>
      <c r="K502" s="194" t="s">
        <v>210</v>
      </c>
      <c r="L502" s="192">
        <f t="shared" si="76"/>
        <v>-9215</v>
      </c>
      <c r="N502" s="124" t="e">
        <f>-((J502*#REF!)/100)/100</f>
        <v>#REF!</v>
      </c>
      <c r="AC502" s="52"/>
      <c r="AD502" s="52"/>
      <c r="AE502" s="52"/>
      <c r="AF502" s="52"/>
      <c r="AG502" s="52"/>
      <c r="AH502" s="52"/>
      <c r="AI502" s="52"/>
    </row>
    <row r="503" spans="1:35">
      <c r="A503" s="194" t="s">
        <v>234</v>
      </c>
      <c r="B503" s="141"/>
      <c r="C503" s="190">
        <f t="shared" si="74"/>
        <v>19365</v>
      </c>
      <c r="D503" s="250">
        <v>50</v>
      </c>
      <c r="E503" s="192" t="s">
        <v>210</v>
      </c>
      <c r="F503" s="192">
        <f t="shared" si="75"/>
        <v>-97</v>
      </c>
      <c r="G503" s="250">
        <f>G492</f>
        <v>56</v>
      </c>
      <c r="H503" s="194" t="s">
        <v>210</v>
      </c>
      <c r="I503" s="192">
        <f t="shared" si="75"/>
        <v>-109</v>
      </c>
      <c r="J503" s="250">
        <f>J492</f>
        <v>56</v>
      </c>
      <c r="K503" s="194" t="s">
        <v>210</v>
      </c>
      <c r="L503" s="192">
        <f t="shared" si="76"/>
        <v>-109</v>
      </c>
      <c r="N503" s="124" t="e">
        <f>-((J503*#REF!)/100)/100</f>
        <v>#REF!</v>
      </c>
      <c r="AC503" s="52"/>
      <c r="AD503" s="52"/>
      <c r="AE503" s="52"/>
      <c r="AF503" s="52"/>
      <c r="AG503" s="52"/>
      <c r="AH503" s="52"/>
      <c r="AI503" s="52"/>
    </row>
    <row r="504" spans="1:35">
      <c r="A504" s="194" t="s">
        <v>271</v>
      </c>
      <c r="B504" s="141"/>
      <c r="C504" s="190">
        <f t="shared" si="74"/>
        <v>193</v>
      </c>
      <c r="D504" s="164">
        <v>60</v>
      </c>
      <c r="E504" s="240" t="s">
        <v>280</v>
      </c>
      <c r="F504" s="192">
        <f t="shared" si="75"/>
        <v>11580</v>
      </c>
      <c r="G504" s="164">
        <v>60</v>
      </c>
      <c r="H504" s="141"/>
      <c r="I504" s="192">
        <f t="shared" si="75"/>
        <v>11580</v>
      </c>
      <c r="J504" s="164">
        <v>60</v>
      </c>
      <c r="K504" s="141"/>
      <c r="L504" s="192">
        <f t="shared" si="76"/>
        <v>11580</v>
      </c>
      <c r="N504" s="124" t="e">
        <f>J504*#REF!</f>
        <v>#REF!</v>
      </c>
      <c r="AC504" s="52"/>
      <c r="AD504" s="52"/>
      <c r="AE504" s="52"/>
      <c r="AF504" s="52"/>
      <c r="AG504" s="52"/>
      <c r="AH504" s="52"/>
      <c r="AI504" s="52"/>
    </row>
    <row r="505" spans="1:35">
      <c r="A505" s="194" t="s">
        <v>272</v>
      </c>
      <c r="B505" s="141"/>
      <c r="C505" s="190">
        <f t="shared" si="74"/>
        <v>94637</v>
      </c>
      <c r="D505" s="208">
        <v>-30</v>
      </c>
      <c r="E505" s="192" t="s">
        <v>210</v>
      </c>
      <c r="F505" s="192">
        <f t="shared" si="75"/>
        <v>-28391</v>
      </c>
      <c r="G505" s="208">
        <v>-30</v>
      </c>
      <c r="H505" s="192" t="s">
        <v>210</v>
      </c>
      <c r="I505" s="192">
        <f t="shared" si="75"/>
        <v>-28391</v>
      </c>
      <c r="J505" s="208">
        <v>-30</v>
      </c>
      <c r="K505" s="192" t="s">
        <v>210</v>
      </c>
      <c r="L505" s="192">
        <f t="shared" si="76"/>
        <v>-28391</v>
      </c>
      <c r="N505" s="124" t="e">
        <f>(J505/100)*#REF!</f>
        <v>#REF!</v>
      </c>
      <c r="AC505" s="52"/>
      <c r="AD505" s="52"/>
      <c r="AE505" s="52"/>
      <c r="AF505" s="52"/>
      <c r="AG505" s="52"/>
      <c r="AH505" s="52"/>
      <c r="AI505" s="52"/>
    </row>
    <row r="506" spans="1:35">
      <c r="A506" s="141" t="s">
        <v>215</v>
      </c>
      <c r="B506" s="251"/>
      <c r="C506" s="190">
        <f t="shared" si="74"/>
        <v>886511565</v>
      </c>
      <c r="D506" s="200"/>
      <c r="E506" s="123"/>
      <c r="F506" s="123">
        <f t="shared" si="75"/>
        <v>55227241</v>
      </c>
      <c r="G506" s="200"/>
      <c r="H506" s="141"/>
      <c r="I506" s="123">
        <f t="shared" si="75"/>
        <v>62176710</v>
      </c>
      <c r="J506" s="123"/>
      <c r="K506" s="141"/>
      <c r="L506" s="123">
        <f t="shared" si="76"/>
        <v>63098544</v>
      </c>
      <c r="N506" s="124" t="e">
        <f>SUM(N480:N505)</f>
        <v>#REF!</v>
      </c>
      <c r="Q506" s="252"/>
      <c r="R506" s="252"/>
      <c r="AC506" s="52"/>
      <c r="AD506" s="52"/>
      <c r="AE506" s="52"/>
      <c r="AF506" s="52"/>
      <c r="AG506" s="52"/>
      <c r="AH506" s="52"/>
      <c r="AI506" s="52"/>
    </row>
    <row r="507" spans="1:35">
      <c r="A507" s="141" t="s">
        <v>197</v>
      </c>
      <c r="B507" s="187"/>
      <c r="C507" s="210">
        <f t="shared" si="74"/>
        <v>-12040077.692466151</v>
      </c>
      <c r="D507" s="175"/>
      <c r="E507" s="175"/>
      <c r="F507" s="176">
        <f t="shared" si="75"/>
        <v>-599401.97842073813</v>
      </c>
      <c r="G507" s="175"/>
      <c r="H507" s="175"/>
      <c r="I507" s="176">
        <f t="shared" si="75"/>
        <v>-599401.97842073813</v>
      </c>
      <c r="J507" s="175"/>
      <c r="K507" s="175"/>
      <c r="L507" s="176">
        <f>F507</f>
        <v>-599401.97842073813</v>
      </c>
      <c r="N507" s="212"/>
      <c r="O507" s="212"/>
      <c r="P507" s="253"/>
      <c r="AC507" s="52"/>
      <c r="AD507" s="52"/>
      <c r="AE507" s="52"/>
      <c r="AF507" s="52"/>
      <c r="AG507" s="52"/>
      <c r="AH507" s="52"/>
      <c r="AI507" s="52"/>
    </row>
    <row r="508" spans="1:35" ht="16.5" thickBot="1">
      <c r="A508" s="141" t="s">
        <v>216</v>
      </c>
      <c r="B508" s="141"/>
      <c r="C508" s="241">
        <f>SUM(C506)+C507</f>
        <v>874471487.30753386</v>
      </c>
      <c r="D508" s="213"/>
      <c r="E508" s="214"/>
      <c r="F508" s="215">
        <f>F506+F507</f>
        <v>54627839.021579266</v>
      </c>
      <c r="G508" s="213"/>
      <c r="H508" s="216"/>
      <c r="I508" s="215">
        <f>I506+I507</f>
        <v>61577308.021579266</v>
      </c>
      <c r="J508" s="213"/>
      <c r="K508" s="216"/>
      <c r="L508" s="215">
        <f>L506+L507</f>
        <v>62499142.021579266</v>
      </c>
      <c r="N508" s="218"/>
      <c r="O508" s="136" t="s">
        <v>241</v>
      </c>
      <c r="P508" s="137">
        <v>62499160.060654841</v>
      </c>
      <c r="Q508" s="138">
        <v>1.4970645335007433E-2</v>
      </c>
      <c r="R508" s="139"/>
      <c r="S508" s="62" t="s">
        <v>280</v>
      </c>
      <c r="AC508" s="52"/>
      <c r="AD508" s="52"/>
      <c r="AE508" s="52"/>
      <c r="AF508" s="52"/>
      <c r="AG508" s="52"/>
      <c r="AH508" s="52"/>
      <c r="AI508" s="52"/>
    </row>
    <row r="509" spans="1:35" ht="16.5" thickTop="1">
      <c r="A509" s="141"/>
      <c r="B509" s="141"/>
      <c r="C509" s="160"/>
      <c r="D509" s="207"/>
      <c r="E509" s="123"/>
      <c r="F509" s="123"/>
      <c r="G509" s="207"/>
      <c r="H509" s="141"/>
      <c r="I509" s="123" t="s">
        <v>280</v>
      </c>
      <c r="J509" s="232" t="s">
        <v>280</v>
      </c>
      <c r="K509" s="141"/>
      <c r="L509" s="123" t="s">
        <v>280</v>
      </c>
      <c r="O509" s="142" t="s">
        <v>200</v>
      </c>
      <c r="P509" s="143">
        <f>P508-L508</f>
        <v>18.039075575768948</v>
      </c>
      <c r="Q509" s="221" t="s">
        <v>280</v>
      </c>
      <c r="R509" s="222"/>
      <c r="AC509" s="52"/>
      <c r="AD509" s="52"/>
      <c r="AE509" s="52"/>
      <c r="AF509" s="52"/>
      <c r="AG509" s="52"/>
      <c r="AH509" s="52"/>
      <c r="AI509" s="52"/>
    </row>
    <row r="510" spans="1:35" hidden="1">
      <c r="A510" s="159" t="s">
        <v>268</v>
      </c>
      <c r="B510" s="141"/>
      <c r="C510" s="141"/>
      <c r="D510" s="123"/>
      <c r="E510" s="123"/>
      <c r="F510" s="141" t="s">
        <v>280</v>
      </c>
      <c r="G510" s="123"/>
      <c r="H510" s="141"/>
      <c r="I510" s="141"/>
      <c r="J510" s="123"/>
      <c r="K510" s="141"/>
      <c r="L510" s="141"/>
      <c r="AC510" s="52"/>
      <c r="AD510" s="52"/>
      <c r="AE510" s="52"/>
      <c r="AF510" s="52"/>
      <c r="AG510" s="52"/>
      <c r="AH510" s="52"/>
      <c r="AI510" s="52"/>
    </row>
    <row r="511" spans="1:35" hidden="1">
      <c r="A511" s="175" t="s">
        <v>273</v>
      </c>
      <c r="B511" s="141"/>
      <c r="C511" s="141"/>
      <c r="D511" s="123"/>
      <c r="E511" s="123"/>
      <c r="F511" s="141"/>
      <c r="G511" s="123"/>
      <c r="H511" s="141"/>
      <c r="I511" s="141"/>
      <c r="J511" s="123"/>
      <c r="K511" s="141"/>
      <c r="L511" s="141"/>
      <c r="P511" s="145" t="s">
        <v>280</v>
      </c>
      <c r="AC511" s="52"/>
      <c r="AD511" s="52"/>
      <c r="AE511" s="52"/>
      <c r="AF511" s="52"/>
      <c r="AG511" s="52"/>
      <c r="AH511" s="52"/>
      <c r="AI511" s="52"/>
    </row>
    <row r="512" spans="1:35" hidden="1">
      <c r="A512" s="194"/>
      <c r="B512" s="141"/>
      <c r="C512" s="141"/>
      <c r="D512" s="123"/>
      <c r="E512" s="123"/>
      <c r="F512" s="141"/>
      <c r="G512" s="123"/>
      <c r="H512" s="141"/>
      <c r="I512" s="141"/>
      <c r="J512" s="123"/>
      <c r="K512" s="141"/>
      <c r="L512" s="141"/>
      <c r="N512" s="52"/>
      <c r="O512" s="52"/>
      <c r="P512" s="105"/>
      <c r="Q512" s="105"/>
      <c r="R512" s="105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</row>
    <row r="513" spans="1:35" hidden="1">
      <c r="A513" s="194" t="s">
        <v>228</v>
      </c>
      <c r="B513" s="141"/>
      <c r="C513" s="190"/>
      <c r="D513" s="123"/>
      <c r="E513" s="123"/>
      <c r="F513" s="141"/>
      <c r="G513" s="123"/>
      <c r="H513" s="141"/>
      <c r="I513" s="141"/>
      <c r="J513" s="123"/>
      <c r="K513" s="141"/>
      <c r="L513" s="141"/>
      <c r="N513" s="52"/>
      <c r="O513" s="52"/>
      <c r="P513" s="105"/>
      <c r="Q513" s="105"/>
      <c r="R513" s="105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</row>
    <row r="514" spans="1:35" hidden="1">
      <c r="A514" s="194" t="s">
        <v>253</v>
      </c>
      <c r="B514" s="141"/>
      <c r="C514" s="190">
        <f>13+235+12</f>
        <v>260</v>
      </c>
      <c r="D514" s="164">
        <v>227</v>
      </c>
      <c r="E514" s="194"/>
      <c r="F514" s="192">
        <f>ROUND(D514*$C514,0)</f>
        <v>59020</v>
      </c>
      <c r="G514" s="164">
        <f>$G$480</f>
        <v>254</v>
      </c>
      <c r="H514" s="194"/>
      <c r="I514" s="192">
        <f>ROUND(G514*C514,0)</f>
        <v>66040</v>
      </c>
      <c r="J514" s="164">
        <f>$J$480</f>
        <v>259</v>
      </c>
      <c r="K514" s="194"/>
      <c r="L514" s="192">
        <f>ROUND(J514*$C514,0)</f>
        <v>67340</v>
      </c>
      <c r="N514" s="52"/>
      <c r="O514" s="52"/>
      <c r="P514" s="105"/>
      <c r="Q514" s="105"/>
      <c r="R514" s="105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</row>
    <row r="515" spans="1:35" hidden="1">
      <c r="A515" s="194" t="s">
        <v>254</v>
      </c>
      <c r="B515" s="141"/>
      <c r="C515" s="190">
        <f>996+48+6859</f>
        <v>7903</v>
      </c>
      <c r="D515" s="164">
        <v>84</v>
      </c>
      <c r="E515" s="194"/>
      <c r="F515" s="192">
        <f>ROUND(D515*$C515,0)</f>
        <v>663852</v>
      </c>
      <c r="G515" s="164">
        <f>$G$481</f>
        <v>95</v>
      </c>
      <c r="H515" s="194"/>
      <c r="I515" s="192">
        <f>ROUND(G515*C515,0)</f>
        <v>750785</v>
      </c>
      <c r="J515" s="164">
        <f>$J$481</f>
        <v>96</v>
      </c>
      <c r="K515" s="194"/>
      <c r="L515" s="192">
        <f>ROUND(J515*$C515,0)</f>
        <v>758688</v>
      </c>
      <c r="N515" s="52"/>
      <c r="O515" s="52"/>
      <c r="P515" s="105"/>
      <c r="Q515" s="105"/>
      <c r="R515" s="105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</row>
    <row r="516" spans="1:35" hidden="1">
      <c r="A516" s="194" t="s">
        <v>255</v>
      </c>
      <c r="B516" s="141"/>
      <c r="C516" s="190">
        <f>198+3+100+2623</f>
        <v>2924</v>
      </c>
      <c r="D516" s="164">
        <v>168</v>
      </c>
      <c r="E516" s="196"/>
      <c r="F516" s="192">
        <f>ROUND(D516*$C516,0)</f>
        <v>491232</v>
      </c>
      <c r="G516" s="164">
        <f>$G$482</f>
        <v>189</v>
      </c>
      <c r="H516" s="196"/>
      <c r="I516" s="192">
        <f>ROUND(G516*C516,0)</f>
        <v>552636</v>
      </c>
      <c r="J516" s="164">
        <f>$J$482</f>
        <v>192</v>
      </c>
      <c r="K516" s="196"/>
      <c r="L516" s="192">
        <f>ROUND(J516*$C516,0)</f>
        <v>561408</v>
      </c>
      <c r="N516" s="52"/>
      <c r="O516" s="52"/>
      <c r="P516" s="105"/>
      <c r="Q516" s="105"/>
      <c r="R516" s="105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</row>
    <row r="517" spans="1:35" hidden="1">
      <c r="A517" s="194" t="s">
        <v>229</v>
      </c>
      <c r="B517" s="141"/>
      <c r="C517" s="190">
        <f>SUM(C514:C516)</f>
        <v>11087</v>
      </c>
      <c r="D517" s="164"/>
      <c r="E517" s="194"/>
      <c r="F517" s="192"/>
      <c r="G517" s="164"/>
      <c r="H517" s="194"/>
      <c r="I517" s="192"/>
      <c r="J517" s="164"/>
      <c r="K517" s="194"/>
      <c r="L517" s="192"/>
      <c r="N517" s="52"/>
      <c r="O517" s="52"/>
      <c r="P517" s="105"/>
      <c r="Q517" s="105"/>
      <c r="R517" s="105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</row>
    <row r="518" spans="1:35" hidden="1">
      <c r="A518" s="194" t="s">
        <v>254</v>
      </c>
      <c r="B518" s="141"/>
      <c r="C518" s="190">
        <f>178554+9025+1167498</f>
        <v>1355077</v>
      </c>
      <c r="D518" s="164">
        <v>1.48</v>
      </c>
      <c r="E518" s="194" t="s">
        <v>280</v>
      </c>
      <c r="F518" s="192">
        <f>ROUND(D518*$C518,0)</f>
        <v>2005514</v>
      </c>
      <c r="G518" s="164">
        <f>$G$484</f>
        <v>1.67</v>
      </c>
      <c r="H518" s="194" t="s">
        <v>280</v>
      </c>
      <c r="I518" s="192">
        <f t="shared" ref="I518:I519" si="77">ROUND(G518*C518,0)</f>
        <v>2262979</v>
      </c>
      <c r="J518" s="164">
        <f>$J$484</f>
        <v>1.7</v>
      </c>
      <c r="K518" s="194" t="s">
        <v>280</v>
      </c>
      <c r="L518" s="192">
        <f>ROUND(J518*$C518,0)</f>
        <v>2303631</v>
      </c>
      <c r="N518" s="52"/>
      <c r="O518" s="52"/>
      <c r="P518" s="105"/>
      <c r="Q518" s="105"/>
      <c r="R518" s="105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</row>
    <row r="519" spans="1:35" hidden="1">
      <c r="A519" s="194" t="s">
        <v>255</v>
      </c>
      <c r="B519" s="141"/>
      <c r="C519" s="190">
        <f>113224+2541+61413+1281293</f>
        <v>1458471</v>
      </c>
      <c r="D519" s="164">
        <v>1.22</v>
      </c>
      <c r="E519" s="194" t="s">
        <v>280</v>
      </c>
      <c r="F519" s="192">
        <f>ROUND(D519*$C519,0)</f>
        <v>1779335</v>
      </c>
      <c r="G519" s="164">
        <f>$G$485</f>
        <v>1.37</v>
      </c>
      <c r="H519" s="194" t="s">
        <v>280</v>
      </c>
      <c r="I519" s="192">
        <f t="shared" si="77"/>
        <v>1998105</v>
      </c>
      <c r="J519" s="164">
        <f>$J$485</f>
        <v>1.39</v>
      </c>
      <c r="K519" s="194" t="s">
        <v>280</v>
      </c>
      <c r="L519" s="192">
        <f>ROUND(J519*$C519,0)</f>
        <v>2027275</v>
      </c>
      <c r="N519" s="52"/>
      <c r="O519" s="52"/>
      <c r="P519" s="105"/>
      <c r="Q519" s="105"/>
      <c r="R519" s="105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</row>
    <row r="520" spans="1:35" hidden="1">
      <c r="A520" s="175" t="s">
        <v>256</v>
      </c>
      <c r="B520" s="141"/>
      <c r="C520" s="190"/>
      <c r="D520" s="170"/>
      <c r="E520" s="194"/>
      <c r="F520" s="192"/>
      <c r="G520" s="170"/>
      <c r="H520" s="194"/>
      <c r="I520" s="192"/>
      <c r="J520" s="170"/>
      <c r="K520" s="194"/>
      <c r="L520" s="192"/>
      <c r="N520" s="52"/>
      <c r="O520" s="52"/>
      <c r="P520" s="105"/>
      <c r="Q520" s="105"/>
      <c r="R520" s="105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</row>
    <row r="521" spans="1:35" hidden="1">
      <c r="A521" s="175" t="s">
        <v>257</v>
      </c>
      <c r="B521" s="141"/>
      <c r="C521" s="190">
        <f>883+125406+78226+6266+47225+12833+890030+967823+600</f>
        <v>2129292</v>
      </c>
      <c r="D521" s="164">
        <v>3.88</v>
      </c>
      <c r="E521" s="194"/>
      <c r="F521" s="192">
        <f>ROUND(D521*$C521,0)</f>
        <v>8261653</v>
      </c>
      <c r="G521" s="164">
        <f>$G$487</f>
        <v>4.37</v>
      </c>
      <c r="H521" s="194"/>
      <c r="I521" s="192">
        <f t="shared" ref="I521:I522" si="78">ROUND(G521*C521,0)</f>
        <v>9305006</v>
      </c>
      <c r="J521" s="164">
        <f>$J$487</f>
        <v>4.4400000000000004</v>
      </c>
      <c r="K521" s="194"/>
      <c r="L521" s="192">
        <f>ROUND(J521*$C521,0)</f>
        <v>9454056</v>
      </c>
      <c r="N521" s="52"/>
      <c r="O521" s="52"/>
      <c r="P521" s="105"/>
      <c r="Q521" s="105"/>
      <c r="R521" s="105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</row>
    <row r="522" spans="1:35" hidden="1">
      <c r="A522" s="175" t="s">
        <v>270</v>
      </c>
      <c r="B522" s="141"/>
      <c r="C522" s="190">
        <f>25+958+150+50+813+1165+400</f>
        <v>3561</v>
      </c>
      <c r="D522" s="244">
        <v>3.88</v>
      </c>
      <c r="E522" s="194"/>
      <c r="F522" s="192">
        <f>ROUND(D522*$C522,0)</f>
        <v>13817</v>
      </c>
      <c r="G522" s="244">
        <f>G521</f>
        <v>4.37</v>
      </c>
      <c r="H522" s="194"/>
      <c r="I522" s="192">
        <f t="shared" si="78"/>
        <v>15562</v>
      </c>
      <c r="J522" s="244">
        <f>J521</f>
        <v>4.4400000000000004</v>
      </c>
      <c r="K522" s="194"/>
      <c r="L522" s="192">
        <f>ROUND(J522*$C522,0)</f>
        <v>15811</v>
      </c>
      <c r="N522" s="52"/>
      <c r="O522" s="52"/>
      <c r="P522" s="105"/>
      <c r="Q522" s="105"/>
      <c r="R522" s="105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</row>
    <row r="523" spans="1:35" hidden="1">
      <c r="A523" s="194" t="s">
        <v>258</v>
      </c>
      <c r="B523" s="141"/>
      <c r="C523" s="190"/>
      <c r="D523" s="164"/>
      <c r="E523" s="194"/>
      <c r="F523" s="192"/>
      <c r="G523" s="164"/>
      <c r="H523" s="194"/>
      <c r="I523" s="192"/>
      <c r="J523" s="164"/>
      <c r="K523" s="194"/>
      <c r="L523" s="192"/>
      <c r="N523" s="52"/>
      <c r="O523" s="52"/>
      <c r="P523" s="105"/>
      <c r="Q523" s="105"/>
      <c r="R523" s="105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</row>
    <row r="524" spans="1:35" hidden="1">
      <c r="A524" s="194" t="s">
        <v>259</v>
      </c>
      <c r="B524" s="190"/>
      <c r="C524" s="190">
        <v>351415991</v>
      </c>
      <c r="D524" s="254">
        <v>4.6340000000000003</v>
      </c>
      <c r="E524" s="194" t="s">
        <v>210</v>
      </c>
      <c r="F524" s="192">
        <f>ROUND(D524*$C524/100,0)</f>
        <v>16284617</v>
      </c>
      <c r="G524" s="254">
        <f>$G$490</f>
        <v>5.2170000000000005</v>
      </c>
      <c r="H524" s="194" t="s">
        <v>210</v>
      </c>
      <c r="I524" s="192">
        <f>ROUND(G524*C524/100,0)</f>
        <v>18333372</v>
      </c>
      <c r="J524" s="245">
        <f>$J$490</f>
        <v>5.2919999999999998</v>
      </c>
      <c r="K524" s="194" t="s">
        <v>210</v>
      </c>
      <c r="L524" s="192">
        <f>ROUND(J524*$C524/100,0)</f>
        <v>18596934</v>
      </c>
      <c r="N524" s="52"/>
      <c r="O524" s="52"/>
      <c r="P524" s="105"/>
      <c r="Q524" s="105"/>
      <c r="R524" s="105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</row>
    <row r="525" spans="1:35" hidden="1">
      <c r="A525" s="194" t="s">
        <v>233</v>
      </c>
      <c r="B525" s="190"/>
      <c r="C525" s="190">
        <v>410276113</v>
      </c>
      <c r="D525" s="254">
        <v>4.2469999999999999</v>
      </c>
      <c r="E525" s="194" t="s">
        <v>210</v>
      </c>
      <c r="F525" s="192">
        <f>ROUND(D525*$C525/100,0)</f>
        <v>17424427</v>
      </c>
      <c r="G525" s="254">
        <f>$G$491</f>
        <v>4.7799999999999994</v>
      </c>
      <c r="H525" s="194" t="s">
        <v>210</v>
      </c>
      <c r="I525" s="192">
        <f t="shared" ref="I525:I526" si="79">ROUND(G525*C525/100,0)</f>
        <v>19611198</v>
      </c>
      <c r="J525" s="245">
        <f>$J$491</f>
        <v>4.8499999999999996</v>
      </c>
      <c r="K525" s="194" t="s">
        <v>210</v>
      </c>
      <c r="L525" s="192">
        <f>ROUND(J525*$C525/100,0)</f>
        <v>19898391</v>
      </c>
      <c r="N525" s="52"/>
      <c r="O525" s="52"/>
      <c r="P525" s="105"/>
      <c r="Q525" s="105"/>
      <c r="R525" s="105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</row>
    <row r="526" spans="1:35" hidden="1">
      <c r="A526" s="194" t="s">
        <v>234</v>
      </c>
      <c r="B526" s="141"/>
      <c r="C526" s="190">
        <f>102+30409+19959+36+12740+2346+167152+196180</f>
        <v>428924</v>
      </c>
      <c r="D526" s="208">
        <v>50</v>
      </c>
      <c r="E526" s="194" t="s">
        <v>210</v>
      </c>
      <c r="F526" s="192">
        <f>ROUND(D526*$C526/100,0)</f>
        <v>214462</v>
      </c>
      <c r="G526" s="208">
        <f>$G$492</f>
        <v>56</v>
      </c>
      <c r="H526" s="194" t="s">
        <v>210</v>
      </c>
      <c r="I526" s="192">
        <f t="shared" si="79"/>
        <v>240197</v>
      </c>
      <c r="J526" s="255">
        <f>$J$492</f>
        <v>56</v>
      </c>
      <c r="K526" s="194" t="s">
        <v>210</v>
      </c>
      <c r="L526" s="192">
        <f>ROUND(J526*$C526/100,0)</f>
        <v>240197</v>
      </c>
      <c r="N526" s="52"/>
      <c r="O526" s="52"/>
      <c r="P526" s="105"/>
      <c r="Q526" s="105"/>
      <c r="R526" s="105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</row>
    <row r="527" spans="1:35" hidden="1">
      <c r="A527" s="237" t="s">
        <v>235</v>
      </c>
      <c r="B527" s="141"/>
      <c r="C527" s="190"/>
      <c r="D527" s="202">
        <v>-0.01</v>
      </c>
      <c r="E527" s="123"/>
      <c r="F527" s="192"/>
      <c r="G527" s="202">
        <v>-0.01</v>
      </c>
      <c r="H527" s="141"/>
      <c r="I527" s="192"/>
      <c r="J527" s="202">
        <v>-0.01</v>
      </c>
      <c r="K527" s="141"/>
      <c r="L527" s="192"/>
      <c r="N527" s="52"/>
      <c r="O527" s="52"/>
      <c r="P527" s="105"/>
      <c r="Q527" s="105"/>
      <c r="R527" s="105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</row>
    <row r="528" spans="1:35" hidden="1">
      <c r="A528" s="194" t="s">
        <v>253</v>
      </c>
      <c r="B528" s="160"/>
      <c r="C528" s="190">
        <v>0</v>
      </c>
      <c r="D528" s="170">
        <v>227</v>
      </c>
      <c r="E528" s="240"/>
      <c r="F528" s="192">
        <f>ROUND(D528*$C528*D527,0)</f>
        <v>0</v>
      </c>
      <c r="G528" s="170">
        <f>G514</f>
        <v>254</v>
      </c>
      <c r="H528" s="159"/>
      <c r="I528" s="192">
        <f>ROUND(G528*C528*$G$527,0)</f>
        <v>0</v>
      </c>
      <c r="J528" s="170">
        <f>J514</f>
        <v>259</v>
      </c>
      <c r="K528" s="159"/>
      <c r="L528" s="192">
        <f>ROUND(J528*$C528*J527,0)</f>
        <v>0</v>
      </c>
      <c r="N528" s="52"/>
      <c r="O528" s="52"/>
      <c r="P528" s="105"/>
      <c r="Q528" s="105"/>
      <c r="R528" s="105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</row>
    <row r="529" spans="1:35" hidden="1">
      <c r="A529" s="194" t="s">
        <v>254</v>
      </c>
      <c r="B529" s="141"/>
      <c r="C529" s="190">
        <f>48</f>
        <v>48</v>
      </c>
      <c r="D529" s="170">
        <v>84</v>
      </c>
      <c r="E529" s="240"/>
      <c r="F529" s="192">
        <f>ROUND(D529*$C529*D527,0)</f>
        <v>-40</v>
      </c>
      <c r="G529" s="170">
        <f>G515</f>
        <v>95</v>
      </c>
      <c r="H529" s="159"/>
      <c r="I529" s="192">
        <f t="shared" ref="I529:I534" si="80">ROUND(G529*C529*$G$527,0)</f>
        <v>-46</v>
      </c>
      <c r="J529" s="170">
        <f>J515</f>
        <v>96</v>
      </c>
      <c r="K529" s="159"/>
      <c r="L529" s="192">
        <f>ROUND(J529*$C529*J527,0)</f>
        <v>-46</v>
      </c>
      <c r="N529" s="52"/>
      <c r="O529" s="52"/>
      <c r="P529" s="105"/>
      <c r="Q529" s="105"/>
      <c r="R529" s="105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</row>
    <row r="530" spans="1:35" hidden="1">
      <c r="A530" s="194" t="s">
        <v>255</v>
      </c>
      <c r="B530" s="141"/>
      <c r="C530" s="190">
        <f>3+100</f>
        <v>103</v>
      </c>
      <c r="D530" s="170">
        <v>168</v>
      </c>
      <c r="E530" s="248"/>
      <c r="F530" s="192">
        <f>ROUND(D530*$C530*D527,0)</f>
        <v>-173</v>
      </c>
      <c r="G530" s="170">
        <f>G516</f>
        <v>189</v>
      </c>
      <c r="H530" s="249"/>
      <c r="I530" s="192">
        <f t="shared" si="80"/>
        <v>-195</v>
      </c>
      <c r="J530" s="170">
        <f>J516</f>
        <v>192</v>
      </c>
      <c r="K530" s="249"/>
      <c r="L530" s="192">
        <f>ROUND(J530*$C530*J527,0)</f>
        <v>-198</v>
      </c>
      <c r="N530" s="52"/>
      <c r="O530" s="52"/>
      <c r="P530" s="105"/>
      <c r="Q530" s="105"/>
      <c r="R530" s="105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</row>
    <row r="531" spans="1:35" hidden="1">
      <c r="A531" s="194" t="s">
        <v>254</v>
      </c>
      <c r="B531" s="141"/>
      <c r="C531" s="190">
        <f>9025</f>
        <v>9025</v>
      </c>
      <c r="D531" s="170">
        <v>1.48</v>
      </c>
      <c r="E531" s="240"/>
      <c r="F531" s="192">
        <f>ROUND(D531*$C531*D527,0)</f>
        <v>-134</v>
      </c>
      <c r="G531" s="170">
        <f>G518</f>
        <v>1.67</v>
      </c>
      <c r="H531" s="159"/>
      <c r="I531" s="192">
        <f t="shared" si="80"/>
        <v>-151</v>
      </c>
      <c r="J531" s="170">
        <f>J518</f>
        <v>1.7</v>
      </c>
      <c r="K531" s="159"/>
      <c r="L531" s="192">
        <f>ROUND(J531*$C531*J527,0)</f>
        <v>-153</v>
      </c>
      <c r="N531" s="52"/>
      <c r="O531" s="52"/>
      <c r="P531" s="256"/>
      <c r="Q531" s="105"/>
      <c r="R531" s="105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</row>
    <row r="532" spans="1:35" hidden="1">
      <c r="A532" s="194" t="s">
        <v>255</v>
      </c>
      <c r="B532" s="141"/>
      <c r="C532" s="190">
        <f>2541+61413</f>
        <v>63954</v>
      </c>
      <c r="D532" s="170">
        <v>1.22</v>
      </c>
      <c r="E532" s="240" t="s">
        <v>280</v>
      </c>
      <c r="F532" s="192">
        <f>ROUND(D532*$C532*D527,0)</f>
        <v>-780</v>
      </c>
      <c r="G532" s="170">
        <f>G519</f>
        <v>1.37</v>
      </c>
      <c r="H532" s="159"/>
      <c r="I532" s="192">
        <f t="shared" si="80"/>
        <v>-876</v>
      </c>
      <c r="J532" s="170">
        <f>J519</f>
        <v>1.39</v>
      </c>
      <c r="K532" s="159"/>
      <c r="L532" s="192">
        <f>ROUND(J532*$C532*J527,0)</f>
        <v>-889</v>
      </c>
      <c r="N532" s="52"/>
      <c r="O532" s="52"/>
      <c r="P532" s="105"/>
      <c r="Q532" s="105"/>
      <c r="R532" s="105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</row>
    <row r="533" spans="1:35" hidden="1">
      <c r="A533" s="175" t="s">
        <v>257</v>
      </c>
      <c r="B533" s="141"/>
      <c r="C533" s="190">
        <f>6266+47225</f>
        <v>53491</v>
      </c>
      <c r="D533" s="170">
        <v>3.88</v>
      </c>
      <c r="E533" s="240" t="s">
        <v>280</v>
      </c>
      <c r="F533" s="192">
        <f>ROUND(D533*$C533*D527,0)</f>
        <v>-2075</v>
      </c>
      <c r="G533" s="170">
        <f>G521</f>
        <v>4.37</v>
      </c>
      <c r="H533" s="159"/>
      <c r="I533" s="192">
        <f t="shared" si="80"/>
        <v>-2338</v>
      </c>
      <c r="J533" s="170">
        <f>J521</f>
        <v>4.4400000000000004</v>
      </c>
      <c r="K533" s="159"/>
      <c r="L533" s="192">
        <f>ROUND(J533*$C533*J527,0)</f>
        <v>-2375</v>
      </c>
      <c r="N533" s="52"/>
      <c r="O533" s="52"/>
      <c r="P533" s="105"/>
      <c r="Q533" s="105"/>
      <c r="R533" s="105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</row>
    <row r="534" spans="1:35" hidden="1">
      <c r="A534" s="175" t="s">
        <v>270</v>
      </c>
      <c r="B534" s="141"/>
      <c r="C534" s="190">
        <f>150+50</f>
        <v>200</v>
      </c>
      <c r="D534" s="170">
        <v>3.88</v>
      </c>
      <c r="E534" s="240" t="s">
        <v>280</v>
      </c>
      <c r="F534" s="192">
        <f>ROUND(D534*$C534*D527,0)</f>
        <v>-8</v>
      </c>
      <c r="G534" s="170">
        <f>G522</f>
        <v>4.37</v>
      </c>
      <c r="H534" s="159"/>
      <c r="I534" s="192">
        <f t="shared" si="80"/>
        <v>-9</v>
      </c>
      <c r="J534" s="170">
        <f>J522</f>
        <v>4.4400000000000004</v>
      </c>
      <c r="K534" s="159"/>
      <c r="L534" s="192">
        <f>ROUND(J534*$C534*J527,0)</f>
        <v>-9</v>
      </c>
      <c r="N534" s="52"/>
      <c r="O534" s="52"/>
      <c r="P534" s="105"/>
      <c r="Q534" s="105"/>
      <c r="R534" s="105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</row>
    <row r="535" spans="1:35" hidden="1">
      <c r="A535" s="194" t="s">
        <v>259</v>
      </c>
      <c r="B535" s="141"/>
      <c r="C535" s="190">
        <f>1620720+3785867</f>
        <v>5406587</v>
      </c>
      <c r="D535" s="172">
        <v>4.6340000000000003</v>
      </c>
      <c r="E535" s="192" t="s">
        <v>210</v>
      </c>
      <c r="F535" s="192">
        <f>ROUND(D535*$C535/100*D527,0)</f>
        <v>-2505</v>
      </c>
      <c r="G535" s="172">
        <f>G524</f>
        <v>5.2170000000000005</v>
      </c>
      <c r="H535" s="194" t="s">
        <v>210</v>
      </c>
      <c r="I535" s="192">
        <f>ROUND(G535*C535/100*$G$527,0)</f>
        <v>-2821</v>
      </c>
      <c r="J535" s="172">
        <f>J524</f>
        <v>5.2919999999999998</v>
      </c>
      <c r="K535" s="194" t="s">
        <v>210</v>
      </c>
      <c r="L535" s="192">
        <f>ROUND(J535*$C535/100*J527,0)</f>
        <v>-2861</v>
      </c>
      <c r="N535" s="224"/>
      <c r="O535" s="224"/>
      <c r="P535" s="105"/>
      <c r="Q535" s="105"/>
      <c r="R535" s="105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</row>
    <row r="536" spans="1:35" hidden="1">
      <c r="A536" s="194" t="s">
        <v>233</v>
      </c>
      <c r="B536" s="141"/>
      <c r="C536" s="190">
        <f>2019220+16059619-C535</f>
        <v>12672252</v>
      </c>
      <c r="D536" s="172">
        <v>4.2469999999999999</v>
      </c>
      <c r="E536" s="192" t="s">
        <v>210</v>
      </c>
      <c r="F536" s="192">
        <f>ROUND(D536*$C536/100*D527,0)</f>
        <v>-5382</v>
      </c>
      <c r="G536" s="172">
        <f>G525</f>
        <v>4.7799999999999994</v>
      </c>
      <c r="H536" s="194" t="s">
        <v>210</v>
      </c>
      <c r="I536" s="192">
        <f>ROUND(G536*C536/100*$G$527,0)</f>
        <v>-6057</v>
      </c>
      <c r="J536" s="172">
        <f>J525</f>
        <v>4.8499999999999996</v>
      </c>
      <c r="K536" s="194" t="s">
        <v>210</v>
      </c>
      <c r="L536" s="192">
        <f>ROUND(J536*$C536/100*J527,0)</f>
        <v>-6146</v>
      </c>
      <c r="N536" s="52"/>
      <c r="O536" s="52"/>
      <c r="P536" s="105"/>
      <c r="Q536" s="105"/>
      <c r="R536" s="105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</row>
    <row r="537" spans="1:35" hidden="1">
      <c r="A537" s="194" t="s">
        <v>234</v>
      </c>
      <c r="B537" s="141"/>
      <c r="C537" s="190">
        <f>36+12740</f>
        <v>12776</v>
      </c>
      <c r="D537" s="250">
        <v>50</v>
      </c>
      <c r="E537" s="192" t="s">
        <v>210</v>
      </c>
      <c r="F537" s="192">
        <f>ROUND(D537*$C537/100*D527,0)</f>
        <v>-64</v>
      </c>
      <c r="G537" s="250">
        <f>G526</f>
        <v>56</v>
      </c>
      <c r="H537" s="194" t="s">
        <v>210</v>
      </c>
      <c r="I537" s="192">
        <f>ROUND(G537*C537/100*$G$527,0)</f>
        <v>-72</v>
      </c>
      <c r="J537" s="250">
        <f>J526</f>
        <v>56</v>
      </c>
      <c r="K537" s="194" t="s">
        <v>210</v>
      </c>
      <c r="L537" s="192">
        <f>ROUND(J537*$C537/100*J527,0)</f>
        <v>-72</v>
      </c>
      <c r="N537" s="52"/>
      <c r="O537" s="52"/>
      <c r="P537" s="105"/>
      <c r="Q537" s="105"/>
      <c r="R537" s="105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</row>
    <row r="538" spans="1:35" hidden="1">
      <c r="A538" s="194" t="s">
        <v>271</v>
      </c>
      <c r="B538" s="141"/>
      <c r="C538" s="190">
        <f>3+48+100</f>
        <v>151</v>
      </c>
      <c r="D538" s="164">
        <v>60</v>
      </c>
      <c r="E538" s="240" t="s">
        <v>280</v>
      </c>
      <c r="F538" s="192">
        <f>ROUND(D538*$C538,0)</f>
        <v>9060</v>
      </c>
      <c r="G538" s="164">
        <f>$G$504</f>
        <v>60</v>
      </c>
      <c r="H538" s="141"/>
      <c r="I538" s="192">
        <f>ROUND(G538*C538,0)</f>
        <v>9060</v>
      </c>
      <c r="J538" s="164">
        <f>$J$504</f>
        <v>60</v>
      </c>
      <c r="K538" s="141"/>
      <c r="L538" s="192">
        <f>ROUND(J538*$C538,0)</f>
        <v>9060</v>
      </c>
      <c r="N538" s="52"/>
      <c r="O538" s="52"/>
      <c r="P538" s="105"/>
      <c r="Q538" s="257"/>
      <c r="R538" s="257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</row>
    <row r="539" spans="1:35" hidden="1">
      <c r="A539" s="194" t="s">
        <v>272</v>
      </c>
      <c r="B539" s="171"/>
      <c r="C539" s="190">
        <f>9025+61413</f>
        <v>70438</v>
      </c>
      <c r="D539" s="208">
        <v>-30</v>
      </c>
      <c r="E539" s="192" t="s">
        <v>210</v>
      </c>
      <c r="F539" s="192">
        <f>ROUND(D539*$C539/100,0)</f>
        <v>-21131</v>
      </c>
      <c r="G539" s="208">
        <f>$G$505</f>
        <v>-30</v>
      </c>
      <c r="H539" s="192" t="s">
        <v>210</v>
      </c>
      <c r="I539" s="192">
        <f>-ROUND(G539*C539*$G$527,0)</f>
        <v>-21131</v>
      </c>
      <c r="J539" s="208">
        <f>$J$505</f>
        <v>-30</v>
      </c>
      <c r="K539" s="192" t="s">
        <v>210</v>
      </c>
      <c r="L539" s="192">
        <f>ROUND(J539*$C539/100,0)</f>
        <v>-21131</v>
      </c>
      <c r="N539" s="52"/>
      <c r="O539" s="52"/>
      <c r="P539" s="105"/>
      <c r="Q539" s="105"/>
      <c r="R539" s="105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</row>
    <row r="540" spans="1:35" hidden="1">
      <c r="A540" s="141" t="s">
        <v>215</v>
      </c>
      <c r="B540" s="173"/>
      <c r="C540" s="190">
        <f>SUM(C524:C525)</f>
        <v>761692104</v>
      </c>
      <c r="D540" s="200"/>
      <c r="E540" s="123"/>
      <c r="F540" s="123">
        <f>SUM(F514:F539)</f>
        <v>47174697</v>
      </c>
      <c r="G540" s="200"/>
      <c r="H540" s="141"/>
      <c r="I540" s="123">
        <f>SUM(I514:I539)</f>
        <v>53111244</v>
      </c>
      <c r="J540" s="200"/>
      <c r="K540" s="141"/>
      <c r="L540" s="123">
        <f>SUM(L514:L539)</f>
        <v>53898911</v>
      </c>
      <c r="N540" s="52"/>
      <c r="O540" s="52"/>
      <c r="P540" s="105"/>
      <c r="Q540" s="105"/>
      <c r="R540" s="105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</row>
    <row r="541" spans="1:35" hidden="1">
      <c r="A541" s="141" t="s">
        <v>197</v>
      </c>
      <c r="B541" s="141"/>
      <c r="C541" s="227">
        <v>-9806365.1823147573</v>
      </c>
      <c r="D541" s="175"/>
      <c r="E541" s="175"/>
      <c r="F541" s="176">
        <v>-467737.93217765028</v>
      </c>
      <c r="G541" s="175"/>
      <c r="H541" s="175"/>
      <c r="I541" s="176">
        <f>F541</f>
        <v>-467737.93217765028</v>
      </c>
      <c r="J541" s="175"/>
      <c r="K541" s="175"/>
      <c r="L541" s="176">
        <f>F541</f>
        <v>-467737.93217765028</v>
      </c>
      <c r="N541" s="156"/>
      <c r="O541" s="156"/>
      <c r="P541" s="154"/>
      <c r="Q541" s="105"/>
      <c r="R541" s="105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</row>
    <row r="542" spans="1:35" ht="16.5" hidden="1" thickBot="1">
      <c r="A542" s="141" t="s">
        <v>216</v>
      </c>
      <c r="B542" s="141"/>
      <c r="C542" s="241">
        <f>SUM(C540)+C541</f>
        <v>751885738.81768525</v>
      </c>
      <c r="D542" s="213"/>
      <c r="E542" s="214"/>
      <c r="F542" s="215">
        <f>F540+F541</f>
        <v>46706959.067822352</v>
      </c>
      <c r="G542" s="213"/>
      <c r="H542" s="216"/>
      <c r="I542" s="215">
        <f>I540+I541</f>
        <v>52643506.067822352</v>
      </c>
      <c r="J542" s="213"/>
      <c r="K542" s="216"/>
      <c r="L542" s="215">
        <f>L540+L541</f>
        <v>53431173.067822352</v>
      </c>
      <c r="N542" s="157"/>
      <c r="O542" s="157"/>
      <c r="P542" s="158"/>
      <c r="Q542" s="105"/>
      <c r="R542" s="105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</row>
    <row r="543" spans="1:35" hidden="1">
      <c r="A543" s="141"/>
      <c r="B543" s="141"/>
      <c r="C543" s="160"/>
      <c r="D543" s="207"/>
      <c r="E543" s="123"/>
      <c r="F543" s="123"/>
      <c r="G543" s="207"/>
      <c r="H543" s="141"/>
      <c r="I543" s="123"/>
      <c r="J543" s="232" t="s">
        <v>280</v>
      </c>
      <c r="K543" s="141"/>
      <c r="L543" s="123" t="s">
        <v>280</v>
      </c>
      <c r="N543" s="52"/>
      <c r="O543" s="52"/>
      <c r="P543" s="105"/>
      <c r="Q543" s="105"/>
      <c r="R543" s="105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</row>
    <row r="544" spans="1:35" hidden="1">
      <c r="A544" s="159" t="s">
        <v>268</v>
      </c>
      <c r="B544" s="141"/>
      <c r="C544" s="141"/>
      <c r="D544" s="123"/>
      <c r="E544" s="123"/>
      <c r="F544" s="141" t="s">
        <v>280</v>
      </c>
      <c r="G544" s="123"/>
      <c r="H544" s="141"/>
      <c r="I544" s="141"/>
      <c r="J544" s="123"/>
      <c r="K544" s="141"/>
      <c r="L544" s="141"/>
      <c r="N544" s="52"/>
      <c r="O544" s="52"/>
      <c r="P544" s="105"/>
      <c r="Q544" s="105"/>
      <c r="R544" s="105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</row>
    <row r="545" spans="1:35" hidden="1">
      <c r="A545" s="175" t="s">
        <v>274</v>
      </c>
      <c r="B545" s="141"/>
      <c r="C545" s="141"/>
      <c r="D545" s="123"/>
      <c r="E545" s="123"/>
      <c r="F545" s="141"/>
      <c r="G545" s="123"/>
      <c r="H545" s="141"/>
      <c r="I545" s="141"/>
      <c r="J545" s="123"/>
      <c r="K545" s="141"/>
      <c r="L545" s="141"/>
      <c r="N545" s="52"/>
      <c r="O545" s="52"/>
      <c r="P545" s="105"/>
      <c r="Q545" s="105"/>
      <c r="R545" s="105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</row>
    <row r="546" spans="1:35" hidden="1">
      <c r="A546" s="194"/>
      <c r="B546" s="141"/>
      <c r="C546" s="141"/>
      <c r="D546" s="123"/>
      <c r="E546" s="123"/>
      <c r="F546" s="141"/>
      <c r="G546" s="123"/>
      <c r="H546" s="141"/>
      <c r="I546" s="141"/>
      <c r="J546" s="123"/>
      <c r="K546" s="141"/>
      <c r="L546" s="141"/>
      <c r="N546" s="52"/>
      <c r="O546" s="52"/>
      <c r="P546" s="105"/>
      <c r="Q546" s="105"/>
      <c r="R546" s="105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</row>
    <row r="547" spans="1:35" hidden="1">
      <c r="A547" s="194" t="s">
        <v>228</v>
      </c>
      <c r="B547" s="160"/>
      <c r="C547" s="190"/>
      <c r="D547" s="123"/>
      <c r="E547" s="123"/>
      <c r="F547" s="141"/>
      <c r="G547" s="123"/>
      <c r="H547" s="141"/>
      <c r="I547" s="141"/>
      <c r="J547" s="123"/>
      <c r="K547" s="141"/>
      <c r="L547" s="141"/>
      <c r="N547" s="52"/>
      <c r="O547" s="52"/>
      <c r="P547" s="105"/>
      <c r="Q547" s="105"/>
      <c r="R547" s="105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</row>
    <row r="548" spans="1:35" hidden="1">
      <c r="A548" s="194" t="s">
        <v>253</v>
      </c>
      <c r="B548" s="141"/>
      <c r="C548" s="190">
        <f>2+10</f>
        <v>12</v>
      </c>
      <c r="D548" s="164">
        <v>227</v>
      </c>
      <c r="E548" s="194"/>
      <c r="F548" s="192">
        <f>ROUND(D548*$C548,0)</f>
        <v>2724</v>
      </c>
      <c r="G548" s="164">
        <f>$G$480</f>
        <v>254</v>
      </c>
      <c r="H548" s="194"/>
      <c r="I548" s="192">
        <f>ROUND(G548*C548,0)</f>
        <v>3048</v>
      </c>
      <c r="J548" s="164">
        <f>$J$480</f>
        <v>259</v>
      </c>
      <c r="K548" s="194"/>
      <c r="L548" s="192">
        <f>ROUND(J548*$C548,0)</f>
        <v>3108</v>
      </c>
      <c r="N548" s="52"/>
      <c r="O548" s="52"/>
      <c r="P548" s="105"/>
      <c r="Q548" s="105"/>
      <c r="R548" s="105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</row>
    <row r="549" spans="1:35" hidden="1">
      <c r="A549" s="194" t="s">
        <v>254</v>
      </c>
      <c r="B549" s="141"/>
      <c r="C549" s="190">
        <f>333+12+786</f>
        <v>1131</v>
      </c>
      <c r="D549" s="164">
        <v>84</v>
      </c>
      <c r="E549" s="194"/>
      <c r="F549" s="192">
        <f>ROUND(D549*$C549,0)</f>
        <v>95004</v>
      </c>
      <c r="G549" s="164">
        <f>$G$481</f>
        <v>95</v>
      </c>
      <c r="H549" s="194"/>
      <c r="I549" s="192">
        <f>ROUND(G549*C549,0)</f>
        <v>107445</v>
      </c>
      <c r="J549" s="164">
        <f>$J$481</f>
        <v>96</v>
      </c>
      <c r="K549" s="194"/>
      <c r="L549" s="192">
        <f>ROUND(J549*$C549,0)</f>
        <v>108576</v>
      </c>
      <c r="N549" s="52"/>
      <c r="O549" s="52"/>
      <c r="P549" s="105"/>
      <c r="Q549" s="105"/>
      <c r="R549" s="105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</row>
    <row r="550" spans="1:35" hidden="1">
      <c r="A550" s="194" t="s">
        <v>255</v>
      </c>
      <c r="B550" s="141"/>
      <c r="C550" s="190">
        <f>11+30+588</f>
        <v>629</v>
      </c>
      <c r="D550" s="164">
        <v>168</v>
      </c>
      <c r="E550" s="196"/>
      <c r="F550" s="192">
        <f>ROUND(D550*$C550,0)</f>
        <v>105672</v>
      </c>
      <c r="G550" s="164">
        <f>$G$482</f>
        <v>189</v>
      </c>
      <c r="H550" s="196"/>
      <c r="I550" s="192">
        <f>ROUND(G550*C550,0)</f>
        <v>118881</v>
      </c>
      <c r="J550" s="164">
        <f>$J$482</f>
        <v>192</v>
      </c>
      <c r="K550" s="196"/>
      <c r="L550" s="192">
        <f>ROUND(J550*$C550,0)</f>
        <v>120768</v>
      </c>
      <c r="N550" s="52"/>
      <c r="O550" s="52"/>
      <c r="P550" s="105"/>
      <c r="Q550" s="105"/>
      <c r="R550" s="105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</row>
    <row r="551" spans="1:35" hidden="1">
      <c r="A551" s="194" t="s">
        <v>229</v>
      </c>
      <c r="B551" s="141"/>
      <c r="C551" s="190">
        <f>SUM(C548:C550)</f>
        <v>1772</v>
      </c>
      <c r="D551" s="164"/>
      <c r="E551" s="194"/>
      <c r="F551" s="192"/>
      <c r="G551" s="164"/>
      <c r="H551" s="194"/>
      <c r="I551" s="192"/>
      <c r="J551" s="164"/>
      <c r="K551" s="194"/>
      <c r="L551" s="192"/>
      <c r="N551" s="52"/>
      <c r="O551" s="52"/>
      <c r="P551" s="105"/>
      <c r="Q551" s="105"/>
      <c r="R551" s="105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</row>
    <row r="552" spans="1:35" hidden="1">
      <c r="A552" s="194" t="s">
        <v>254</v>
      </c>
      <c r="B552" s="141"/>
      <c r="C552" s="190">
        <f>58544+1628+129474</f>
        <v>189646</v>
      </c>
      <c r="D552" s="164">
        <v>1.48</v>
      </c>
      <c r="E552" s="194" t="s">
        <v>280</v>
      </c>
      <c r="F552" s="192">
        <f>ROUND(D552*$C552,0)</f>
        <v>280676</v>
      </c>
      <c r="G552" s="164">
        <f>$G$484</f>
        <v>1.67</v>
      </c>
      <c r="H552" s="194" t="s">
        <v>280</v>
      </c>
      <c r="I552" s="192">
        <f t="shared" ref="I552:I553" si="81">ROUND(G552*C552,0)</f>
        <v>316709</v>
      </c>
      <c r="J552" s="164">
        <f>$J$484</f>
        <v>1.7</v>
      </c>
      <c r="K552" s="194" t="s">
        <v>280</v>
      </c>
      <c r="L552" s="192">
        <f>ROUND(J552*$C552,0)</f>
        <v>322398</v>
      </c>
      <c r="N552" s="52"/>
      <c r="O552" s="52"/>
      <c r="P552" s="105"/>
      <c r="Q552" s="105"/>
      <c r="R552" s="105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</row>
    <row r="553" spans="1:35" hidden="1">
      <c r="A553" s="194" t="s">
        <v>255</v>
      </c>
      <c r="B553" s="141"/>
      <c r="C553" s="190">
        <f>3397+22571+330148</f>
        <v>356116</v>
      </c>
      <c r="D553" s="164">
        <v>1.22</v>
      </c>
      <c r="E553" s="194" t="s">
        <v>280</v>
      </c>
      <c r="F553" s="192">
        <f>ROUND(D553*$C553,0)</f>
        <v>434462</v>
      </c>
      <c r="G553" s="164">
        <f>$G$485</f>
        <v>1.37</v>
      </c>
      <c r="H553" s="194" t="s">
        <v>280</v>
      </c>
      <c r="I553" s="192">
        <f t="shared" si="81"/>
        <v>487879</v>
      </c>
      <c r="J553" s="164">
        <f>$J$485</f>
        <v>1.39</v>
      </c>
      <c r="K553" s="194" t="s">
        <v>280</v>
      </c>
      <c r="L553" s="192">
        <f>ROUND(J553*$C553,0)</f>
        <v>495001</v>
      </c>
      <c r="N553" s="52"/>
      <c r="O553" s="52"/>
      <c r="P553" s="105"/>
      <c r="Q553" s="105"/>
      <c r="R553" s="105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</row>
    <row r="554" spans="1:35" hidden="1">
      <c r="A554" s="175" t="s">
        <v>256</v>
      </c>
      <c r="B554" s="141"/>
      <c r="C554" s="190"/>
      <c r="D554" s="170"/>
      <c r="E554" s="194"/>
      <c r="F554" s="192"/>
      <c r="G554" s="170"/>
      <c r="H554" s="194"/>
      <c r="I554" s="192"/>
      <c r="J554" s="170"/>
      <c r="K554" s="194"/>
      <c r="L554" s="192"/>
      <c r="N554" s="52"/>
      <c r="O554" s="52"/>
      <c r="P554" s="105"/>
      <c r="Q554" s="105"/>
      <c r="R554" s="105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</row>
    <row r="555" spans="1:35" hidden="1">
      <c r="A555" s="175" t="s">
        <v>257</v>
      </c>
      <c r="B555" s="141"/>
      <c r="C555" s="190">
        <f>188+24868+1055+1380+18233+658+108225+250803</f>
        <v>405410</v>
      </c>
      <c r="D555" s="164">
        <v>3.88</v>
      </c>
      <c r="E555" s="194"/>
      <c r="F555" s="192">
        <f>ROUND(D555*$C555,0)</f>
        <v>1572991</v>
      </c>
      <c r="G555" s="164">
        <f>$G$487</f>
        <v>4.37</v>
      </c>
      <c r="H555" s="194"/>
      <c r="I555" s="192">
        <f t="shared" ref="I555:I556" si="82">ROUND(G555*C555,0)</f>
        <v>1771642</v>
      </c>
      <c r="J555" s="164">
        <f>$J$487</f>
        <v>4.4400000000000004</v>
      </c>
      <c r="K555" s="194"/>
      <c r="L555" s="192">
        <f>ROUND(J555*$C555,0)</f>
        <v>1800020</v>
      </c>
      <c r="N555" s="52"/>
      <c r="O555" s="52"/>
      <c r="P555" s="105"/>
      <c r="Q555" s="105"/>
      <c r="R555" s="105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</row>
    <row r="556" spans="1:35" hidden="1">
      <c r="A556" s="175" t="s">
        <v>270</v>
      </c>
      <c r="B556" s="141"/>
      <c r="C556" s="190">
        <f>225+30+433+603</f>
        <v>1291</v>
      </c>
      <c r="D556" s="244">
        <v>3.88</v>
      </c>
      <c r="E556" s="194"/>
      <c r="F556" s="192">
        <f>ROUND(D556*$C556,0)</f>
        <v>5009</v>
      </c>
      <c r="G556" s="244">
        <f>G555</f>
        <v>4.37</v>
      </c>
      <c r="H556" s="194"/>
      <c r="I556" s="192">
        <f t="shared" si="82"/>
        <v>5642</v>
      </c>
      <c r="J556" s="244">
        <f>J555</f>
        <v>4.4400000000000004</v>
      </c>
      <c r="K556" s="194"/>
      <c r="L556" s="192">
        <f>ROUND(J556*$C556,0)</f>
        <v>5732</v>
      </c>
      <c r="N556" s="52"/>
      <c r="O556" s="52"/>
      <c r="P556" s="105"/>
      <c r="Q556" s="105"/>
      <c r="R556" s="105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</row>
    <row r="557" spans="1:35" hidden="1">
      <c r="A557" s="194" t="s">
        <v>258</v>
      </c>
      <c r="B557" s="141"/>
      <c r="C557" s="190"/>
      <c r="D557" s="164"/>
      <c r="E557" s="194"/>
      <c r="F557" s="192"/>
      <c r="G557" s="164"/>
      <c r="H557" s="194"/>
      <c r="I557" s="192"/>
      <c r="J557" s="164"/>
      <c r="K557" s="194"/>
      <c r="L557" s="192"/>
      <c r="N557" s="52"/>
      <c r="O557" s="52"/>
      <c r="P557" s="105"/>
      <c r="Q557" s="105"/>
      <c r="R557" s="105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</row>
    <row r="558" spans="1:35" hidden="1">
      <c r="A558" s="194" t="s">
        <v>259</v>
      </c>
      <c r="B558" s="141"/>
      <c r="C558" s="190">
        <f>46000+3223014+89760+468800+1185333+138280+23324915+21844380</f>
        <v>50320482</v>
      </c>
      <c r="D558" s="254">
        <v>4.6340000000000003</v>
      </c>
      <c r="E558" s="194" t="s">
        <v>210</v>
      </c>
      <c r="F558" s="192">
        <f>ROUND(D558*$C558/100,0)</f>
        <v>2331851</v>
      </c>
      <c r="G558" s="254">
        <f>$G$490</f>
        <v>5.2170000000000005</v>
      </c>
      <c r="H558" s="194" t="s">
        <v>210</v>
      </c>
      <c r="I558" s="192">
        <f>ROUND(G558*C558/100,0)</f>
        <v>2625220</v>
      </c>
      <c r="J558" s="245">
        <f>$J$490</f>
        <v>5.2919999999999998</v>
      </c>
      <c r="K558" s="194" t="s">
        <v>210</v>
      </c>
      <c r="L558" s="192">
        <f>ROUND(J558*$C558/100,0)</f>
        <v>2662960</v>
      </c>
      <c r="N558" s="52"/>
      <c r="O558" s="52"/>
      <c r="P558" s="105"/>
      <c r="Q558" s="105"/>
      <c r="R558" s="105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</row>
    <row r="559" spans="1:35" hidden="1">
      <c r="A559" s="194" t="s">
        <v>233</v>
      </c>
      <c r="B559" s="141"/>
      <c r="C559" s="190">
        <f>46000+3887081+162880+835200+7145999+155520+29730242+82856539-C558</f>
        <v>74498979</v>
      </c>
      <c r="D559" s="254">
        <v>4.2469999999999999</v>
      </c>
      <c r="E559" s="194" t="s">
        <v>210</v>
      </c>
      <c r="F559" s="192">
        <f>ROUND(D559*$C559/100,0)</f>
        <v>3163972</v>
      </c>
      <c r="G559" s="254">
        <f>$G$491</f>
        <v>4.7799999999999994</v>
      </c>
      <c r="H559" s="194" t="s">
        <v>210</v>
      </c>
      <c r="I559" s="192">
        <f t="shared" ref="I559:I560" si="83">ROUND(G559*C559/100,0)</f>
        <v>3561051</v>
      </c>
      <c r="J559" s="245">
        <f>$J$491</f>
        <v>4.8499999999999996</v>
      </c>
      <c r="K559" s="194" t="s">
        <v>210</v>
      </c>
      <c r="L559" s="192">
        <f>ROUND(J559*$C559/100,0)</f>
        <v>3613200</v>
      </c>
      <c r="N559" s="52"/>
      <c r="O559" s="52"/>
      <c r="P559" s="105"/>
      <c r="Q559" s="105"/>
      <c r="R559" s="105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</row>
    <row r="560" spans="1:35" hidden="1">
      <c r="A560" s="194" t="s">
        <v>234</v>
      </c>
      <c r="B560" s="141"/>
      <c r="C560" s="190">
        <f>47+5643+262+953+5636+259+36104+90156</f>
        <v>139060</v>
      </c>
      <c r="D560" s="208">
        <v>50</v>
      </c>
      <c r="E560" s="194" t="s">
        <v>210</v>
      </c>
      <c r="F560" s="192">
        <f>ROUND(D560*$C560/100,0)</f>
        <v>69530</v>
      </c>
      <c r="G560" s="208">
        <f>$G$492</f>
        <v>56</v>
      </c>
      <c r="H560" s="194" t="s">
        <v>210</v>
      </c>
      <c r="I560" s="192">
        <f t="shared" si="83"/>
        <v>77874</v>
      </c>
      <c r="J560" s="255">
        <f>$J$492</f>
        <v>56</v>
      </c>
      <c r="K560" s="194" t="s">
        <v>210</v>
      </c>
      <c r="L560" s="192">
        <f>ROUND(J560*$C560/100,0)</f>
        <v>77874</v>
      </c>
      <c r="N560" s="52"/>
      <c r="O560" s="52"/>
      <c r="P560" s="105"/>
      <c r="Q560" s="105"/>
      <c r="R560" s="105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</row>
    <row r="561" spans="1:35" hidden="1">
      <c r="A561" s="237" t="s">
        <v>235</v>
      </c>
      <c r="B561" s="141"/>
      <c r="C561" s="190"/>
      <c r="D561" s="202">
        <v>-0.01</v>
      </c>
      <c r="E561" s="123"/>
      <c r="F561" s="192"/>
      <c r="G561" s="202">
        <v>-0.01</v>
      </c>
      <c r="H561" s="141"/>
      <c r="I561" s="192"/>
      <c r="J561" s="202">
        <v>-0.01</v>
      </c>
      <c r="K561" s="141"/>
      <c r="L561" s="192"/>
      <c r="N561" s="52"/>
      <c r="O561" s="52"/>
      <c r="P561" s="105"/>
      <c r="Q561" s="105"/>
      <c r="R561" s="105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</row>
    <row r="562" spans="1:35" hidden="1">
      <c r="A562" s="194" t="s">
        <v>253</v>
      </c>
      <c r="B562" s="141"/>
      <c r="C562" s="190">
        <v>0</v>
      </c>
      <c r="D562" s="170">
        <v>227</v>
      </c>
      <c r="E562" s="240"/>
      <c r="F562" s="192">
        <f>ROUND(D562*$C562*D561,0)</f>
        <v>0</v>
      </c>
      <c r="G562" s="170">
        <f>G548</f>
        <v>254</v>
      </c>
      <c r="H562" s="159"/>
      <c r="I562" s="192">
        <f>ROUND(G562*C562*$G$527,0)</f>
        <v>0</v>
      </c>
      <c r="J562" s="170">
        <f>J548</f>
        <v>259</v>
      </c>
      <c r="K562" s="159"/>
      <c r="L562" s="192">
        <f>ROUND(J562*$C562*J561,0)</f>
        <v>0</v>
      </c>
      <c r="N562" s="52"/>
      <c r="O562" s="52"/>
      <c r="P562" s="105"/>
      <c r="Q562" s="105"/>
      <c r="R562" s="105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</row>
    <row r="563" spans="1:35" hidden="1">
      <c r="A563" s="194" t="s">
        <v>254</v>
      </c>
      <c r="B563" s="141"/>
      <c r="C563" s="190">
        <v>12</v>
      </c>
      <c r="D563" s="170">
        <v>84</v>
      </c>
      <c r="E563" s="240"/>
      <c r="F563" s="192">
        <f>ROUND(D563*$C563*D561,0)</f>
        <v>-10</v>
      </c>
      <c r="G563" s="170">
        <f>G549</f>
        <v>95</v>
      </c>
      <c r="H563" s="159"/>
      <c r="I563" s="192">
        <f t="shared" ref="I563:I568" si="84">ROUND(G563*C563*$G$527,0)</f>
        <v>-11</v>
      </c>
      <c r="J563" s="170">
        <f>J549</f>
        <v>96</v>
      </c>
      <c r="K563" s="159"/>
      <c r="L563" s="192">
        <f>ROUND(J563*$C563*J561,0)</f>
        <v>-12</v>
      </c>
      <c r="N563" s="52"/>
      <c r="O563" s="52"/>
      <c r="P563" s="105"/>
      <c r="Q563" s="105"/>
      <c r="R563" s="105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</row>
    <row r="564" spans="1:35" hidden="1">
      <c r="A564" s="194" t="s">
        <v>255</v>
      </c>
      <c r="B564" s="141"/>
      <c r="C564" s="190">
        <v>30</v>
      </c>
      <c r="D564" s="170">
        <v>168</v>
      </c>
      <c r="E564" s="248"/>
      <c r="F564" s="192">
        <f>ROUND(D564*$C564*D561,0)</f>
        <v>-50</v>
      </c>
      <c r="G564" s="170">
        <f>G550</f>
        <v>189</v>
      </c>
      <c r="H564" s="249"/>
      <c r="I564" s="192">
        <f t="shared" si="84"/>
        <v>-57</v>
      </c>
      <c r="J564" s="170">
        <f>J550</f>
        <v>192</v>
      </c>
      <c r="K564" s="249"/>
      <c r="L564" s="192">
        <f>ROUND(J564*$C564*J561,0)</f>
        <v>-58</v>
      </c>
      <c r="N564" s="52"/>
      <c r="O564" s="52"/>
      <c r="P564" s="105"/>
      <c r="Q564" s="105"/>
      <c r="R564" s="105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</row>
    <row r="565" spans="1:35" hidden="1">
      <c r="A565" s="194" t="s">
        <v>254</v>
      </c>
      <c r="B565" s="141"/>
      <c r="C565" s="190">
        <v>1628</v>
      </c>
      <c r="D565" s="170">
        <v>1.48</v>
      </c>
      <c r="E565" s="240"/>
      <c r="F565" s="192">
        <f>ROUND(D565*$C565*D561,0)</f>
        <v>-24</v>
      </c>
      <c r="G565" s="170">
        <f>G552</f>
        <v>1.67</v>
      </c>
      <c r="H565" s="159"/>
      <c r="I565" s="192">
        <f t="shared" si="84"/>
        <v>-27</v>
      </c>
      <c r="J565" s="170">
        <f>J552</f>
        <v>1.7</v>
      </c>
      <c r="K565" s="159"/>
      <c r="L565" s="192">
        <f>ROUND(J565*$C565*J561,0)</f>
        <v>-28</v>
      </c>
      <c r="N565" s="52"/>
      <c r="O565" s="52"/>
      <c r="P565" s="105"/>
      <c r="Q565" s="105"/>
      <c r="R565" s="105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</row>
    <row r="566" spans="1:35" hidden="1">
      <c r="A566" s="194" t="s">
        <v>255</v>
      </c>
      <c r="B566" s="141"/>
      <c r="C566" s="190">
        <v>22571</v>
      </c>
      <c r="D566" s="170">
        <v>1.22</v>
      </c>
      <c r="E566" s="240" t="s">
        <v>280</v>
      </c>
      <c r="F566" s="192">
        <f>ROUND(D566*$C566*D561,0)</f>
        <v>-275</v>
      </c>
      <c r="G566" s="170">
        <f>G553</f>
        <v>1.37</v>
      </c>
      <c r="H566" s="159"/>
      <c r="I566" s="192">
        <f t="shared" si="84"/>
        <v>-309</v>
      </c>
      <c r="J566" s="170">
        <f>J553</f>
        <v>1.39</v>
      </c>
      <c r="K566" s="159"/>
      <c r="L566" s="192">
        <f>ROUND(J566*$C566*J561,0)</f>
        <v>-314</v>
      </c>
      <c r="N566" s="52"/>
      <c r="O566" s="52"/>
      <c r="P566" s="105"/>
      <c r="Q566" s="105"/>
      <c r="R566" s="105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</row>
    <row r="567" spans="1:35" hidden="1">
      <c r="A567" s="175" t="s">
        <v>257</v>
      </c>
      <c r="B567" s="141"/>
      <c r="C567" s="190">
        <f>1380+18233</f>
        <v>19613</v>
      </c>
      <c r="D567" s="170">
        <v>3.88</v>
      </c>
      <c r="E567" s="240" t="s">
        <v>280</v>
      </c>
      <c r="F567" s="192">
        <f>ROUND(D567*$C567*D561,0)</f>
        <v>-761</v>
      </c>
      <c r="G567" s="170">
        <f>G555</f>
        <v>4.37</v>
      </c>
      <c r="H567" s="159"/>
      <c r="I567" s="192">
        <f t="shared" si="84"/>
        <v>-857</v>
      </c>
      <c r="J567" s="170">
        <f>J555</f>
        <v>4.4400000000000004</v>
      </c>
      <c r="K567" s="159"/>
      <c r="L567" s="192">
        <f>ROUND(J567*$C567*J561,0)</f>
        <v>-871</v>
      </c>
      <c r="N567" s="52"/>
      <c r="O567" s="52"/>
      <c r="P567" s="105"/>
      <c r="Q567" s="105"/>
      <c r="R567" s="105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</row>
    <row r="568" spans="1:35" hidden="1">
      <c r="A568" s="175" t="s">
        <v>270</v>
      </c>
      <c r="B568" s="141"/>
      <c r="C568" s="190">
        <v>0</v>
      </c>
      <c r="D568" s="170">
        <v>3.88</v>
      </c>
      <c r="E568" s="240" t="s">
        <v>280</v>
      </c>
      <c r="F568" s="192">
        <f>ROUND(D568*$C568*D561,0)</f>
        <v>0</v>
      </c>
      <c r="G568" s="170">
        <f>G556</f>
        <v>4.37</v>
      </c>
      <c r="H568" s="159"/>
      <c r="I568" s="192">
        <f t="shared" si="84"/>
        <v>0</v>
      </c>
      <c r="J568" s="170">
        <f>J556</f>
        <v>4.4400000000000004</v>
      </c>
      <c r="K568" s="159"/>
      <c r="L568" s="192">
        <f>ROUND(J568*$C568*J561,0)</f>
        <v>0</v>
      </c>
      <c r="N568" s="52"/>
      <c r="O568" s="52"/>
      <c r="P568" s="105"/>
      <c r="Q568" s="105"/>
      <c r="R568" s="105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</row>
    <row r="569" spans="1:35" hidden="1">
      <c r="A569" s="194" t="s">
        <v>259</v>
      </c>
      <c r="B569" s="141"/>
      <c r="C569" s="190">
        <f>468800+1185333</f>
        <v>1654133</v>
      </c>
      <c r="D569" s="172">
        <v>4.6340000000000003</v>
      </c>
      <c r="E569" s="192" t="s">
        <v>210</v>
      </c>
      <c r="F569" s="192">
        <f>ROUND(D569*$C569/100*D561,0)</f>
        <v>-767</v>
      </c>
      <c r="G569" s="172">
        <f>G558</f>
        <v>5.2170000000000005</v>
      </c>
      <c r="H569" s="194" t="s">
        <v>210</v>
      </c>
      <c r="I569" s="192">
        <f>ROUND(G569*C569/100*$G$527,0)</f>
        <v>-863</v>
      </c>
      <c r="J569" s="172">
        <f>J558</f>
        <v>5.2919999999999998</v>
      </c>
      <c r="K569" s="194" t="s">
        <v>210</v>
      </c>
      <c r="L569" s="192">
        <f>ROUND(J569*$C569/100*J561,0)</f>
        <v>-875</v>
      </c>
      <c r="N569" s="52"/>
      <c r="O569" s="52"/>
      <c r="P569" s="105"/>
      <c r="Q569" s="105"/>
      <c r="R569" s="105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</row>
    <row r="570" spans="1:35" hidden="1">
      <c r="A570" s="194" t="s">
        <v>233</v>
      </c>
      <c r="B570" s="141"/>
      <c r="C570" s="190">
        <f>835200+7145999-C569</f>
        <v>6327066</v>
      </c>
      <c r="D570" s="172">
        <v>4.2469999999999999</v>
      </c>
      <c r="E570" s="192" t="s">
        <v>210</v>
      </c>
      <c r="F570" s="192">
        <f>ROUND(D570*$C570/100*D561,0)</f>
        <v>-2687</v>
      </c>
      <c r="G570" s="172">
        <f>G559</f>
        <v>4.7799999999999994</v>
      </c>
      <c r="H570" s="194" t="s">
        <v>210</v>
      </c>
      <c r="I570" s="192">
        <f>ROUND(G570*C570/100*$G$527,0)</f>
        <v>-3024</v>
      </c>
      <c r="J570" s="172">
        <f>J559</f>
        <v>4.8499999999999996</v>
      </c>
      <c r="K570" s="194" t="s">
        <v>210</v>
      </c>
      <c r="L570" s="192">
        <f>ROUND(J570*$C570/100*J561,0)</f>
        <v>-3069</v>
      </c>
      <c r="N570" s="52"/>
      <c r="O570" s="52"/>
      <c r="P570" s="105"/>
      <c r="Q570" s="105"/>
      <c r="R570" s="105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</row>
    <row r="571" spans="1:35" hidden="1">
      <c r="A571" s="194" t="s">
        <v>234</v>
      </c>
      <c r="B571" s="141"/>
      <c r="C571" s="190">
        <f>953+5636</f>
        <v>6589</v>
      </c>
      <c r="D571" s="250">
        <v>50</v>
      </c>
      <c r="E571" s="192" t="s">
        <v>210</v>
      </c>
      <c r="F571" s="192">
        <f>ROUND(D571*$C571/100*D561,0)</f>
        <v>-33</v>
      </c>
      <c r="G571" s="250">
        <f>G560</f>
        <v>56</v>
      </c>
      <c r="H571" s="194" t="s">
        <v>210</v>
      </c>
      <c r="I571" s="192">
        <f>ROUND(G571*C571/100*$G$527,0)</f>
        <v>-37</v>
      </c>
      <c r="J571" s="250">
        <f>J560</f>
        <v>56</v>
      </c>
      <c r="K571" s="194" t="s">
        <v>210</v>
      </c>
      <c r="L571" s="192">
        <f>ROUND(J571*$C571/100*J561,0)</f>
        <v>-37</v>
      </c>
      <c r="N571" s="52"/>
      <c r="O571" s="52"/>
      <c r="P571" s="105"/>
      <c r="Q571" s="105"/>
      <c r="R571" s="105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</row>
    <row r="572" spans="1:35" hidden="1">
      <c r="A572" s="194" t="s">
        <v>271</v>
      </c>
      <c r="B572" s="141"/>
      <c r="C572" s="190">
        <f>C562+C563+C564</f>
        <v>42</v>
      </c>
      <c r="D572" s="164">
        <v>60</v>
      </c>
      <c r="E572" s="240" t="s">
        <v>280</v>
      </c>
      <c r="F572" s="192">
        <f>ROUND(D572*$C572,0)</f>
        <v>2520</v>
      </c>
      <c r="G572" s="164">
        <f>$D$504</f>
        <v>60</v>
      </c>
      <c r="H572" s="141"/>
      <c r="I572" s="192">
        <f>ROUND(G572*C572,0)</f>
        <v>2520</v>
      </c>
      <c r="J572" s="164">
        <f>$J$504</f>
        <v>60</v>
      </c>
      <c r="K572" s="141"/>
      <c r="L572" s="192">
        <f>ROUND(J572*$C572,0)</f>
        <v>2520</v>
      </c>
      <c r="N572" s="52"/>
      <c r="O572" s="52"/>
      <c r="P572" s="105"/>
      <c r="Q572" s="105"/>
      <c r="R572" s="105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</row>
    <row r="573" spans="1:35" hidden="1">
      <c r="A573" s="194" t="s">
        <v>272</v>
      </c>
      <c r="B573" s="141"/>
      <c r="C573" s="190">
        <f>C565+C566</f>
        <v>24199</v>
      </c>
      <c r="D573" s="208">
        <v>-30</v>
      </c>
      <c r="E573" s="192" t="s">
        <v>210</v>
      </c>
      <c r="F573" s="192">
        <f>ROUND(D573*$C573/100,0)</f>
        <v>-7260</v>
      </c>
      <c r="G573" s="208">
        <f>$D$505</f>
        <v>-30</v>
      </c>
      <c r="H573" s="192" t="s">
        <v>210</v>
      </c>
      <c r="I573" s="192">
        <f>-ROUND(G573*C573*$G$527,0)</f>
        <v>-7260</v>
      </c>
      <c r="J573" s="208">
        <f>$J$505</f>
        <v>-30</v>
      </c>
      <c r="K573" s="192" t="s">
        <v>210</v>
      </c>
      <c r="L573" s="192">
        <f>ROUND(J573*$C573/100,0)</f>
        <v>-7260</v>
      </c>
      <c r="N573" s="52"/>
      <c r="O573" s="52"/>
      <c r="P573" s="105"/>
      <c r="Q573" s="105"/>
      <c r="R573" s="105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</row>
    <row r="574" spans="1:35" hidden="1">
      <c r="A574" s="141" t="s">
        <v>215</v>
      </c>
      <c r="B574" s="141"/>
      <c r="C574" s="190">
        <f>SUM(C558:C559)</f>
        <v>124819461</v>
      </c>
      <c r="D574" s="200"/>
      <c r="E574" s="123"/>
      <c r="F574" s="123">
        <f>SUM(F548:F573)</f>
        <v>8052544</v>
      </c>
      <c r="G574" s="200"/>
      <c r="H574" s="141"/>
      <c r="I574" s="123">
        <f>SUM(I548:I573)</f>
        <v>9065466</v>
      </c>
      <c r="J574" s="200"/>
      <c r="K574" s="141"/>
      <c r="L574" s="123">
        <f>SUM(L548:L573)</f>
        <v>9199633</v>
      </c>
      <c r="N574" s="52"/>
      <c r="O574" s="52"/>
      <c r="P574" s="105"/>
      <c r="Q574" s="105"/>
      <c r="R574" s="105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</row>
    <row r="575" spans="1:35" hidden="1">
      <c r="A575" s="141" t="s">
        <v>197</v>
      </c>
      <c r="B575" s="141"/>
      <c r="C575" s="227">
        <v>-2233712.5101513942</v>
      </c>
      <c r="D575" s="175"/>
      <c r="E575" s="175"/>
      <c r="F575" s="176">
        <v>-131664.04624308788</v>
      </c>
      <c r="G575" s="175"/>
      <c r="H575" s="175"/>
      <c r="I575" s="176">
        <f>F575</f>
        <v>-131664.04624308788</v>
      </c>
      <c r="J575" s="175"/>
      <c r="K575" s="175"/>
      <c r="L575" s="176">
        <f>F575</f>
        <v>-131664.04624308788</v>
      </c>
      <c r="N575" s="156"/>
      <c r="O575" s="156"/>
      <c r="P575" s="154"/>
      <c r="Q575" s="105"/>
      <c r="R575" s="105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</row>
    <row r="576" spans="1:35" ht="16.5" hidden="1" thickBot="1">
      <c r="A576" s="141" t="s">
        <v>216</v>
      </c>
      <c r="B576" s="141"/>
      <c r="C576" s="241">
        <f>SUM(C574)+C575</f>
        <v>122585748.4898486</v>
      </c>
      <c r="D576" s="213"/>
      <c r="E576" s="214"/>
      <c r="F576" s="215">
        <f>F574+F575</f>
        <v>7920879.9537569117</v>
      </c>
      <c r="G576" s="213"/>
      <c r="H576" s="216"/>
      <c r="I576" s="215">
        <f>I574+I575</f>
        <v>8933801.9537569117</v>
      </c>
      <c r="J576" s="213"/>
      <c r="K576" s="216"/>
      <c r="L576" s="215">
        <f>L574+L575</f>
        <v>9067968.9537569117</v>
      </c>
      <c r="N576" s="157"/>
      <c r="O576" s="157"/>
      <c r="P576" s="158"/>
      <c r="Q576" s="105"/>
      <c r="R576" s="105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</row>
    <row r="577" spans="1:35" hidden="1">
      <c r="A577" s="169"/>
      <c r="B577" s="258"/>
      <c r="C577" s="169"/>
      <c r="D577" s="160"/>
      <c r="E577" s="160"/>
      <c r="F577" s="259"/>
      <c r="G577" s="160"/>
      <c r="H577" s="169"/>
      <c r="I577" s="259"/>
      <c r="J577" s="169"/>
      <c r="K577" s="169"/>
      <c r="L577" s="169"/>
      <c r="N577" s="52"/>
      <c r="O577" s="52"/>
      <c r="P577" s="105"/>
      <c r="Q577" s="105"/>
      <c r="R577" s="105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</row>
    <row r="578" spans="1:35">
      <c r="A578" s="159" t="s">
        <v>275</v>
      </c>
      <c r="B578" s="141"/>
      <c r="C578" s="160"/>
      <c r="D578" s="207"/>
      <c r="E578" s="123"/>
      <c r="F578" s="123"/>
      <c r="G578" s="207"/>
      <c r="H578" s="141"/>
      <c r="I578" s="123"/>
      <c r="J578" s="207"/>
      <c r="K578" s="141"/>
      <c r="L578" s="123"/>
      <c r="N578" s="52"/>
      <c r="O578" s="52"/>
      <c r="P578" s="105"/>
      <c r="Q578" s="105"/>
      <c r="R578" s="105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</row>
    <row r="579" spans="1:35">
      <c r="A579" s="175" t="s">
        <v>276</v>
      </c>
      <c r="B579" s="141"/>
      <c r="C579" s="160"/>
      <c r="D579" s="207"/>
      <c r="E579" s="123"/>
      <c r="F579" s="123"/>
      <c r="G579" s="207"/>
      <c r="H579" s="141"/>
      <c r="I579" s="123"/>
      <c r="J579" s="207"/>
      <c r="K579" s="141"/>
      <c r="L579" s="123"/>
      <c r="N579" s="52"/>
      <c r="O579" s="52"/>
      <c r="P579" s="105"/>
      <c r="Q579" s="105"/>
      <c r="R579" s="105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</row>
    <row r="580" spans="1:35">
      <c r="A580" s="194"/>
      <c r="B580" s="141"/>
      <c r="C580" s="160"/>
      <c r="D580" s="207"/>
      <c r="E580" s="123"/>
      <c r="F580" s="260"/>
      <c r="G580" s="207"/>
      <c r="H580" s="141"/>
      <c r="I580" s="260"/>
      <c r="J580" s="207"/>
      <c r="K580" s="141"/>
      <c r="L580" s="261"/>
      <c r="N580" s="52"/>
      <c r="O580" s="52"/>
      <c r="P580" s="105"/>
      <c r="Q580" s="105"/>
      <c r="R580" s="105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</row>
    <row r="581" spans="1:35">
      <c r="A581" s="175" t="s">
        <v>277</v>
      </c>
      <c r="B581" s="141"/>
      <c r="C581" s="190"/>
      <c r="D581" s="123" t="s">
        <v>280</v>
      </c>
      <c r="E581" s="123"/>
      <c r="F581" s="141"/>
      <c r="G581" s="123" t="s">
        <v>280</v>
      </c>
      <c r="H581" s="141"/>
      <c r="I581" s="141"/>
      <c r="J581" s="123" t="s">
        <v>280</v>
      </c>
      <c r="K581" s="141"/>
      <c r="L581" s="141"/>
      <c r="N581" s="52"/>
      <c r="O581" s="52"/>
      <c r="P581" s="105"/>
      <c r="Q581" s="52"/>
      <c r="R581" s="52"/>
      <c r="S581" s="52"/>
      <c r="T581" s="52"/>
      <c r="U581" s="52"/>
      <c r="V581" s="52"/>
      <c r="W581" s="52"/>
      <c r="X581" s="52"/>
      <c r="Y581" s="52"/>
      <c r="AC581" s="52"/>
      <c r="AD581" s="52"/>
      <c r="AE581" s="52"/>
      <c r="AF581" s="52"/>
      <c r="AG581" s="52"/>
      <c r="AH581" s="52"/>
      <c r="AI581" s="52"/>
    </row>
    <row r="582" spans="1:35">
      <c r="A582" s="175" t="s">
        <v>278</v>
      </c>
      <c r="B582" s="141"/>
      <c r="C582" s="190">
        <f>C633+C684</f>
        <v>1050</v>
      </c>
      <c r="D582" s="207">
        <v>0</v>
      </c>
      <c r="E582" s="195"/>
      <c r="F582" s="192">
        <f>F633+F684</f>
        <v>0</v>
      </c>
      <c r="G582" s="207">
        <v>0</v>
      </c>
      <c r="H582" s="195"/>
      <c r="I582" s="192">
        <f>I633+I684</f>
        <v>0</v>
      </c>
      <c r="J582" s="207">
        <f>D582</f>
        <v>0</v>
      </c>
      <c r="K582" s="195"/>
      <c r="L582" s="192">
        <f>L633+L684</f>
        <v>0</v>
      </c>
      <c r="N582" s="124" t="e">
        <f>J582*#REF!</f>
        <v>#REF!</v>
      </c>
      <c r="Q582" s="62"/>
      <c r="R582" s="62"/>
      <c r="AD582" s="52"/>
      <c r="AE582" s="52"/>
      <c r="AF582" s="52"/>
      <c r="AG582" s="52"/>
      <c r="AH582" s="52"/>
      <c r="AI582" s="52"/>
    </row>
    <row r="583" spans="1:35">
      <c r="A583" s="175" t="s">
        <v>279</v>
      </c>
      <c r="B583" s="141"/>
      <c r="C583" s="190"/>
      <c r="D583" s="207"/>
      <c r="E583" s="195"/>
      <c r="F583" s="192"/>
      <c r="G583" s="207"/>
      <c r="H583" s="195"/>
      <c r="I583" s="192"/>
      <c r="J583" s="207"/>
      <c r="K583" s="195"/>
      <c r="L583" s="192"/>
      <c r="T583" s="124"/>
      <c r="U583" s="262"/>
      <c r="V583" s="124"/>
      <c r="W583" s="262"/>
      <c r="X583" s="124"/>
      <c r="Y583" s="124"/>
      <c r="Z583" s="92"/>
      <c r="AD583" s="52"/>
      <c r="AE583" s="52"/>
      <c r="AF583" s="52"/>
      <c r="AG583" s="52"/>
      <c r="AH583" s="52"/>
      <c r="AI583" s="52"/>
    </row>
    <row r="584" spans="1:35">
      <c r="A584" s="175" t="s">
        <v>141</v>
      </c>
      <c r="B584" s="141"/>
      <c r="C584" s="190">
        <f t="shared" ref="C584:C589" si="85">C635+C686</f>
        <v>3812</v>
      </c>
      <c r="D584" s="207">
        <v>0</v>
      </c>
      <c r="E584" s="195"/>
      <c r="F584" s="192">
        <f t="shared" ref="F584:I586" si="86">F635+F686</f>
        <v>0</v>
      </c>
      <c r="G584" s="207">
        <v>0</v>
      </c>
      <c r="H584" s="195"/>
      <c r="I584" s="192">
        <f t="shared" si="86"/>
        <v>0</v>
      </c>
      <c r="J584" s="207">
        <v>0</v>
      </c>
      <c r="K584" s="195"/>
      <c r="L584" s="192">
        <f>L635+L686</f>
        <v>0</v>
      </c>
      <c r="N584" s="124" t="e">
        <f>J584*#REF!</f>
        <v>#REF!</v>
      </c>
      <c r="O584" s="188"/>
      <c r="Q584" s="133" t="s">
        <v>207</v>
      </c>
      <c r="R584" s="133"/>
      <c r="T584" s="124"/>
      <c r="U584" s="262"/>
      <c r="V584" s="124"/>
      <c r="W584" s="262"/>
      <c r="X584" s="124"/>
      <c r="Y584" s="124"/>
      <c r="Z584" s="92"/>
      <c r="AD584" s="52"/>
      <c r="AE584" s="52"/>
      <c r="AF584" s="52"/>
      <c r="AG584" s="52"/>
      <c r="AH584" s="52"/>
      <c r="AI584" s="52"/>
    </row>
    <row r="585" spans="1:35">
      <c r="A585" s="175" t="s">
        <v>142</v>
      </c>
      <c r="B585" s="141"/>
      <c r="C585" s="190">
        <f t="shared" si="85"/>
        <v>401</v>
      </c>
      <c r="D585" s="207">
        <v>312</v>
      </c>
      <c r="E585" s="195"/>
      <c r="F585" s="192">
        <f t="shared" si="86"/>
        <v>125112</v>
      </c>
      <c r="G585" s="207">
        <v>352</v>
      </c>
      <c r="H585" s="195"/>
      <c r="I585" s="192">
        <f t="shared" si="86"/>
        <v>141152</v>
      </c>
      <c r="J585" s="207">
        <f>ROUND(G585+(G585*$Q$627),2)-0.27</f>
        <v>357</v>
      </c>
      <c r="K585" s="195"/>
      <c r="L585" s="192">
        <f>L636+L687</f>
        <v>143157</v>
      </c>
      <c r="N585" s="124" t="e">
        <f>J585*#REF!</f>
        <v>#REF!</v>
      </c>
      <c r="O585" s="109"/>
      <c r="Q585" s="62">
        <f>(J585-G585)/G585</f>
        <v>1.4204545454545454E-2</v>
      </c>
      <c r="R585" s="62"/>
      <c r="S585" s="199"/>
      <c r="T585" s="124"/>
      <c r="U585" s="191"/>
      <c r="V585" s="124"/>
      <c r="W585" s="191"/>
      <c r="X585" s="124"/>
      <c r="Y585" s="124"/>
      <c r="Z585" s="263"/>
      <c r="AD585" s="52"/>
      <c r="AE585" s="52"/>
      <c r="AF585" s="52"/>
      <c r="AG585" s="52"/>
      <c r="AH585" s="52"/>
      <c r="AI585" s="52"/>
    </row>
    <row r="586" spans="1:35">
      <c r="A586" s="175" t="s">
        <v>143</v>
      </c>
      <c r="B586" s="141"/>
      <c r="C586" s="190">
        <f t="shared" si="85"/>
        <v>13</v>
      </c>
      <c r="D586" s="207">
        <v>1268</v>
      </c>
      <c r="E586" s="195"/>
      <c r="F586" s="192">
        <f t="shared" si="86"/>
        <v>16484</v>
      </c>
      <c r="G586" s="207">
        <v>1435</v>
      </c>
      <c r="H586" s="195"/>
      <c r="I586" s="192">
        <f t="shared" si="86"/>
        <v>18655</v>
      </c>
      <c r="J586" s="207">
        <f>ROUND(G586+(G586*$Q$627),2)+0.52</f>
        <v>1457</v>
      </c>
      <c r="K586" s="195"/>
      <c r="L586" s="192">
        <f>L637+L688</f>
        <v>18941</v>
      </c>
      <c r="N586" s="124" t="e">
        <f>J586*#REF!</f>
        <v>#REF!</v>
      </c>
      <c r="O586" s="109"/>
      <c r="Q586" s="62">
        <f>(J586-G586)/G586</f>
        <v>1.5331010452961672E-2</v>
      </c>
      <c r="R586" s="62"/>
      <c r="T586" s="124"/>
      <c r="U586" s="124"/>
      <c r="Z586" s="52"/>
      <c r="AC586" s="52"/>
      <c r="AD586" s="52"/>
      <c r="AE586" s="52"/>
      <c r="AF586" s="52"/>
      <c r="AG586" s="52"/>
      <c r="AH586" s="52"/>
      <c r="AI586" s="52"/>
    </row>
    <row r="587" spans="1:35">
      <c r="A587" s="175" t="s">
        <v>376</v>
      </c>
      <c r="B587" s="141"/>
      <c r="C587" s="190">
        <f t="shared" si="85"/>
        <v>5276</v>
      </c>
      <c r="D587" s="207"/>
      <c r="E587" s="195"/>
      <c r="F587" s="192"/>
      <c r="G587" s="207"/>
      <c r="H587" s="195"/>
      <c r="I587" s="192"/>
      <c r="J587" s="207"/>
      <c r="K587" s="195"/>
      <c r="L587" s="192"/>
      <c r="N587" s="109"/>
      <c r="O587" s="109"/>
      <c r="Q587" s="191"/>
      <c r="R587" s="191"/>
      <c r="S587" s="109"/>
      <c r="Z587" s="199"/>
      <c r="AA587" s="199"/>
      <c r="AB587" s="52"/>
      <c r="AC587" s="52"/>
      <c r="AD587" s="52"/>
      <c r="AE587" s="52"/>
      <c r="AF587" s="52"/>
      <c r="AG587" s="52"/>
      <c r="AH587" s="52"/>
      <c r="AI587" s="52"/>
    </row>
    <row r="588" spans="1:35">
      <c r="A588" s="175" t="s">
        <v>144</v>
      </c>
      <c r="B588" s="141"/>
      <c r="C588" s="190">
        <f t="shared" si="85"/>
        <v>36349</v>
      </c>
      <c r="D588" s="207"/>
      <c r="E588" s="195"/>
      <c r="F588" s="192"/>
      <c r="G588" s="207"/>
      <c r="H588" s="195"/>
      <c r="I588" s="192"/>
      <c r="J588" s="207"/>
      <c r="K588" s="195"/>
      <c r="L588" s="192"/>
      <c r="N588" s="109"/>
      <c r="O588" s="109"/>
      <c r="S588" s="109"/>
      <c r="AB588" s="52"/>
      <c r="AC588" s="52"/>
      <c r="AD588" s="52"/>
      <c r="AE588" s="52"/>
      <c r="AF588" s="52"/>
      <c r="AG588" s="52"/>
      <c r="AH588" s="52"/>
      <c r="AI588" s="52"/>
    </row>
    <row r="589" spans="1:35">
      <c r="A589" s="175" t="s">
        <v>145</v>
      </c>
      <c r="B589" s="141"/>
      <c r="C589" s="190">
        <f t="shared" si="85"/>
        <v>5277</v>
      </c>
      <c r="D589" s="207"/>
      <c r="E589" s="192"/>
      <c r="F589" s="192"/>
      <c r="G589" s="207"/>
      <c r="H589" s="192"/>
      <c r="I589" s="192"/>
      <c r="J589" s="207"/>
      <c r="K589" s="192"/>
      <c r="L589" s="264" t="s">
        <v>280</v>
      </c>
      <c r="N589" s="109"/>
      <c r="O589" s="109"/>
      <c r="Q589" s="191"/>
      <c r="R589" s="191"/>
      <c r="S589" s="209"/>
      <c r="AB589" s="52"/>
      <c r="AC589" s="52"/>
      <c r="AD589" s="52"/>
      <c r="AE589" s="52"/>
      <c r="AF589" s="52"/>
      <c r="AG589" s="52"/>
      <c r="AH589" s="52"/>
      <c r="AI589" s="52"/>
    </row>
    <row r="590" spans="1:35">
      <c r="A590" s="175" t="s">
        <v>146</v>
      </c>
      <c r="B590" s="141"/>
      <c r="C590" s="190"/>
      <c r="D590" s="207"/>
      <c r="E590" s="195"/>
      <c r="F590" s="192"/>
      <c r="G590" s="207"/>
      <c r="H590" s="195"/>
      <c r="I590" s="192"/>
      <c r="J590" s="207"/>
      <c r="K590" s="195"/>
      <c r="L590" s="192"/>
      <c r="N590" s="109"/>
      <c r="O590" s="109"/>
      <c r="Q590" s="191"/>
      <c r="R590" s="191"/>
      <c r="S590" s="109"/>
      <c r="AB590" s="52"/>
      <c r="AC590" s="52"/>
      <c r="AD590" s="52"/>
      <c r="AE590" s="52"/>
      <c r="AF590" s="52"/>
      <c r="AG590" s="52"/>
      <c r="AH590" s="52"/>
      <c r="AI590" s="52"/>
    </row>
    <row r="591" spans="1:35">
      <c r="A591" s="175" t="s">
        <v>147</v>
      </c>
      <c r="B591" s="141"/>
      <c r="C591" s="190">
        <f>C642+C693</f>
        <v>3087</v>
      </c>
      <c r="D591" s="207">
        <v>20.86</v>
      </c>
      <c r="E591" s="195"/>
      <c r="F591" s="192">
        <f>F642+F693</f>
        <v>64395</v>
      </c>
      <c r="G591" s="207">
        <v>23.44</v>
      </c>
      <c r="H591" s="195"/>
      <c r="I591" s="192">
        <f>I642+I693</f>
        <v>72360</v>
      </c>
      <c r="J591" s="207">
        <f>ROUND(G591+(G591*$Q$627),2)+0.08</f>
        <v>23.869999999999997</v>
      </c>
      <c r="K591" s="195"/>
      <c r="L591" s="192">
        <f>L642+L693</f>
        <v>73687</v>
      </c>
      <c r="N591" s="124" t="e">
        <f>J591*#REF!</f>
        <v>#REF!</v>
      </c>
      <c r="O591" s="265"/>
      <c r="Q591" s="62">
        <f>(J591-G591)/G591</f>
        <v>1.8344709897610757E-2</v>
      </c>
      <c r="R591" s="62"/>
      <c r="S591" s="109"/>
      <c r="AD591" s="52"/>
      <c r="AE591" s="52"/>
      <c r="AF591" s="52"/>
      <c r="AG591" s="52"/>
      <c r="AH591" s="52"/>
      <c r="AI591" s="52"/>
    </row>
    <row r="592" spans="1:35">
      <c r="A592" s="175" t="s">
        <v>148</v>
      </c>
      <c r="B592" s="141"/>
      <c r="C592" s="190"/>
      <c r="D592" s="207"/>
      <c r="E592" s="195"/>
      <c r="F592" s="192"/>
      <c r="G592" s="207"/>
      <c r="H592" s="195"/>
      <c r="I592" s="192"/>
      <c r="J592" s="207"/>
      <c r="K592" s="195"/>
      <c r="L592" s="192"/>
      <c r="N592" s="265"/>
      <c r="O592" s="265"/>
      <c r="Q592" s="191"/>
      <c r="R592" s="191"/>
      <c r="S592" s="109"/>
      <c r="AD592" s="52"/>
      <c r="AE592" s="52"/>
      <c r="AF592" s="52"/>
      <c r="AG592" s="52"/>
      <c r="AH592" s="52"/>
      <c r="AI592" s="52"/>
    </row>
    <row r="593" spans="1:35">
      <c r="A593" s="175" t="s">
        <v>141</v>
      </c>
      <c r="B593" s="141"/>
      <c r="C593" s="190">
        <f t="shared" ref="C593:C597" si="87">C644+C695</f>
        <v>52237</v>
      </c>
      <c r="D593" s="207">
        <v>20.860000000000003</v>
      </c>
      <c r="E593" s="195"/>
      <c r="F593" s="192">
        <f t="shared" ref="F593:I597" si="88">F644+F695</f>
        <v>1089663</v>
      </c>
      <c r="G593" s="207">
        <v>23.44</v>
      </c>
      <c r="H593" s="195"/>
      <c r="I593" s="192">
        <f t="shared" si="88"/>
        <v>1224435</v>
      </c>
      <c r="J593" s="207">
        <f>ROUND(G593+(G593*$Q$627),2)</f>
        <v>23.79</v>
      </c>
      <c r="K593" s="195"/>
      <c r="L593" s="192">
        <f>L644+L695</f>
        <v>1242719</v>
      </c>
      <c r="N593" s="124" t="e">
        <f>J593*#REF!</f>
        <v>#REF!</v>
      </c>
      <c r="O593" s="265"/>
      <c r="Q593" s="62">
        <f>(J593-G593)/G593</f>
        <v>1.4931740614334379E-2</v>
      </c>
      <c r="R593" s="62"/>
      <c r="S593" s="109"/>
      <c r="AD593" s="52"/>
      <c r="AE593" s="52"/>
      <c r="AF593" s="52"/>
      <c r="AG593" s="52"/>
      <c r="AH593" s="52"/>
      <c r="AI593" s="52"/>
    </row>
    <row r="594" spans="1:35">
      <c r="A594" s="175" t="s">
        <v>142</v>
      </c>
      <c r="B594" s="141"/>
      <c r="C594" s="190">
        <f t="shared" si="87"/>
        <v>38890</v>
      </c>
      <c r="D594" s="207">
        <v>14.53</v>
      </c>
      <c r="E594" s="195"/>
      <c r="F594" s="192">
        <f t="shared" si="88"/>
        <v>565072</v>
      </c>
      <c r="G594" s="207">
        <v>16.32</v>
      </c>
      <c r="H594" s="195"/>
      <c r="I594" s="192">
        <f t="shared" si="88"/>
        <v>634685</v>
      </c>
      <c r="J594" s="207">
        <f>ROUND(G594+(G594*$Q$627),2)</f>
        <v>16.559999999999999</v>
      </c>
      <c r="K594" s="195"/>
      <c r="L594" s="192">
        <f>L645+L696</f>
        <v>644018</v>
      </c>
      <c r="N594" s="124" t="e">
        <f>J594*#REF!</f>
        <v>#REF!</v>
      </c>
      <c r="O594" s="265"/>
      <c r="Q594" s="62">
        <f>(J594-G594)/G594</f>
        <v>1.4705882352941081E-2</v>
      </c>
      <c r="R594" s="62"/>
      <c r="S594" s="109"/>
      <c r="V594" s="124"/>
      <c r="W594" s="124"/>
      <c r="X594" s="124"/>
      <c r="Y594" s="124"/>
      <c r="Z594" s="124"/>
      <c r="AA594" s="92"/>
      <c r="AB594" s="52" t="s">
        <v>280</v>
      </c>
      <c r="AC594" s="52"/>
      <c r="AD594" s="52"/>
      <c r="AE594" s="52"/>
      <c r="AF594" s="52"/>
      <c r="AG594" s="52"/>
      <c r="AH594" s="52"/>
      <c r="AI594" s="52"/>
    </row>
    <row r="595" spans="1:35">
      <c r="A595" s="175" t="s">
        <v>143</v>
      </c>
      <c r="B595" s="141" t="s">
        <v>280</v>
      </c>
      <c r="C595" s="190">
        <f t="shared" si="87"/>
        <v>5296</v>
      </c>
      <c r="D595" s="207">
        <v>11.340000000000002</v>
      </c>
      <c r="E595" s="195"/>
      <c r="F595" s="192">
        <f t="shared" si="88"/>
        <v>60057</v>
      </c>
      <c r="G595" s="207">
        <v>12.77</v>
      </c>
      <c r="H595" s="195"/>
      <c r="I595" s="192">
        <f t="shared" si="88"/>
        <v>67630</v>
      </c>
      <c r="J595" s="207">
        <f>ROUND(G595+(G595*$Q$627),2)</f>
        <v>12.96</v>
      </c>
      <c r="K595" s="195"/>
      <c r="L595" s="192">
        <f>L646+L697</f>
        <v>68636</v>
      </c>
      <c r="N595" s="124" t="e">
        <f>J595*#REF!</f>
        <v>#REF!</v>
      </c>
      <c r="O595" s="265"/>
      <c r="Q595" s="62">
        <f>(J595-G595)/G595</f>
        <v>1.4878621769773006E-2</v>
      </c>
      <c r="R595" s="62"/>
      <c r="S595" s="109"/>
      <c r="AB595" s="52" t="s">
        <v>280</v>
      </c>
      <c r="AC595" s="52"/>
      <c r="AD595" s="52"/>
      <c r="AE595" s="52"/>
      <c r="AF595" s="52"/>
      <c r="AG595" s="52"/>
      <c r="AH595" s="52"/>
      <c r="AI595" s="52"/>
    </row>
    <row r="596" spans="1:35">
      <c r="A596" s="175" t="s">
        <v>284</v>
      </c>
      <c r="B596" s="141"/>
      <c r="C596" s="190">
        <f t="shared" si="87"/>
        <v>613</v>
      </c>
      <c r="D596" s="207">
        <v>62.58</v>
      </c>
      <c r="E596" s="195"/>
      <c r="F596" s="192">
        <f t="shared" si="88"/>
        <v>38362</v>
      </c>
      <c r="G596" s="207">
        <v>70.320000000000007</v>
      </c>
      <c r="H596" s="195"/>
      <c r="I596" s="192">
        <f t="shared" si="88"/>
        <v>43106</v>
      </c>
      <c r="J596" s="207">
        <f>3*J591</f>
        <v>71.609999999999985</v>
      </c>
      <c r="K596" s="195"/>
      <c r="L596" s="192">
        <f>L647+L698</f>
        <v>43897</v>
      </c>
      <c r="N596" s="124" t="e">
        <f>J596*#REF!</f>
        <v>#REF!</v>
      </c>
      <c r="O596" s="109"/>
      <c r="Q596" s="62">
        <f>(J596-G596)/G596</f>
        <v>1.8344709897610605E-2</v>
      </c>
      <c r="R596" s="62"/>
      <c r="S596" s="109"/>
      <c r="AB596" s="52"/>
      <c r="AC596" s="52"/>
      <c r="AD596" s="52"/>
      <c r="AE596" s="52"/>
      <c r="AF596" s="52"/>
      <c r="AG596" s="52"/>
      <c r="AH596" s="52"/>
      <c r="AI596" s="52"/>
    </row>
    <row r="597" spans="1:35">
      <c r="A597" s="175" t="s">
        <v>285</v>
      </c>
      <c r="B597" s="141"/>
      <c r="C597" s="190">
        <f t="shared" si="87"/>
        <v>1038</v>
      </c>
      <c r="D597" s="207">
        <v>125.16000000000003</v>
      </c>
      <c r="E597" s="195"/>
      <c r="F597" s="192">
        <f t="shared" si="88"/>
        <v>129916</v>
      </c>
      <c r="G597" s="207">
        <v>140.64000000000001</v>
      </c>
      <c r="H597" s="195"/>
      <c r="I597" s="192">
        <f t="shared" si="88"/>
        <v>145984</v>
      </c>
      <c r="J597" s="207">
        <f>6*J593</f>
        <v>142.74</v>
      </c>
      <c r="K597" s="195"/>
      <c r="L597" s="192">
        <f>L648+L699</f>
        <v>148165</v>
      </c>
      <c r="N597" s="124" t="e">
        <f>J597*#REF!</f>
        <v>#REF!</v>
      </c>
      <c r="O597" s="109"/>
      <c r="Q597" s="62">
        <f>(J597-G597)/G597</f>
        <v>1.4931740614334429E-2</v>
      </c>
      <c r="R597" s="62"/>
      <c r="S597" s="109"/>
      <c r="AB597" s="52"/>
      <c r="AC597" s="52"/>
      <c r="AD597" s="52"/>
      <c r="AE597" s="52"/>
      <c r="AF597" s="52"/>
      <c r="AG597" s="52"/>
      <c r="AH597" s="52"/>
      <c r="AI597" s="52"/>
    </row>
    <row r="598" spans="1:35">
      <c r="A598" s="175" t="s">
        <v>286</v>
      </c>
      <c r="B598" s="141"/>
      <c r="C598" s="190"/>
      <c r="D598" s="207"/>
      <c r="E598" s="195"/>
      <c r="F598" s="192"/>
      <c r="G598" s="207"/>
      <c r="H598" s="195"/>
      <c r="I598" s="192"/>
      <c r="J598" s="207"/>
      <c r="K598" s="195"/>
      <c r="L598" s="192"/>
      <c r="N598" s="109"/>
      <c r="O598" s="109"/>
      <c r="Q598" s="104"/>
      <c r="R598" s="104"/>
      <c r="S598" s="109"/>
      <c r="AB598" s="52"/>
      <c r="AC598" s="52"/>
      <c r="AD598" s="52"/>
      <c r="AE598" s="52"/>
      <c r="AF598" s="52"/>
      <c r="AG598" s="52"/>
      <c r="AH598" s="52"/>
      <c r="AI598" s="52"/>
    </row>
    <row r="599" spans="1:35">
      <c r="A599" s="175" t="s">
        <v>147</v>
      </c>
      <c r="B599" s="141"/>
      <c r="C599" s="190">
        <f>C650+C701</f>
        <v>38</v>
      </c>
      <c r="D599" s="232">
        <v>-20.86</v>
      </c>
      <c r="E599" s="195"/>
      <c r="F599" s="192">
        <f>F650+F701</f>
        <v>-792</v>
      </c>
      <c r="G599" s="232">
        <v>-23.44</v>
      </c>
      <c r="H599" s="195"/>
      <c r="I599" s="192">
        <f>I650+I701</f>
        <v>-890</v>
      </c>
      <c r="J599" s="232">
        <f>-J591</f>
        <v>-23.869999999999997</v>
      </c>
      <c r="K599" s="195"/>
      <c r="L599" s="192">
        <f>L650+L701</f>
        <v>-907</v>
      </c>
      <c r="N599" s="124" t="e">
        <f>J599*#REF!</f>
        <v>#REF!</v>
      </c>
      <c r="O599" s="109"/>
      <c r="Q599" s="104"/>
      <c r="R599" s="104"/>
      <c r="S599" s="109"/>
      <c r="AB599" s="52"/>
      <c r="AC599" s="52"/>
      <c r="AD599" s="52"/>
      <c r="AE599" s="52"/>
      <c r="AF599" s="52"/>
      <c r="AG599" s="52"/>
      <c r="AH599" s="52"/>
      <c r="AI599" s="52"/>
    </row>
    <row r="600" spans="1:35">
      <c r="A600" s="175" t="s">
        <v>150</v>
      </c>
      <c r="B600" s="141"/>
      <c r="C600" s="190">
        <f>C651+C702</f>
        <v>326</v>
      </c>
      <c r="D600" s="232">
        <v>-20.860000000000003</v>
      </c>
      <c r="E600" s="195"/>
      <c r="F600" s="192">
        <f>F651+F702</f>
        <v>-6800</v>
      </c>
      <c r="G600" s="232">
        <v>-23.44</v>
      </c>
      <c r="H600" s="195"/>
      <c r="I600" s="192">
        <f>I651+I702</f>
        <v>-7642</v>
      </c>
      <c r="J600" s="232">
        <f>-J593</f>
        <v>-23.79</v>
      </c>
      <c r="K600" s="195"/>
      <c r="L600" s="192">
        <f>L651+L702</f>
        <v>-7756</v>
      </c>
      <c r="N600" s="124" t="e">
        <f>J600*#REF!</f>
        <v>#REF!</v>
      </c>
      <c r="O600" s="109"/>
      <c r="Q600" s="104"/>
      <c r="R600" s="104"/>
      <c r="S600" s="109"/>
      <c r="AB600" s="52"/>
      <c r="AC600" s="52"/>
      <c r="AD600" s="52"/>
      <c r="AE600" s="52"/>
      <c r="AF600" s="52"/>
      <c r="AG600" s="52"/>
      <c r="AH600" s="52"/>
      <c r="AI600" s="52"/>
    </row>
    <row r="601" spans="1:35">
      <c r="A601" s="194" t="s">
        <v>258</v>
      </c>
      <c r="B601" s="141"/>
      <c r="C601" s="190"/>
      <c r="D601" s="207"/>
      <c r="E601" s="192"/>
      <c r="F601" s="192"/>
      <c r="G601" s="207"/>
      <c r="H601" s="192"/>
      <c r="I601" s="192"/>
      <c r="J601" s="207"/>
      <c r="K601" s="192"/>
      <c r="L601" s="192"/>
      <c r="N601" s="109"/>
      <c r="O601" s="109"/>
      <c r="Q601" s="104"/>
      <c r="R601" s="104"/>
      <c r="S601" s="109"/>
      <c r="T601" s="104" t="s">
        <v>280</v>
      </c>
      <c r="AB601" s="52"/>
      <c r="AC601" s="52"/>
      <c r="AD601" s="52"/>
      <c r="AE601" s="52"/>
      <c r="AF601" s="52"/>
      <c r="AG601" s="52"/>
      <c r="AH601" s="52"/>
      <c r="AI601" s="52"/>
    </row>
    <row r="602" spans="1:35">
      <c r="A602" s="175" t="s">
        <v>151</v>
      </c>
      <c r="B602" s="141"/>
      <c r="C602" s="190">
        <f>C653+C704</f>
        <v>150371403</v>
      </c>
      <c r="D602" s="266">
        <v>5.6469999999999994</v>
      </c>
      <c r="E602" s="192" t="s">
        <v>210</v>
      </c>
      <c r="F602" s="192">
        <f>F653+F704</f>
        <v>8491473</v>
      </c>
      <c r="G602" s="266">
        <v>6.3440000000000003</v>
      </c>
      <c r="H602" s="192" t="s">
        <v>210</v>
      </c>
      <c r="I602" s="192">
        <f>I653+I704</f>
        <v>9539562</v>
      </c>
      <c r="J602" s="266">
        <f>ROUND(G602+(G602*$Q$627),3)</f>
        <v>6.4390000000000001</v>
      </c>
      <c r="K602" s="192" t="s">
        <v>210</v>
      </c>
      <c r="L602" s="192">
        <f>L653+L704</f>
        <v>9682415</v>
      </c>
      <c r="N602" s="124" t="e">
        <f>(J602/100)*#REF!</f>
        <v>#REF!</v>
      </c>
      <c r="O602" s="267"/>
      <c r="Q602" s="62">
        <f>(J602-G602)/G602</f>
        <v>1.4974779319041575E-2</v>
      </c>
      <c r="R602" s="62"/>
      <c r="S602" s="109"/>
      <c r="AB602" s="52"/>
      <c r="AC602" s="52"/>
      <c r="AD602" s="52"/>
      <c r="AE602" s="52"/>
      <c r="AF602" s="52"/>
      <c r="AG602" s="52"/>
      <c r="AH602" s="52"/>
      <c r="AI602" s="52"/>
    </row>
    <row r="603" spans="1:35">
      <c r="A603" s="194" t="s">
        <v>234</v>
      </c>
      <c r="B603" s="141"/>
      <c r="C603" s="190">
        <f>C654+C705</f>
        <v>34428</v>
      </c>
      <c r="D603" s="268">
        <v>50</v>
      </c>
      <c r="E603" s="194" t="s">
        <v>210</v>
      </c>
      <c r="F603" s="192">
        <f>F654+F705</f>
        <v>17215</v>
      </c>
      <c r="G603" s="268">
        <v>55</v>
      </c>
      <c r="H603" s="194" t="s">
        <v>210</v>
      </c>
      <c r="I603" s="192">
        <f>I654+I705</f>
        <v>18935</v>
      </c>
      <c r="J603" s="268">
        <f>ROUND(G603+(G603*$Q$627),0)</f>
        <v>56</v>
      </c>
      <c r="K603" s="194" t="s">
        <v>210</v>
      </c>
      <c r="L603" s="192">
        <f>L654+L705</f>
        <v>19280</v>
      </c>
      <c r="N603" s="124" t="e">
        <f>(J603/100)*#REF!</f>
        <v>#REF!</v>
      </c>
      <c r="Q603" s="62">
        <f>(J603-G603)/G603</f>
        <v>1.8181818181818181E-2</v>
      </c>
      <c r="R603" s="62"/>
      <c r="S603" s="109"/>
      <c r="AB603" s="52"/>
      <c r="AC603" s="52"/>
      <c r="AD603" s="52"/>
      <c r="AE603" s="52"/>
      <c r="AF603" s="52"/>
      <c r="AG603" s="52"/>
      <c r="AH603" s="52"/>
      <c r="AI603" s="52"/>
    </row>
    <row r="604" spans="1:35">
      <c r="A604" s="237" t="s">
        <v>235</v>
      </c>
      <c r="B604" s="141"/>
      <c r="C604" s="190"/>
      <c r="D604" s="202">
        <v>-0.01</v>
      </c>
      <c r="E604" s="123"/>
      <c r="F604" s="192"/>
      <c r="G604" s="202">
        <v>-0.01</v>
      </c>
      <c r="H604" s="141"/>
      <c r="I604" s="192"/>
      <c r="J604" s="202">
        <v>-0.01</v>
      </c>
      <c r="K604" s="141"/>
      <c r="L604" s="192"/>
      <c r="AB604" s="52"/>
      <c r="AC604" s="52"/>
      <c r="AD604" s="52"/>
      <c r="AE604" s="52"/>
      <c r="AF604" s="52"/>
      <c r="AG604" s="52"/>
      <c r="AH604" s="52"/>
      <c r="AI604" s="52"/>
    </row>
    <row r="605" spans="1:35">
      <c r="A605" s="175" t="s">
        <v>225</v>
      </c>
      <c r="B605" s="141"/>
      <c r="C605" s="190">
        <f>C656+C707</f>
        <v>0</v>
      </c>
      <c r="D605" s="260">
        <v>0</v>
      </c>
      <c r="E605" s="195"/>
      <c r="F605" s="192">
        <f>F656+F707</f>
        <v>0</v>
      </c>
      <c r="G605" s="260">
        <f>G582</f>
        <v>0</v>
      </c>
      <c r="H605" s="195"/>
      <c r="I605" s="192">
        <f>I656+I707</f>
        <v>0</v>
      </c>
      <c r="J605" s="260">
        <f>J582</f>
        <v>0</v>
      </c>
      <c r="K605" s="195"/>
      <c r="L605" s="192">
        <f>L656+L707</f>
        <v>0</v>
      </c>
      <c r="N605" s="124" t="e">
        <f>-(J605/100)*#REF!</f>
        <v>#REF!</v>
      </c>
      <c r="AB605" s="52"/>
      <c r="AC605" s="52"/>
      <c r="AD605" s="52"/>
      <c r="AE605" s="52"/>
      <c r="AF605" s="52"/>
      <c r="AG605" s="52"/>
      <c r="AH605" s="52"/>
      <c r="AI605" s="52"/>
    </row>
    <row r="606" spans="1:35">
      <c r="A606" s="175" t="s">
        <v>226</v>
      </c>
      <c r="B606" s="141"/>
      <c r="C606" s="190"/>
      <c r="D606" s="260"/>
      <c r="E606" s="195"/>
      <c r="F606" s="192"/>
      <c r="G606" s="260"/>
      <c r="H606" s="195"/>
      <c r="I606" s="192"/>
      <c r="J606" s="260"/>
      <c r="K606" s="195"/>
      <c r="L606" s="192"/>
      <c r="AB606" s="52"/>
      <c r="AC606" s="52"/>
      <c r="AD606" s="52"/>
      <c r="AE606" s="52"/>
      <c r="AF606" s="52"/>
      <c r="AG606" s="52"/>
      <c r="AH606" s="52"/>
      <c r="AI606" s="52"/>
    </row>
    <row r="607" spans="1:35">
      <c r="A607" s="175" t="s">
        <v>141</v>
      </c>
      <c r="B607" s="141"/>
      <c r="C607" s="190">
        <f t="shared" ref="C607:C610" si="89">C658+C709</f>
        <v>0</v>
      </c>
      <c r="D607" s="260">
        <v>0</v>
      </c>
      <c r="E607" s="195"/>
      <c r="F607" s="192">
        <f t="shared" ref="F607:I610" si="90">F658+F709</f>
        <v>0</v>
      </c>
      <c r="G607" s="260">
        <f>G584</f>
        <v>0</v>
      </c>
      <c r="H607" s="195"/>
      <c r="I607" s="192">
        <f t="shared" si="90"/>
        <v>0</v>
      </c>
      <c r="J607" s="260">
        <f>J584</f>
        <v>0</v>
      </c>
      <c r="K607" s="195"/>
      <c r="L607" s="192">
        <f>L658+L709</f>
        <v>0</v>
      </c>
      <c r="N607" s="124" t="e">
        <f>-(J607/100)*#REF!</f>
        <v>#REF!</v>
      </c>
      <c r="AB607" s="52"/>
      <c r="AC607" s="52"/>
      <c r="AD607" s="52"/>
      <c r="AE607" s="52"/>
      <c r="AF607" s="52"/>
      <c r="AG607" s="52"/>
      <c r="AH607" s="52"/>
      <c r="AI607" s="52"/>
    </row>
    <row r="608" spans="1:35">
      <c r="A608" s="175" t="s">
        <v>142</v>
      </c>
      <c r="B608" s="141"/>
      <c r="C608" s="190">
        <f t="shared" si="89"/>
        <v>0</v>
      </c>
      <c r="D608" s="260">
        <v>312</v>
      </c>
      <c r="E608" s="195"/>
      <c r="F608" s="192">
        <f t="shared" si="90"/>
        <v>0</v>
      </c>
      <c r="G608" s="260">
        <f>G585</f>
        <v>352</v>
      </c>
      <c r="H608" s="195"/>
      <c r="I608" s="192">
        <f t="shared" si="90"/>
        <v>0</v>
      </c>
      <c r="J608" s="260">
        <f>J585</f>
        <v>357</v>
      </c>
      <c r="K608" s="195"/>
      <c r="L608" s="192">
        <f>L659+L710</f>
        <v>0</v>
      </c>
      <c r="N608" s="124" t="e">
        <f>-(J608/100)*#REF!</f>
        <v>#REF!</v>
      </c>
      <c r="AB608" s="52"/>
      <c r="AC608" s="52"/>
      <c r="AD608" s="52"/>
      <c r="AE608" s="52"/>
      <c r="AF608" s="52"/>
      <c r="AG608" s="52"/>
      <c r="AH608" s="52"/>
      <c r="AI608" s="52"/>
    </row>
    <row r="609" spans="1:35">
      <c r="A609" s="175" t="s">
        <v>143</v>
      </c>
      <c r="B609" s="141"/>
      <c r="C609" s="190">
        <f t="shared" si="89"/>
        <v>0</v>
      </c>
      <c r="D609" s="260">
        <v>1268</v>
      </c>
      <c r="E609" s="195"/>
      <c r="F609" s="192">
        <f t="shared" si="90"/>
        <v>0</v>
      </c>
      <c r="G609" s="260">
        <f>G586</f>
        <v>1435</v>
      </c>
      <c r="H609" s="195"/>
      <c r="I609" s="192">
        <f t="shared" si="90"/>
        <v>0</v>
      </c>
      <c r="J609" s="260">
        <f>J586</f>
        <v>1457</v>
      </c>
      <c r="K609" s="195"/>
      <c r="L609" s="192">
        <f>L660+L711</f>
        <v>0</v>
      </c>
      <c r="N609" s="124" t="e">
        <f>-(J609/100)*#REF!</f>
        <v>#REF!</v>
      </c>
      <c r="AB609" s="52"/>
      <c r="AC609" s="52"/>
      <c r="AD609" s="52"/>
      <c r="AE609" s="52"/>
      <c r="AF609" s="52"/>
      <c r="AG609" s="52"/>
      <c r="AH609" s="52"/>
      <c r="AI609" s="52"/>
    </row>
    <row r="610" spans="1:35">
      <c r="A610" s="175" t="s">
        <v>225</v>
      </c>
      <c r="B610" s="141"/>
      <c r="C610" s="190">
        <f t="shared" si="89"/>
        <v>0</v>
      </c>
      <c r="D610" s="260">
        <v>20.86</v>
      </c>
      <c r="E610" s="195"/>
      <c r="F610" s="192">
        <f t="shared" si="90"/>
        <v>0</v>
      </c>
      <c r="G610" s="260">
        <f>G591</f>
        <v>23.44</v>
      </c>
      <c r="H610" s="195"/>
      <c r="I610" s="192">
        <f t="shared" si="90"/>
        <v>0</v>
      </c>
      <c r="J610" s="260">
        <f>J591</f>
        <v>23.869999999999997</v>
      </c>
      <c r="K610" s="195"/>
      <c r="L610" s="192">
        <f>L661+L712</f>
        <v>0</v>
      </c>
      <c r="N610" s="124" t="e">
        <f>-(J610/100)*#REF!</f>
        <v>#REF!</v>
      </c>
      <c r="AB610" s="52"/>
      <c r="AC610" s="52"/>
      <c r="AD610" s="52"/>
      <c r="AE610" s="52"/>
      <c r="AF610" s="52"/>
      <c r="AG610" s="52"/>
      <c r="AH610" s="52"/>
      <c r="AI610" s="52"/>
    </row>
    <row r="611" spans="1:35">
      <c r="A611" s="175" t="s">
        <v>226</v>
      </c>
      <c r="B611" s="141"/>
      <c r="C611" s="190"/>
      <c r="D611" s="260"/>
      <c r="E611" s="195"/>
      <c r="F611" s="192"/>
      <c r="G611" s="260"/>
      <c r="H611" s="195"/>
      <c r="I611" s="192"/>
      <c r="J611" s="260"/>
      <c r="K611" s="195"/>
      <c r="L611" s="192"/>
      <c r="AB611" s="52"/>
      <c r="AC611" s="52"/>
      <c r="AD611" s="52"/>
      <c r="AE611" s="52"/>
      <c r="AF611" s="52"/>
      <c r="AG611" s="52"/>
      <c r="AH611" s="52"/>
      <c r="AI611" s="52"/>
    </row>
    <row r="612" spans="1:35">
      <c r="A612" s="175" t="s">
        <v>141</v>
      </c>
      <c r="B612" s="141"/>
      <c r="C612" s="190">
        <f t="shared" ref="C612:C616" si="91">C663+C714</f>
        <v>39</v>
      </c>
      <c r="D612" s="260">
        <v>20.860000000000003</v>
      </c>
      <c r="E612" s="195"/>
      <c r="F612" s="192">
        <f t="shared" ref="F612:I616" si="92">F663+F714</f>
        <v>-8</v>
      </c>
      <c r="G612" s="260">
        <f>G593</f>
        <v>23.44</v>
      </c>
      <c r="H612" s="195"/>
      <c r="I612" s="192">
        <f t="shared" si="92"/>
        <v>-9</v>
      </c>
      <c r="J612" s="260">
        <f>J593</f>
        <v>23.79</v>
      </c>
      <c r="K612" s="195"/>
      <c r="L612" s="192">
        <f>L663+L714</f>
        <v>-9</v>
      </c>
      <c r="N612" s="124" t="e">
        <f>-(J612/100)*#REF!</f>
        <v>#REF!</v>
      </c>
      <c r="AB612" s="52"/>
      <c r="AC612" s="52"/>
      <c r="AD612" s="52"/>
      <c r="AE612" s="52"/>
      <c r="AF612" s="52"/>
      <c r="AG612" s="52"/>
      <c r="AH612" s="52"/>
      <c r="AI612" s="52"/>
    </row>
    <row r="613" spans="1:35">
      <c r="A613" s="175" t="s">
        <v>142</v>
      </c>
      <c r="B613" s="141"/>
      <c r="C613" s="190">
        <f t="shared" si="91"/>
        <v>0</v>
      </c>
      <c r="D613" s="260">
        <v>14.53</v>
      </c>
      <c r="E613" s="195"/>
      <c r="F613" s="192">
        <f t="shared" si="92"/>
        <v>0</v>
      </c>
      <c r="G613" s="260">
        <f>G594</f>
        <v>16.32</v>
      </c>
      <c r="H613" s="195"/>
      <c r="I613" s="192">
        <f t="shared" si="92"/>
        <v>0</v>
      </c>
      <c r="J613" s="260">
        <f>J594</f>
        <v>16.559999999999999</v>
      </c>
      <c r="K613" s="195"/>
      <c r="L613" s="192">
        <f>L664+L715</f>
        <v>0</v>
      </c>
      <c r="N613" s="124" t="e">
        <f>-(J613/100)*#REF!</f>
        <v>#REF!</v>
      </c>
      <c r="AB613" s="52"/>
      <c r="AC613" s="52"/>
      <c r="AD613" s="52"/>
      <c r="AE613" s="52"/>
      <c r="AF613" s="52"/>
      <c r="AG613" s="52"/>
      <c r="AH613" s="52"/>
      <c r="AI613" s="52"/>
    </row>
    <row r="614" spans="1:35">
      <c r="A614" s="175" t="s">
        <v>143</v>
      </c>
      <c r="B614" s="141"/>
      <c r="C614" s="190">
        <f t="shared" si="91"/>
        <v>0</v>
      </c>
      <c r="D614" s="260">
        <v>11.340000000000002</v>
      </c>
      <c r="E614" s="195"/>
      <c r="F614" s="192">
        <f t="shared" si="92"/>
        <v>0</v>
      </c>
      <c r="G614" s="260">
        <f>G595</f>
        <v>12.77</v>
      </c>
      <c r="H614" s="195"/>
      <c r="I614" s="192">
        <f t="shared" si="92"/>
        <v>0</v>
      </c>
      <c r="J614" s="260">
        <f>J595</f>
        <v>12.96</v>
      </c>
      <c r="K614" s="195"/>
      <c r="L614" s="192">
        <f>L665+L716</f>
        <v>0</v>
      </c>
      <c r="N614" s="124" t="e">
        <f>-(J614/100)*#REF!</f>
        <v>#REF!</v>
      </c>
      <c r="AB614" s="52"/>
      <c r="AC614" s="52"/>
      <c r="AD614" s="52"/>
      <c r="AE614" s="52"/>
      <c r="AF614" s="52"/>
      <c r="AG614" s="52"/>
      <c r="AH614" s="52"/>
      <c r="AI614" s="52"/>
    </row>
    <row r="615" spans="1:35">
      <c r="A615" s="175" t="s">
        <v>152</v>
      </c>
      <c r="B615" s="141"/>
      <c r="C615" s="190">
        <f t="shared" si="91"/>
        <v>0</v>
      </c>
      <c r="D615" s="232">
        <v>62.58</v>
      </c>
      <c r="E615" s="195"/>
      <c r="F615" s="192">
        <f t="shared" si="92"/>
        <v>0</v>
      </c>
      <c r="G615" s="232">
        <f>G596</f>
        <v>70.320000000000007</v>
      </c>
      <c r="H615" s="195"/>
      <c r="I615" s="192">
        <f t="shared" si="92"/>
        <v>0</v>
      </c>
      <c r="J615" s="232">
        <f>J596</f>
        <v>71.609999999999985</v>
      </c>
      <c r="K615" s="195"/>
      <c r="L615" s="192">
        <f>L666+L717</f>
        <v>0</v>
      </c>
      <c r="N615" s="124" t="e">
        <f>-(J615/100)*#REF!</f>
        <v>#REF!</v>
      </c>
      <c r="AB615" s="52"/>
      <c r="AC615" s="52"/>
      <c r="AD615" s="52"/>
      <c r="AE615" s="52"/>
      <c r="AF615" s="52"/>
      <c r="AG615" s="52"/>
      <c r="AH615" s="52"/>
      <c r="AI615" s="52"/>
    </row>
    <row r="616" spans="1:35">
      <c r="A616" s="175" t="s">
        <v>153</v>
      </c>
      <c r="B616" s="141"/>
      <c r="C616" s="190">
        <f t="shared" si="91"/>
        <v>0</v>
      </c>
      <c r="D616" s="232">
        <v>125.16000000000003</v>
      </c>
      <c r="E616" s="195"/>
      <c r="F616" s="192">
        <f t="shared" si="92"/>
        <v>0</v>
      </c>
      <c r="G616" s="232">
        <f>G597</f>
        <v>140.64000000000001</v>
      </c>
      <c r="H616" s="195"/>
      <c r="I616" s="192">
        <f t="shared" si="92"/>
        <v>0</v>
      </c>
      <c r="J616" s="232">
        <f>J597</f>
        <v>142.74</v>
      </c>
      <c r="K616" s="195"/>
      <c r="L616" s="192">
        <f>L667+L718</f>
        <v>0</v>
      </c>
      <c r="N616" s="124" t="e">
        <f>-(J616/100)*#REF!</f>
        <v>#REF!</v>
      </c>
      <c r="AB616" s="52"/>
      <c r="AC616" s="52"/>
      <c r="AD616" s="52"/>
      <c r="AE616" s="52"/>
      <c r="AF616" s="52"/>
      <c r="AG616" s="52"/>
      <c r="AH616" s="52"/>
      <c r="AI616" s="52"/>
    </row>
    <row r="617" spans="1:35">
      <c r="A617" s="175" t="s">
        <v>286</v>
      </c>
      <c r="B617" s="141"/>
      <c r="C617" s="190"/>
      <c r="D617" s="207"/>
      <c r="E617" s="195"/>
      <c r="F617" s="192"/>
      <c r="G617" s="207"/>
      <c r="H617" s="195"/>
      <c r="I617" s="192"/>
      <c r="J617" s="207"/>
      <c r="K617" s="195"/>
      <c r="L617" s="192"/>
      <c r="AB617" s="52"/>
      <c r="AC617" s="52"/>
      <c r="AD617" s="52"/>
      <c r="AE617" s="52"/>
      <c r="AF617" s="52"/>
      <c r="AG617" s="52"/>
      <c r="AH617" s="52"/>
      <c r="AI617" s="52"/>
    </row>
    <row r="618" spans="1:35">
      <c r="A618" s="175" t="s">
        <v>147</v>
      </c>
      <c r="B618" s="141"/>
      <c r="C618" s="190">
        <f>C669+C720</f>
        <v>0</v>
      </c>
      <c r="D618" s="232">
        <v>-20.86</v>
      </c>
      <c r="E618" s="195"/>
      <c r="F618" s="192">
        <f>F669+F720</f>
        <v>0</v>
      </c>
      <c r="G618" s="232">
        <f>G599</f>
        <v>-23.44</v>
      </c>
      <c r="H618" s="195"/>
      <c r="I618" s="192">
        <f>I669+I720</f>
        <v>0</v>
      </c>
      <c r="J618" s="232">
        <f>J599</f>
        <v>-23.869999999999997</v>
      </c>
      <c r="K618" s="195"/>
      <c r="L618" s="192">
        <f>L669+L720</f>
        <v>0</v>
      </c>
      <c r="N618" s="124" t="e">
        <f>-(J618/100)*#REF!</f>
        <v>#REF!</v>
      </c>
      <c r="AB618" s="52"/>
      <c r="AC618" s="52"/>
      <c r="AD618" s="52"/>
      <c r="AE618" s="52"/>
      <c r="AF618" s="52"/>
      <c r="AG618" s="52"/>
      <c r="AH618" s="52"/>
      <c r="AI618" s="52"/>
    </row>
    <row r="619" spans="1:35">
      <c r="A619" s="175" t="s">
        <v>150</v>
      </c>
      <c r="B619" s="141"/>
      <c r="C619" s="190">
        <f>C670+C721</f>
        <v>0</v>
      </c>
      <c r="D619" s="232">
        <v>-20.860000000000003</v>
      </c>
      <c r="E619" s="195"/>
      <c r="F619" s="192">
        <f>F670+F721</f>
        <v>0</v>
      </c>
      <c r="G619" s="232">
        <f>G600</f>
        <v>-23.44</v>
      </c>
      <c r="H619" s="195"/>
      <c r="I619" s="192">
        <f>I670+I721</f>
        <v>0</v>
      </c>
      <c r="J619" s="232">
        <f>J600</f>
        <v>-23.79</v>
      </c>
      <c r="K619" s="195"/>
      <c r="L619" s="192">
        <f>L670+L721</f>
        <v>0</v>
      </c>
      <c r="N619" s="124" t="e">
        <f>-(J619/100)*#REF!</f>
        <v>#REF!</v>
      </c>
      <c r="AB619" s="52"/>
      <c r="AC619" s="52"/>
      <c r="AD619" s="52"/>
      <c r="AE619" s="52"/>
      <c r="AF619" s="52"/>
      <c r="AG619" s="52"/>
      <c r="AH619" s="52"/>
      <c r="AI619" s="52"/>
    </row>
    <row r="620" spans="1:35">
      <c r="A620" s="194" t="s">
        <v>258</v>
      </c>
      <c r="B620" s="141"/>
      <c r="C620" s="190"/>
      <c r="D620" s="260"/>
      <c r="E620" s="192"/>
      <c r="F620" s="192"/>
      <c r="G620" s="260"/>
      <c r="H620" s="192"/>
      <c r="I620" s="192"/>
      <c r="J620" s="260"/>
      <c r="K620" s="192"/>
      <c r="L620" s="192"/>
      <c r="AB620" s="52"/>
      <c r="AC620" s="52"/>
      <c r="AD620" s="52"/>
      <c r="AE620" s="52"/>
      <c r="AF620" s="52"/>
      <c r="AG620" s="52"/>
      <c r="AH620" s="52"/>
      <c r="AI620" s="52"/>
    </row>
    <row r="621" spans="1:35">
      <c r="A621" s="175" t="s">
        <v>151</v>
      </c>
      <c r="B621" s="141"/>
      <c r="C621" s="190">
        <f t="shared" ref="C621:C626" si="93">C672+C723</f>
        <v>27827</v>
      </c>
      <c r="D621" s="269">
        <v>5.6469999999999994</v>
      </c>
      <c r="E621" s="192" t="s">
        <v>210</v>
      </c>
      <c r="F621" s="192">
        <f t="shared" ref="F621:I626" si="94">F672+F723</f>
        <v>-16</v>
      </c>
      <c r="G621" s="269">
        <f>G602</f>
        <v>6.3440000000000003</v>
      </c>
      <c r="H621" s="192" t="s">
        <v>210</v>
      </c>
      <c r="I621" s="192">
        <f t="shared" si="94"/>
        <v>-18</v>
      </c>
      <c r="J621" s="269">
        <f>J602</f>
        <v>6.4390000000000001</v>
      </c>
      <c r="K621" s="192" t="s">
        <v>210</v>
      </c>
      <c r="L621" s="192">
        <f>L672+L723</f>
        <v>-18</v>
      </c>
      <c r="N621" s="124" t="e">
        <f>-((J621/100)*#REF!)/100</f>
        <v>#REF!</v>
      </c>
      <c r="AB621" s="52"/>
      <c r="AC621" s="52"/>
      <c r="AD621" s="52"/>
      <c r="AE621" s="52"/>
      <c r="AF621" s="52"/>
      <c r="AG621" s="52"/>
      <c r="AH621" s="52"/>
      <c r="AI621" s="52"/>
    </row>
    <row r="622" spans="1:35">
      <c r="A622" s="194" t="s">
        <v>234</v>
      </c>
      <c r="B622" s="141"/>
      <c r="C622" s="190">
        <f t="shared" si="93"/>
        <v>0</v>
      </c>
      <c r="D622" s="250">
        <v>50</v>
      </c>
      <c r="E622" s="192" t="s">
        <v>210</v>
      </c>
      <c r="F622" s="192">
        <f t="shared" si="94"/>
        <v>0</v>
      </c>
      <c r="G622" s="250">
        <f>G603</f>
        <v>55</v>
      </c>
      <c r="H622" s="194" t="s">
        <v>210</v>
      </c>
      <c r="I622" s="192">
        <f t="shared" si="94"/>
        <v>0</v>
      </c>
      <c r="J622" s="250">
        <f>J603</f>
        <v>56</v>
      </c>
      <c r="K622" s="194" t="s">
        <v>210</v>
      </c>
      <c r="L622" s="192">
        <f>L673+L724</f>
        <v>0</v>
      </c>
      <c r="N622" s="124" t="e">
        <f>-((J622/100)*#REF!)/100</f>
        <v>#REF!</v>
      </c>
      <c r="AB622" s="52"/>
      <c r="AC622" s="52"/>
      <c r="AD622" s="52"/>
      <c r="AE622" s="52"/>
      <c r="AF622" s="52"/>
      <c r="AG622" s="52"/>
      <c r="AH622" s="52"/>
      <c r="AI622" s="52"/>
    </row>
    <row r="623" spans="1:35">
      <c r="A623" s="194" t="s">
        <v>271</v>
      </c>
      <c r="B623" s="141"/>
      <c r="C623" s="190">
        <f t="shared" si="93"/>
        <v>8</v>
      </c>
      <c r="D623" s="207">
        <v>60</v>
      </c>
      <c r="E623" s="240" t="s">
        <v>280</v>
      </c>
      <c r="F623" s="192">
        <f t="shared" si="94"/>
        <v>480</v>
      </c>
      <c r="G623" s="207">
        <v>60</v>
      </c>
      <c r="H623" s="141"/>
      <c r="I623" s="192">
        <f t="shared" si="94"/>
        <v>480</v>
      </c>
      <c r="J623" s="207">
        <v>60</v>
      </c>
      <c r="K623" s="141"/>
      <c r="L623" s="192">
        <f>L674+L725</f>
        <v>480</v>
      </c>
      <c r="N623" s="124" t="e">
        <f>J623*#REF!</f>
        <v>#REF!</v>
      </c>
      <c r="AB623" s="52"/>
      <c r="AC623" s="52"/>
      <c r="AD623" s="52"/>
      <c r="AE623" s="52"/>
      <c r="AF623" s="52"/>
      <c r="AG623" s="52"/>
      <c r="AH623" s="52"/>
      <c r="AI623" s="52"/>
    </row>
    <row r="624" spans="1:35">
      <c r="A624" s="194" t="s">
        <v>272</v>
      </c>
      <c r="B624" s="141"/>
      <c r="C624" s="190">
        <f t="shared" si="93"/>
        <v>39</v>
      </c>
      <c r="D624" s="268">
        <v>-30</v>
      </c>
      <c r="E624" s="192" t="s">
        <v>210</v>
      </c>
      <c r="F624" s="192">
        <f t="shared" si="94"/>
        <v>-12</v>
      </c>
      <c r="G624" s="268">
        <v>-30</v>
      </c>
      <c r="H624" s="192" t="s">
        <v>210</v>
      </c>
      <c r="I624" s="192">
        <f t="shared" si="94"/>
        <v>-12</v>
      </c>
      <c r="J624" s="270">
        <v>-30</v>
      </c>
      <c r="K624" s="192" t="s">
        <v>210</v>
      </c>
      <c r="L624" s="192">
        <f>L675+L726</f>
        <v>-12</v>
      </c>
      <c r="N624" s="124" t="e">
        <f>(J624/100)*#REF!</f>
        <v>#REF!</v>
      </c>
      <c r="AB624" s="52"/>
      <c r="AC624" s="52"/>
      <c r="AD624" s="52"/>
      <c r="AE624" s="52"/>
      <c r="AF624" s="52"/>
      <c r="AG624" s="52"/>
      <c r="AH624" s="52"/>
      <c r="AI624" s="52"/>
    </row>
    <row r="625" spans="1:35">
      <c r="A625" s="141" t="s">
        <v>215</v>
      </c>
      <c r="B625" s="141"/>
      <c r="C625" s="190">
        <f t="shared" si="93"/>
        <v>150371403</v>
      </c>
      <c r="D625" s="200"/>
      <c r="E625" s="123"/>
      <c r="F625" s="123">
        <f t="shared" si="94"/>
        <v>10590601</v>
      </c>
      <c r="G625" s="200"/>
      <c r="H625" s="194"/>
      <c r="I625" s="123">
        <f t="shared" si="94"/>
        <v>11898413</v>
      </c>
      <c r="J625" s="123"/>
      <c r="K625" s="194"/>
      <c r="L625" s="123">
        <f>L676+L727</f>
        <v>12076693</v>
      </c>
      <c r="N625" s="124" t="e">
        <f>SUM(N582:N624)</f>
        <v>#REF!</v>
      </c>
      <c r="Q625" s="145"/>
      <c r="R625" s="145"/>
      <c r="AB625" s="52"/>
      <c r="AC625" s="52"/>
      <c r="AD625" s="52"/>
      <c r="AE625" s="52"/>
      <c r="AF625" s="52"/>
      <c r="AG625" s="52"/>
      <c r="AH625" s="52"/>
      <c r="AI625" s="52"/>
    </row>
    <row r="626" spans="1:35" ht="14.25" customHeight="1">
      <c r="A626" s="141" t="s">
        <v>197</v>
      </c>
      <c r="B626" s="141"/>
      <c r="C626" s="210">
        <f t="shared" si="93"/>
        <v>151000</v>
      </c>
      <c r="D626" s="175"/>
      <c r="E626" s="175"/>
      <c r="F626" s="176">
        <f t="shared" si="94"/>
        <v>10000.000000000002</v>
      </c>
      <c r="G626" s="175"/>
      <c r="H626" s="175"/>
      <c r="I626" s="176">
        <f t="shared" si="94"/>
        <v>10000.000000000002</v>
      </c>
      <c r="J626" s="175"/>
      <c r="K626" s="175"/>
      <c r="L626" s="176">
        <f>F626</f>
        <v>10000.000000000002</v>
      </c>
      <c r="AB626" s="52"/>
      <c r="AC626" s="52"/>
      <c r="AD626" s="52"/>
      <c r="AE626" s="52"/>
      <c r="AF626" s="52"/>
      <c r="AG626" s="52"/>
      <c r="AH626" s="52"/>
      <c r="AI626" s="52"/>
    </row>
    <row r="627" spans="1:35" ht="17.25" customHeight="1" thickBot="1">
      <c r="A627" s="141" t="s">
        <v>216</v>
      </c>
      <c r="B627" s="141"/>
      <c r="C627" s="241">
        <f>SUM(C625:C626)</f>
        <v>150522403</v>
      </c>
      <c r="D627" s="213"/>
      <c r="E627" s="214"/>
      <c r="F627" s="215">
        <f>F625+F626</f>
        <v>10600601</v>
      </c>
      <c r="G627" s="213"/>
      <c r="H627" s="216"/>
      <c r="I627" s="215">
        <f>I625+I626</f>
        <v>11908413</v>
      </c>
      <c r="J627" s="213"/>
      <c r="K627" s="216"/>
      <c r="L627" s="215">
        <f>L625+L626</f>
        <v>12086693</v>
      </c>
      <c r="O627" s="136" t="s">
        <v>199</v>
      </c>
      <c r="P627" s="137">
        <v>12086689.627525793</v>
      </c>
      <c r="Q627" s="138">
        <v>1.4970645335007433E-2</v>
      </c>
      <c r="R627" s="139"/>
      <c r="S627" s="191" t="s">
        <v>280</v>
      </c>
      <c r="T627" s="191"/>
      <c r="AB627" s="52"/>
      <c r="AC627" s="52"/>
      <c r="AD627" s="52"/>
      <c r="AE627" s="52"/>
      <c r="AF627" s="52"/>
      <c r="AG627" s="52"/>
      <c r="AH627" s="52"/>
      <c r="AI627" s="52"/>
    </row>
    <row r="628" spans="1:35" ht="16.5" thickTop="1">
      <c r="A628" s="141"/>
      <c r="B628" s="141"/>
      <c r="C628" s="271"/>
      <c r="D628" s="229"/>
      <c r="E628" s="230"/>
      <c r="F628" s="193"/>
      <c r="G628" s="229"/>
      <c r="H628" s="231"/>
      <c r="I628" s="193"/>
      <c r="J628" s="272" t="s">
        <v>280</v>
      </c>
      <c r="K628" s="231"/>
      <c r="L628" s="132" t="s">
        <v>280</v>
      </c>
      <c r="O628" s="142" t="s">
        <v>200</v>
      </c>
      <c r="P628" s="143">
        <f>P627-L627</f>
        <v>-3.3724742066115141</v>
      </c>
      <c r="Q628" s="181" t="s">
        <v>280</v>
      </c>
      <c r="R628" s="182"/>
      <c r="AB628" s="52"/>
      <c r="AC628" s="52"/>
      <c r="AD628" s="52"/>
      <c r="AE628" s="52"/>
      <c r="AF628" s="52"/>
      <c r="AG628" s="52"/>
      <c r="AH628" s="52"/>
      <c r="AI628" s="52"/>
    </row>
    <row r="629" spans="1:35" hidden="1">
      <c r="A629" s="159" t="s">
        <v>275</v>
      </c>
      <c r="B629" s="141"/>
      <c r="C629" s="160"/>
      <c r="D629" s="207"/>
      <c r="E629" s="123"/>
      <c r="F629" s="123"/>
      <c r="G629" s="207"/>
      <c r="H629" s="141"/>
      <c r="I629" s="123"/>
      <c r="J629" s="207"/>
      <c r="K629" s="141"/>
      <c r="L629" s="123"/>
      <c r="AB629" s="52"/>
      <c r="AC629" s="52"/>
      <c r="AD629" s="52"/>
      <c r="AE629" s="52"/>
      <c r="AF629" s="52"/>
      <c r="AG629" s="52"/>
      <c r="AH629" s="52"/>
      <c r="AI629" s="52"/>
    </row>
    <row r="630" spans="1:35" hidden="1">
      <c r="A630" s="175" t="s">
        <v>339</v>
      </c>
      <c r="B630" s="141"/>
      <c r="C630" s="160"/>
      <c r="D630" s="207"/>
      <c r="E630" s="123"/>
      <c r="F630" s="123"/>
      <c r="G630" s="207"/>
      <c r="H630" s="141"/>
      <c r="I630" s="123"/>
      <c r="J630" s="207"/>
      <c r="K630" s="141"/>
      <c r="L630" s="123"/>
      <c r="N630" s="124"/>
      <c r="O630" s="124"/>
      <c r="P630" s="223" t="s">
        <v>280</v>
      </c>
      <c r="Q630" s="92"/>
      <c r="R630" s="92"/>
      <c r="AB630" s="52"/>
      <c r="AC630" s="52"/>
      <c r="AD630" s="52"/>
      <c r="AE630" s="52"/>
      <c r="AF630" s="52"/>
      <c r="AG630" s="52"/>
      <c r="AH630" s="52"/>
      <c r="AI630" s="52"/>
    </row>
    <row r="631" spans="1:35" hidden="1">
      <c r="A631" s="194"/>
      <c r="B631" s="141"/>
      <c r="C631" s="160"/>
      <c r="D631" s="207"/>
      <c r="E631" s="123"/>
      <c r="F631" s="260"/>
      <c r="G631" s="207"/>
      <c r="H631" s="141"/>
      <c r="I631" s="260"/>
      <c r="J631" s="207"/>
      <c r="K631" s="141"/>
      <c r="L631" s="261"/>
      <c r="N631" s="52"/>
      <c r="O631" s="52"/>
      <c r="P631" s="105"/>
      <c r="Q631" s="105"/>
      <c r="R631" s="105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</row>
    <row r="632" spans="1:35" hidden="1">
      <c r="A632" s="175" t="s">
        <v>277</v>
      </c>
      <c r="B632" s="141"/>
      <c r="C632" s="190"/>
      <c r="D632" s="123" t="s">
        <v>280</v>
      </c>
      <c r="E632" s="123"/>
      <c r="F632" s="141"/>
      <c r="G632" s="123" t="s">
        <v>280</v>
      </c>
      <c r="H632" s="141"/>
      <c r="I632" s="141"/>
      <c r="J632" s="123" t="s">
        <v>280</v>
      </c>
      <c r="K632" s="141"/>
      <c r="L632" s="141"/>
      <c r="N632" s="52"/>
      <c r="O632" s="52"/>
      <c r="P632" s="105"/>
      <c r="Q632" s="105"/>
      <c r="R632" s="105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</row>
    <row r="633" spans="1:35" hidden="1">
      <c r="A633" s="175" t="s">
        <v>278</v>
      </c>
      <c r="B633" s="141"/>
      <c r="C633" s="190">
        <f>867</f>
        <v>867</v>
      </c>
      <c r="D633" s="207">
        <v>0</v>
      </c>
      <c r="E633" s="195"/>
      <c r="F633" s="192">
        <f>ROUND(D633*$C633,0)</f>
        <v>0</v>
      </c>
      <c r="G633" s="207">
        <f>$G$582</f>
        <v>0</v>
      </c>
      <c r="H633" s="195"/>
      <c r="I633" s="192">
        <f>ROUND(G633*C633,0)</f>
        <v>0</v>
      </c>
      <c r="J633" s="207">
        <f>$J$582</f>
        <v>0</v>
      </c>
      <c r="K633" s="195"/>
      <c r="L633" s="192">
        <f>ROUND(J633*$C633,0)</f>
        <v>0</v>
      </c>
      <c r="N633" s="52"/>
      <c r="O633" s="52"/>
      <c r="P633" s="105"/>
      <c r="Q633" s="105"/>
      <c r="R633" s="105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</row>
    <row r="634" spans="1:35" hidden="1">
      <c r="A634" s="175" t="s">
        <v>279</v>
      </c>
      <c r="B634" s="141"/>
      <c r="C634" s="190"/>
      <c r="D634" s="207"/>
      <c r="E634" s="195"/>
      <c r="F634" s="192"/>
      <c r="G634" s="207"/>
      <c r="H634" s="195"/>
      <c r="I634" s="192"/>
      <c r="J634" s="207"/>
      <c r="K634" s="195"/>
      <c r="L634" s="192"/>
      <c r="N634" s="52"/>
      <c r="O634" s="52"/>
      <c r="P634" s="105"/>
      <c r="Q634" s="105"/>
      <c r="R634" s="105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</row>
    <row r="635" spans="1:35" hidden="1">
      <c r="A635" s="175" t="s">
        <v>141</v>
      </c>
      <c r="B635" s="141"/>
      <c r="C635" s="190">
        <f>3351</f>
        <v>3351</v>
      </c>
      <c r="D635" s="207">
        <v>0</v>
      </c>
      <c r="E635" s="195"/>
      <c r="F635" s="192">
        <f>ROUND(D635*$C635,0)</f>
        <v>0</v>
      </c>
      <c r="G635" s="207">
        <f>$G$584</f>
        <v>0</v>
      </c>
      <c r="H635" s="195"/>
      <c r="I635" s="192">
        <f t="shared" ref="I635:I637" si="95">ROUND(G635*C635,0)</f>
        <v>0</v>
      </c>
      <c r="J635" s="207">
        <f>$J$584</f>
        <v>0</v>
      </c>
      <c r="K635" s="195"/>
      <c r="L635" s="192">
        <f>ROUND(J635*$C635,0)</f>
        <v>0</v>
      </c>
      <c r="N635" s="52"/>
      <c r="O635" s="52"/>
      <c r="P635" s="105"/>
      <c r="Q635" s="105"/>
      <c r="R635" s="105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</row>
    <row r="636" spans="1:35" hidden="1">
      <c r="A636" s="175" t="s">
        <v>142</v>
      </c>
      <c r="B636" s="141"/>
      <c r="C636" s="190">
        <f>346</f>
        <v>346</v>
      </c>
      <c r="D636" s="207">
        <v>312</v>
      </c>
      <c r="E636" s="195"/>
      <c r="F636" s="192">
        <f>ROUND(D636*$C636,0)</f>
        <v>107952</v>
      </c>
      <c r="G636" s="207">
        <f>$G$585</f>
        <v>352</v>
      </c>
      <c r="H636" s="195"/>
      <c r="I636" s="192">
        <f t="shared" si="95"/>
        <v>121792</v>
      </c>
      <c r="J636" s="207">
        <f>$J$585</f>
        <v>357</v>
      </c>
      <c r="K636" s="195"/>
      <c r="L636" s="192">
        <f>ROUND(J636*$C636,0)</f>
        <v>123522</v>
      </c>
      <c r="N636" s="52"/>
      <c r="O636" s="52"/>
      <c r="P636" s="105"/>
      <c r="Q636" s="105"/>
      <c r="R636" s="105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</row>
    <row r="637" spans="1:35" hidden="1">
      <c r="A637" s="175" t="s">
        <v>143</v>
      </c>
      <c r="B637" s="141"/>
      <c r="C637" s="190">
        <f>11</f>
        <v>11</v>
      </c>
      <c r="D637" s="207">
        <v>1268</v>
      </c>
      <c r="E637" s="195"/>
      <c r="F637" s="192">
        <f>ROUND(D637*$C637,0)</f>
        <v>13948</v>
      </c>
      <c r="G637" s="207">
        <f>$G$586</f>
        <v>1435</v>
      </c>
      <c r="H637" s="195"/>
      <c r="I637" s="192">
        <f t="shared" si="95"/>
        <v>15785</v>
      </c>
      <c r="J637" s="207">
        <f>$J$586</f>
        <v>1457</v>
      </c>
      <c r="K637" s="195"/>
      <c r="L637" s="192">
        <f>ROUND(J637*$C637,0)</f>
        <v>16027</v>
      </c>
      <c r="N637" s="52"/>
      <c r="O637" s="52"/>
      <c r="P637" s="105"/>
      <c r="Q637" s="105"/>
      <c r="R637" s="105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</row>
    <row r="638" spans="1:35" hidden="1">
      <c r="A638" s="175" t="s">
        <v>376</v>
      </c>
      <c r="B638" s="141"/>
      <c r="C638" s="190">
        <f>SUM(C633:C637)</f>
        <v>4575</v>
      </c>
      <c r="D638" s="207"/>
      <c r="E638" s="195"/>
      <c r="F638" s="192"/>
      <c r="G638" s="207"/>
      <c r="H638" s="195"/>
      <c r="I638" s="192"/>
      <c r="J638" s="207"/>
      <c r="K638" s="195"/>
      <c r="L638" s="192"/>
      <c r="N638" s="52"/>
      <c r="O638" s="52"/>
      <c r="P638" s="105"/>
      <c r="Q638" s="105"/>
      <c r="R638" s="105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</row>
    <row r="639" spans="1:35" hidden="1">
      <c r="A639" s="175" t="s">
        <v>144</v>
      </c>
      <c r="B639" s="141"/>
      <c r="C639" s="190">
        <f>6018+22344+2636+85</f>
        <v>31083</v>
      </c>
      <c r="D639" s="207"/>
      <c r="E639" s="192"/>
      <c r="F639" s="192"/>
      <c r="G639" s="207"/>
      <c r="H639" s="192"/>
      <c r="I639" s="192"/>
      <c r="J639" s="207"/>
      <c r="K639" s="192"/>
      <c r="L639" s="192"/>
      <c r="N639" s="52"/>
      <c r="O639" s="52"/>
      <c r="P639" s="105"/>
      <c r="Q639" s="105"/>
      <c r="R639" s="105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</row>
    <row r="640" spans="1:35" hidden="1">
      <c r="A640" s="175" t="s">
        <v>145</v>
      </c>
      <c r="B640" s="141"/>
      <c r="C640" s="190">
        <f>867+3351+346+11</f>
        <v>4575</v>
      </c>
      <c r="D640" s="207"/>
      <c r="E640" s="192"/>
      <c r="F640" s="192"/>
      <c r="G640" s="207"/>
      <c r="H640" s="192"/>
      <c r="I640" s="192"/>
      <c r="J640" s="207"/>
      <c r="K640" s="192"/>
      <c r="L640" s="192"/>
      <c r="N640" s="52"/>
      <c r="O640" s="52"/>
      <c r="P640" s="105"/>
      <c r="Q640" s="105"/>
      <c r="R640" s="105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</row>
    <row r="641" spans="1:35" hidden="1">
      <c r="A641" s="175" t="s">
        <v>146</v>
      </c>
      <c r="B641" s="141"/>
      <c r="C641" s="190"/>
      <c r="D641" s="207"/>
      <c r="E641" s="195"/>
      <c r="F641" s="192"/>
      <c r="G641" s="207"/>
      <c r="H641" s="195"/>
      <c r="I641" s="192"/>
      <c r="J641" s="207"/>
      <c r="K641" s="195"/>
      <c r="L641" s="192"/>
      <c r="N641" s="52"/>
      <c r="O641" s="52"/>
      <c r="P641" s="105"/>
      <c r="Q641" s="105"/>
      <c r="R641" s="105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</row>
    <row r="642" spans="1:35" hidden="1">
      <c r="A642" s="175" t="s">
        <v>147</v>
      </c>
      <c r="B642" s="141"/>
      <c r="C642" s="190">
        <f>2256</f>
        <v>2256</v>
      </c>
      <c r="D642" s="207">
        <v>20.86</v>
      </c>
      <c r="E642" s="195"/>
      <c r="F642" s="192">
        <f>ROUND(D642*$C642,0)</f>
        <v>47060</v>
      </c>
      <c r="G642" s="207">
        <f>$G$591</f>
        <v>23.44</v>
      </c>
      <c r="H642" s="195"/>
      <c r="I642" s="192">
        <f>ROUND(G642*C642,0)</f>
        <v>52881</v>
      </c>
      <c r="J642" s="207">
        <f>$J$591</f>
        <v>23.869999999999997</v>
      </c>
      <c r="K642" s="195"/>
      <c r="L642" s="192">
        <f>ROUND(J642*$C642,0)</f>
        <v>53851</v>
      </c>
      <c r="N642" s="52"/>
      <c r="O642" s="52"/>
      <c r="P642" s="105"/>
      <c r="Q642" s="105"/>
      <c r="R642" s="105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</row>
    <row r="643" spans="1:35" hidden="1">
      <c r="A643" s="175" t="s">
        <v>148</v>
      </c>
      <c r="B643" s="141"/>
      <c r="C643" s="190"/>
      <c r="D643" s="207"/>
      <c r="E643" s="195"/>
      <c r="F643" s="192"/>
      <c r="G643" s="207"/>
      <c r="H643" s="195"/>
      <c r="I643" s="192"/>
      <c r="J643" s="207"/>
      <c r="K643" s="195"/>
      <c r="L643" s="192"/>
      <c r="N643" s="52"/>
      <c r="O643" s="52"/>
      <c r="P643" s="105"/>
      <c r="Q643" s="105"/>
      <c r="R643" s="105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</row>
    <row r="644" spans="1:35" hidden="1">
      <c r="A644" s="175" t="s">
        <v>141</v>
      </c>
      <c r="B644" s="141"/>
      <c r="C644" s="190">
        <f>45068</f>
        <v>45068</v>
      </c>
      <c r="D644" s="207">
        <v>20.860000000000003</v>
      </c>
      <c r="E644" s="195"/>
      <c r="F644" s="192">
        <f>ROUND(D644*$C644,0)</f>
        <v>940118</v>
      </c>
      <c r="G644" s="207">
        <f>$G$593</f>
        <v>23.44</v>
      </c>
      <c r="H644" s="195"/>
      <c r="I644" s="192">
        <f t="shared" ref="I644:I648" si="96">ROUND(G644*C644,0)</f>
        <v>1056394</v>
      </c>
      <c r="J644" s="207">
        <f>$J$593</f>
        <v>23.79</v>
      </c>
      <c r="K644" s="195"/>
      <c r="L644" s="192">
        <f>ROUND(J644*$C644,0)</f>
        <v>1072168</v>
      </c>
      <c r="N644" s="52"/>
      <c r="O644" s="52"/>
      <c r="P644" s="105"/>
      <c r="Q644" s="105"/>
      <c r="R644" s="105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</row>
    <row r="645" spans="1:35" hidden="1">
      <c r="A645" s="175" t="s">
        <v>142</v>
      </c>
      <c r="B645" s="141"/>
      <c r="C645" s="190">
        <f>33141</f>
        <v>33141</v>
      </c>
      <c r="D645" s="207">
        <v>14.53</v>
      </c>
      <c r="E645" s="195"/>
      <c r="F645" s="192">
        <f>ROUND(D645*$C645,0)</f>
        <v>481539</v>
      </c>
      <c r="G645" s="207">
        <f>$G$594</f>
        <v>16.32</v>
      </c>
      <c r="H645" s="195"/>
      <c r="I645" s="192">
        <f t="shared" si="96"/>
        <v>540861</v>
      </c>
      <c r="J645" s="207">
        <f>$J$594</f>
        <v>16.559999999999999</v>
      </c>
      <c r="K645" s="195"/>
      <c r="L645" s="192">
        <f>ROUND(J645*$C645,0)</f>
        <v>548815</v>
      </c>
      <c r="N645" s="52"/>
      <c r="O645" s="52"/>
      <c r="P645" s="105"/>
      <c r="Q645" s="105"/>
      <c r="R645" s="105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</row>
    <row r="646" spans="1:35" hidden="1">
      <c r="A646" s="175" t="s">
        <v>143</v>
      </c>
      <c r="B646" s="141"/>
      <c r="C646" s="190">
        <f>4226</f>
        <v>4226</v>
      </c>
      <c r="D646" s="207">
        <v>11.340000000000002</v>
      </c>
      <c r="E646" s="195"/>
      <c r="F646" s="192">
        <f>ROUND(D646*$C646,0)</f>
        <v>47923</v>
      </c>
      <c r="G646" s="207">
        <f>$G$595</f>
        <v>12.77</v>
      </c>
      <c r="H646" s="195"/>
      <c r="I646" s="192">
        <f t="shared" si="96"/>
        <v>53966</v>
      </c>
      <c r="J646" s="207">
        <f>$J$595</f>
        <v>12.96</v>
      </c>
      <c r="K646" s="195"/>
      <c r="L646" s="192">
        <f>ROUND(J646*$C646,0)</f>
        <v>54769</v>
      </c>
      <c r="N646" s="52"/>
      <c r="O646" s="52"/>
      <c r="P646" s="105"/>
      <c r="Q646" s="105"/>
      <c r="R646" s="105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</row>
    <row r="647" spans="1:35" hidden="1">
      <c r="A647" s="175" t="s">
        <v>284</v>
      </c>
      <c r="B647" s="141"/>
      <c r="C647" s="190">
        <f>525</f>
        <v>525</v>
      </c>
      <c r="D647" s="207">
        <v>62.58</v>
      </c>
      <c r="E647" s="195"/>
      <c r="F647" s="192">
        <f>ROUND(D647*$C647,0)</f>
        <v>32855</v>
      </c>
      <c r="G647" s="207">
        <f>$G$596</f>
        <v>70.320000000000007</v>
      </c>
      <c r="H647" s="195"/>
      <c r="I647" s="192">
        <f t="shared" si="96"/>
        <v>36918</v>
      </c>
      <c r="J647" s="207">
        <f>$J$596</f>
        <v>71.609999999999985</v>
      </c>
      <c r="K647" s="195"/>
      <c r="L647" s="192">
        <f>ROUND(J647*$C647,0)</f>
        <v>37595</v>
      </c>
      <c r="N647" s="52"/>
      <c r="O647" s="52"/>
      <c r="P647" s="105"/>
      <c r="Q647" s="105"/>
      <c r="R647" s="105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</row>
    <row r="648" spans="1:35" hidden="1">
      <c r="A648" s="175" t="s">
        <v>285</v>
      </c>
      <c r="B648" s="141"/>
      <c r="C648" s="190">
        <f>944</f>
        <v>944</v>
      </c>
      <c r="D648" s="207">
        <v>125.16000000000003</v>
      </c>
      <c r="E648" s="195"/>
      <c r="F648" s="192">
        <f>ROUND(D648*$C648,0)</f>
        <v>118151</v>
      </c>
      <c r="G648" s="207">
        <f>$G$597</f>
        <v>140.64000000000001</v>
      </c>
      <c r="H648" s="195"/>
      <c r="I648" s="192">
        <f t="shared" si="96"/>
        <v>132764</v>
      </c>
      <c r="J648" s="207">
        <f>$J$597</f>
        <v>142.74</v>
      </c>
      <c r="K648" s="195"/>
      <c r="L648" s="192">
        <f>ROUND(J648*$C648,0)</f>
        <v>134747</v>
      </c>
      <c r="N648" s="52"/>
      <c r="O648" s="52"/>
      <c r="P648" s="105"/>
      <c r="Q648" s="105"/>
      <c r="R648" s="105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</row>
    <row r="649" spans="1:35" hidden="1">
      <c r="A649" s="175" t="s">
        <v>286</v>
      </c>
      <c r="B649" s="141"/>
      <c r="C649" s="190"/>
      <c r="D649" s="207"/>
      <c r="E649" s="195"/>
      <c r="F649" s="192"/>
      <c r="G649" s="207"/>
      <c r="H649" s="195"/>
      <c r="I649" s="192"/>
      <c r="J649" s="207"/>
      <c r="K649" s="195"/>
      <c r="L649" s="192"/>
      <c r="N649" s="52"/>
      <c r="O649" s="52"/>
      <c r="P649" s="105"/>
      <c r="Q649" s="105"/>
      <c r="R649" s="105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</row>
    <row r="650" spans="1:35" hidden="1">
      <c r="A650" s="175" t="s">
        <v>147</v>
      </c>
      <c r="B650" s="141"/>
      <c r="C650" s="190">
        <v>26</v>
      </c>
      <c r="D650" s="232">
        <v>-20.86</v>
      </c>
      <c r="E650" s="195"/>
      <c r="F650" s="192">
        <f>ROUND(D650*$C650,0)</f>
        <v>-542</v>
      </c>
      <c r="G650" s="232">
        <f>-G642</f>
        <v>-23.44</v>
      </c>
      <c r="H650" s="195"/>
      <c r="I650" s="192">
        <f t="shared" ref="I650:I651" si="97">ROUND(G650*C650,0)</f>
        <v>-609</v>
      </c>
      <c r="J650" s="232">
        <f>-J642</f>
        <v>-23.869999999999997</v>
      </c>
      <c r="K650" s="195"/>
      <c r="L650" s="192">
        <f>ROUND(J650*$C650,0)</f>
        <v>-621</v>
      </c>
      <c r="N650" s="52"/>
      <c r="O650" s="52"/>
      <c r="P650" s="105"/>
      <c r="Q650" s="105"/>
      <c r="R650" s="105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</row>
    <row r="651" spans="1:35" hidden="1">
      <c r="A651" s="175" t="s">
        <v>150</v>
      </c>
      <c r="B651" s="141"/>
      <c r="C651" s="190">
        <f>311</f>
        <v>311</v>
      </c>
      <c r="D651" s="232">
        <v>-20.860000000000003</v>
      </c>
      <c r="E651" s="195"/>
      <c r="F651" s="192">
        <f>ROUND(D651*$C651,0)</f>
        <v>-6487</v>
      </c>
      <c r="G651" s="232">
        <f>-G644</f>
        <v>-23.44</v>
      </c>
      <c r="H651" s="195"/>
      <c r="I651" s="192">
        <f t="shared" si="97"/>
        <v>-7290</v>
      </c>
      <c r="J651" s="232">
        <f>-J644</f>
        <v>-23.79</v>
      </c>
      <c r="K651" s="195"/>
      <c r="L651" s="192">
        <f>ROUND(J651*$C651,0)</f>
        <v>-7399</v>
      </c>
      <c r="N651" s="52"/>
      <c r="O651" s="52"/>
      <c r="P651" s="105"/>
      <c r="Q651" s="105"/>
      <c r="R651" s="105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</row>
    <row r="652" spans="1:35" hidden="1">
      <c r="A652" s="194" t="s">
        <v>258</v>
      </c>
      <c r="B652" s="141"/>
      <c r="C652" s="190"/>
      <c r="D652" s="207"/>
      <c r="E652" s="192"/>
      <c r="F652" s="192"/>
      <c r="G652" s="207"/>
      <c r="H652" s="192"/>
      <c r="I652" s="192"/>
      <c r="J652" s="207"/>
      <c r="K652" s="192"/>
      <c r="L652" s="192"/>
      <c r="N652" s="52"/>
      <c r="O652" s="52"/>
      <c r="P652" s="105"/>
      <c r="Q652" s="105"/>
      <c r="R652" s="105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</row>
    <row r="653" spans="1:35" hidden="1">
      <c r="A653" s="175" t="s">
        <v>151</v>
      </c>
      <c r="B653" s="141"/>
      <c r="C653" s="190">
        <f>4588413+65976526+49930551+7396560</f>
        <v>127892050</v>
      </c>
      <c r="D653" s="273">
        <v>5.6469999999999994</v>
      </c>
      <c r="E653" s="192" t="s">
        <v>210</v>
      </c>
      <c r="F653" s="192">
        <f>ROUND(D653/100*$C653,0)</f>
        <v>7222064</v>
      </c>
      <c r="G653" s="273">
        <f>$G$602</f>
        <v>6.3440000000000003</v>
      </c>
      <c r="H653" s="192" t="s">
        <v>210</v>
      </c>
      <c r="I653" s="192">
        <f>ROUND(G653/100*C653,0)</f>
        <v>8113472</v>
      </c>
      <c r="J653" s="273">
        <f>$J$602</f>
        <v>6.4390000000000001</v>
      </c>
      <c r="K653" s="192" t="s">
        <v>210</v>
      </c>
      <c r="L653" s="192">
        <f>ROUND(J653/100*$C653,0)</f>
        <v>8234969</v>
      </c>
      <c r="N653" s="52"/>
      <c r="O653" s="52"/>
      <c r="P653" s="105"/>
      <c r="Q653" s="105"/>
      <c r="R653" s="105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</row>
    <row r="654" spans="1:35" hidden="1">
      <c r="A654" s="194" t="s">
        <v>234</v>
      </c>
      <c r="B654" s="141"/>
      <c r="C654" s="140">
        <f>2894+22189+4176</f>
        <v>29259</v>
      </c>
      <c r="D654" s="208">
        <v>50</v>
      </c>
      <c r="E654" s="194" t="s">
        <v>210</v>
      </c>
      <c r="F654" s="192">
        <f>ROUND(D654*$C654/100,0)</f>
        <v>14630</v>
      </c>
      <c r="G654" s="208">
        <f>$G$603</f>
        <v>55</v>
      </c>
      <c r="H654" s="194" t="s">
        <v>210</v>
      </c>
      <c r="I654" s="192">
        <f>ROUND(G654/100*C654,0)</f>
        <v>16092</v>
      </c>
      <c r="J654" s="208">
        <f>$J$603</f>
        <v>56</v>
      </c>
      <c r="K654" s="194" t="s">
        <v>210</v>
      </c>
      <c r="L654" s="192">
        <f>ROUND(J654*$C654/100,0)</f>
        <v>16385</v>
      </c>
      <c r="N654" s="52"/>
      <c r="O654" s="52"/>
      <c r="P654" s="105"/>
      <c r="Q654" s="105"/>
      <c r="R654" s="105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</row>
    <row r="655" spans="1:35" hidden="1">
      <c r="A655" s="237" t="s">
        <v>235</v>
      </c>
      <c r="B655" s="141"/>
      <c r="C655" s="190"/>
      <c r="D655" s="202">
        <v>-0.01</v>
      </c>
      <c r="E655" s="123"/>
      <c r="F655" s="192"/>
      <c r="G655" s="202">
        <v>-0.01</v>
      </c>
      <c r="H655" s="141"/>
      <c r="I655" s="192"/>
      <c r="J655" s="202">
        <v>-0.01</v>
      </c>
      <c r="K655" s="141"/>
      <c r="L655" s="192"/>
      <c r="N655" s="52"/>
      <c r="O655" s="52"/>
      <c r="P655" s="105"/>
      <c r="Q655" s="105"/>
      <c r="R655" s="105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</row>
    <row r="656" spans="1:35" hidden="1">
      <c r="A656" s="175" t="s">
        <v>225</v>
      </c>
      <c r="B656" s="141"/>
      <c r="C656" s="190">
        <v>0</v>
      </c>
      <c r="D656" s="260">
        <v>0</v>
      </c>
      <c r="E656" s="195"/>
      <c r="F656" s="192">
        <f>ROUND(D656*$C656*$D$604,0)</f>
        <v>0</v>
      </c>
      <c r="G656" s="260">
        <f>G633</f>
        <v>0</v>
      </c>
      <c r="H656" s="195"/>
      <c r="I656" s="192">
        <f>ROUND(G656*C656*$G$604,0)</f>
        <v>0</v>
      </c>
      <c r="J656" s="260">
        <f>J633</f>
        <v>0</v>
      </c>
      <c r="K656" s="195"/>
      <c r="L656" s="192">
        <f>ROUND(J656*$C656*$D$604,0)</f>
        <v>0</v>
      </c>
      <c r="N656" s="52"/>
      <c r="O656" s="52"/>
      <c r="P656" s="105"/>
      <c r="Q656" s="105"/>
      <c r="R656" s="105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</row>
    <row r="657" spans="1:35" hidden="1">
      <c r="A657" s="175" t="s">
        <v>226</v>
      </c>
      <c r="B657" s="141"/>
      <c r="C657" s="190"/>
      <c r="D657" s="260"/>
      <c r="E657" s="195"/>
      <c r="F657" s="192"/>
      <c r="G657" s="260"/>
      <c r="H657" s="195"/>
      <c r="I657" s="192"/>
      <c r="J657" s="260"/>
      <c r="K657" s="195"/>
      <c r="L657" s="192"/>
      <c r="N657" s="52"/>
      <c r="O657" s="52"/>
      <c r="P657" s="105"/>
      <c r="Q657" s="105"/>
      <c r="R657" s="105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</row>
    <row r="658" spans="1:35" hidden="1">
      <c r="A658" s="175" t="s">
        <v>141</v>
      </c>
      <c r="B658" s="141"/>
      <c r="C658" s="190">
        <v>0</v>
      </c>
      <c r="D658" s="260">
        <v>0</v>
      </c>
      <c r="E658" s="195"/>
      <c r="F658" s="192">
        <f>ROUND(D658*$C658*$D$604,0)</f>
        <v>0</v>
      </c>
      <c r="G658" s="260">
        <f>G635</f>
        <v>0</v>
      </c>
      <c r="H658" s="195"/>
      <c r="I658" s="192">
        <f t="shared" ref="I658:I661" si="98">ROUND(G658*C658*$G$604,0)</f>
        <v>0</v>
      </c>
      <c r="J658" s="260">
        <f>J635</f>
        <v>0</v>
      </c>
      <c r="K658" s="195"/>
      <c r="L658" s="192">
        <f>ROUND(J658*$C658*$D$604,0)</f>
        <v>0</v>
      </c>
      <c r="N658" s="52"/>
      <c r="O658" s="52"/>
      <c r="P658" s="105"/>
      <c r="Q658" s="105"/>
      <c r="R658" s="105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</row>
    <row r="659" spans="1:35" hidden="1">
      <c r="A659" s="175" t="s">
        <v>142</v>
      </c>
      <c r="B659" s="141"/>
      <c r="C659" s="190">
        <v>0</v>
      </c>
      <c r="D659" s="260">
        <v>312</v>
      </c>
      <c r="E659" s="195"/>
      <c r="F659" s="192">
        <f>ROUND(D659*$C659*$D$604,0)</f>
        <v>0</v>
      </c>
      <c r="G659" s="260">
        <f>G636</f>
        <v>352</v>
      </c>
      <c r="H659" s="195"/>
      <c r="I659" s="192">
        <f t="shared" si="98"/>
        <v>0</v>
      </c>
      <c r="J659" s="260">
        <f>J636</f>
        <v>357</v>
      </c>
      <c r="K659" s="195"/>
      <c r="L659" s="192">
        <f>ROUND(J659*$C659*$D$604,0)</f>
        <v>0</v>
      </c>
      <c r="N659" s="52"/>
      <c r="O659" s="52"/>
      <c r="P659" s="105"/>
      <c r="Q659" s="105"/>
      <c r="R659" s="105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</row>
    <row r="660" spans="1:35" hidden="1">
      <c r="A660" s="175" t="s">
        <v>143</v>
      </c>
      <c r="B660" s="141"/>
      <c r="C660" s="190">
        <v>0</v>
      </c>
      <c r="D660" s="260">
        <v>1268</v>
      </c>
      <c r="E660" s="195"/>
      <c r="F660" s="192">
        <f>ROUND(D660*$C660*$D$604,0)</f>
        <v>0</v>
      </c>
      <c r="G660" s="260">
        <f>G637</f>
        <v>1435</v>
      </c>
      <c r="H660" s="195"/>
      <c r="I660" s="192">
        <f t="shared" si="98"/>
        <v>0</v>
      </c>
      <c r="J660" s="260">
        <f>J637</f>
        <v>1457</v>
      </c>
      <c r="K660" s="195"/>
      <c r="L660" s="192">
        <f>ROUND(J660*$C660*$D$604,0)</f>
        <v>0</v>
      </c>
      <c r="N660" s="52"/>
      <c r="O660" s="52"/>
      <c r="P660" s="105"/>
      <c r="Q660" s="105"/>
      <c r="R660" s="105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</row>
    <row r="661" spans="1:35" hidden="1">
      <c r="A661" s="175" t="s">
        <v>225</v>
      </c>
      <c r="B661" s="141"/>
      <c r="C661" s="190">
        <v>0</v>
      </c>
      <c r="D661" s="260">
        <v>20.86</v>
      </c>
      <c r="E661" s="195"/>
      <c r="F661" s="192">
        <f>ROUND(D661*$C661*$D$604,0)</f>
        <v>0</v>
      </c>
      <c r="G661" s="260">
        <f>G642</f>
        <v>23.44</v>
      </c>
      <c r="H661" s="195"/>
      <c r="I661" s="192">
        <f t="shared" si="98"/>
        <v>0</v>
      </c>
      <c r="J661" s="260">
        <f>J642</f>
        <v>23.869999999999997</v>
      </c>
      <c r="K661" s="195"/>
      <c r="L661" s="192">
        <f>ROUND(J661*$C661*$D$604,0)</f>
        <v>0</v>
      </c>
      <c r="N661" s="52"/>
      <c r="O661" s="52"/>
      <c r="P661" s="105"/>
      <c r="Q661" s="105"/>
      <c r="R661" s="105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</row>
    <row r="662" spans="1:35" hidden="1">
      <c r="A662" s="175" t="s">
        <v>226</v>
      </c>
      <c r="B662" s="141"/>
      <c r="C662" s="190"/>
      <c r="D662" s="260"/>
      <c r="E662" s="195"/>
      <c r="F662" s="192"/>
      <c r="G662" s="260"/>
      <c r="H662" s="195"/>
      <c r="I662" s="192"/>
      <c r="J662" s="260"/>
      <c r="K662" s="195"/>
      <c r="L662" s="192"/>
      <c r="N662" s="52"/>
      <c r="O662" s="52"/>
      <c r="P662" s="105"/>
      <c r="Q662" s="105"/>
      <c r="R662" s="105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</row>
    <row r="663" spans="1:35" hidden="1">
      <c r="A663" s="175" t="s">
        <v>141</v>
      </c>
      <c r="B663" s="141"/>
      <c r="C663" s="190">
        <v>0</v>
      </c>
      <c r="D663" s="260">
        <v>20.860000000000003</v>
      </c>
      <c r="E663" s="195"/>
      <c r="F663" s="192">
        <f>ROUND(D663*$C663*$D$604,0)</f>
        <v>0</v>
      </c>
      <c r="G663" s="260">
        <f>G644</f>
        <v>23.44</v>
      </c>
      <c r="H663" s="195"/>
      <c r="I663" s="192">
        <f t="shared" ref="I663:I667" si="99">ROUND(G663*C663*$G$604,0)</f>
        <v>0</v>
      </c>
      <c r="J663" s="260">
        <f>J644</f>
        <v>23.79</v>
      </c>
      <c r="K663" s="195"/>
      <c r="L663" s="192">
        <f>ROUND(J663*$C663*$D$604,0)</f>
        <v>0</v>
      </c>
      <c r="N663" s="52"/>
      <c r="O663" s="52"/>
      <c r="P663" s="105"/>
      <c r="Q663" s="105"/>
      <c r="R663" s="105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</row>
    <row r="664" spans="1:35" hidden="1">
      <c r="A664" s="175" t="s">
        <v>142</v>
      </c>
      <c r="B664" s="141"/>
      <c r="C664" s="190">
        <v>0</v>
      </c>
      <c r="D664" s="260">
        <v>14.53</v>
      </c>
      <c r="E664" s="195"/>
      <c r="F664" s="192">
        <f>ROUND(D664*$C664*$D$604,0)</f>
        <v>0</v>
      </c>
      <c r="G664" s="260">
        <f>G645</f>
        <v>16.32</v>
      </c>
      <c r="H664" s="195"/>
      <c r="I664" s="192">
        <f t="shared" si="99"/>
        <v>0</v>
      </c>
      <c r="J664" s="260">
        <f>J645</f>
        <v>16.559999999999999</v>
      </c>
      <c r="K664" s="195"/>
      <c r="L664" s="192">
        <f>ROUND(J664*$C664*$D$604,0)</f>
        <v>0</v>
      </c>
      <c r="N664" s="52"/>
      <c r="O664" s="52"/>
      <c r="P664" s="105"/>
      <c r="Q664" s="105"/>
      <c r="R664" s="105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</row>
    <row r="665" spans="1:35" hidden="1">
      <c r="A665" s="175" t="s">
        <v>143</v>
      </c>
      <c r="B665" s="141"/>
      <c r="C665" s="190">
        <v>0</v>
      </c>
      <c r="D665" s="260">
        <v>11.340000000000002</v>
      </c>
      <c r="E665" s="195"/>
      <c r="F665" s="192">
        <f>ROUND(D665*$C665*$D$604,0)</f>
        <v>0</v>
      </c>
      <c r="G665" s="260">
        <f>G646</f>
        <v>12.77</v>
      </c>
      <c r="H665" s="195"/>
      <c r="I665" s="192">
        <f t="shared" si="99"/>
        <v>0</v>
      </c>
      <c r="J665" s="260">
        <f>J646</f>
        <v>12.96</v>
      </c>
      <c r="K665" s="195"/>
      <c r="L665" s="192">
        <f>ROUND(J665*$C665*$D$604,0)</f>
        <v>0</v>
      </c>
      <c r="N665" s="52"/>
      <c r="O665" s="52"/>
      <c r="P665" s="105"/>
      <c r="Q665" s="105"/>
      <c r="R665" s="105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</row>
    <row r="666" spans="1:35" hidden="1">
      <c r="A666" s="175" t="s">
        <v>152</v>
      </c>
      <c r="B666" s="141"/>
      <c r="C666" s="190">
        <v>0</v>
      </c>
      <c r="D666" s="232">
        <v>62.58</v>
      </c>
      <c r="E666" s="195"/>
      <c r="F666" s="192">
        <f>ROUND(D666*$C666*$D$604,0)</f>
        <v>0</v>
      </c>
      <c r="G666" s="232">
        <f>G647</f>
        <v>70.320000000000007</v>
      </c>
      <c r="H666" s="195"/>
      <c r="I666" s="192">
        <f t="shared" si="99"/>
        <v>0</v>
      </c>
      <c r="J666" s="232">
        <f>J647</f>
        <v>71.609999999999985</v>
      </c>
      <c r="K666" s="195"/>
      <c r="L666" s="192">
        <f>ROUND(J666*$C666*$D$604,0)</f>
        <v>0</v>
      </c>
      <c r="N666" s="52"/>
      <c r="O666" s="52"/>
      <c r="P666" s="105"/>
      <c r="Q666" s="105"/>
      <c r="R666" s="105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</row>
    <row r="667" spans="1:35" hidden="1">
      <c r="A667" s="175" t="s">
        <v>153</v>
      </c>
      <c r="B667" s="141"/>
      <c r="C667" s="190">
        <v>0</v>
      </c>
      <c r="D667" s="232">
        <v>125.16000000000003</v>
      </c>
      <c r="E667" s="195"/>
      <c r="F667" s="192">
        <f>ROUND(D667*$C667*$D$604,0)</f>
        <v>0</v>
      </c>
      <c r="G667" s="232">
        <f>G648</f>
        <v>140.64000000000001</v>
      </c>
      <c r="H667" s="195"/>
      <c r="I667" s="192">
        <f t="shared" si="99"/>
        <v>0</v>
      </c>
      <c r="J667" s="232">
        <f>J648</f>
        <v>142.74</v>
      </c>
      <c r="K667" s="195"/>
      <c r="L667" s="192">
        <f>ROUND(J667*$C667*$D$604,0)</f>
        <v>0</v>
      </c>
      <c r="N667" s="52"/>
      <c r="O667" s="52"/>
      <c r="P667" s="105"/>
      <c r="Q667" s="105"/>
      <c r="R667" s="105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</row>
    <row r="668" spans="1:35" hidden="1">
      <c r="A668" s="175" t="s">
        <v>286</v>
      </c>
      <c r="B668" s="141"/>
      <c r="C668" s="190"/>
      <c r="D668" s="207"/>
      <c r="E668" s="195"/>
      <c r="F668" s="192"/>
      <c r="G668" s="207"/>
      <c r="H668" s="195"/>
      <c r="I668" s="192"/>
      <c r="J668" s="207"/>
      <c r="K668" s="195"/>
      <c r="L668" s="192"/>
      <c r="N668" s="52"/>
      <c r="O668" s="52"/>
      <c r="P668" s="105"/>
      <c r="Q668" s="105"/>
      <c r="R668" s="105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</row>
    <row r="669" spans="1:35" hidden="1">
      <c r="A669" s="175" t="s">
        <v>147</v>
      </c>
      <c r="B669" s="141"/>
      <c r="C669" s="190">
        <v>0</v>
      </c>
      <c r="D669" s="232">
        <v>-20.86</v>
      </c>
      <c r="E669" s="195"/>
      <c r="F669" s="192">
        <f>ROUND(D669*$C669*$D$604,0)</f>
        <v>0</v>
      </c>
      <c r="G669" s="232">
        <f>G650</f>
        <v>-23.44</v>
      </c>
      <c r="H669" s="195"/>
      <c r="I669" s="192">
        <f t="shared" ref="I669:I670" si="100">ROUND(G669*C669*$G$604,0)</f>
        <v>0</v>
      </c>
      <c r="J669" s="232">
        <f>J650</f>
        <v>-23.869999999999997</v>
      </c>
      <c r="K669" s="195"/>
      <c r="L669" s="192">
        <f>ROUND(J669*$C669*$D$604,0)</f>
        <v>0</v>
      </c>
      <c r="N669" s="52"/>
      <c r="O669" s="52"/>
      <c r="P669" s="105"/>
      <c r="Q669" s="105"/>
      <c r="R669" s="105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</row>
    <row r="670" spans="1:35" hidden="1">
      <c r="A670" s="175" t="s">
        <v>150</v>
      </c>
      <c r="B670" s="141"/>
      <c r="C670" s="190">
        <v>0</v>
      </c>
      <c r="D670" s="232">
        <v>-20.860000000000003</v>
      </c>
      <c r="E670" s="195"/>
      <c r="F670" s="192">
        <f>ROUND(D670*$C670*$D$604,0)</f>
        <v>0</v>
      </c>
      <c r="G670" s="232">
        <f>G651</f>
        <v>-23.44</v>
      </c>
      <c r="H670" s="195"/>
      <c r="I670" s="192">
        <f t="shared" si="100"/>
        <v>0</v>
      </c>
      <c r="J670" s="232">
        <f>J651</f>
        <v>-23.79</v>
      </c>
      <c r="K670" s="195"/>
      <c r="L670" s="192">
        <f>ROUND(J670*$C670*$D$604,0)</f>
        <v>0</v>
      </c>
      <c r="N670" s="52"/>
      <c r="O670" s="52"/>
      <c r="P670" s="105"/>
      <c r="Q670" s="105"/>
      <c r="R670" s="105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</row>
    <row r="671" spans="1:35" hidden="1">
      <c r="A671" s="194" t="s">
        <v>258</v>
      </c>
      <c r="B671" s="141"/>
      <c r="C671" s="190"/>
      <c r="D671" s="260"/>
      <c r="E671" s="192"/>
      <c r="F671" s="192"/>
      <c r="G671" s="260"/>
      <c r="H671" s="192"/>
      <c r="I671" s="192"/>
      <c r="J671" s="260"/>
      <c r="K671" s="192"/>
      <c r="L671" s="192"/>
      <c r="N671" s="52"/>
      <c r="O671" s="52"/>
      <c r="P671" s="105"/>
      <c r="Q671" s="105"/>
      <c r="R671" s="105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</row>
    <row r="672" spans="1:35" hidden="1">
      <c r="A672" s="175" t="s">
        <v>151</v>
      </c>
      <c r="B672" s="141"/>
      <c r="C672" s="190">
        <v>0</v>
      </c>
      <c r="D672" s="269">
        <v>5.6469999999999994</v>
      </c>
      <c r="E672" s="192" t="s">
        <v>210</v>
      </c>
      <c r="F672" s="192">
        <f>ROUND(D672/100*$C672*$D$604,0)</f>
        <v>0</v>
      </c>
      <c r="G672" s="269">
        <f>G653</f>
        <v>6.3440000000000003</v>
      </c>
      <c r="H672" s="192" t="s">
        <v>210</v>
      </c>
      <c r="I672" s="192">
        <f t="shared" ref="I672:I673" si="101">ROUND(G672*C672,0)</f>
        <v>0</v>
      </c>
      <c r="J672" s="269">
        <f>J653</f>
        <v>6.4390000000000001</v>
      </c>
      <c r="K672" s="192" t="s">
        <v>210</v>
      </c>
      <c r="L672" s="192">
        <f>ROUND(J672/100*$C672*$D$604,0)</f>
        <v>0</v>
      </c>
      <c r="N672" s="52"/>
      <c r="O672" s="52"/>
      <c r="P672" s="105"/>
      <c r="Q672" s="105"/>
      <c r="R672" s="105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</row>
    <row r="673" spans="1:35" hidden="1">
      <c r="A673" s="194" t="s">
        <v>234</v>
      </c>
      <c r="B673" s="141"/>
      <c r="C673" s="190">
        <v>0</v>
      </c>
      <c r="D673" s="250">
        <v>50</v>
      </c>
      <c r="E673" s="192" t="s">
        <v>210</v>
      </c>
      <c r="F673" s="192">
        <f>ROUND(D673/100*$C673*$D$604,0)</f>
        <v>0</v>
      </c>
      <c r="G673" s="250">
        <f>G654</f>
        <v>55</v>
      </c>
      <c r="H673" s="194" t="s">
        <v>210</v>
      </c>
      <c r="I673" s="192">
        <f t="shared" si="101"/>
        <v>0</v>
      </c>
      <c r="J673" s="250">
        <f>J654</f>
        <v>56</v>
      </c>
      <c r="K673" s="194" t="s">
        <v>210</v>
      </c>
      <c r="L673" s="192">
        <f>ROUND(J673/100*$C673*$D$604,0)</f>
        <v>0</v>
      </c>
      <c r="N673" s="52"/>
      <c r="O673" s="52"/>
      <c r="P673" s="105"/>
      <c r="Q673" s="105"/>
      <c r="R673" s="105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</row>
    <row r="674" spans="1:35" hidden="1">
      <c r="A674" s="194" t="s">
        <v>271</v>
      </c>
      <c r="B674" s="141"/>
      <c r="C674" s="190">
        <v>0</v>
      </c>
      <c r="D674" s="164">
        <v>60</v>
      </c>
      <c r="E674" s="240" t="s">
        <v>280</v>
      </c>
      <c r="F674" s="192">
        <f>ROUND(D674*$C674,0)</f>
        <v>0</v>
      </c>
      <c r="G674" s="164">
        <f>$D$623</f>
        <v>60</v>
      </c>
      <c r="H674" s="141"/>
      <c r="I674" s="192">
        <f t="shared" ref="I674:I675" si="102">ROUND(G674/100*C674*$G$604,0)</f>
        <v>0</v>
      </c>
      <c r="J674" s="164">
        <f>$J$623</f>
        <v>60</v>
      </c>
      <c r="K674" s="141"/>
      <c r="L674" s="192">
        <f>ROUND(J674*$C674,0)</f>
        <v>0</v>
      </c>
      <c r="N674" s="52"/>
      <c r="O674" s="52"/>
      <c r="P674" s="105"/>
      <c r="Q674" s="105"/>
      <c r="R674" s="105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</row>
    <row r="675" spans="1:35" hidden="1">
      <c r="A675" s="194" t="s">
        <v>272</v>
      </c>
      <c r="B675" s="141"/>
      <c r="C675" s="190">
        <v>0</v>
      </c>
      <c r="D675" s="208">
        <v>-30</v>
      </c>
      <c r="E675" s="192" t="s">
        <v>210</v>
      </c>
      <c r="F675" s="192">
        <f>ROUND(D675*$C675,0)</f>
        <v>0</v>
      </c>
      <c r="G675" s="208">
        <f>$D$624</f>
        <v>-30</v>
      </c>
      <c r="H675" s="192" t="s">
        <v>210</v>
      </c>
      <c r="I675" s="192">
        <f t="shared" si="102"/>
        <v>0</v>
      </c>
      <c r="J675" s="208">
        <f>$J$624</f>
        <v>-30</v>
      </c>
      <c r="K675" s="192" t="s">
        <v>210</v>
      </c>
      <c r="L675" s="192">
        <f>ROUND(J675*$C675,0)</f>
        <v>0</v>
      </c>
      <c r="N675" s="52"/>
      <c r="O675" s="52"/>
      <c r="P675" s="105"/>
      <c r="Q675" s="105"/>
      <c r="R675" s="105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</row>
    <row r="676" spans="1:35" hidden="1">
      <c r="A676" s="141" t="s">
        <v>215</v>
      </c>
      <c r="B676" s="141"/>
      <c r="C676" s="190">
        <f>SUM(C653:C653)</f>
        <v>127892050</v>
      </c>
      <c r="D676" s="200"/>
      <c r="E676" s="123"/>
      <c r="F676" s="123">
        <f>SUM(F633:F675)</f>
        <v>9019211</v>
      </c>
      <c r="G676" s="200"/>
      <c r="H676" s="194"/>
      <c r="I676" s="123">
        <f>SUM(I633:I675)</f>
        <v>10133026</v>
      </c>
      <c r="J676" s="200"/>
      <c r="K676" s="194"/>
      <c r="L676" s="123">
        <f>SUM(L633:L675)</f>
        <v>10284828</v>
      </c>
      <c r="N676" s="52"/>
      <c r="O676" s="52"/>
      <c r="P676" s="105"/>
      <c r="Q676" s="105"/>
      <c r="R676" s="105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</row>
    <row r="677" spans="1:35" hidden="1">
      <c r="A677" s="141" t="s">
        <v>197</v>
      </c>
      <c r="B677" s="141"/>
      <c r="C677" s="227">
        <v>128426.67664675576</v>
      </c>
      <c r="D677" s="175"/>
      <c r="E677" s="175"/>
      <c r="F677" s="176">
        <v>8516.3850592360977</v>
      </c>
      <c r="G677" s="175"/>
      <c r="H677" s="175"/>
      <c r="I677" s="176">
        <f>F677</f>
        <v>8516.3850592360977</v>
      </c>
      <c r="J677" s="175"/>
      <c r="K677" s="175"/>
      <c r="L677" s="176">
        <f>F677</f>
        <v>8516.3850592360977</v>
      </c>
      <c r="N677" s="156"/>
      <c r="O677" s="156"/>
      <c r="P677" s="154"/>
      <c r="Q677" s="105"/>
      <c r="R677" s="105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</row>
    <row r="678" spans="1:35" ht="16.5" hidden="1" thickBot="1">
      <c r="A678" s="141" t="s">
        <v>216</v>
      </c>
      <c r="B678" s="141"/>
      <c r="C678" s="241">
        <f>SUM(C676:C677)</f>
        <v>128020476.67664675</v>
      </c>
      <c r="D678" s="213"/>
      <c r="E678" s="214"/>
      <c r="F678" s="215">
        <f>F676+F677</f>
        <v>9027727.3850592356</v>
      </c>
      <c r="G678" s="213"/>
      <c r="H678" s="216"/>
      <c r="I678" s="215">
        <f>I676+I677</f>
        <v>10141542.385059236</v>
      </c>
      <c r="J678" s="213"/>
      <c r="K678" s="216"/>
      <c r="L678" s="215">
        <f>L676+L677</f>
        <v>10293344.385059236</v>
      </c>
      <c r="N678" s="157"/>
      <c r="O678" s="157"/>
      <c r="P678" s="158"/>
      <c r="Q678" s="105"/>
      <c r="R678" s="105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</row>
    <row r="679" spans="1:35" hidden="1">
      <c r="A679" s="141"/>
      <c r="B679" s="141"/>
      <c r="C679" s="271"/>
      <c r="D679" s="229"/>
      <c r="E679" s="230"/>
      <c r="F679" s="193"/>
      <c r="G679" s="229"/>
      <c r="H679" s="231"/>
      <c r="I679" s="193"/>
      <c r="J679" s="272" t="s">
        <v>280</v>
      </c>
      <c r="K679" s="231"/>
      <c r="L679" s="132" t="s">
        <v>280</v>
      </c>
      <c r="N679" s="52"/>
      <c r="O679" s="52"/>
      <c r="P679" s="105"/>
      <c r="Q679" s="105"/>
      <c r="R679" s="105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</row>
    <row r="680" spans="1:35" hidden="1">
      <c r="A680" s="159" t="s">
        <v>154</v>
      </c>
      <c r="B680" s="141"/>
      <c r="C680" s="160"/>
      <c r="D680" s="207"/>
      <c r="E680" s="123"/>
      <c r="F680" s="123"/>
      <c r="G680" s="207"/>
      <c r="H680" s="141"/>
      <c r="I680" s="123"/>
      <c r="J680" s="207"/>
      <c r="K680" s="141"/>
      <c r="L680" s="123"/>
      <c r="N680" s="52"/>
      <c r="O680" s="52"/>
      <c r="P680" s="105"/>
      <c r="Q680" s="105"/>
      <c r="R680" s="105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</row>
    <row r="681" spans="1:35" hidden="1">
      <c r="A681" s="175" t="s">
        <v>155</v>
      </c>
      <c r="B681" s="141"/>
      <c r="C681" s="160"/>
      <c r="D681" s="207"/>
      <c r="E681" s="123"/>
      <c r="F681" s="123"/>
      <c r="G681" s="207"/>
      <c r="H681" s="141"/>
      <c r="I681" s="123"/>
      <c r="J681" s="207"/>
      <c r="K681" s="141"/>
      <c r="L681" s="123"/>
      <c r="N681" s="52"/>
      <c r="O681" s="52"/>
      <c r="P681" s="105"/>
      <c r="Q681" s="105"/>
      <c r="R681" s="105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</row>
    <row r="682" spans="1:35" hidden="1">
      <c r="A682" s="194"/>
      <c r="B682" s="141"/>
      <c r="C682" s="160"/>
      <c r="D682" s="207"/>
      <c r="E682" s="123"/>
      <c r="F682" s="260"/>
      <c r="G682" s="207"/>
      <c r="H682" s="141"/>
      <c r="I682" s="260"/>
      <c r="J682" s="207"/>
      <c r="K682" s="141"/>
      <c r="L682" s="261"/>
      <c r="N682" s="52"/>
      <c r="O682" s="52"/>
      <c r="P682" s="105"/>
      <c r="Q682" s="105"/>
      <c r="R682" s="105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</row>
    <row r="683" spans="1:35" hidden="1">
      <c r="A683" s="175" t="s">
        <v>277</v>
      </c>
      <c r="B683" s="141"/>
      <c r="C683" s="190"/>
      <c r="D683" s="123" t="s">
        <v>280</v>
      </c>
      <c r="E683" s="123"/>
      <c r="F683" s="141"/>
      <c r="G683" s="123" t="s">
        <v>280</v>
      </c>
      <c r="H683" s="141"/>
      <c r="I683" s="141"/>
      <c r="J683" s="123" t="s">
        <v>280</v>
      </c>
      <c r="K683" s="141"/>
      <c r="L683" s="141"/>
      <c r="N683" s="52"/>
      <c r="O683" s="52"/>
      <c r="P683" s="105"/>
      <c r="Q683" s="105"/>
      <c r="R683" s="105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</row>
    <row r="684" spans="1:35" hidden="1">
      <c r="A684" s="175" t="s">
        <v>278</v>
      </c>
      <c r="B684" s="141"/>
      <c r="C684" s="190">
        <f>183</f>
        <v>183</v>
      </c>
      <c r="D684" s="207">
        <v>0</v>
      </c>
      <c r="E684" s="195"/>
      <c r="F684" s="192">
        <f>ROUND(D684*$C684,0)</f>
        <v>0</v>
      </c>
      <c r="G684" s="207">
        <f>$G$582</f>
        <v>0</v>
      </c>
      <c r="H684" s="195"/>
      <c r="I684" s="192">
        <f>ROUND(G684*C684,0)</f>
        <v>0</v>
      </c>
      <c r="J684" s="207">
        <f>$J$582</f>
        <v>0</v>
      </c>
      <c r="K684" s="195"/>
      <c r="L684" s="192">
        <f>ROUND(J684*$C684,0)</f>
        <v>0</v>
      </c>
      <c r="N684" s="52"/>
      <c r="O684" s="52"/>
      <c r="P684" s="105"/>
      <c r="Q684" s="105"/>
      <c r="R684" s="105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</row>
    <row r="685" spans="1:35" hidden="1">
      <c r="A685" s="175" t="s">
        <v>279</v>
      </c>
      <c r="B685" s="141"/>
      <c r="C685" s="190"/>
      <c r="D685" s="207"/>
      <c r="E685" s="195"/>
      <c r="F685" s="192"/>
      <c r="G685" s="207"/>
      <c r="H685" s="195"/>
      <c r="I685" s="192"/>
      <c r="J685" s="207"/>
      <c r="K685" s="195"/>
      <c r="L685" s="192"/>
      <c r="N685" s="52"/>
      <c r="O685" s="52"/>
      <c r="P685" s="105"/>
      <c r="Q685" s="105"/>
      <c r="R685" s="105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</row>
    <row r="686" spans="1:35" hidden="1">
      <c r="A686" s="175" t="s">
        <v>141</v>
      </c>
      <c r="B686" s="141"/>
      <c r="C686" s="190">
        <f>1+460</f>
        <v>461</v>
      </c>
      <c r="D686" s="207">
        <v>0</v>
      </c>
      <c r="E686" s="195"/>
      <c r="F686" s="192">
        <f>ROUND(D686*$C686,0)</f>
        <v>0</v>
      </c>
      <c r="G686" s="207">
        <f>$G$584</f>
        <v>0</v>
      </c>
      <c r="H686" s="195"/>
      <c r="I686" s="192">
        <f t="shared" ref="I686:I688" si="103">ROUND(G686*C686,0)</f>
        <v>0</v>
      </c>
      <c r="J686" s="207">
        <f>$J$584</f>
        <v>0</v>
      </c>
      <c r="K686" s="195"/>
      <c r="L686" s="192">
        <f>ROUND(J686*$C686,0)</f>
        <v>0</v>
      </c>
      <c r="N686" s="52"/>
      <c r="O686" s="52"/>
      <c r="P686" s="105"/>
      <c r="Q686" s="105"/>
      <c r="R686" s="105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</row>
    <row r="687" spans="1:35" hidden="1">
      <c r="A687" s="175" t="s">
        <v>142</v>
      </c>
      <c r="B687" s="141"/>
      <c r="C687" s="190">
        <f>55</f>
        <v>55</v>
      </c>
      <c r="D687" s="207">
        <v>312</v>
      </c>
      <c r="E687" s="195"/>
      <c r="F687" s="192">
        <f>ROUND(D687*$C687,0)</f>
        <v>17160</v>
      </c>
      <c r="G687" s="207">
        <f>$G$585</f>
        <v>352</v>
      </c>
      <c r="H687" s="195"/>
      <c r="I687" s="192">
        <f t="shared" si="103"/>
        <v>19360</v>
      </c>
      <c r="J687" s="207">
        <f>$J$585</f>
        <v>357</v>
      </c>
      <c r="K687" s="195"/>
      <c r="L687" s="192">
        <f>ROUND(J687*$C687,0)</f>
        <v>19635</v>
      </c>
      <c r="N687" s="52"/>
      <c r="O687" s="52"/>
      <c r="P687" s="105"/>
      <c r="Q687" s="105"/>
      <c r="R687" s="105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</row>
    <row r="688" spans="1:35" hidden="1">
      <c r="A688" s="175" t="s">
        <v>143</v>
      </c>
      <c r="B688" s="141"/>
      <c r="C688" s="190">
        <f>2</f>
        <v>2</v>
      </c>
      <c r="D688" s="207">
        <v>1268</v>
      </c>
      <c r="E688" s="195"/>
      <c r="F688" s="192">
        <f>ROUND(D688*$C688,0)</f>
        <v>2536</v>
      </c>
      <c r="G688" s="207">
        <f>$G$586</f>
        <v>1435</v>
      </c>
      <c r="H688" s="195"/>
      <c r="I688" s="192">
        <f t="shared" si="103"/>
        <v>2870</v>
      </c>
      <c r="J688" s="207">
        <f>$J$586</f>
        <v>1457</v>
      </c>
      <c r="K688" s="195"/>
      <c r="L688" s="192">
        <f>ROUND(J688*$C688,0)</f>
        <v>2914</v>
      </c>
      <c r="N688" s="52"/>
      <c r="O688" s="52"/>
      <c r="P688" s="105"/>
      <c r="Q688" s="105"/>
      <c r="R688" s="105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</row>
    <row r="689" spans="1:35" hidden="1">
      <c r="A689" s="175" t="s">
        <v>376</v>
      </c>
      <c r="B689" s="141"/>
      <c r="C689" s="190">
        <f>SUM(C684:C688)</f>
        <v>701</v>
      </c>
      <c r="D689" s="207"/>
      <c r="E689" s="195"/>
      <c r="F689" s="192"/>
      <c r="G689" s="207"/>
      <c r="H689" s="195"/>
      <c r="I689" s="192"/>
      <c r="J689" s="207"/>
      <c r="K689" s="195"/>
      <c r="L689" s="192"/>
      <c r="N689" s="52"/>
      <c r="O689" s="52"/>
      <c r="P689" s="105"/>
      <c r="Q689" s="105"/>
      <c r="R689" s="105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</row>
    <row r="690" spans="1:35" hidden="1">
      <c r="A690" s="175" t="s">
        <v>144</v>
      </c>
      <c r="B690" s="141"/>
      <c r="C690" s="190">
        <f>1383+3392+468+15+7+1</f>
        <v>5266</v>
      </c>
      <c r="D690" s="207"/>
      <c r="E690" s="192"/>
      <c r="F690" s="192"/>
      <c r="G690" s="207"/>
      <c r="H690" s="192"/>
      <c r="I690" s="192"/>
      <c r="J690" s="207"/>
      <c r="K690" s="192"/>
      <c r="L690" s="192"/>
      <c r="N690" s="52"/>
      <c r="O690" s="52"/>
      <c r="P690" s="105"/>
      <c r="Q690" s="105"/>
      <c r="R690" s="105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</row>
    <row r="691" spans="1:35" hidden="1">
      <c r="A691" s="175" t="s">
        <v>145</v>
      </c>
      <c r="B691" s="141"/>
      <c r="C691" s="190">
        <f>1+1+183+460+55+2</f>
        <v>702</v>
      </c>
      <c r="D691" s="207"/>
      <c r="E691" s="192"/>
      <c r="F691" s="192"/>
      <c r="G691" s="207"/>
      <c r="H691" s="192"/>
      <c r="I691" s="192"/>
      <c r="J691" s="207"/>
      <c r="K691" s="192"/>
      <c r="L691" s="192"/>
      <c r="N691" s="52"/>
      <c r="O691" s="52"/>
      <c r="P691" s="105"/>
      <c r="Q691" s="105"/>
      <c r="R691" s="105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</row>
    <row r="692" spans="1:35" hidden="1">
      <c r="A692" s="175" t="s">
        <v>146</v>
      </c>
      <c r="B692" s="141"/>
      <c r="C692" s="190"/>
      <c r="D692" s="207"/>
      <c r="E692" s="195"/>
      <c r="F692" s="192"/>
      <c r="G692" s="207"/>
      <c r="H692" s="195"/>
      <c r="I692" s="192"/>
      <c r="J692" s="207"/>
      <c r="K692" s="195"/>
      <c r="L692" s="192"/>
      <c r="N692" s="52"/>
      <c r="O692" s="52"/>
      <c r="P692" s="105"/>
      <c r="Q692" s="105"/>
      <c r="R692" s="105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</row>
    <row r="693" spans="1:35" hidden="1">
      <c r="A693" s="175" t="s">
        <v>147</v>
      </c>
      <c r="B693" s="141"/>
      <c r="C693" s="190">
        <f>831</f>
        <v>831</v>
      </c>
      <c r="D693" s="207">
        <v>20.86</v>
      </c>
      <c r="E693" s="195"/>
      <c r="F693" s="192">
        <f>ROUND(D693*$C693,0)</f>
        <v>17335</v>
      </c>
      <c r="G693" s="207">
        <f>$G$591</f>
        <v>23.44</v>
      </c>
      <c r="H693" s="195"/>
      <c r="I693" s="192">
        <f>ROUND(G693*C693,0)</f>
        <v>19479</v>
      </c>
      <c r="J693" s="207">
        <f>$J$591</f>
        <v>23.869999999999997</v>
      </c>
      <c r="K693" s="195"/>
      <c r="L693" s="192">
        <f>ROUND(J693*$C693,0)</f>
        <v>19836</v>
      </c>
      <c r="N693" s="52"/>
      <c r="O693" s="52"/>
      <c r="P693" s="105"/>
      <c r="Q693" s="105"/>
      <c r="R693" s="105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</row>
    <row r="694" spans="1:35" hidden="1">
      <c r="A694" s="175" t="s">
        <v>148</v>
      </c>
      <c r="B694" s="141"/>
      <c r="C694" s="190"/>
      <c r="D694" s="207"/>
      <c r="E694" s="195"/>
      <c r="F694" s="192"/>
      <c r="G694" s="207"/>
      <c r="H694" s="195"/>
      <c r="I694" s="192"/>
      <c r="J694" s="207"/>
      <c r="K694" s="195"/>
      <c r="L694" s="192"/>
      <c r="N694" s="52"/>
      <c r="O694" s="52"/>
      <c r="P694" s="105"/>
      <c r="Q694" s="105"/>
      <c r="R694" s="105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</row>
    <row r="695" spans="1:35" hidden="1">
      <c r="A695" s="175" t="s">
        <v>141</v>
      </c>
      <c r="B695" s="141"/>
      <c r="C695" s="190">
        <f>39+7130</f>
        <v>7169</v>
      </c>
      <c r="D695" s="207">
        <v>20.860000000000003</v>
      </c>
      <c r="E695" s="195"/>
      <c r="F695" s="192">
        <f>ROUND(D695*$C695,0)</f>
        <v>149545</v>
      </c>
      <c r="G695" s="207">
        <f>$G$593</f>
        <v>23.44</v>
      </c>
      <c r="H695" s="195"/>
      <c r="I695" s="192">
        <f t="shared" ref="I695:I699" si="104">ROUND(G695*C695,0)</f>
        <v>168041</v>
      </c>
      <c r="J695" s="207">
        <f>$J$593</f>
        <v>23.79</v>
      </c>
      <c r="K695" s="195"/>
      <c r="L695" s="192">
        <f>ROUND(J695*$C695,0)</f>
        <v>170551</v>
      </c>
      <c r="N695" s="52"/>
      <c r="O695" s="52"/>
      <c r="P695" s="105"/>
      <c r="Q695" s="105"/>
      <c r="R695" s="105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</row>
    <row r="696" spans="1:35" hidden="1">
      <c r="A696" s="175" t="s">
        <v>142</v>
      </c>
      <c r="B696" s="141"/>
      <c r="C696" s="190">
        <f>5749</f>
        <v>5749</v>
      </c>
      <c r="D696" s="207">
        <v>14.53</v>
      </c>
      <c r="E696" s="195"/>
      <c r="F696" s="192">
        <f>ROUND(D696*$C696,0)</f>
        <v>83533</v>
      </c>
      <c r="G696" s="207">
        <f>$G$594</f>
        <v>16.32</v>
      </c>
      <c r="H696" s="195"/>
      <c r="I696" s="192">
        <f t="shared" si="104"/>
        <v>93824</v>
      </c>
      <c r="J696" s="207">
        <f>$J$594</f>
        <v>16.559999999999999</v>
      </c>
      <c r="K696" s="195"/>
      <c r="L696" s="192">
        <f>ROUND(J696*$C696,0)</f>
        <v>95203</v>
      </c>
      <c r="N696" s="52"/>
      <c r="O696" s="52"/>
      <c r="P696" s="105"/>
      <c r="Q696" s="105"/>
      <c r="R696" s="105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</row>
    <row r="697" spans="1:35" hidden="1">
      <c r="A697" s="175" t="s">
        <v>143</v>
      </c>
      <c r="B697" s="141"/>
      <c r="C697" s="190">
        <f>1070</f>
        <v>1070</v>
      </c>
      <c r="D697" s="207">
        <v>11.340000000000002</v>
      </c>
      <c r="E697" s="195"/>
      <c r="F697" s="192">
        <f>ROUND(D697*$C697,0)</f>
        <v>12134</v>
      </c>
      <c r="G697" s="207">
        <f>$G$595</f>
        <v>12.77</v>
      </c>
      <c r="H697" s="195"/>
      <c r="I697" s="192">
        <f t="shared" si="104"/>
        <v>13664</v>
      </c>
      <c r="J697" s="207">
        <f>$J$595</f>
        <v>12.96</v>
      </c>
      <c r="K697" s="195"/>
      <c r="L697" s="192">
        <f>ROUND(J697*$C697,0)</f>
        <v>13867</v>
      </c>
      <c r="N697" s="52"/>
      <c r="O697" s="52"/>
      <c r="P697" s="105"/>
      <c r="Q697" s="105"/>
      <c r="R697" s="105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</row>
    <row r="698" spans="1:35" hidden="1">
      <c r="A698" s="175" t="s">
        <v>284</v>
      </c>
      <c r="B698" s="141"/>
      <c r="C698" s="190">
        <f>88</f>
        <v>88</v>
      </c>
      <c r="D698" s="207">
        <v>62.58</v>
      </c>
      <c r="E698" s="195"/>
      <c r="F698" s="192">
        <f>ROUND(D698*$C698,0)</f>
        <v>5507</v>
      </c>
      <c r="G698" s="207">
        <f>$G$596</f>
        <v>70.320000000000007</v>
      </c>
      <c r="H698" s="195"/>
      <c r="I698" s="192">
        <f t="shared" si="104"/>
        <v>6188</v>
      </c>
      <c r="J698" s="207">
        <f>$J$596</f>
        <v>71.609999999999985</v>
      </c>
      <c r="K698" s="195"/>
      <c r="L698" s="192">
        <f>ROUND(J698*$C698,0)</f>
        <v>6302</v>
      </c>
      <c r="N698" s="52"/>
      <c r="O698" s="52"/>
      <c r="P698" s="105"/>
      <c r="Q698" s="105"/>
      <c r="R698" s="105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</row>
    <row r="699" spans="1:35" hidden="1">
      <c r="A699" s="175" t="s">
        <v>285</v>
      </c>
      <c r="B699" s="141"/>
      <c r="C699" s="190">
        <f>94</f>
        <v>94</v>
      </c>
      <c r="D699" s="207">
        <v>125.16000000000003</v>
      </c>
      <c r="E699" s="195"/>
      <c r="F699" s="192">
        <f>ROUND(D699*$C699,0)</f>
        <v>11765</v>
      </c>
      <c r="G699" s="207">
        <f>$G$597</f>
        <v>140.64000000000001</v>
      </c>
      <c r="H699" s="195"/>
      <c r="I699" s="192">
        <f t="shared" si="104"/>
        <v>13220</v>
      </c>
      <c r="J699" s="207">
        <f>$J$597</f>
        <v>142.74</v>
      </c>
      <c r="K699" s="195"/>
      <c r="L699" s="192">
        <f>ROUND(J699*$C699,0)</f>
        <v>13418</v>
      </c>
      <c r="N699" s="52"/>
      <c r="O699" s="52"/>
      <c r="P699" s="105"/>
      <c r="Q699" s="105"/>
      <c r="R699" s="105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</row>
    <row r="700" spans="1:35" hidden="1">
      <c r="A700" s="175" t="s">
        <v>286</v>
      </c>
      <c r="B700" s="141"/>
      <c r="C700" s="190"/>
      <c r="D700" s="207"/>
      <c r="E700" s="195"/>
      <c r="F700" s="192"/>
      <c r="G700" s="207"/>
      <c r="H700" s="195"/>
      <c r="I700" s="192"/>
      <c r="J700" s="207"/>
      <c r="K700" s="195"/>
      <c r="L700" s="192"/>
      <c r="N700" s="52"/>
      <c r="O700" s="52"/>
      <c r="P700" s="105"/>
      <c r="Q700" s="105"/>
      <c r="R700" s="105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</row>
    <row r="701" spans="1:35" hidden="1">
      <c r="A701" s="175" t="s">
        <v>147</v>
      </c>
      <c r="B701" s="141"/>
      <c r="C701" s="190">
        <f>12</f>
        <v>12</v>
      </c>
      <c r="D701" s="232">
        <v>-20.86</v>
      </c>
      <c r="E701" s="195"/>
      <c r="F701" s="192">
        <f>ROUND(D701*$C701,0)</f>
        <v>-250</v>
      </c>
      <c r="G701" s="232">
        <f>-G693</f>
        <v>-23.44</v>
      </c>
      <c r="H701" s="195"/>
      <c r="I701" s="192">
        <f t="shared" ref="I701:I702" si="105">ROUND(G701*C701,0)</f>
        <v>-281</v>
      </c>
      <c r="J701" s="232">
        <f>-J693</f>
        <v>-23.869999999999997</v>
      </c>
      <c r="K701" s="195"/>
      <c r="L701" s="192">
        <f>ROUND(J701*$C701,0)</f>
        <v>-286</v>
      </c>
      <c r="N701" s="52"/>
      <c r="O701" s="52"/>
      <c r="P701" s="105"/>
      <c r="Q701" s="105"/>
      <c r="R701" s="105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</row>
    <row r="702" spans="1:35" hidden="1">
      <c r="A702" s="175" t="s">
        <v>150</v>
      </c>
      <c r="B702" s="141"/>
      <c r="C702" s="190">
        <f>15</f>
        <v>15</v>
      </c>
      <c r="D702" s="232">
        <v>-20.860000000000003</v>
      </c>
      <c r="E702" s="195"/>
      <c r="F702" s="192">
        <f>ROUND(D702*$C702,0)</f>
        <v>-313</v>
      </c>
      <c r="G702" s="232">
        <f>-G695</f>
        <v>-23.44</v>
      </c>
      <c r="H702" s="195"/>
      <c r="I702" s="192">
        <f t="shared" si="105"/>
        <v>-352</v>
      </c>
      <c r="J702" s="232">
        <f>-J695</f>
        <v>-23.79</v>
      </c>
      <c r="K702" s="195"/>
      <c r="L702" s="192">
        <f>ROUND(J702*$C702,0)</f>
        <v>-357</v>
      </c>
      <c r="N702" s="52"/>
      <c r="O702" s="52"/>
      <c r="P702" s="105"/>
      <c r="Q702" s="105"/>
      <c r="R702" s="105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</row>
    <row r="703" spans="1:35" hidden="1">
      <c r="A703" s="194" t="s">
        <v>258</v>
      </c>
      <c r="B703" s="141"/>
      <c r="C703" s="190"/>
      <c r="D703" s="207"/>
      <c r="E703" s="192"/>
      <c r="F703" s="192"/>
      <c r="G703" s="207"/>
      <c r="H703" s="192"/>
      <c r="I703" s="192"/>
      <c r="J703" s="207"/>
      <c r="K703" s="192"/>
      <c r="L703" s="192"/>
      <c r="N703" s="52"/>
      <c r="O703" s="52"/>
      <c r="P703" s="105"/>
      <c r="Q703" s="105"/>
      <c r="R703" s="105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</row>
    <row r="704" spans="1:35" hidden="1">
      <c r="A704" s="175" t="s">
        <v>151</v>
      </c>
      <c r="B704" s="141"/>
      <c r="C704" s="190">
        <f>27827+1240324+10475329+7810753+2925120</f>
        <v>22479353</v>
      </c>
      <c r="D704" s="273">
        <v>5.6469999999999994</v>
      </c>
      <c r="E704" s="192" t="s">
        <v>210</v>
      </c>
      <c r="F704" s="192">
        <f>ROUND(D704/100*$C704,0)</f>
        <v>1269409</v>
      </c>
      <c r="G704" s="273">
        <f>$G$602</f>
        <v>6.3440000000000003</v>
      </c>
      <c r="H704" s="192" t="s">
        <v>210</v>
      </c>
      <c r="I704" s="192">
        <f>ROUND(G704/100*C704,0)</f>
        <v>1426090</v>
      </c>
      <c r="J704" s="273">
        <f>$J$602</f>
        <v>6.4390000000000001</v>
      </c>
      <c r="K704" s="192" t="s">
        <v>210</v>
      </c>
      <c r="L704" s="192">
        <f>ROUND(J704/100*$C704,0)</f>
        <v>1447446</v>
      </c>
      <c r="N704" s="52"/>
      <c r="O704" s="52"/>
      <c r="P704" s="105"/>
      <c r="Q704" s="105"/>
      <c r="R704" s="105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</row>
    <row r="705" spans="1:35" hidden="1">
      <c r="A705" s="194" t="s">
        <v>234</v>
      </c>
      <c r="B705" s="141"/>
      <c r="C705" s="190">
        <f>500+4632+37</f>
        <v>5169</v>
      </c>
      <c r="D705" s="208">
        <v>50</v>
      </c>
      <c r="E705" s="194" t="s">
        <v>210</v>
      </c>
      <c r="F705" s="192">
        <f>ROUND(D705*$C705/100,0)</f>
        <v>2585</v>
      </c>
      <c r="G705" s="208">
        <f>$G$603</f>
        <v>55</v>
      </c>
      <c r="H705" s="194" t="s">
        <v>210</v>
      </c>
      <c r="I705" s="192">
        <f>ROUND(G705*C705/100,0)</f>
        <v>2843</v>
      </c>
      <c r="J705" s="208">
        <f>$J$603</f>
        <v>56</v>
      </c>
      <c r="K705" s="194" t="s">
        <v>210</v>
      </c>
      <c r="L705" s="192">
        <f>ROUND(J705*$C705/100,0)</f>
        <v>2895</v>
      </c>
      <c r="N705" s="52"/>
      <c r="O705" s="52"/>
      <c r="P705" s="105"/>
      <c r="Q705" s="105"/>
      <c r="R705" s="105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</row>
    <row r="706" spans="1:35" hidden="1">
      <c r="A706" s="237" t="s">
        <v>235</v>
      </c>
      <c r="B706" s="141"/>
      <c r="C706" s="190"/>
      <c r="D706" s="202">
        <v>-0.01</v>
      </c>
      <c r="E706" s="123"/>
      <c r="F706" s="192"/>
      <c r="G706" s="202">
        <v>-0.01</v>
      </c>
      <c r="H706" s="141"/>
      <c r="I706" s="192"/>
      <c r="J706" s="202">
        <v>-0.01</v>
      </c>
      <c r="K706" s="141"/>
      <c r="L706" s="192"/>
      <c r="N706" s="52"/>
      <c r="O706" s="52"/>
      <c r="P706" s="105"/>
      <c r="Q706" s="105"/>
      <c r="R706" s="105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</row>
    <row r="707" spans="1:35" hidden="1">
      <c r="A707" s="175" t="s">
        <v>225</v>
      </c>
      <c r="B707" s="141"/>
      <c r="C707" s="190">
        <v>0</v>
      </c>
      <c r="D707" s="260">
        <v>0</v>
      </c>
      <c r="E707" s="195"/>
      <c r="F707" s="192">
        <f>ROUND(D707*$C707*$D$604,0)</f>
        <v>0</v>
      </c>
      <c r="G707" s="260">
        <f>G684</f>
        <v>0</v>
      </c>
      <c r="H707" s="195"/>
      <c r="I707" s="192">
        <f>ROUND(G707*C707,0)</f>
        <v>0</v>
      </c>
      <c r="J707" s="260">
        <f>J684</f>
        <v>0</v>
      </c>
      <c r="K707" s="195"/>
      <c r="L707" s="192">
        <f>ROUND(J707*$C707*$D$604,0)</f>
        <v>0</v>
      </c>
      <c r="N707" s="52"/>
      <c r="O707" s="52"/>
      <c r="P707" s="105"/>
      <c r="Q707" s="105"/>
      <c r="R707" s="105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</row>
    <row r="708" spans="1:35" hidden="1">
      <c r="A708" s="175" t="s">
        <v>226</v>
      </c>
      <c r="B708" s="141"/>
      <c r="C708" s="190"/>
      <c r="D708" s="260"/>
      <c r="E708" s="195"/>
      <c r="F708" s="192"/>
      <c r="G708" s="260"/>
      <c r="H708" s="195"/>
      <c r="I708" s="192"/>
      <c r="J708" s="260"/>
      <c r="K708" s="195"/>
      <c r="L708" s="192"/>
      <c r="N708" s="52"/>
      <c r="O708" s="52"/>
      <c r="P708" s="105"/>
      <c r="Q708" s="105"/>
      <c r="R708" s="105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</row>
    <row r="709" spans="1:35" hidden="1">
      <c r="A709" s="175" t="s">
        <v>141</v>
      </c>
      <c r="B709" s="141"/>
      <c r="C709" s="190">
        <v>0</v>
      </c>
      <c r="D709" s="260">
        <v>0</v>
      </c>
      <c r="E709" s="195"/>
      <c r="F709" s="192">
        <f>ROUND(D709*$C709*$D$604,0)</f>
        <v>0</v>
      </c>
      <c r="G709" s="260">
        <f>G686</f>
        <v>0</v>
      </c>
      <c r="H709" s="195"/>
      <c r="I709" s="192">
        <f t="shared" ref="I709:I712" si="106">ROUND(G709*C709,0)</f>
        <v>0</v>
      </c>
      <c r="J709" s="260">
        <f>J686</f>
        <v>0</v>
      </c>
      <c r="K709" s="195"/>
      <c r="L709" s="192">
        <f>ROUND(J709*$C709*$D$604,0)</f>
        <v>0</v>
      </c>
      <c r="N709" s="52"/>
      <c r="O709" s="52"/>
      <c r="P709" s="105"/>
      <c r="Q709" s="105"/>
      <c r="R709" s="105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</row>
    <row r="710" spans="1:35" hidden="1">
      <c r="A710" s="175" t="s">
        <v>142</v>
      </c>
      <c r="B710" s="141"/>
      <c r="C710" s="190">
        <v>0</v>
      </c>
      <c r="D710" s="260">
        <v>312</v>
      </c>
      <c r="E710" s="195"/>
      <c r="F710" s="192">
        <f>ROUND(D710*$C710*$D$604,0)</f>
        <v>0</v>
      </c>
      <c r="G710" s="260">
        <f>G687</f>
        <v>352</v>
      </c>
      <c r="H710" s="195"/>
      <c r="I710" s="192">
        <f t="shared" si="106"/>
        <v>0</v>
      </c>
      <c r="J710" s="260">
        <f>J687</f>
        <v>357</v>
      </c>
      <c r="K710" s="195"/>
      <c r="L710" s="192">
        <f>ROUND(J710*$C710*$D$604,0)</f>
        <v>0</v>
      </c>
      <c r="N710" s="52"/>
      <c r="O710" s="52"/>
      <c r="P710" s="105"/>
      <c r="Q710" s="105"/>
      <c r="R710" s="105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</row>
    <row r="711" spans="1:35" hidden="1">
      <c r="A711" s="175" t="s">
        <v>143</v>
      </c>
      <c r="B711" s="141"/>
      <c r="C711" s="190">
        <v>0</v>
      </c>
      <c r="D711" s="260">
        <v>1268</v>
      </c>
      <c r="E711" s="195"/>
      <c r="F711" s="192">
        <f>ROUND(D711*$C711*$D$604,0)</f>
        <v>0</v>
      </c>
      <c r="G711" s="260">
        <f>G688</f>
        <v>1435</v>
      </c>
      <c r="H711" s="195"/>
      <c r="I711" s="192">
        <f t="shared" si="106"/>
        <v>0</v>
      </c>
      <c r="J711" s="260">
        <f>J688</f>
        <v>1457</v>
      </c>
      <c r="K711" s="195"/>
      <c r="L711" s="192">
        <f>ROUND(J711*$C711*$D$604,0)</f>
        <v>0</v>
      </c>
      <c r="N711" s="52"/>
      <c r="O711" s="52"/>
      <c r="P711" s="105"/>
      <c r="Q711" s="105"/>
      <c r="R711" s="105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</row>
    <row r="712" spans="1:35" hidden="1">
      <c r="A712" s="175" t="s">
        <v>225</v>
      </c>
      <c r="B712" s="141"/>
      <c r="C712" s="190">
        <v>0</v>
      </c>
      <c r="D712" s="260">
        <v>20.86</v>
      </c>
      <c r="E712" s="195"/>
      <c r="F712" s="192">
        <f>ROUND(D712*$C712*$D$604,0)</f>
        <v>0</v>
      </c>
      <c r="G712" s="260">
        <f>G693</f>
        <v>23.44</v>
      </c>
      <c r="H712" s="195"/>
      <c r="I712" s="192">
        <f t="shared" si="106"/>
        <v>0</v>
      </c>
      <c r="J712" s="260">
        <f>J693</f>
        <v>23.869999999999997</v>
      </c>
      <c r="K712" s="195"/>
      <c r="L712" s="192">
        <f>ROUND(J712*$C712*$D$604,0)</f>
        <v>0</v>
      </c>
      <c r="N712" s="52"/>
      <c r="O712" s="52"/>
      <c r="P712" s="105"/>
      <c r="Q712" s="105"/>
      <c r="R712" s="105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</row>
    <row r="713" spans="1:35" hidden="1">
      <c r="A713" s="175" t="s">
        <v>226</v>
      </c>
      <c r="B713" s="141"/>
      <c r="C713" s="190"/>
      <c r="D713" s="260"/>
      <c r="E713" s="195"/>
      <c r="F713" s="192"/>
      <c r="G713" s="260"/>
      <c r="H713" s="195"/>
      <c r="I713" s="192"/>
      <c r="J713" s="260"/>
      <c r="K713" s="195"/>
      <c r="L713" s="192"/>
      <c r="N713" s="52"/>
      <c r="O713" s="52"/>
      <c r="P713" s="105"/>
      <c r="Q713" s="105"/>
      <c r="R713" s="105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</row>
    <row r="714" spans="1:35" hidden="1">
      <c r="A714" s="175" t="s">
        <v>141</v>
      </c>
      <c r="B714" s="141"/>
      <c r="C714" s="190">
        <v>39</v>
      </c>
      <c r="D714" s="260">
        <v>20.860000000000003</v>
      </c>
      <c r="E714" s="195"/>
      <c r="F714" s="192">
        <f>ROUND(D714*$C714*$D$604,0)</f>
        <v>-8</v>
      </c>
      <c r="G714" s="260">
        <f>G695</f>
        <v>23.44</v>
      </c>
      <c r="H714" s="195"/>
      <c r="I714" s="192">
        <f>ROUND(G714*$C714*$G$604,0)</f>
        <v>-9</v>
      </c>
      <c r="J714" s="260">
        <f>J695</f>
        <v>23.79</v>
      </c>
      <c r="K714" s="195"/>
      <c r="L714" s="192">
        <f>ROUND(J714*$C714*$D$604,0)</f>
        <v>-9</v>
      </c>
      <c r="N714" s="52"/>
      <c r="O714" s="52"/>
      <c r="P714" s="105"/>
      <c r="Q714" s="105"/>
      <c r="R714" s="105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</row>
    <row r="715" spans="1:35" hidden="1">
      <c r="A715" s="175" t="s">
        <v>142</v>
      </c>
      <c r="B715" s="141"/>
      <c r="C715" s="190">
        <v>0</v>
      </c>
      <c r="D715" s="260">
        <v>14.53</v>
      </c>
      <c r="E715" s="195"/>
      <c r="F715" s="192">
        <f>ROUND(D715*$C715*$D$604,0)</f>
        <v>0</v>
      </c>
      <c r="G715" s="260">
        <f>G696</f>
        <v>16.32</v>
      </c>
      <c r="H715" s="195"/>
      <c r="I715" s="192">
        <f t="shared" ref="I715:I718" si="107">ROUND(G715*$C715*$G$604,0)</f>
        <v>0</v>
      </c>
      <c r="J715" s="260">
        <f>J696</f>
        <v>16.559999999999999</v>
      </c>
      <c r="K715" s="195"/>
      <c r="L715" s="192">
        <f>ROUND(J715*$C715*$D$604,0)</f>
        <v>0</v>
      </c>
      <c r="N715" s="52"/>
      <c r="O715" s="52"/>
      <c r="P715" s="105"/>
      <c r="Q715" s="105"/>
      <c r="R715" s="105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</row>
    <row r="716" spans="1:35" hidden="1">
      <c r="A716" s="175" t="s">
        <v>143</v>
      </c>
      <c r="B716" s="141"/>
      <c r="C716" s="190">
        <v>0</v>
      </c>
      <c r="D716" s="260">
        <v>11.340000000000002</v>
      </c>
      <c r="E716" s="195"/>
      <c r="F716" s="192">
        <f>ROUND(D716*$C716*$D$604,0)</f>
        <v>0</v>
      </c>
      <c r="G716" s="260">
        <f>G697</f>
        <v>12.77</v>
      </c>
      <c r="H716" s="195"/>
      <c r="I716" s="192">
        <f t="shared" si="107"/>
        <v>0</v>
      </c>
      <c r="J716" s="260">
        <f>J697</f>
        <v>12.96</v>
      </c>
      <c r="K716" s="195"/>
      <c r="L716" s="192">
        <f>ROUND(J716*$C716*$D$604,0)</f>
        <v>0</v>
      </c>
      <c r="N716" s="52"/>
      <c r="O716" s="52"/>
      <c r="P716" s="105"/>
      <c r="Q716" s="105"/>
      <c r="R716" s="105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</row>
    <row r="717" spans="1:35" hidden="1">
      <c r="A717" s="175" t="s">
        <v>152</v>
      </c>
      <c r="B717" s="141"/>
      <c r="C717" s="190">
        <v>0</v>
      </c>
      <c r="D717" s="232">
        <v>62.58</v>
      </c>
      <c r="E717" s="195"/>
      <c r="F717" s="192">
        <f>ROUND(D717*$C717*$D$604,0)</f>
        <v>0</v>
      </c>
      <c r="G717" s="232">
        <f>G698</f>
        <v>70.320000000000007</v>
      </c>
      <c r="H717" s="195"/>
      <c r="I717" s="192">
        <f t="shared" si="107"/>
        <v>0</v>
      </c>
      <c r="J717" s="232">
        <f>J698</f>
        <v>71.609999999999985</v>
      </c>
      <c r="K717" s="195"/>
      <c r="L717" s="192">
        <f>ROUND(J717*$C717*$D$604,0)</f>
        <v>0</v>
      </c>
      <c r="N717" s="52"/>
      <c r="O717" s="52"/>
      <c r="P717" s="105"/>
      <c r="Q717" s="105"/>
      <c r="R717" s="105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</row>
    <row r="718" spans="1:35" hidden="1">
      <c r="A718" s="175" t="s">
        <v>153</v>
      </c>
      <c r="B718" s="141"/>
      <c r="C718" s="190">
        <v>0</v>
      </c>
      <c r="D718" s="232">
        <v>125.16000000000003</v>
      </c>
      <c r="E718" s="195"/>
      <c r="F718" s="192">
        <f>ROUND(D718*$C718*$D$604,0)</f>
        <v>0</v>
      </c>
      <c r="G718" s="232">
        <f>G699</f>
        <v>140.64000000000001</v>
      </c>
      <c r="H718" s="195"/>
      <c r="I718" s="192">
        <f t="shared" si="107"/>
        <v>0</v>
      </c>
      <c r="J718" s="232">
        <f>J699</f>
        <v>142.74</v>
      </c>
      <c r="K718" s="195"/>
      <c r="L718" s="192">
        <f>ROUND(J718*$C718*$D$604,0)</f>
        <v>0</v>
      </c>
      <c r="N718" s="52"/>
      <c r="O718" s="52"/>
      <c r="P718" s="105"/>
      <c r="Q718" s="105"/>
      <c r="R718" s="105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</row>
    <row r="719" spans="1:35" hidden="1">
      <c r="A719" s="175" t="s">
        <v>286</v>
      </c>
      <c r="B719" s="141"/>
      <c r="C719" s="190"/>
      <c r="D719" s="207"/>
      <c r="E719" s="195"/>
      <c r="F719" s="192"/>
      <c r="G719" s="207"/>
      <c r="H719" s="195"/>
      <c r="I719" s="192"/>
      <c r="J719" s="207"/>
      <c r="K719" s="195"/>
      <c r="L719" s="192"/>
      <c r="N719" s="52"/>
      <c r="O719" s="52"/>
      <c r="P719" s="105"/>
      <c r="Q719" s="105"/>
      <c r="R719" s="105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</row>
    <row r="720" spans="1:35" hidden="1">
      <c r="A720" s="175" t="s">
        <v>147</v>
      </c>
      <c r="B720" s="141"/>
      <c r="C720" s="190">
        <v>0</v>
      </c>
      <c r="D720" s="232">
        <v>-20.86</v>
      </c>
      <c r="E720" s="195"/>
      <c r="F720" s="192">
        <f>ROUND(D720*$C720*$D$604,0)</f>
        <v>0</v>
      </c>
      <c r="G720" s="232">
        <f>G701</f>
        <v>-23.44</v>
      </c>
      <c r="H720" s="195"/>
      <c r="I720" s="192">
        <f t="shared" ref="I720:I721" si="108">ROUND(G720*$C720*$G$604,0)</f>
        <v>0</v>
      </c>
      <c r="J720" s="232">
        <f>J701</f>
        <v>-23.869999999999997</v>
      </c>
      <c r="K720" s="195"/>
      <c r="L720" s="192">
        <f>ROUND(J720*$C720*$D$604,0)</f>
        <v>0</v>
      </c>
      <c r="N720" s="52"/>
      <c r="O720" s="52"/>
      <c r="P720" s="105"/>
      <c r="Q720" s="105"/>
      <c r="R720" s="105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</row>
    <row r="721" spans="1:35" hidden="1">
      <c r="A721" s="175" t="s">
        <v>150</v>
      </c>
      <c r="B721" s="141"/>
      <c r="C721" s="190">
        <v>0</v>
      </c>
      <c r="D721" s="232">
        <v>-20.860000000000003</v>
      </c>
      <c r="E721" s="195"/>
      <c r="F721" s="192">
        <f>ROUND(D721*$C721*$D$604,0)</f>
        <v>0</v>
      </c>
      <c r="G721" s="232">
        <f>G702</f>
        <v>-23.44</v>
      </c>
      <c r="H721" s="195"/>
      <c r="I721" s="192">
        <f t="shared" si="108"/>
        <v>0</v>
      </c>
      <c r="J721" s="232">
        <f>J702</f>
        <v>-23.79</v>
      </c>
      <c r="K721" s="195"/>
      <c r="L721" s="192">
        <f>ROUND(J721*$C721*$D$604,0)</f>
        <v>0</v>
      </c>
      <c r="N721" s="52"/>
      <c r="O721" s="52"/>
      <c r="P721" s="105"/>
      <c r="Q721" s="105"/>
      <c r="R721" s="105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</row>
    <row r="722" spans="1:35" hidden="1">
      <c r="A722" s="194" t="s">
        <v>258</v>
      </c>
      <c r="B722" s="141"/>
      <c r="C722" s="190"/>
      <c r="D722" s="260"/>
      <c r="E722" s="192"/>
      <c r="F722" s="192"/>
      <c r="G722" s="260"/>
      <c r="H722" s="192"/>
      <c r="I722" s="192"/>
      <c r="J722" s="260"/>
      <c r="K722" s="192"/>
      <c r="L722" s="192"/>
      <c r="N722" s="52"/>
      <c r="O722" s="52"/>
      <c r="P722" s="105"/>
      <c r="Q722" s="105"/>
      <c r="R722" s="105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</row>
    <row r="723" spans="1:35" hidden="1">
      <c r="A723" s="175" t="s">
        <v>151</v>
      </c>
      <c r="B723" s="141"/>
      <c r="C723" s="190">
        <v>27827</v>
      </c>
      <c r="D723" s="269">
        <v>5.6469999999999994</v>
      </c>
      <c r="E723" s="192" t="s">
        <v>210</v>
      </c>
      <c r="F723" s="192">
        <f>ROUND(D723/100*$C723*$D$604,0)</f>
        <v>-16</v>
      </c>
      <c r="G723" s="269">
        <f>G704</f>
        <v>6.3440000000000003</v>
      </c>
      <c r="H723" s="192" t="s">
        <v>210</v>
      </c>
      <c r="I723" s="192">
        <f>ROUND(G723/100*C723*$G$604,0)</f>
        <v>-18</v>
      </c>
      <c r="J723" s="269">
        <f>J704</f>
        <v>6.4390000000000001</v>
      </c>
      <c r="K723" s="192" t="s">
        <v>210</v>
      </c>
      <c r="L723" s="192">
        <f>ROUND(J723/100*$C723*$D$604,0)</f>
        <v>-18</v>
      </c>
      <c r="N723" s="52"/>
      <c r="O723" s="52"/>
      <c r="P723" s="105"/>
      <c r="Q723" s="105"/>
      <c r="R723" s="105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</row>
    <row r="724" spans="1:35" hidden="1">
      <c r="A724" s="194" t="s">
        <v>234</v>
      </c>
      <c r="B724" s="141"/>
      <c r="C724" s="190">
        <v>0</v>
      </c>
      <c r="D724" s="250">
        <v>50</v>
      </c>
      <c r="E724" s="192" t="s">
        <v>210</v>
      </c>
      <c r="F724" s="192">
        <f>ROUND(D724/100*$C724*$D$604,0)</f>
        <v>0</v>
      </c>
      <c r="G724" s="250">
        <f>G705</f>
        <v>55</v>
      </c>
      <c r="H724" s="194" t="s">
        <v>210</v>
      </c>
      <c r="I724" s="192">
        <f>ROUND(G724/100*C724*$G$604,0)</f>
        <v>0</v>
      </c>
      <c r="J724" s="250">
        <f>J705</f>
        <v>56</v>
      </c>
      <c r="K724" s="194" t="s">
        <v>210</v>
      </c>
      <c r="L724" s="192">
        <f>ROUND(J724/100*$C724*$D$604,0)</f>
        <v>0</v>
      </c>
      <c r="N724" s="52"/>
      <c r="O724" s="52"/>
      <c r="P724" s="105"/>
      <c r="Q724" s="105"/>
      <c r="R724" s="105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</row>
    <row r="725" spans="1:35" hidden="1">
      <c r="A725" s="194" t="s">
        <v>271</v>
      </c>
      <c r="B725" s="141"/>
      <c r="C725" s="190">
        <f>1+7</f>
        <v>8</v>
      </c>
      <c r="D725" s="164">
        <v>60</v>
      </c>
      <c r="E725" s="240" t="s">
        <v>280</v>
      </c>
      <c r="F725" s="192">
        <f>ROUND(D725*$C725,0)</f>
        <v>480</v>
      </c>
      <c r="G725" s="164">
        <f>$G$623</f>
        <v>60</v>
      </c>
      <c r="H725" s="141"/>
      <c r="I725" s="192">
        <f>ROUND(G725*$C725,0)</f>
        <v>480</v>
      </c>
      <c r="J725" s="164">
        <f>$J$623</f>
        <v>60</v>
      </c>
      <c r="K725" s="141"/>
      <c r="L725" s="192">
        <f>ROUND(J725*$C725,0)</f>
        <v>480</v>
      </c>
      <c r="N725" s="52"/>
      <c r="O725" s="52"/>
      <c r="P725" s="105"/>
      <c r="Q725" s="105"/>
      <c r="R725" s="105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</row>
    <row r="726" spans="1:35" hidden="1">
      <c r="A726" s="194" t="s">
        <v>272</v>
      </c>
      <c r="B726" s="141"/>
      <c r="C726" s="190">
        <f>C714</f>
        <v>39</v>
      </c>
      <c r="D726" s="208">
        <v>-30</v>
      </c>
      <c r="E726" s="192" t="s">
        <v>210</v>
      </c>
      <c r="F726" s="192">
        <f>ROUND(D726*$C726/100,0)</f>
        <v>-12</v>
      </c>
      <c r="G726" s="208">
        <f>$G$624</f>
        <v>-30</v>
      </c>
      <c r="H726" s="192" t="s">
        <v>210</v>
      </c>
      <c r="I726" s="192">
        <f>ROUND(G726*$C726/100,0)</f>
        <v>-12</v>
      </c>
      <c r="J726" s="208">
        <f>$J$624</f>
        <v>-30</v>
      </c>
      <c r="K726" s="192" t="s">
        <v>210</v>
      </c>
      <c r="L726" s="192">
        <f>ROUND(J726*$C726/100,0)</f>
        <v>-12</v>
      </c>
      <c r="N726" s="52"/>
      <c r="O726" s="52"/>
      <c r="P726" s="105"/>
      <c r="Q726" s="105"/>
      <c r="R726" s="105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</row>
    <row r="727" spans="1:35" hidden="1">
      <c r="A727" s="141" t="s">
        <v>215</v>
      </c>
      <c r="B727" s="141"/>
      <c r="C727" s="190">
        <f>SUM(C704:C704)</f>
        <v>22479353</v>
      </c>
      <c r="D727" s="200"/>
      <c r="E727" s="123"/>
      <c r="F727" s="123">
        <f>SUM(F684:F726)</f>
        <v>1571390</v>
      </c>
      <c r="G727" s="200"/>
      <c r="H727" s="194"/>
      <c r="I727" s="123">
        <f>SUM(I684:I726)</f>
        <v>1765387</v>
      </c>
      <c r="J727" s="200"/>
      <c r="K727" s="194"/>
      <c r="L727" s="123">
        <f>SUM(L684:L726)</f>
        <v>1791865</v>
      </c>
      <c r="N727" s="52"/>
      <c r="O727" s="52"/>
      <c r="P727" s="105"/>
      <c r="Q727" s="105"/>
      <c r="R727" s="105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</row>
    <row r="728" spans="1:35" hidden="1">
      <c r="A728" s="141" t="s">
        <v>197</v>
      </c>
      <c r="B728" s="141"/>
      <c r="C728" s="227">
        <v>22573.323353244232</v>
      </c>
      <c r="D728" s="175"/>
      <c r="E728" s="175"/>
      <c r="F728" s="176">
        <v>1483.6149407639039</v>
      </c>
      <c r="G728" s="175"/>
      <c r="H728" s="175"/>
      <c r="I728" s="176">
        <f>F728</f>
        <v>1483.6149407639039</v>
      </c>
      <c r="J728" s="175"/>
      <c r="K728" s="175"/>
      <c r="L728" s="176">
        <f>F728</f>
        <v>1483.6149407639039</v>
      </c>
      <c r="N728" s="156"/>
      <c r="O728" s="156"/>
      <c r="P728" s="154"/>
      <c r="Q728" s="105"/>
      <c r="R728" s="105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</row>
    <row r="729" spans="1:35" ht="16.5" hidden="1" thickBot="1">
      <c r="A729" s="141" t="s">
        <v>216</v>
      </c>
      <c r="B729" s="141"/>
      <c r="C729" s="241">
        <f>SUM(C727:C728)</f>
        <v>22501926.323353246</v>
      </c>
      <c r="D729" s="213"/>
      <c r="E729" s="214"/>
      <c r="F729" s="215">
        <f>F727+F728</f>
        <v>1572873.6149407639</v>
      </c>
      <c r="G729" s="213"/>
      <c r="H729" s="216"/>
      <c r="I729" s="215">
        <f>I727+I728</f>
        <v>1766870.6149407639</v>
      </c>
      <c r="J729" s="213"/>
      <c r="K729" s="216"/>
      <c r="L729" s="215">
        <f>L727+L728</f>
        <v>1793348.6149407639</v>
      </c>
      <c r="N729" s="157"/>
      <c r="O729" s="157"/>
      <c r="P729" s="158"/>
      <c r="Q729" s="105"/>
      <c r="R729" s="105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</row>
    <row r="730" spans="1:35" hidden="1">
      <c r="A730" s="169"/>
      <c r="B730" s="258"/>
      <c r="C730" s="169"/>
      <c r="D730" s="160"/>
      <c r="E730" s="160"/>
      <c r="F730" s="259"/>
      <c r="G730" s="160"/>
      <c r="H730" s="169"/>
      <c r="I730" s="259" t="s">
        <v>280</v>
      </c>
      <c r="J730" s="169"/>
      <c r="K730" s="169"/>
      <c r="L730" s="169"/>
      <c r="N730" s="52"/>
      <c r="O730" s="52"/>
      <c r="P730" s="105"/>
      <c r="Q730" s="105"/>
      <c r="R730" s="105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</row>
    <row r="731" spans="1:35">
      <c r="A731" s="159" t="s">
        <v>156</v>
      </c>
      <c r="B731" s="141"/>
      <c r="C731" s="141"/>
      <c r="D731" s="123"/>
      <c r="E731" s="123"/>
      <c r="F731" s="141"/>
      <c r="G731" s="123"/>
      <c r="H731" s="141"/>
      <c r="I731" s="141"/>
      <c r="J731" s="123"/>
      <c r="K731" s="141"/>
      <c r="L731" s="141"/>
      <c r="N731" s="52"/>
      <c r="O731" s="52"/>
      <c r="P731" s="105"/>
      <c r="Q731" s="105"/>
      <c r="R731" s="105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</row>
    <row r="732" spans="1:35">
      <c r="A732" s="175" t="s">
        <v>157</v>
      </c>
      <c r="B732" s="141"/>
      <c r="C732" s="141"/>
      <c r="D732" s="123"/>
      <c r="E732" s="123"/>
      <c r="F732" s="141"/>
      <c r="G732" s="123"/>
      <c r="H732" s="141"/>
      <c r="I732" s="141"/>
      <c r="J732" s="123"/>
      <c r="K732" s="141"/>
      <c r="L732" s="141"/>
      <c r="N732" s="52"/>
      <c r="O732" s="52"/>
      <c r="P732" s="105"/>
      <c r="Q732" s="105"/>
      <c r="R732" s="105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</row>
    <row r="733" spans="1:35">
      <c r="A733" s="194"/>
      <c r="B733" s="141"/>
      <c r="C733" s="141"/>
      <c r="D733" s="123"/>
      <c r="E733" s="123"/>
      <c r="F733" s="141"/>
      <c r="G733" s="123"/>
      <c r="H733" s="141"/>
      <c r="I733" s="141"/>
      <c r="J733" s="123"/>
      <c r="K733" s="141"/>
      <c r="L733" s="141"/>
      <c r="N733" s="52"/>
      <c r="O733" s="52"/>
      <c r="P733" s="105"/>
      <c r="Q733" s="105"/>
      <c r="R733" s="105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</row>
    <row r="734" spans="1:35">
      <c r="A734" s="194" t="s">
        <v>228</v>
      </c>
      <c r="B734" s="141"/>
      <c r="C734" s="190"/>
      <c r="D734" s="123"/>
      <c r="E734" s="123"/>
      <c r="F734" s="141"/>
      <c r="G734" s="123"/>
      <c r="H734" s="141"/>
      <c r="I734" s="141"/>
      <c r="J734" s="123"/>
      <c r="K734" s="141"/>
      <c r="L734" s="141"/>
      <c r="N734" s="52"/>
      <c r="O734" s="52"/>
      <c r="P734" s="105"/>
      <c r="Q734" s="105"/>
      <c r="R734" s="105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</row>
    <row r="735" spans="1:35">
      <c r="A735" s="194" t="s">
        <v>158</v>
      </c>
      <c r="B735" s="141"/>
      <c r="C735" s="190">
        <v>12</v>
      </c>
      <c r="D735" s="260">
        <v>1215</v>
      </c>
      <c r="E735" s="207"/>
      <c r="F735" s="123">
        <f>ROUND(D735*$C735,0)</f>
        <v>14580</v>
      </c>
      <c r="G735" s="260">
        <f>G791</f>
        <v>1365</v>
      </c>
      <c r="H735" s="192"/>
      <c r="I735" s="123">
        <f>ROUND(G735*C735,0)</f>
        <v>16380</v>
      </c>
      <c r="J735" s="260">
        <f>J809</f>
        <v>1386</v>
      </c>
      <c r="K735" s="192"/>
      <c r="L735" s="123">
        <f>ROUND(J735*$C735,0)</f>
        <v>16632</v>
      </c>
      <c r="N735" s="124" t="e">
        <f>J735*#REF!</f>
        <v>#REF!</v>
      </c>
      <c r="P735" s="6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</row>
    <row r="736" spans="1:35">
      <c r="A736" s="194" t="s">
        <v>159</v>
      </c>
      <c r="B736" s="141"/>
      <c r="C736" s="190">
        <v>0</v>
      </c>
      <c r="D736" s="260">
        <v>1465</v>
      </c>
      <c r="E736" s="207"/>
      <c r="F736" s="123">
        <f>ROUND(D736*$C736,0)</f>
        <v>0</v>
      </c>
      <c r="G736" s="260">
        <f>G792</f>
        <v>1650</v>
      </c>
      <c r="H736" s="195"/>
      <c r="I736" s="123">
        <f>ROUND(G736*C736,0)</f>
        <v>0</v>
      </c>
      <c r="J736" s="260">
        <f>J810</f>
        <v>1675</v>
      </c>
      <c r="K736" s="195"/>
      <c r="L736" s="123">
        <f>ROUND(J736*$C736,0)</f>
        <v>0</v>
      </c>
      <c r="N736" s="124" t="e">
        <f>J736*#REF!</f>
        <v>#REF!</v>
      </c>
      <c r="P736" s="6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</row>
    <row r="737" spans="1:35">
      <c r="A737" s="194" t="s">
        <v>229</v>
      </c>
      <c r="B737" s="141"/>
      <c r="C737" s="190">
        <f>SUM(C735:C736)</f>
        <v>12</v>
      </c>
      <c r="D737" s="260" t="s">
        <v>280</v>
      </c>
      <c r="E737" s="207"/>
      <c r="F737" s="123" t="s">
        <v>280</v>
      </c>
      <c r="G737" s="260" t="s">
        <v>280</v>
      </c>
      <c r="H737" s="192"/>
      <c r="I737" s="123" t="s">
        <v>280</v>
      </c>
      <c r="J737" s="260" t="str">
        <f>P776</f>
        <v xml:space="preserve"> </v>
      </c>
      <c r="K737" s="192"/>
      <c r="L737" s="123" t="s">
        <v>280</v>
      </c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</row>
    <row r="738" spans="1:35">
      <c r="A738" s="194" t="s">
        <v>160</v>
      </c>
      <c r="B738" s="141"/>
      <c r="C738" s="190">
        <v>23080</v>
      </c>
      <c r="D738" s="260">
        <v>0.92</v>
      </c>
      <c r="E738" s="207"/>
      <c r="F738" s="123">
        <f>ROUND(D738*$C738,0)</f>
        <v>21234</v>
      </c>
      <c r="G738" s="260">
        <f>G794</f>
        <v>1.04</v>
      </c>
      <c r="H738" s="192"/>
      <c r="I738" s="123">
        <f t="shared" ref="I738:I740" si="109">ROUND(G738*C738,0)</f>
        <v>24003</v>
      </c>
      <c r="J738" s="260">
        <f>J812</f>
        <v>1.06</v>
      </c>
      <c r="K738" s="192"/>
      <c r="L738" s="123">
        <f>ROUND(J738*$C738,0)</f>
        <v>24465</v>
      </c>
      <c r="N738" s="124" t="e">
        <f>J738*#REF!</f>
        <v>#REF!</v>
      </c>
      <c r="P738" s="6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</row>
    <row r="739" spans="1:35">
      <c r="A739" s="194" t="s">
        <v>161</v>
      </c>
      <c r="B739" s="141"/>
      <c r="C739" s="190">
        <v>0</v>
      </c>
      <c r="D739" s="260">
        <v>0.84</v>
      </c>
      <c r="E739" s="207"/>
      <c r="F739" s="123">
        <f>ROUND(D739*$C739,0)</f>
        <v>0</v>
      </c>
      <c r="G739" s="260">
        <f t="shared" ref="G739:G740" si="110">G795</f>
        <v>0.95</v>
      </c>
      <c r="H739" s="192"/>
      <c r="I739" s="123">
        <f t="shared" si="109"/>
        <v>0</v>
      </c>
      <c r="J739" s="260">
        <f>J813</f>
        <v>0.96</v>
      </c>
      <c r="K739" s="192"/>
      <c r="L739" s="123">
        <f>ROUND(J739*$C739,0)</f>
        <v>0</v>
      </c>
      <c r="N739" s="124" t="e">
        <f>J739*#REF!</f>
        <v>#REF!</v>
      </c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</row>
    <row r="740" spans="1:35">
      <c r="A740" s="175" t="s">
        <v>237</v>
      </c>
      <c r="B740" s="141"/>
      <c r="C740" s="190">
        <v>17245</v>
      </c>
      <c r="D740" s="260">
        <v>6.22</v>
      </c>
      <c r="E740" s="207"/>
      <c r="F740" s="123">
        <f>ROUND(D740*$C740,0)</f>
        <v>107264</v>
      </c>
      <c r="G740" s="260">
        <f t="shared" si="110"/>
        <v>7.02</v>
      </c>
      <c r="H740" s="192"/>
      <c r="I740" s="123">
        <f t="shared" si="109"/>
        <v>121060</v>
      </c>
      <c r="J740" s="260">
        <f>J814</f>
        <v>7.12</v>
      </c>
      <c r="K740" s="192"/>
      <c r="L740" s="123">
        <f>ROUND(J740*$C740,0)</f>
        <v>122784</v>
      </c>
      <c r="N740" s="124" t="e">
        <f>J740*#REF!</f>
        <v>#REF!</v>
      </c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</row>
    <row r="741" spans="1:35">
      <c r="A741" s="194" t="s">
        <v>258</v>
      </c>
      <c r="B741" s="141"/>
      <c r="C741" s="190"/>
      <c r="D741" s="260"/>
      <c r="E741" s="207"/>
      <c r="F741" s="123"/>
      <c r="G741" s="260"/>
      <c r="H741" s="192"/>
      <c r="I741" s="123"/>
      <c r="J741" s="260"/>
      <c r="K741" s="192"/>
      <c r="L741" s="123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</row>
    <row r="742" spans="1:35">
      <c r="A742" s="194" t="s">
        <v>151</v>
      </c>
      <c r="B742" s="141"/>
      <c r="C742" s="190">
        <v>1617598</v>
      </c>
      <c r="D742" s="274">
        <v>3.718</v>
      </c>
      <c r="E742" s="192" t="s">
        <v>210</v>
      </c>
      <c r="F742" s="123">
        <f>ROUND(D742/100*$C742,0)</f>
        <v>60142</v>
      </c>
      <c r="G742" s="274">
        <f>G798</f>
        <v>4.1850000000000005</v>
      </c>
      <c r="H742" s="192" t="s">
        <v>210</v>
      </c>
      <c r="I742" s="123">
        <f>ROUND(G742/100*C742,0)</f>
        <v>67696</v>
      </c>
      <c r="J742" s="274">
        <f>J816</f>
        <v>4.2460000000000004</v>
      </c>
      <c r="K742" s="192" t="s">
        <v>210</v>
      </c>
      <c r="L742" s="123">
        <f>ROUND(J742/100*$C742,0)</f>
        <v>68683</v>
      </c>
      <c r="N742" s="124" t="e">
        <f>(J742/100)*#REF!</f>
        <v>#REF!</v>
      </c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</row>
    <row r="743" spans="1:35">
      <c r="A743" s="194" t="s">
        <v>234</v>
      </c>
      <c r="B743" s="141"/>
      <c r="C743" s="190">
        <v>0</v>
      </c>
      <c r="D743" s="260">
        <v>0.48</v>
      </c>
      <c r="E743" s="192"/>
      <c r="F743" s="123">
        <f>ROUND(D743*$C743,0)</f>
        <v>0</v>
      </c>
      <c r="G743" s="260">
        <f>G799</f>
        <v>0.54</v>
      </c>
      <c r="H743" s="192"/>
      <c r="I743" s="123">
        <f>ROUND(G743*C743,0)</f>
        <v>0</v>
      </c>
      <c r="J743" s="260">
        <f>J817</f>
        <v>0.55000000000000004</v>
      </c>
      <c r="K743" s="192"/>
      <c r="L743" s="123">
        <f>ROUND(J743*$C743,0)</f>
        <v>0</v>
      </c>
      <c r="N743" s="124" t="e">
        <f>J743*#REF!</f>
        <v>#REF!</v>
      </c>
      <c r="O743" s="190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</row>
    <row r="744" spans="1:35">
      <c r="A744" s="175" t="s">
        <v>260</v>
      </c>
      <c r="B744" s="141"/>
      <c r="C744" s="190">
        <v>0</v>
      </c>
      <c r="D744" s="275">
        <v>5.9999999999999995E-4</v>
      </c>
      <c r="E744" s="192"/>
      <c r="F744" s="123">
        <f>ROUND(D744*$C744,0)</f>
        <v>0</v>
      </c>
      <c r="G744" s="275">
        <v>5.9999999999999995E-4</v>
      </c>
      <c r="H744" s="192"/>
      <c r="I744" s="123">
        <f>ROUND(G744*C744,0)</f>
        <v>0</v>
      </c>
      <c r="J744" s="275">
        <v>5.9999999999999995E-4</v>
      </c>
      <c r="K744" s="192"/>
      <c r="L744" s="123">
        <f>ROUND(J744*$C744,0)</f>
        <v>0</v>
      </c>
      <c r="N744" s="124" t="e">
        <f>J744*#REF!</f>
        <v>#REF!</v>
      </c>
      <c r="O744" s="190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</row>
    <row r="745" spans="1:35">
      <c r="A745" s="175" t="s">
        <v>265</v>
      </c>
      <c r="B745" s="141"/>
      <c r="C745" s="190">
        <v>1955</v>
      </c>
      <c r="D745" s="276">
        <v>3.11</v>
      </c>
      <c r="E745" s="192"/>
      <c r="F745" s="192">
        <f>ROUND(D745*$C745,0)</f>
        <v>6080</v>
      </c>
      <c r="G745" s="276">
        <f>ROUND(G740/2,2)</f>
        <v>3.51</v>
      </c>
      <c r="H745" s="192"/>
      <c r="I745" s="192">
        <f>ROUND(G745*$C745,0)</f>
        <v>6862</v>
      </c>
      <c r="J745" s="276">
        <f>ROUND(J740/2,3)</f>
        <v>3.56</v>
      </c>
      <c r="K745" s="192"/>
      <c r="L745" s="192">
        <f>ROUND($C745*J745,0)</f>
        <v>6960</v>
      </c>
      <c r="N745" s="124" t="e">
        <f>J745*#REF!</f>
        <v>#REF!</v>
      </c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</row>
    <row r="746" spans="1:35">
      <c r="A746" s="175" t="s">
        <v>266</v>
      </c>
      <c r="B746" s="141"/>
      <c r="C746" s="190">
        <v>1085</v>
      </c>
      <c r="D746" s="204">
        <v>24.88</v>
      </c>
      <c r="E746" s="192"/>
      <c r="F746" s="192">
        <f>ROUND(D746*$C746,0)</f>
        <v>26995</v>
      </c>
      <c r="G746" s="204">
        <f>G740*4</f>
        <v>28.08</v>
      </c>
      <c r="H746" s="192"/>
      <c r="I746" s="192">
        <f>ROUND(G746*$C746,0)</f>
        <v>30467</v>
      </c>
      <c r="J746" s="204">
        <f>J740*4</f>
        <v>28.48</v>
      </c>
      <c r="K746" s="192"/>
      <c r="L746" s="192">
        <f>ROUND($C746*J746,0)</f>
        <v>30901</v>
      </c>
      <c r="N746" s="124" t="e">
        <f>J746*#REF!</f>
        <v>#REF!</v>
      </c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</row>
    <row r="747" spans="1:35">
      <c r="A747" s="104" t="s">
        <v>267</v>
      </c>
      <c r="B747" s="169"/>
      <c r="C747" s="190">
        <v>11600</v>
      </c>
      <c r="D747" s="277">
        <v>14.872</v>
      </c>
      <c r="E747" s="192" t="s">
        <v>210</v>
      </c>
      <c r="F747" s="192">
        <f>ROUND($C747*D747/100,0)</f>
        <v>1725</v>
      </c>
      <c r="G747" s="277">
        <f>G742*4</f>
        <v>16.740000000000002</v>
      </c>
      <c r="H747" s="192" t="s">
        <v>210</v>
      </c>
      <c r="I747" s="192">
        <f>ROUND($C747*G747/100,0)</f>
        <v>1942</v>
      </c>
      <c r="J747" s="277">
        <f>J742*4</f>
        <v>16.984000000000002</v>
      </c>
      <c r="K747" s="192" t="s">
        <v>210</v>
      </c>
      <c r="L747" s="192">
        <f>ROUND($C747*J747/100,0)</f>
        <v>1970</v>
      </c>
      <c r="N747" s="124" t="e">
        <f>(J747/100)*#REF!</f>
        <v>#REF!</v>
      </c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</row>
    <row r="748" spans="1:35">
      <c r="A748" s="141" t="s">
        <v>215</v>
      </c>
      <c r="B748" s="141"/>
      <c r="C748" s="190">
        <f>C742+C747</f>
        <v>1629198</v>
      </c>
      <c r="D748" s="200"/>
      <c r="E748" s="123"/>
      <c r="F748" s="123">
        <f>SUM(F735:F747)</f>
        <v>238020</v>
      </c>
      <c r="G748" s="200"/>
      <c r="H748" s="141"/>
      <c r="I748" s="123">
        <f>SUM(I735:I747)</f>
        <v>268410</v>
      </c>
      <c r="J748" s="200"/>
      <c r="K748" s="141"/>
      <c r="L748" s="123">
        <f>SUM(L735:L747)</f>
        <v>272395</v>
      </c>
      <c r="N748" s="124" t="e">
        <f>SUM(N735:N747)</f>
        <v>#REF!</v>
      </c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</row>
    <row r="749" spans="1:35">
      <c r="A749" s="141" t="s">
        <v>197</v>
      </c>
      <c r="B749" s="141"/>
      <c r="C749" s="190">
        <v>-29155.389111267126</v>
      </c>
      <c r="D749" s="175"/>
      <c r="E749" s="175"/>
      <c r="F749" s="211">
        <v>-3909.4046600286574</v>
      </c>
      <c r="G749" s="175"/>
      <c r="H749" s="175"/>
      <c r="I749" s="211">
        <f>F749</f>
        <v>-3909.4046600286574</v>
      </c>
      <c r="J749" s="175"/>
      <c r="K749" s="175"/>
      <c r="L749" s="211">
        <f>F749</f>
        <v>-3909.4046600286574</v>
      </c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</row>
    <row r="750" spans="1:35" ht="16.5" thickBot="1">
      <c r="A750" s="141" t="s">
        <v>216</v>
      </c>
      <c r="B750" s="141"/>
      <c r="C750" s="278">
        <f>SUM(C748)+C749</f>
        <v>1600042.6108887328</v>
      </c>
      <c r="D750" s="213"/>
      <c r="E750" s="214"/>
      <c r="F750" s="215">
        <f>F748+F749</f>
        <v>234110.59533997133</v>
      </c>
      <c r="G750" s="213"/>
      <c r="H750" s="216"/>
      <c r="I750" s="215">
        <f>I748+I749</f>
        <v>264500.59533997136</v>
      </c>
      <c r="J750" s="213"/>
      <c r="K750" s="216"/>
      <c r="L750" s="215">
        <f>L748+L749</f>
        <v>268485.59533997136</v>
      </c>
      <c r="O750" s="136" t="s">
        <v>199</v>
      </c>
      <c r="P750" s="137">
        <v>268460.33994370443</v>
      </c>
      <c r="Q750" s="138">
        <v>1.4970645335007433E-2</v>
      </c>
      <c r="R750" s="139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</row>
    <row r="751" spans="1:35" ht="16.5" thickTop="1">
      <c r="A751" s="141"/>
      <c r="B751" s="141"/>
      <c r="C751" s="160"/>
      <c r="D751" s="207"/>
      <c r="E751" s="123"/>
      <c r="F751" s="123"/>
      <c r="G751" s="207"/>
      <c r="H751" s="141"/>
      <c r="I751" s="123"/>
      <c r="J751" s="207"/>
      <c r="K751" s="141"/>
      <c r="L751" s="260"/>
      <c r="O751" s="142" t="s">
        <v>200</v>
      </c>
      <c r="P751" s="143">
        <f>P750-L750</f>
        <v>-25.255396266933531</v>
      </c>
      <c r="Q751" s="144" t="s">
        <v>280</v>
      </c>
      <c r="R751" s="96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</row>
    <row r="752" spans="1:35">
      <c r="A752" s="159" t="s">
        <v>162</v>
      </c>
      <c r="B752" s="141"/>
      <c r="C752" s="141"/>
      <c r="D752" s="123"/>
      <c r="E752" s="123"/>
      <c r="F752" s="141"/>
      <c r="G752" s="123"/>
      <c r="H752" s="141"/>
      <c r="I752" s="141"/>
      <c r="J752" s="123"/>
      <c r="K752" s="141"/>
      <c r="L752" s="141"/>
      <c r="N752" s="52"/>
      <c r="O752" s="52"/>
      <c r="P752" s="105"/>
      <c r="Q752" s="105"/>
      <c r="R752" s="105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</row>
    <row r="753" spans="1:38">
      <c r="A753" s="175" t="s">
        <v>163</v>
      </c>
      <c r="B753" s="141"/>
      <c r="C753" s="141"/>
      <c r="D753" s="123"/>
      <c r="E753" s="123"/>
      <c r="F753" s="141"/>
      <c r="G753" s="123"/>
      <c r="H753" s="141"/>
      <c r="I753" s="141"/>
      <c r="J753" s="123"/>
      <c r="K753" s="141"/>
      <c r="L753" s="141"/>
      <c r="N753" s="52"/>
      <c r="O753" s="52"/>
      <c r="P753" s="105"/>
      <c r="Q753" s="105"/>
      <c r="R753" s="105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</row>
    <row r="754" spans="1:38">
      <c r="A754" s="194"/>
      <c r="B754" s="141"/>
      <c r="C754" s="141"/>
      <c r="D754" s="123"/>
      <c r="E754" s="123"/>
      <c r="F754" s="141"/>
      <c r="G754" s="123"/>
      <c r="H754" s="141"/>
      <c r="I754" s="141"/>
      <c r="J754" s="123"/>
      <c r="K754" s="141"/>
      <c r="L754" s="141"/>
      <c r="N754" s="52"/>
      <c r="O754" s="52"/>
      <c r="P754" s="105"/>
      <c r="Q754" s="105"/>
      <c r="R754" s="105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</row>
    <row r="755" spans="1:38">
      <c r="A755" s="194" t="s">
        <v>228</v>
      </c>
      <c r="B755" s="141"/>
      <c r="C755" s="190"/>
      <c r="D755" s="123"/>
      <c r="E755" s="123"/>
      <c r="F755" s="141"/>
      <c r="G755" s="123"/>
      <c r="H755" s="141"/>
      <c r="I755" s="141"/>
      <c r="J755" s="123"/>
      <c r="K755" s="141"/>
      <c r="L755" s="141"/>
      <c r="N755" s="52"/>
      <c r="O755" s="52"/>
      <c r="P755" s="105"/>
      <c r="Q755" s="105"/>
      <c r="R755" s="105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</row>
    <row r="756" spans="1:38">
      <c r="A756" s="194" t="s">
        <v>158</v>
      </c>
      <c r="B756" s="141"/>
      <c r="C756" s="190">
        <f t="shared" ref="C756:C761" si="111">C774+C931</f>
        <v>673</v>
      </c>
      <c r="D756" s="207"/>
      <c r="E756" s="207"/>
      <c r="F756" s="123">
        <f>F774+F931</f>
        <v>821625</v>
      </c>
      <c r="G756" s="207"/>
      <c r="H756" s="192"/>
      <c r="I756" s="123">
        <f>I774+I931</f>
        <v>923230</v>
      </c>
      <c r="J756" s="207"/>
      <c r="K756" s="192"/>
      <c r="L756" s="123">
        <f>L774+L931</f>
        <v>937101</v>
      </c>
      <c r="N756" s="124" t="e">
        <f>J756*#REF!</f>
        <v>#REF!</v>
      </c>
      <c r="P756" s="62" t="s">
        <v>280</v>
      </c>
      <c r="Q756" s="104"/>
      <c r="R756" s="104"/>
      <c r="Z756" s="199"/>
      <c r="AA756" s="199"/>
      <c r="AG756" s="52"/>
      <c r="AH756" s="52"/>
      <c r="AI756" s="52"/>
      <c r="AJ756" s="52"/>
      <c r="AK756" s="52"/>
      <c r="AL756" s="52"/>
    </row>
    <row r="757" spans="1:38">
      <c r="A757" s="194" t="s">
        <v>159</v>
      </c>
      <c r="B757" s="141"/>
      <c r="C757" s="190">
        <f t="shared" si="111"/>
        <v>16</v>
      </c>
      <c r="D757" s="207"/>
      <c r="E757" s="207"/>
      <c r="F757" s="123">
        <f>F775+F932</f>
        <v>31110</v>
      </c>
      <c r="G757" s="207"/>
      <c r="H757" s="195"/>
      <c r="I757" s="123">
        <f>I775+I932</f>
        <v>36804</v>
      </c>
      <c r="J757" s="207"/>
      <c r="K757" s="195"/>
      <c r="L757" s="123">
        <f>L775+L932</f>
        <v>37100</v>
      </c>
      <c r="N757" s="124" t="e">
        <f>J757*#REF!</f>
        <v>#REF!</v>
      </c>
      <c r="P757" s="62" t="s">
        <v>280</v>
      </c>
      <c r="Q757" s="104"/>
      <c r="R757" s="104"/>
      <c r="S757" s="168"/>
      <c r="T757" s="168"/>
      <c r="U757" s="168"/>
      <c r="V757" s="168"/>
      <c r="W757" s="168"/>
      <c r="X757" s="168"/>
      <c r="Y757" s="92"/>
      <c r="Z757" s="199"/>
      <c r="AA757" s="199"/>
      <c r="AG757" s="52"/>
      <c r="AH757" s="52"/>
      <c r="AI757" s="52"/>
      <c r="AJ757" s="52"/>
      <c r="AK757" s="52"/>
      <c r="AL757" s="52"/>
    </row>
    <row r="758" spans="1:38">
      <c r="A758" s="194" t="s">
        <v>229</v>
      </c>
      <c r="B758" s="141"/>
      <c r="C758" s="190">
        <f t="shared" si="111"/>
        <v>689</v>
      </c>
      <c r="D758" s="207"/>
      <c r="E758" s="207"/>
      <c r="F758" s="123"/>
      <c r="G758" s="207"/>
      <c r="H758" s="192"/>
      <c r="I758" s="123"/>
      <c r="J758" s="207"/>
      <c r="K758" s="192"/>
      <c r="L758" s="123"/>
      <c r="P758" s="191"/>
      <c r="Q758" s="104"/>
      <c r="R758" s="104"/>
      <c r="S758" s="168"/>
      <c r="T758" s="168"/>
      <c r="U758" s="168"/>
      <c r="V758" s="168"/>
      <c r="W758" s="168"/>
      <c r="X758" s="168"/>
      <c r="Y758" s="92"/>
      <c r="AG758" s="52"/>
      <c r="AH758" s="52"/>
      <c r="AI758" s="52"/>
      <c r="AJ758" s="52"/>
      <c r="AK758" s="52"/>
      <c r="AL758" s="52"/>
    </row>
    <row r="759" spans="1:38">
      <c r="A759" s="194" t="s">
        <v>160</v>
      </c>
      <c r="B759" s="141"/>
      <c r="C759" s="190">
        <f t="shared" si="111"/>
        <v>1001578</v>
      </c>
      <c r="D759" s="207"/>
      <c r="E759" s="207"/>
      <c r="F759" s="123">
        <f>F777+F934</f>
        <v>822407</v>
      </c>
      <c r="G759" s="207"/>
      <c r="H759" s="192"/>
      <c r="I759" s="123">
        <f>I777+I934</f>
        <v>932059</v>
      </c>
      <c r="J759" s="207"/>
      <c r="K759" s="192"/>
      <c r="L759" s="123">
        <f>L777+L934</f>
        <v>949984</v>
      </c>
      <c r="N759" s="124" t="e">
        <f>J759*#REF!</f>
        <v>#REF!</v>
      </c>
      <c r="P759" s="62" t="s">
        <v>280</v>
      </c>
      <c r="Q759" s="104"/>
      <c r="R759" s="104"/>
      <c r="S759" s="168"/>
      <c r="T759" s="168"/>
      <c r="U759" s="168"/>
      <c r="V759" s="168"/>
      <c r="W759" s="168"/>
      <c r="X759" s="168"/>
      <c r="Y759" s="92"/>
      <c r="AG759" s="52"/>
      <c r="AH759" s="52"/>
      <c r="AI759" s="52"/>
      <c r="AJ759" s="52"/>
      <c r="AK759" s="52"/>
      <c r="AL759" s="52"/>
    </row>
    <row r="760" spans="1:38">
      <c r="A760" s="194" t="s">
        <v>161</v>
      </c>
      <c r="B760" s="141"/>
      <c r="C760" s="190">
        <f t="shared" si="111"/>
        <v>711179</v>
      </c>
      <c r="D760" s="207"/>
      <c r="E760" s="207"/>
      <c r="F760" s="123">
        <f>F778+F935</f>
        <v>149220</v>
      </c>
      <c r="G760" s="207"/>
      <c r="H760" s="192"/>
      <c r="I760" s="123">
        <f>I778+I935</f>
        <v>171320</v>
      </c>
      <c r="J760" s="207"/>
      <c r="K760" s="192"/>
      <c r="L760" s="123">
        <f>L778+L935</f>
        <v>171491</v>
      </c>
      <c r="N760" s="124" t="e">
        <f>J760*#REF!</f>
        <v>#REF!</v>
      </c>
      <c r="P760" s="62" t="s">
        <v>280</v>
      </c>
      <c r="Q760" s="104"/>
      <c r="R760" s="104"/>
      <c r="S760" s="168"/>
      <c r="T760" s="168"/>
      <c r="U760" s="168"/>
      <c r="V760" s="168"/>
      <c r="W760" s="168"/>
      <c r="X760" s="168"/>
      <c r="Y760" s="92"/>
      <c r="AG760" s="52"/>
      <c r="AH760" s="52"/>
      <c r="AI760" s="52"/>
      <c r="AJ760" s="52"/>
      <c r="AK760" s="52"/>
      <c r="AL760" s="52"/>
    </row>
    <row r="761" spans="1:38">
      <c r="A761" s="175" t="s">
        <v>237</v>
      </c>
      <c r="B761" s="141"/>
      <c r="C761" s="190">
        <f t="shared" si="111"/>
        <v>1501696</v>
      </c>
      <c r="D761" s="207"/>
      <c r="E761" s="207"/>
      <c r="F761" s="123">
        <f>F779+F936</f>
        <v>9234324</v>
      </c>
      <c r="G761" s="207"/>
      <c r="H761" s="192"/>
      <c r="I761" s="123">
        <f>I779+I936</f>
        <v>10409980</v>
      </c>
      <c r="J761" s="207"/>
      <c r="K761" s="192"/>
      <c r="L761" s="123">
        <f>L779+L936</f>
        <v>10553298</v>
      </c>
      <c r="N761" s="124" t="e">
        <f>J761*#REF!</f>
        <v>#REF!</v>
      </c>
      <c r="P761" s="62" t="s">
        <v>280</v>
      </c>
      <c r="Q761" s="104"/>
      <c r="R761" s="104"/>
      <c r="S761" s="168"/>
      <c r="T761" s="168"/>
      <c r="U761" s="168"/>
      <c r="V761" s="168"/>
      <c r="W761" s="168"/>
      <c r="X761" s="168"/>
      <c r="Y761" s="92"/>
      <c r="AG761" s="52"/>
      <c r="AH761" s="52"/>
      <c r="AI761" s="52"/>
      <c r="AJ761" s="52"/>
      <c r="AK761" s="52"/>
      <c r="AL761" s="52"/>
    </row>
    <row r="762" spans="1:38">
      <c r="A762" s="194" t="s">
        <v>258</v>
      </c>
      <c r="B762" s="141"/>
      <c r="C762" s="190"/>
      <c r="D762" s="207"/>
      <c r="E762" s="207"/>
      <c r="F762" s="123"/>
      <c r="G762" s="207"/>
      <c r="H762" s="192"/>
      <c r="I762" s="123"/>
      <c r="J762" s="207"/>
      <c r="K762" s="192"/>
      <c r="L762" s="123"/>
      <c r="P762" s="191"/>
      <c r="AB762" s="52"/>
      <c r="AC762" s="52"/>
      <c r="AD762" s="52"/>
      <c r="AE762" s="52"/>
      <c r="AF762" s="52"/>
      <c r="AG762" s="52"/>
      <c r="AH762" s="52"/>
      <c r="AI762" s="52"/>
    </row>
    <row r="763" spans="1:38">
      <c r="A763" s="194" t="s">
        <v>151</v>
      </c>
      <c r="B763" s="141"/>
      <c r="C763" s="190">
        <f>C781+C938</f>
        <v>812352351</v>
      </c>
      <c r="D763" s="266"/>
      <c r="E763" s="192"/>
      <c r="F763" s="123">
        <f>F781+F938</f>
        <v>29903919</v>
      </c>
      <c r="G763" s="266"/>
      <c r="H763" s="192"/>
      <c r="I763" s="123">
        <f>I781+I938</f>
        <v>33681218</v>
      </c>
      <c r="J763" s="279"/>
      <c r="K763" s="192"/>
      <c r="L763" s="123">
        <f>L781+L938</f>
        <v>34186573</v>
      </c>
      <c r="N763" s="124" t="e">
        <f>(J763/100)*#REF!</f>
        <v>#REF!</v>
      </c>
      <c r="P763" s="62" t="s">
        <v>280</v>
      </c>
      <c r="AB763" s="52"/>
      <c r="AC763" s="52"/>
      <c r="AD763" s="52"/>
      <c r="AE763" s="52"/>
      <c r="AF763" s="52"/>
      <c r="AG763" s="52"/>
      <c r="AH763" s="52"/>
      <c r="AI763" s="52"/>
    </row>
    <row r="764" spans="1:38">
      <c r="A764" s="194" t="s">
        <v>234</v>
      </c>
      <c r="B764" s="141"/>
      <c r="C764" s="190">
        <f>C782+C939</f>
        <v>381432</v>
      </c>
      <c r="D764" s="207"/>
      <c r="E764" s="192"/>
      <c r="F764" s="123">
        <f>F782+F939</f>
        <v>179371</v>
      </c>
      <c r="G764" s="207"/>
      <c r="H764" s="192"/>
      <c r="I764" s="123">
        <f>I782+I939</f>
        <v>202258</v>
      </c>
      <c r="J764" s="207"/>
      <c r="K764" s="192"/>
      <c r="L764" s="123">
        <f>L782+L939</f>
        <v>206072</v>
      </c>
      <c r="N764" s="124" t="e">
        <f>J764*#REF!</f>
        <v>#REF!</v>
      </c>
      <c r="O764" s="191"/>
      <c r="P764" s="62" t="s">
        <v>280</v>
      </c>
      <c r="AB764" s="52"/>
      <c r="AC764" s="52"/>
      <c r="AD764" s="52"/>
      <c r="AE764" s="52"/>
      <c r="AF764" s="52"/>
      <c r="AG764" s="52"/>
      <c r="AH764" s="52"/>
      <c r="AI764" s="52"/>
    </row>
    <row r="765" spans="1:38">
      <c r="A765" s="141" t="s">
        <v>215</v>
      </c>
      <c r="B765" s="141"/>
      <c r="C765" s="190">
        <f>C783+C940</f>
        <v>812352351</v>
      </c>
      <c r="D765" s="200"/>
      <c r="E765" s="123"/>
      <c r="F765" s="123">
        <f>F783+F940</f>
        <v>41141976</v>
      </c>
      <c r="G765" s="200"/>
      <c r="H765" s="141"/>
      <c r="I765" s="123">
        <f>I783+I940</f>
        <v>46356869</v>
      </c>
      <c r="J765" s="123"/>
      <c r="K765" s="141"/>
      <c r="L765" s="123">
        <f>L783+L940</f>
        <v>47041619</v>
      </c>
      <c r="N765" s="124" t="e">
        <f>SUM(N756:N764)</f>
        <v>#REF!</v>
      </c>
      <c r="AB765" s="52"/>
      <c r="AC765" s="52"/>
      <c r="AD765" s="52"/>
      <c r="AE765" s="52"/>
      <c r="AF765" s="52"/>
      <c r="AG765" s="52"/>
      <c r="AH765" s="52"/>
      <c r="AI765" s="52"/>
    </row>
    <row r="766" spans="1:38">
      <c r="A766" s="141" t="s">
        <v>197</v>
      </c>
      <c r="B766" s="141"/>
      <c r="C766" s="210">
        <f>C784+C941</f>
        <v>-13817303.503114324</v>
      </c>
      <c r="D766" s="175"/>
      <c r="E766" s="175"/>
      <c r="F766" s="280">
        <f>F784+F941</f>
        <v>-621690.85168139066</v>
      </c>
      <c r="G766" s="175"/>
      <c r="H766" s="175"/>
      <c r="I766" s="280">
        <f>I784+I941</f>
        <v>-621690.85168139066</v>
      </c>
      <c r="J766" s="175"/>
      <c r="K766" s="175"/>
      <c r="L766" s="280">
        <f>L784+L941</f>
        <v>-621690.85168139066</v>
      </c>
      <c r="S766" s="145"/>
      <c r="T766" s="145"/>
      <c r="AB766" s="52"/>
      <c r="AC766" s="52"/>
      <c r="AD766" s="52"/>
      <c r="AE766" s="52"/>
      <c r="AF766" s="52"/>
      <c r="AG766" s="52"/>
      <c r="AH766" s="52"/>
      <c r="AI766" s="52"/>
    </row>
    <row r="767" spans="1:38" ht="16.5" thickBot="1">
      <c r="A767" s="141" t="s">
        <v>216</v>
      </c>
      <c r="B767" s="141"/>
      <c r="C767" s="281">
        <f>SUM(C765:C766)</f>
        <v>798535047.49688566</v>
      </c>
      <c r="D767" s="213"/>
      <c r="E767" s="214"/>
      <c r="F767" s="282">
        <f>F765+F766</f>
        <v>40520285.148318611</v>
      </c>
      <c r="G767" s="213"/>
      <c r="H767" s="216"/>
      <c r="I767" s="282">
        <f>I765+I766</f>
        <v>45735178.148318611</v>
      </c>
      <c r="J767" s="213"/>
      <c r="K767" s="216"/>
      <c r="L767" s="282">
        <f>L765+L766</f>
        <v>46419928.148318611</v>
      </c>
      <c r="O767" s="136" t="s">
        <v>199</v>
      </c>
      <c r="P767" s="137">
        <v>46688323.619654171</v>
      </c>
      <c r="Q767" s="138">
        <v>1.4970645335007433E-2</v>
      </c>
      <c r="R767" s="139"/>
      <c r="AB767" s="52"/>
      <c r="AC767" s="52"/>
      <c r="AD767" s="52"/>
      <c r="AE767" s="52"/>
      <c r="AF767" s="52"/>
      <c r="AG767" s="52"/>
      <c r="AH767" s="52"/>
      <c r="AI767" s="52"/>
    </row>
    <row r="768" spans="1:38" ht="16.5" hidden="1" thickTop="1">
      <c r="A768" s="141"/>
      <c r="B768" s="141"/>
      <c r="C768" s="160"/>
      <c r="D768" s="207"/>
      <c r="E768" s="123"/>
      <c r="F768" s="123"/>
      <c r="G768" s="207"/>
      <c r="H768" s="141"/>
      <c r="I768" s="123"/>
      <c r="J768" s="232" t="s">
        <v>280</v>
      </c>
      <c r="K768" s="141"/>
      <c r="L768" s="123" t="s">
        <v>280</v>
      </c>
      <c r="O768" s="283" t="s">
        <v>200</v>
      </c>
      <c r="P768" s="224">
        <f>P767-L767-L750</f>
        <v>-90.124004411278293</v>
      </c>
      <c r="Q768" s="284" t="s">
        <v>280</v>
      </c>
      <c r="R768" s="222"/>
      <c r="AB768" s="52"/>
      <c r="AC768" s="52"/>
      <c r="AD768" s="52"/>
      <c r="AE768" s="52"/>
      <c r="AF768" s="52"/>
      <c r="AG768" s="52"/>
      <c r="AH768" s="52"/>
      <c r="AI768" s="52"/>
    </row>
    <row r="769" spans="1:37" ht="16.5" thickTop="1">
      <c r="A769" s="141"/>
      <c r="B769" s="141"/>
      <c r="C769" s="160"/>
      <c r="D769" s="207"/>
      <c r="E769" s="123"/>
      <c r="F769" s="123"/>
      <c r="G769" s="207"/>
      <c r="H769" s="141"/>
      <c r="I769" s="123" t="s">
        <v>280</v>
      </c>
      <c r="J769" s="207"/>
      <c r="K769" s="141"/>
      <c r="L769" s="260"/>
      <c r="N769" s="52"/>
      <c r="O769" s="142" t="s">
        <v>200</v>
      </c>
      <c r="P769" s="143">
        <f>L767+L750-P767</f>
        <v>90.124004408717155</v>
      </c>
      <c r="Q769" s="285"/>
      <c r="R769" s="105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</row>
    <row r="770" spans="1:37">
      <c r="A770" s="159" t="s">
        <v>162</v>
      </c>
      <c r="B770" s="141"/>
      <c r="C770" s="141"/>
      <c r="D770" s="123"/>
      <c r="E770" s="123"/>
      <c r="F770" s="141"/>
      <c r="G770" s="123"/>
      <c r="H770" s="141"/>
      <c r="I770" s="141"/>
      <c r="J770" s="123"/>
      <c r="K770" s="141"/>
      <c r="L770" s="141"/>
      <c r="N770" s="224"/>
      <c r="O770" s="224"/>
      <c r="P770" s="105"/>
      <c r="Q770" s="105"/>
      <c r="R770" s="105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</row>
    <row r="771" spans="1:37">
      <c r="A771" s="175" t="s">
        <v>164</v>
      </c>
      <c r="B771" s="141"/>
      <c r="C771" s="141"/>
      <c r="D771" s="123"/>
      <c r="E771" s="123"/>
      <c r="F771" s="141"/>
      <c r="G771" s="123"/>
      <c r="H771" s="141"/>
      <c r="I771" s="141"/>
      <c r="J771" s="123"/>
      <c r="K771" s="141"/>
      <c r="L771" s="141"/>
      <c r="N771" s="52"/>
      <c r="O771" s="52"/>
      <c r="Q771" s="105"/>
      <c r="R771" s="105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</row>
    <row r="772" spans="1:37">
      <c r="A772" s="194"/>
      <c r="B772" s="141"/>
      <c r="C772" s="141"/>
      <c r="D772" s="123"/>
      <c r="E772" s="123"/>
      <c r="F772" s="141"/>
      <c r="G772" s="123"/>
      <c r="H772" s="141"/>
      <c r="I772" s="141"/>
      <c r="J772" s="123"/>
      <c r="K772" s="141"/>
      <c r="L772" s="141"/>
      <c r="N772" s="52"/>
      <c r="O772" s="52"/>
      <c r="P772" s="105"/>
      <c r="Q772" s="105"/>
      <c r="R772" s="105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</row>
    <row r="773" spans="1:37">
      <c r="A773" s="194" t="s">
        <v>228</v>
      </c>
      <c r="B773" s="141"/>
      <c r="C773" s="190"/>
      <c r="D773" s="123"/>
      <c r="E773" s="123"/>
      <c r="F773" s="141"/>
      <c r="G773" s="123"/>
      <c r="H773" s="141"/>
      <c r="I773" s="141"/>
      <c r="J773" s="123"/>
      <c r="K773" s="141"/>
      <c r="L773" s="141"/>
      <c r="N773" s="52"/>
      <c r="Q773" s="52"/>
      <c r="R773" s="52"/>
      <c r="S773" s="109" t="s">
        <v>280</v>
      </c>
      <c r="AA773" s="286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</row>
    <row r="774" spans="1:37">
      <c r="A774" s="194" t="s">
        <v>158</v>
      </c>
      <c r="B774" s="141"/>
      <c r="C774" s="190">
        <f t="shared" ref="C774:C779" si="112">C896+C914</f>
        <v>673</v>
      </c>
      <c r="D774" s="207"/>
      <c r="E774" s="207"/>
      <c r="F774" s="123">
        <f>F896+F914</f>
        <v>821625</v>
      </c>
      <c r="G774" s="207"/>
      <c r="H774" s="192"/>
      <c r="I774" s="123">
        <f>I896+I914</f>
        <v>923230</v>
      </c>
      <c r="K774" s="192"/>
      <c r="L774" s="123">
        <f>L896+L914</f>
        <v>937101</v>
      </c>
      <c r="N774" s="52"/>
      <c r="P774" s="207">
        <f>J809</f>
        <v>1386</v>
      </c>
      <c r="Q774" s="62">
        <f>(P774-G791)/G791</f>
        <v>1.5384615384615385E-2</v>
      </c>
      <c r="R774" s="62"/>
      <c r="U774" s="168"/>
      <c r="V774" s="92"/>
      <c r="W774" s="168"/>
      <c r="X774" s="92"/>
      <c r="Y774" s="168"/>
      <c r="Z774" s="168"/>
      <c r="AA774" s="287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</row>
    <row r="775" spans="1:37">
      <c r="A775" s="194" t="s">
        <v>159</v>
      </c>
      <c r="B775" s="141"/>
      <c r="C775" s="190">
        <f t="shared" si="112"/>
        <v>4</v>
      </c>
      <c r="D775" s="207"/>
      <c r="E775" s="207"/>
      <c r="F775" s="123">
        <f>F897+F915</f>
        <v>5910</v>
      </c>
      <c r="G775" s="207"/>
      <c r="H775" s="195"/>
      <c r="I775" s="123">
        <f>I897+I915</f>
        <v>6660</v>
      </c>
      <c r="K775" s="195"/>
      <c r="L775" s="123">
        <f>L897+L915</f>
        <v>6764</v>
      </c>
      <c r="N775" s="52"/>
      <c r="P775" s="207">
        <f>J810</f>
        <v>1675</v>
      </c>
      <c r="Q775" s="62">
        <f>(P775-G792)/G792</f>
        <v>1.5151515151515152E-2</v>
      </c>
      <c r="R775" s="62"/>
      <c r="U775" s="168"/>
      <c r="V775" s="92"/>
      <c r="W775" s="168"/>
      <c r="X775" s="92"/>
      <c r="Y775" s="168"/>
      <c r="Z775" s="168"/>
      <c r="AA775" s="287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</row>
    <row r="776" spans="1:37">
      <c r="A776" s="194" t="s">
        <v>229</v>
      </c>
      <c r="B776" s="141"/>
      <c r="C776" s="190">
        <f t="shared" si="112"/>
        <v>677</v>
      </c>
      <c r="D776" s="207"/>
      <c r="E776" s="207"/>
      <c r="F776" s="123"/>
      <c r="G776" s="207"/>
      <c r="H776" s="192"/>
      <c r="I776" s="123"/>
      <c r="K776" s="192"/>
      <c r="L776" s="123"/>
      <c r="N776" s="52"/>
      <c r="P776" s="207" t="s">
        <v>280</v>
      </c>
      <c r="Q776" s="191"/>
      <c r="R776" s="191"/>
      <c r="U776" s="168"/>
      <c r="V776" s="92"/>
      <c r="W776" s="168"/>
      <c r="X776" s="92"/>
      <c r="Y776" s="168"/>
      <c r="Z776" s="168"/>
      <c r="AA776" s="287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</row>
    <row r="777" spans="1:37">
      <c r="A777" s="194" t="s">
        <v>160</v>
      </c>
      <c r="B777" s="141"/>
      <c r="C777" s="190">
        <f t="shared" si="112"/>
        <v>1001578</v>
      </c>
      <c r="D777" s="207"/>
      <c r="E777" s="207"/>
      <c r="F777" s="123">
        <f>F899+F917</f>
        <v>822407</v>
      </c>
      <c r="G777" s="207"/>
      <c r="H777" s="192"/>
      <c r="I777" s="123">
        <f>I899+I917</f>
        <v>932059</v>
      </c>
      <c r="K777" s="192"/>
      <c r="L777" s="123">
        <f>L899+L917</f>
        <v>949984</v>
      </c>
      <c r="N777" s="52"/>
      <c r="P777" s="207">
        <f>J812</f>
        <v>1.06</v>
      </c>
      <c r="Q777" s="62">
        <f>(P777-G794)/G794</f>
        <v>1.9230769230769246E-2</v>
      </c>
      <c r="R777" s="62"/>
      <c r="U777" s="168"/>
      <c r="V777" s="92"/>
      <c r="W777" s="168"/>
      <c r="X777" s="92"/>
      <c r="Y777" s="168"/>
      <c r="Z777" s="168"/>
      <c r="AA777" s="287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</row>
    <row r="778" spans="1:37">
      <c r="A778" s="194" t="s">
        <v>161</v>
      </c>
      <c r="B778" s="141"/>
      <c r="C778" s="190">
        <f t="shared" si="112"/>
        <v>17090</v>
      </c>
      <c r="D778" s="207"/>
      <c r="E778" s="207"/>
      <c r="F778" s="123">
        <f>F900+F918</f>
        <v>10402</v>
      </c>
      <c r="G778" s="207"/>
      <c r="H778" s="192"/>
      <c r="I778" s="123">
        <f>I900+I918</f>
        <v>11680</v>
      </c>
      <c r="K778" s="192"/>
      <c r="L778" s="123">
        <f>L900+L918</f>
        <v>11851</v>
      </c>
      <c r="N778" s="52"/>
      <c r="P778" s="207">
        <f>J813</f>
        <v>0.96</v>
      </c>
      <c r="Q778" s="62">
        <f>(P778-G795)/G795</f>
        <v>1.0526315789473694E-2</v>
      </c>
      <c r="R778" s="62"/>
      <c r="U778" s="168"/>
      <c r="V778" s="92"/>
      <c r="W778" s="168"/>
      <c r="X778" s="92"/>
      <c r="Y778" s="168"/>
      <c r="Z778" s="168"/>
      <c r="AA778" s="287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</row>
    <row r="779" spans="1:37">
      <c r="A779" s="175" t="s">
        <v>237</v>
      </c>
      <c r="B779" s="141"/>
      <c r="C779" s="190">
        <f t="shared" si="112"/>
        <v>816580</v>
      </c>
      <c r="D779" s="207"/>
      <c r="E779" s="207"/>
      <c r="F779" s="123">
        <f>F901+F919</f>
        <v>5061968</v>
      </c>
      <c r="G779" s="207"/>
      <c r="H779" s="192"/>
      <c r="I779" s="123">
        <f>I901+I919</f>
        <v>5710084</v>
      </c>
      <c r="K779" s="192"/>
      <c r="L779" s="123">
        <f>L901+L919</f>
        <v>5791742</v>
      </c>
      <c r="N779" s="52"/>
      <c r="P779" s="207">
        <f>J814</f>
        <v>7.12</v>
      </c>
      <c r="Q779" s="62">
        <f>(P779-G796)/G796</f>
        <v>1.4245014245014322E-2</v>
      </c>
      <c r="R779" s="62"/>
      <c r="T779" s="105"/>
      <c r="U779" s="288"/>
      <c r="V779" s="287"/>
      <c r="W779" s="288"/>
      <c r="X779" s="287"/>
      <c r="Y779" s="288"/>
      <c r="Z779" s="105"/>
      <c r="AA779" s="287"/>
      <c r="AB779" s="52"/>
      <c r="AC779" s="52"/>
      <c r="AD779" s="52"/>
      <c r="AE779" s="52"/>
      <c r="AF779" s="52"/>
      <c r="AG779" s="52"/>
      <c r="AH779" s="52"/>
      <c r="AI779" s="52"/>
    </row>
    <row r="780" spans="1:37">
      <c r="A780" s="194" t="s">
        <v>258</v>
      </c>
      <c r="B780" s="141"/>
      <c r="C780" s="190"/>
      <c r="D780" s="207"/>
      <c r="E780" s="207"/>
      <c r="F780" s="123"/>
      <c r="G780" s="207"/>
      <c r="H780" s="192"/>
      <c r="I780" s="123"/>
      <c r="K780" s="192"/>
      <c r="L780" s="123"/>
      <c r="N780" s="52"/>
      <c r="P780" s="207" t="s">
        <v>280</v>
      </c>
      <c r="Q780" s="191"/>
      <c r="R780" s="191"/>
      <c r="T780" s="105"/>
      <c r="U780" s="52"/>
      <c r="V780" s="52"/>
      <c r="W780" s="224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</row>
    <row r="781" spans="1:37">
      <c r="A781" s="194" t="s">
        <v>151</v>
      </c>
      <c r="B781" s="141"/>
      <c r="C781" s="190">
        <f>C903+C921</f>
        <v>354540351</v>
      </c>
      <c r="D781" s="279"/>
      <c r="E781" s="192"/>
      <c r="F781" s="123">
        <f>F903+F921</f>
        <v>13148000</v>
      </c>
      <c r="G781" s="279"/>
      <c r="H781" s="192"/>
      <c r="I781" s="123">
        <f>I903+I921</f>
        <v>14801051</v>
      </c>
      <c r="K781" s="192"/>
      <c r="L781" s="123">
        <f>L903+L921</f>
        <v>15017985</v>
      </c>
      <c r="N781" s="52"/>
      <c r="P781" s="279">
        <f>J816</f>
        <v>4.2460000000000004</v>
      </c>
      <c r="Q781" s="62">
        <f>(P781-G798)/G798</f>
        <v>1.4575866188769399E-2</v>
      </c>
      <c r="R781" s="62"/>
      <c r="T781" s="105"/>
      <c r="U781" s="52"/>
      <c r="V781" s="52"/>
      <c r="W781" s="288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</row>
    <row r="782" spans="1:37">
      <c r="A782" s="194" t="s">
        <v>234</v>
      </c>
      <c r="B782" s="141"/>
      <c r="C782" s="190">
        <f>C904+C922</f>
        <v>205718</v>
      </c>
      <c r="D782" s="207"/>
      <c r="E782" s="192"/>
      <c r="F782" s="123">
        <f>F904+F922</f>
        <v>98543</v>
      </c>
      <c r="G782" s="207"/>
      <c r="H782" s="192"/>
      <c r="I782" s="123">
        <f>I904+I922</f>
        <v>110887</v>
      </c>
      <c r="K782" s="192"/>
      <c r="L782" s="123">
        <f>L904+L922</f>
        <v>112944</v>
      </c>
      <c r="N782" s="52"/>
      <c r="P782" s="207">
        <f>J799</f>
        <v>0.55000000000000004</v>
      </c>
      <c r="Q782" s="62">
        <f>(P782-G799)/G799</f>
        <v>1.8518518518518535E-2</v>
      </c>
      <c r="R782" s="62"/>
      <c r="T782" s="105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</row>
    <row r="783" spans="1:37">
      <c r="A783" s="141" t="s">
        <v>215</v>
      </c>
      <c r="B783" s="141"/>
      <c r="C783" s="190">
        <f>C905+C923</f>
        <v>354540351</v>
      </c>
      <c r="D783" s="200"/>
      <c r="E783" s="123"/>
      <c r="F783" s="123">
        <f>F905+F923</f>
        <v>19968855</v>
      </c>
      <c r="G783" s="200"/>
      <c r="H783" s="141"/>
      <c r="I783" s="123">
        <f>I905+I923</f>
        <v>22495651</v>
      </c>
      <c r="J783" s="123"/>
      <c r="K783" s="141"/>
      <c r="L783" s="123">
        <f>L905+L923</f>
        <v>22828371</v>
      </c>
      <c r="N783" s="52"/>
      <c r="O783" s="52"/>
      <c r="Q783" s="105"/>
      <c r="R783" s="105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</row>
    <row r="784" spans="1:37">
      <c r="A784" s="141" t="s">
        <v>197</v>
      </c>
      <c r="B784" s="141"/>
      <c r="C784" s="210">
        <f>C906+C924</f>
        <v>-5624507.4158324692</v>
      </c>
      <c r="D784" s="175"/>
      <c r="E784" s="175"/>
      <c r="F784" s="280">
        <f>F906+F924</f>
        <v>-275476.91316020087</v>
      </c>
      <c r="G784" s="175"/>
      <c r="H784" s="175"/>
      <c r="I784" s="280">
        <f>I906+I924</f>
        <v>-275476.91316020087</v>
      </c>
      <c r="J784" s="175"/>
      <c r="K784" s="175"/>
      <c r="L784" s="280">
        <f>L906+L924</f>
        <v>-275476.91316020087</v>
      </c>
      <c r="N784" s="156"/>
      <c r="O784" s="156"/>
      <c r="P784" s="154"/>
      <c r="Q784" s="105"/>
      <c r="R784" s="105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</row>
    <row r="785" spans="1:35" ht="16.5" thickBot="1">
      <c r="A785" s="141" t="s">
        <v>216</v>
      </c>
      <c r="B785" s="141"/>
      <c r="C785" s="289">
        <f>C907+C925</f>
        <v>348915843.58416754</v>
      </c>
      <c r="D785" s="213"/>
      <c r="E785" s="214"/>
      <c r="F785" s="290">
        <f>F907+F925</f>
        <v>19693378.086839799</v>
      </c>
      <c r="G785" s="213"/>
      <c r="H785" s="216"/>
      <c r="I785" s="290">
        <f>I907+I925</f>
        <v>22220174.086839799</v>
      </c>
      <c r="J785" s="213"/>
      <c r="K785" s="216"/>
      <c r="L785" s="290">
        <f>L907+L925</f>
        <v>22552894.086839799</v>
      </c>
      <c r="N785" s="157"/>
      <c r="O785" s="136" t="s">
        <v>199</v>
      </c>
      <c r="P785" s="137">
        <v>22821284.772319701</v>
      </c>
      <c r="Q785" s="138">
        <v>1.4970645335007433E-2</v>
      </c>
      <c r="R785" s="139"/>
      <c r="S785" s="109" t="s">
        <v>165</v>
      </c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</row>
    <row r="786" spans="1:35" ht="16.5" thickTop="1">
      <c r="A786" s="141"/>
      <c r="B786" s="141"/>
      <c r="C786" s="228"/>
      <c r="D786" s="229"/>
      <c r="E786" s="230"/>
      <c r="F786" s="184"/>
      <c r="G786" s="229"/>
      <c r="H786" s="231"/>
      <c r="I786" s="184"/>
      <c r="J786" s="229"/>
      <c r="K786" s="231"/>
      <c r="L786" s="184"/>
      <c r="N786" s="157"/>
      <c r="O786" s="291" t="s">
        <v>200</v>
      </c>
      <c r="P786" s="180">
        <f>L785+L750-P785</f>
        <v>94.909860070794821</v>
      </c>
      <c r="Q786" s="285"/>
      <c r="R786" s="105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</row>
    <row r="787" spans="1:35">
      <c r="A787" s="159" t="s">
        <v>162</v>
      </c>
      <c r="B787" s="141"/>
      <c r="C787" s="141"/>
      <c r="D787" s="123"/>
      <c r="E787" s="123"/>
      <c r="F787" s="141"/>
      <c r="G787" s="123"/>
      <c r="H787" s="141"/>
      <c r="I787" s="141"/>
      <c r="J787" s="123"/>
      <c r="K787" s="141"/>
      <c r="L787" s="141"/>
      <c r="N787" s="52"/>
      <c r="Q787" s="105"/>
      <c r="R787" s="105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</row>
    <row r="788" spans="1:35">
      <c r="A788" s="175" t="s">
        <v>166</v>
      </c>
      <c r="B788" s="141"/>
      <c r="C788" s="141"/>
      <c r="D788" s="123"/>
      <c r="E788" s="123"/>
      <c r="F788" s="141"/>
      <c r="G788" s="123"/>
      <c r="H788" s="141"/>
      <c r="I788" s="141"/>
      <c r="J788" s="123"/>
      <c r="K788" s="141"/>
      <c r="L788" s="141"/>
      <c r="N788" s="52"/>
      <c r="O788" s="52"/>
      <c r="P788" s="105"/>
      <c r="Q788" s="105"/>
      <c r="R788" s="105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</row>
    <row r="789" spans="1:35">
      <c r="A789" s="194"/>
      <c r="B789" s="141"/>
      <c r="C789" s="141"/>
      <c r="D789" s="123"/>
      <c r="E789" s="123"/>
      <c r="F789" s="141"/>
      <c r="G789" s="123"/>
      <c r="H789" s="141"/>
      <c r="I789" s="141"/>
      <c r="J789" s="123"/>
      <c r="K789" s="141"/>
      <c r="L789" s="141"/>
      <c r="N789" s="52"/>
      <c r="O789" s="52"/>
      <c r="P789" s="105"/>
      <c r="Q789" s="105"/>
      <c r="R789" s="105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</row>
    <row r="790" spans="1:35">
      <c r="A790" s="194" t="s">
        <v>228</v>
      </c>
      <c r="B790" s="141"/>
      <c r="C790" s="190"/>
      <c r="D790" s="123"/>
      <c r="E790" s="123"/>
      <c r="F790" s="141"/>
      <c r="G790" s="123"/>
      <c r="H790" s="141"/>
      <c r="I790" s="141"/>
      <c r="J790" s="123"/>
      <c r="K790" s="141"/>
      <c r="L790" s="141"/>
      <c r="N790" s="52"/>
      <c r="O790" s="52"/>
      <c r="P790" s="105"/>
      <c r="Q790" s="105"/>
      <c r="R790" s="105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</row>
    <row r="791" spans="1:35">
      <c r="A791" s="194" t="s">
        <v>158</v>
      </c>
      <c r="B791" s="141"/>
      <c r="C791" s="190">
        <f t="shared" ref="C791:C796" si="113">C809+C826</f>
        <v>542</v>
      </c>
      <c r="D791" s="207">
        <v>1215</v>
      </c>
      <c r="E791" s="207"/>
      <c r="F791" s="123">
        <f>ROUND(D791*$C791,0)</f>
        <v>658530</v>
      </c>
      <c r="G791" s="207">
        <v>1365</v>
      </c>
      <c r="H791" s="192"/>
      <c r="I791" s="123">
        <f>ROUND(G791*C791,0)</f>
        <v>739830</v>
      </c>
      <c r="J791" s="207">
        <f>ROUND(G791*(1+$Q$785),0)+1</f>
        <v>1386</v>
      </c>
      <c r="K791" s="192"/>
      <c r="L791" s="123">
        <f>ROUND(J791*$C791,0)</f>
        <v>751212</v>
      </c>
      <c r="N791" s="52"/>
      <c r="O791" s="52"/>
      <c r="Q791" s="292">
        <f>(J791-G791)/G791</f>
        <v>1.5384615384615385E-2</v>
      </c>
      <c r="R791" s="139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</row>
    <row r="792" spans="1:35">
      <c r="A792" s="194" t="s">
        <v>159</v>
      </c>
      <c r="B792" s="141"/>
      <c r="C792" s="190">
        <f t="shared" si="113"/>
        <v>2</v>
      </c>
      <c r="D792" s="207">
        <v>1465</v>
      </c>
      <c r="E792" s="207"/>
      <c r="F792" s="123">
        <f>ROUND(D792*$C792,0)</f>
        <v>2930</v>
      </c>
      <c r="G792" s="207">
        <v>1650</v>
      </c>
      <c r="H792" s="195"/>
      <c r="I792" s="123">
        <f>ROUND(G792*C792,0)</f>
        <v>3300</v>
      </c>
      <c r="J792" s="207">
        <f>ROUND(G792*(1+$Q$785),0)</f>
        <v>1675</v>
      </c>
      <c r="K792" s="195"/>
      <c r="L792" s="123">
        <f>ROUND(J792*$C792,0)</f>
        <v>3350</v>
      </c>
      <c r="N792" s="52"/>
      <c r="O792" s="52"/>
      <c r="Q792" s="292">
        <f>(J792-G792)/G792</f>
        <v>1.5151515151515152E-2</v>
      </c>
      <c r="R792" s="139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</row>
    <row r="793" spans="1:35">
      <c r="A793" s="194" t="s">
        <v>229</v>
      </c>
      <c r="B793" s="141"/>
      <c r="C793" s="190">
        <f t="shared" si="113"/>
        <v>544</v>
      </c>
      <c r="D793" s="207" t="s">
        <v>280</v>
      </c>
      <c r="E793" s="207"/>
      <c r="F793" s="123" t="s">
        <v>280</v>
      </c>
      <c r="G793" s="207" t="s">
        <v>280</v>
      </c>
      <c r="H793" s="192"/>
      <c r="I793" s="123" t="s">
        <v>280</v>
      </c>
      <c r="J793" s="207" t="s">
        <v>280</v>
      </c>
      <c r="K793" s="192"/>
      <c r="L793" s="123" t="s">
        <v>280</v>
      </c>
      <c r="N793" s="52"/>
      <c r="O793" s="52"/>
      <c r="Q793" s="293"/>
      <c r="R793" s="105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</row>
    <row r="794" spans="1:35">
      <c r="A794" s="194" t="s">
        <v>160</v>
      </c>
      <c r="B794" s="141"/>
      <c r="C794" s="190">
        <f t="shared" si="113"/>
        <v>790843</v>
      </c>
      <c r="D794" s="207">
        <v>0.92</v>
      </c>
      <c r="E794" s="207"/>
      <c r="F794" s="123">
        <f>ROUND(D794*$C794,0)</f>
        <v>727576</v>
      </c>
      <c r="G794" s="207">
        <v>1.04</v>
      </c>
      <c r="H794" s="192"/>
      <c r="I794" s="123">
        <f t="shared" ref="I794:I796" si="114">ROUND(G794*C794,0)</f>
        <v>822477</v>
      </c>
      <c r="J794" s="207">
        <f>ROUND(G794*(1+$Q$785),2)</f>
        <v>1.06</v>
      </c>
      <c r="K794" s="192"/>
      <c r="L794" s="123">
        <f>ROUND(J794*$C794,0)</f>
        <v>838294</v>
      </c>
      <c r="N794" s="52"/>
      <c r="O794" s="52"/>
      <c r="Q794" s="292">
        <f>(J794-G794)/G794</f>
        <v>1.9230769230769246E-2</v>
      </c>
      <c r="R794" s="139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</row>
    <row r="795" spans="1:35">
      <c r="A795" s="194" t="s">
        <v>161</v>
      </c>
      <c r="B795" s="141"/>
      <c r="C795" s="190">
        <f t="shared" si="113"/>
        <v>8495</v>
      </c>
      <c r="D795" s="207">
        <v>0.84</v>
      </c>
      <c r="E795" s="207"/>
      <c r="F795" s="123">
        <f>ROUND(D795*$C795,0)</f>
        <v>7136</v>
      </c>
      <c r="G795" s="207">
        <v>0.95</v>
      </c>
      <c r="H795" s="192"/>
      <c r="I795" s="123">
        <f t="shared" si="114"/>
        <v>8070</v>
      </c>
      <c r="J795" s="207">
        <f>ROUND(G795*(1+$Q$785),2)</f>
        <v>0.96</v>
      </c>
      <c r="K795" s="192"/>
      <c r="L795" s="123">
        <f>ROUND(J795*$C795,0)</f>
        <v>8155</v>
      </c>
      <c r="N795" s="52"/>
      <c r="O795" s="52"/>
      <c r="Q795" s="292">
        <f>(J795-G795)/G795</f>
        <v>1.0526315789473694E-2</v>
      </c>
      <c r="R795" s="139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</row>
    <row r="796" spans="1:35">
      <c r="A796" s="175" t="s">
        <v>237</v>
      </c>
      <c r="B796" s="141"/>
      <c r="C796" s="190">
        <f t="shared" si="113"/>
        <v>644985</v>
      </c>
      <c r="D796" s="207">
        <v>6.22</v>
      </c>
      <c r="E796" s="207"/>
      <c r="F796" s="123">
        <f>ROUND(D796*$C796,0)</f>
        <v>4011807</v>
      </c>
      <c r="G796" s="207">
        <v>7.02</v>
      </c>
      <c r="H796" s="192"/>
      <c r="I796" s="123">
        <f t="shared" si="114"/>
        <v>4527795</v>
      </c>
      <c r="J796" s="207">
        <f>ROUND(G796*(1+$Q$785),2)-0.01</f>
        <v>7.12</v>
      </c>
      <c r="K796" s="192"/>
      <c r="L796" s="123">
        <f>ROUND(J796*$C796,0)</f>
        <v>4592293</v>
      </c>
      <c r="N796" s="52"/>
      <c r="O796" s="52"/>
      <c r="Q796" s="292">
        <f>(J796-G796)/G796</f>
        <v>1.4245014245014322E-2</v>
      </c>
      <c r="R796" s="139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</row>
    <row r="797" spans="1:35">
      <c r="A797" s="194" t="s">
        <v>258</v>
      </c>
      <c r="B797" s="141"/>
      <c r="C797" s="190"/>
      <c r="D797" s="207" t="s">
        <v>280</v>
      </c>
      <c r="E797" s="207"/>
      <c r="F797" s="123"/>
      <c r="G797" s="207" t="s">
        <v>280</v>
      </c>
      <c r="H797" s="192"/>
      <c r="I797" s="123"/>
      <c r="J797" s="207" t="s">
        <v>280</v>
      </c>
      <c r="K797" s="192"/>
      <c r="L797" s="123"/>
      <c r="N797" s="52"/>
      <c r="O797" s="52"/>
      <c r="Q797" s="293"/>
      <c r="R797" s="105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</row>
    <row r="798" spans="1:35">
      <c r="A798" s="194" t="s">
        <v>151</v>
      </c>
      <c r="B798" s="141"/>
      <c r="C798" s="190">
        <f>C816+C833</f>
        <v>288246700</v>
      </c>
      <c r="D798" s="279">
        <v>3.718</v>
      </c>
      <c r="E798" s="192" t="s">
        <v>210</v>
      </c>
      <c r="F798" s="123">
        <f>ROUND(D798/100*$C798,0)</f>
        <v>10717012</v>
      </c>
      <c r="G798" s="279">
        <v>4.1850000000000005</v>
      </c>
      <c r="H798" s="192" t="s">
        <v>210</v>
      </c>
      <c r="I798" s="123">
        <f>ROUND(G798/100*C798,0)</f>
        <v>12063124</v>
      </c>
      <c r="J798" s="279">
        <f>ROUND(G798*(1+$Q$785),3)-0.002</f>
        <v>4.2460000000000004</v>
      </c>
      <c r="K798" s="192" t="s">
        <v>210</v>
      </c>
      <c r="L798" s="123">
        <f>ROUND(J798/100*$C798,0)</f>
        <v>12238955</v>
      </c>
      <c r="N798" s="52"/>
      <c r="O798" s="52"/>
      <c r="Q798" s="292">
        <f>(J798-G798)/G798</f>
        <v>1.4575866188769399E-2</v>
      </c>
      <c r="R798" s="139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</row>
    <row r="799" spans="1:35">
      <c r="A799" s="194" t="s">
        <v>234</v>
      </c>
      <c r="B799" s="141"/>
      <c r="C799" s="190">
        <f>C817+C834</f>
        <v>185609</v>
      </c>
      <c r="D799" s="207">
        <v>0.48</v>
      </c>
      <c r="E799" s="192"/>
      <c r="F799" s="123">
        <f>ROUND(D799*$C799,0)</f>
        <v>89092</v>
      </c>
      <c r="G799" s="207">
        <v>0.54</v>
      </c>
      <c r="H799" s="192"/>
      <c r="I799" s="123">
        <f>ROUND(G799*C799,0)</f>
        <v>100229</v>
      </c>
      <c r="J799" s="207">
        <f>ROUND(G799*(1+$Q$785),2)</f>
        <v>0.55000000000000004</v>
      </c>
      <c r="K799" s="192"/>
      <c r="L799" s="123">
        <f>ROUND(J799*$C799,0)</f>
        <v>102085</v>
      </c>
      <c r="N799" s="52"/>
      <c r="O799" s="52"/>
      <c r="Q799" s="292">
        <f>(J799-G799)/G799</f>
        <v>1.8518518518518535E-2</v>
      </c>
      <c r="R799" s="139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</row>
    <row r="800" spans="1:35">
      <c r="A800" s="141" t="s">
        <v>215</v>
      </c>
      <c r="B800" s="141"/>
      <c r="C800" s="190">
        <f>C798</f>
        <v>288246700</v>
      </c>
      <c r="D800" s="200"/>
      <c r="E800" s="123"/>
      <c r="F800" s="123">
        <f>SUM(F791:F799)</f>
        <v>16214083</v>
      </c>
      <c r="G800" s="200"/>
      <c r="H800" s="141"/>
      <c r="I800" s="123">
        <f>SUM(I791:I799)</f>
        <v>18264825</v>
      </c>
      <c r="J800" s="200"/>
      <c r="K800" s="141"/>
      <c r="L800" s="123">
        <f>SUM(L791:L799)</f>
        <v>18534344</v>
      </c>
      <c r="N800" s="52"/>
      <c r="O800" s="52"/>
      <c r="P800" s="105"/>
      <c r="Q800" s="105"/>
      <c r="R800" s="105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</row>
    <row r="801" spans="1:35">
      <c r="A801" s="141" t="s">
        <v>197</v>
      </c>
      <c r="B801" s="141"/>
      <c r="C801" s="190">
        <f>C819+C836</f>
        <v>-4749668.5786645152</v>
      </c>
      <c r="D801" s="175"/>
      <c r="E801" s="175"/>
      <c r="F801" s="294">
        <f>F819+F836</f>
        <v>-235903.11442704109</v>
      </c>
      <c r="G801" s="175"/>
      <c r="H801" s="175"/>
      <c r="I801" s="211">
        <f>F801</f>
        <v>-235903.11442704109</v>
      </c>
      <c r="J801" s="175"/>
      <c r="K801" s="175"/>
      <c r="L801" s="211">
        <f>F801</f>
        <v>-235903.11442704109</v>
      </c>
      <c r="N801" s="156"/>
      <c r="O801" s="156"/>
      <c r="P801" s="154"/>
      <c r="Q801" s="105"/>
      <c r="R801" s="105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</row>
    <row r="802" spans="1:35" ht="18" customHeight="1" thickBot="1">
      <c r="A802" s="141" t="s">
        <v>216</v>
      </c>
      <c r="B802" s="141"/>
      <c r="C802" s="278">
        <f>SUM(C800)+C801</f>
        <v>283497031.42133546</v>
      </c>
      <c r="D802" s="213"/>
      <c r="E802" s="214"/>
      <c r="F802" s="215">
        <f>F800+F801</f>
        <v>15978179.885572959</v>
      </c>
      <c r="G802" s="213"/>
      <c r="H802" s="216"/>
      <c r="I802" s="215">
        <f>I800+I801</f>
        <v>18028921.885572959</v>
      </c>
      <c r="J802" s="213"/>
      <c r="K802" s="216"/>
      <c r="L802" s="215">
        <f>L800+L801</f>
        <v>18298440.885572959</v>
      </c>
      <c r="N802" s="157"/>
      <c r="O802" s="295" t="s">
        <v>280</v>
      </c>
      <c r="P802" s="296" t="s">
        <v>280</v>
      </c>
      <c r="Q802" s="105"/>
      <c r="R802" s="105"/>
      <c r="S802" s="92" t="s">
        <v>280</v>
      </c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</row>
    <row r="803" spans="1:35" ht="16.5" thickTop="1">
      <c r="A803" s="141"/>
      <c r="B803" s="141"/>
      <c r="C803" s="160"/>
      <c r="D803" s="207"/>
      <c r="E803" s="123"/>
      <c r="F803" s="123"/>
      <c r="G803" s="207"/>
      <c r="H803" s="141"/>
      <c r="I803" s="123" t="s">
        <v>280</v>
      </c>
      <c r="J803" s="207"/>
      <c r="K803" s="141"/>
      <c r="L803" s="260"/>
      <c r="N803" s="52"/>
      <c r="O803" s="52"/>
      <c r="P803" s="105"/>
      <c r="Q803" s="105"/>
      <c r="R803" s="105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</row>
    <row r="804" spans="1:35" hidden="1">
      <c r="A804" s="141"/>
      <c r="B804" s="141"/>
      <c r="C804" s="160"/>
      <c r="D804" s="207"/>
      <c r="E804" s="123"/>
      <c r="F804" s="123"/>
      <c r="G804" s="207"/>
      <c r="H804" s="141"/>
      <c r="I804" s="123"/>
      <c r="J804" s="207"/>
      <c r="K804" s="141"/>
      <c r="L804" s="260"/>
      <c r="N804" s="52"/>
      <c r="Q804" s="105"/>
      <c r="R804" s="105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</row>
    <row r="805" spans="1:35" hidden="1">
      <c r="A805" s="159" t="s">
        <v>162</v>
      </c>
      <c r="B805" s="141"/>
      <c r="C805" s="141"/>
      <c r="D805" s="123"/>
      <c r="E805" s="123"/>
      <c r="F805" s="141"/>
      <c r="G805" s="123"/>
      <c r="H805" s="141"/>
      <c r="I805" s="141"/>
      <c r="J805" s="123"/>
      <c r="K805" s="141"/>
      <c r="L805" s="141"/>
      <c r="N805" s="52"/>
      <c r="O805" s="52"/>
      <c r="P805" s="105"/>
      <c r="Q805" s="105"/>
      <c r="R805" s="105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</row>
    <row r="806" spans="1:35" hidden="1">
      <c r="A806" s="175" t="s">
        <v>167</v>
      </c>
      <c r="B806" s="141"/>
      <c r="C806" s="141"/>
      <c r="D806" s="123"/>
      <c r="E806" s="123"/>
      <c r="F806" s="141"/>
      <c r="G806" s="123"/>
      <c r="H806" s="141"/>
      <c r="I806" s="141"/>
      <c r="J806" s="123"/>
      <c r="K806" s="141"/>
      <c r="L806" s="141"/>
      <c r="N806" s="52"/>
      <c r="O806" s="52"/>
      <c r="P806" s="105"/>
      <c r="Q806" s="105"/>
      <c r="R806" s="105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</row>
    <row r="807" spans="1:35" hidden="1">
      <c r="A807" s="194"/>
      <c r="B807" s="141"/>
      <c r="C807" s="141"/>
      <c r="D807" s="123"/>
      <c r="E807" s="123"/>
      <c r="F807" s="141"/>
      <c r="G807" s="123"/>
      <c r="H807" s="141"/>
      <c r="I807" s="141"/>
      <c r="J807" s="123"/>
      <c r="K807" s="141"/>
      <c r="L807" s="141"/>
      <c r="N807" s="52"/>
      <c r="O807" s="52"/>
      <c r="P807" s="105"/>
      <c r="Q807" s="105"/>
      <c r="R807" s="105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</row>
    <row r="808" spans="1:35" hidden="1">
      <c r="A808" s="194" t="s">
        <v>228</v>
      </c>
      <c r="B808" s="141"/>
      <c r="C808" s="190"/>
      <c r="D808" s="123"/>
      <c r="E808" s="123"/>
      <c r="F808" s="141"/>
      <c r="G808" s="123"/>
      <c r="H808" s="141"/>
      <c r="I808" s="141"/>
      <c r="J808" s="123"/>
      <c r="K808" s="141"/>
      <c r="L808" s="141"/>
      <c r="N808" s="52"/>
      <c r="O808" s="52"/>
      <c r="P808" s="105" t="s">
        <v>280</v>
      </c>
      <c r="Q808" s="105"/>
      <c r="R808" s="105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</row>
    <row r="809" spans="1:35" hidden="1">
      <c r="A809" s="194" t="s">
        <v>158</v>
      </c>
      <c r="B809" s="141"/>
      <c r="C809" s="190">
        <v>208</v>
      </c>
      <c r="D809" s="207">
        <v>1215</v>
      </c>
      <c r="E809" s="207"/>
      <c r="F809" s="123">
        <f>ROUND(D809*$C809,0)</f>
        <v>252720</v>
      </c>
      <c r="G809" s="207">
        <f>G791</f>
        <v>1365</v>
      </c>
      <c r="H809" s="192"/>
      <c r="I809" s="123">
        <f>ROUND(G809*C809,0)</f>
        <v>283920</v>
      </c>
      <c r="J809" s="207">
        <f>J791</f>
        <v>1386</v>
      </c>
      <c r="K809" s="192"/>
      <c r="L809" s="123">
        <f>ROUND(J809*$C809,0)</f>
        <v>288288</v>
      </c>
      <c r="N809" s="52"/>
      <c r="O809" s="52"/>
      <c r="P809" s="105"/>
      <c r="Q809" s="105"/>
      <c r="R809" s="105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</row>
    <row r="810" spans="1:35" hidden="1">
      <c r="A810" s="194" t="s">
        <v>159</v>
      </c>
      <c r="B810" s="141"/>
      <c r="C810" s="190">
        <v>0</v>
      </c>
      <c r="D810" s="207">
        <v>1465</v>
      </c>
      <c r="E810" s="207"/>
      <c r="F810" s="123">
        <f>ROUND(D810*$C810,0)</f>
        <v>0</v>
      </c>
      <c r="G810" s="207">
        <f>G792</f>
        <v>1650</v>
      </c>
      <c r="H810" s="195"/>
      <c r="I810" s="123">
        <f>ROUND(G810*C810,0)</f>
        <v>0</v>
      </c>
      <c r="J810" s="207">
        <f>J792</f>
        <v>1675</v>
      </c>
      <c r="K810" s="195"/>
      <c r="L810" s="123">
        <f>ROUND(J810*$C810,0)</f>
        <v>0</v>
      </c>
      <c r="N810" s="52"/>
      <c r="O810" s="52"/>
      <c r="P810" s="105"/>
      <c r="Q810" s="105"/>
      <c r="R810" s="105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</row>
    <row r="811" spans="1:35" hidden="1">
      <c r="A811" s="194" t="s">
        <v>229</v>
      </c>
      <c r="B811" s="141"/>
      <c r="C811" s="190">
        <f>SUM(C809:C810)</f>
        <v>208</v>
      </c>
      <c r="D811" s="207" t="s">
        <v>280</v>
      </c>
      <c r="E811" s="207"/>
      <c r="F811" s="123" t="s">
        <v>280</v>
      </c>
      <c r="G811" s="207" t="s">
        <v>280</v>
      </c>
      <c r="H811" s="192"/>
      <c r="I811" s="123" t="s">
        <v>280</v>
      </c>
      <c r="J811" s="207" t="s">
        <v>280</v>
      </c>
      <c r="K811" s="192"/>
      <c r="L811" s="123" t="s">
        <v>280</v>
      </c>
      <c r="N811" s="52"/>
      <c r="O811" s="52"/>
      <c r="P811" s="105"/>
      <c r="Q811" s="105"/>
      <c r="R811" s="105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</row>
    <row r="812" spans="1:35" hidden="1">
      <c r="A812" s="194" t="s">
        <v>160</v>
      </c>
      <c r="B812" s="141"/>
      <c r="C812" s="190">
        <v>264015</v>
      </c>
      <c r="D812" s="207">
        <v>0.92</v>
      </c>
      <c r="E812" s="207"/>
      <c r="F812" s="123">
        <f>ROUND(D812*$C812,0)</f>
        <v>242894</v>
      </c>
      <c r="G812" s="207">
        <f>G794</f>
        <v>1.04</v>
      </c>
      <c r="H812" s="192"/>
      <c r="I812" s="123">
        <f t="shared" ref="I812:I814" si="115">ROUND(G812*C812,0)</f>
        <v>274576</v>
      </c>
      <c r="J812" s="207">
        <f t="shared" ref="J812:J814" si="116">J794</f>
        <v>1.06</v>
      </c>
      <c r="K812" s="192"/>
      <c r="L812" s="123">
        <f>ROUND(J812*$C812,0)</f>
        <v>279856</v>
      </c>
      <c r="N812" s="52"/>
      <c r="O812" s="52"/>
      <c r="P812" s="105"/>
      <c r="Q812" s="105"/>
      <c r="R812" s="105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</row>
    <row r="813" spans="1:35" hidden="1">
      <c r="A813" s="194" t="s">
        <v>161</v>
      </c>
      <c r="B813" s="141"/>
      <c r="C813" s="190">
        <v>0</v>
      </c>
      <c r="D813" s="207">
        <v>0.84</v>
      </c>
      <c r="E813" s="207"/>
      <c r="F813" s="123">
        <f>ROUND(D813*$C813,0)</f>
        <v>0</v>
      </c>
      <c r="G813" s="207">
        <f t="shared" ref="G813:G814" si="117">G795</f>
        <v>0.95</v>
      </c>
      <c r="H813" s="192"/>
      <c r="I813" s="123">
        <f t="shared" si="115"/>
        <v>0</v>
      </c>
      <c r="J813" s="207">
        <f t="shared" si="116"/>
        <v>0.96</v>
      </c>
      <c r="K813" s="192"/>
      <c r="L813" s="123">
        <f>ROUND(J813*$C813,0)</f>
        <v>0</v>
      </c>
      <c r="N813" s="52"/>
      <c r="O813" s="52"/>
      <c r="P813" s="105"/>
      <c r="Q813" s="105"/>
      <c r="R813" s="105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</row>
    <row r="814" spans="1:35" hidden="1">
      <c r="A814" s="175" t="s">
        <v>237</v>
      </c>
      <c r="B814" s="141"/>
      <c r="C814" s="190">
        <v>180585</v>
      </c>
      <c r="D814" s="207">
        <v>6.22</v>
      </c>
      <c r="E814" s="207"/>
      <c r="F814" s="123">
        <f>ROUND(D814*$C814,0)</f>
        <v>1123239</v>
      </c>
      <c r="G814" s="207">
        <f t="shared" si="117"/>
        <v>7.02</v>
      </c>
      <c r="H814" s="192"/>
      <c r="I814" s="123">
        <f t="shared" si="115"/>
        <v>1267707</v>
      </c>
      <c r="J814" s="207">
        <f t="shared" si="116"/>
        <v>7.12</v>
      </c>
      <c r="K814" s="192"/>
      <c r="L814" s="123">
        <f>ROUND(J814*$C814,0)</f>
        <v>1285765</v>
      </c>
      <c r="N814" s="52"/>
      <c r="O814" s="52"/>
      <c r="P814" s="105"/>
      <c r="Q814" s="105"/>
      <c r="R814" s="105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</row>
    <row r="815" spans="1:35" hidden="1">
      <c r="A815" s="194" t="s">
        <v>258</v>
      </c>
      <c r="B815" s="141"/>
      <c r="C815" s="190"/>
      <c r="D815" s="207" t="s">
        <v>280</v>
      </c>
      <c r="E815" s="207"/>
      <c r="F815" s="123"/>
      <c r="G815" s="207" t="s">
        <v>280</v>
      </c>
      <c r="H815" s="192"/>
      <c r="I815" s="123"/>
      <c r="J815" s="207" t="s">
        <v>280</v>
      </c>
      <c r="K815" s="192"/>
      <c r="L815" s="123"/>
      <c r="N815" s="52"/>
      <c r="O815" s="52"/>
      <c r="P815" s="105"/>
      <c r="Q815" s="105"/>
      <c r="R815" s="105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</row>
    <row r="816" spans="1:35" hidden="1">
      <c r="A816" s="194" t="s">
        <v>151</v>
      </c>
      <c r="B816" s="141"/>
      <c r="C816" s="190">
        <f>81389300</f>
        <v>81389300</v>
      </c>
      <c r="D816" s="279">
        <v>3.718</v>
      </c>
      <c r="E816" s="192" t="s">
        <v>210</v>
      </c>
      <c r="F816" s="123">
        <f>ROUND(D816/100*$C816,0)</f>
        <v>3026054</v>
      </c>
      <c r="G816" s="279">
        <f>G798</f>
        <v>4.1850000000000005</v>
      </c>
      <c r="H816" s="192" t="s">
        <v>210</v>
      </c>
      <c r="I816" s="123">
        <f>ROUND(G816/100*C816,0)</f>
        <v>3406142</v>
      </c>
      <c r="J816" s="279">
        <f>J798</f>
        <v>4.2460000000000004</v>
      </c>
      <c r="K816" s="192" t="s">
        <v>210</v>
      </c>
      <c r="L816" s="123">
        <f>ROUND(J816/100*$C816,0)</f>
        <v>3455790</v>
      </c>
      <c r="N816" s="52"/>
      <c r="O816" s="52"/>
      <c r="P816" s="105"/>
      <c r="Q816" s="105"/>
      <c r="R816" s="105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</row>
    <row r="817" spans="1:35" hidden="1">
      <c r="A817" s="194" t="s">
        <v>234</v>
      </c>
      <c r="B817" s="141"/>
      <c r="C817" s="190">
        <f>23242</f>
        <v>23242</v>
      </c>
      <c r="D817" s="207">
        <v>0.48</v>
      </c>
      <c r="E817" s="192"/>
      <c r="F817" s="123">
        <f>ROUND(D817*$C817,0)</f>
        <v>11156</v>
      </c>
      <c r="G817" s="207">
        <f>G799</f>
        <v>0.54</v>
      </c>
      <c r="H817" s="192"/>
      <c r="I817" s="123">
        <f>ROUND(G817*C817,0)</f>
        <v>12551</v>
      </c>
      <c r="J817" s="207">
        <f>J799</f>
        <v>0.55000000000000004</v>
      </c>
      <c r="K817" s="192"/>
      <c r="L817" s="123">
        <f>ROUND(J817*$C817,0)</f>
        <v>12783</v>
      </c>
      <c r="N817" s="52"/>
      <c r="O817" s="52"/>
      <c r="P817" s="105"/>
      <c r="Q817" s="105"/>
      <c r="R817" s="105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</row>
    <row r="818" spans="1:35" hidden="1">
      <c r="A818" s="141" t="s">
        <v>215</v>
      </c>
      <c r="B818" s="141"/>
      <c r="C818" s="190">
        <f>C816</f>
        <v>81389300</v>
      </c>
      <c r="D818" s="200"/>
      <c r="E818" s="123"/>
      <c r="F818" s="123">
        <f>SUM(F809:F817)</f>
        <v>4656063</v>
      </c>
      <c r="G818" s="200"/>
      <c r="H818" s="141"/>
      <c r="I818" s="123">
        <f>SUM(I809:I817)</f>
        <v>5244896</v>
      </c>
      <c r="J818" s="200"/>
      <c r="K818" s="141"/>
      <c r="L818" s="123">
        <f>SUM(L809:L817)</f>
        <v>5322482</v>
      </c>
      <c r="N818" s="52"/>
      <c r="O818" s="52"/>
      <c r="P818" s="105"/>
      <c r="Q818" s="139"/>
      <c r="R818" s="139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</row>
    <row r="819" spans="1:35" hidden="1">
      <c r="A819" s="141" t="s">
        <v>197</v>
      </c>
      <c r="B819" s="141"/>
      <c r="C819" s="190">
        <f>C818/($C$818+$C$871)*$C$906</f>
        <v>-1047842.2889532417</v>
      </c>
      <c r="D819" s="175"/>
      <c r="E819" s="175"/>
      <c r="F819" s="280">
        <f>F818/($F$818+$F$871)*$F$906</f>
        <v>-46270.306889524036</v>
      </c>
      <c r="G819" s="175"/>
      <c r="H819" s="175"/>
      <c r="I819" s="211">
        <f>F819</f>
        <v>-46270.306889524036</v>
      </c>
      <c r="J819" s="175"/>
      <c r="K819" s="175"/>
      <c r="L819" s="211">
        <f>F819</f>
        <v>-46270.306889524036</v>
      </c>
      <c r="N819" s="156"/>
      <c r="O819" s="156"/>
      <c r="P819" s="139" t="s">
        <v>280</v>
      </c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</row>
    <row r="820" spans="1:35" ht="16.5" hidden="1" thickBot="1">
      <c r="A820" s="141" t="s">
        <v>216</v>
      </c>
      <c r="B820" s="141"/>
      <c r="C820" s="278">
        <f>SUM(C818)+C819</f>
        <v>80341457.711046755</v>
      </c>
      <c r="D820" s="213"/>
      <c r="E820" s="214"/>
      <c r="F820" s="215">
        <f>F818+F819</f>
        <v>4609792.6931104762</v>
      </c>
      <c r="G820" s="213"/>
      <c r="H820" s="216"/>
      <c r="I820" s="215">
        <f>I818+I819</f>
        <v>5198625.6931104762</v>
      </c>
      <c r="J820" s="213"/>
      <c r="K820" s="216"/>
      <c r="L820" s="215">
        <f>L818+L819</f>
        <v>5276211.6931104762</v>
      </c>
      <c r="N820" s="157"/>
      <c r="O820" s="157"/>
      <c r="P820" s="139" t="s">
        <v>280</v>
      </c>
      <c r="Q820" s="105"/>
      <c r="R820" s="105"/>
      <c r="S820" s="92" t="s">
        <v>280</v>
      </c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</row>
    <row r="821" spans="1:35" hidden="1">
      <c r="A821" s="141"/>
      <c r="B821" s="141"/>
      <c r="C821" s="160"/>
      <c r="D821" s="207"/>
      <c r="E821" s="123"/>
      <c r="F821" s="123"/>
      <c r="G821" s="207"/>
      <c r="H821" s="141"/>
      <c r="I821" s="123"/>
      <c r="J821" s="207"/>
      <c r="K821" s="141"/>
      <c r="L821" s="260"/>
      <c r="N821" s="52"/>
      <c r="O821" s="52"/>
      <c r="P821" s="105"/>
      <c r="Q821" s="105"/>
      <c r="R821" s="105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</row>
    <row r="822" spans="1:35" hidden="1">
      <c r="A822" s="159" t="s">
        <v>162</v>
      </c>
      <c r="B822" s="141"/>
      <c r="C822" s="141"/>
      <c r="D822" s="123"/>
      <c r="E822" s="123"/>
      <c r="F822" s="141"/>
      <c r="G822" s="123"/>
      <c r="H822" s="141"/>
      <c r="I822" s="141"/>
      <c r="J822" s="123"/>
      <c r="K822" s="141"/>
      <c r="L822" s="141"/>
      <c r="N822" s="52"/>
      <c r="O822" s="52"/>
      <c r="P822" s="105"/>
      <c r="Q822" s="105"/>
      <c r="R822" s="105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</row>
    <row r="823" spans="1:35" hidden="1">
      <c r="A823" s="175" t="s">
        <v>168</v>
      </c>
      <c r="B823" s="141"/>
      <c r="C823" s="141"/>
      <c r="D823" s="123"/>
      <c r="E823" s="123"/>
      <c r="F823" s="141"/>
      <c r="G823" s="123"/>
      <c r="H823" s="141"/>
      <c r="I823" s="141"/>
      <c r="J823" s="123"/>
      <c r="K823" s="141"/>
      <c r="L823" s="141"/>
      <c r="N823" s="52"/>
      <c r="O823" s="52"/>
      <c r="P823" s="105"/>
      <c r="Q823" s="105"/>
      <c r="R823" s="105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</row>
    <row r="824" spans="1:35" hidden="1">
      <c r="A824" s="194"/>
      <c r="B824" s="141"/>
      <c r="C824" s="141"/>
      <c r="D824" s="123"/>
      <c r="E824" s="123"/>
      <c r="F824" s="141"/>
      <c r="G824" s="123"/>
      <c r="H824" s="141"/>
      <c r="I824" s="141"/>
      <c r="J824" s="123"/>
      <c r="K824" s="141"/>
      <c r="L824" s="141"/>
      <c r="N824" s="52"/>
      <c r="O824" s="52"/>
      <c r="P824" s="105"/>
      <c r="Q824" s="105"/>
      <c r="R824" s="105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</row>
    <row r="825" spans="1:35" hidden="1">
      <c r="A825" s="194" t="s">
        <v>228</v>
      </c>
      <c r="B825" s="141"/>
      <c r="C825" s="190"/>
      <c r="D825" s="123"/>
      <c r="E825" s="123"/>
      <c r="F825" s="141"/>
      <c r="G825" s="123"/>
      <c r="H825" s="141"/>
      <c r="I825" s="141"/>
      <c r="J825" s="123"/>
      <c r="K825" s="141"/>
      <c r="L825" s="141"/>
      <c r="N825" s="52"/>
      <c r="O825" s="52"/>
      <c r="P825" s="105"/>
      <c r="Q825" s="105"/>
      <c r="R825" s="105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</row>
    <row r="826" spans="1:35" hidden="1">
      <c r="A826" s="194" t="s">
        <v>158</v>
      </c>
      <c r="B826" s="141"/>
      <c r="C826" s="190">
        <f>334</f>
        <v>334</v>
      </c>
      <c r="D826" s="207">
        <v>1215</v>
      </c>
      <c r="E826" s="207"/>
      <c r="F826" s="123">
        <f>ROUND(D826*$C826,0)</f>
        <v>405810</v>
      </c>
      <c r="G826" s="207">
        <f>G791</f>
        <v>1365</v>
      </c>
      <c r="H826" s="192"/>
      <c r="I826" s="123">
        <f>ROUND(G826*C826,0)</f>
        <v>455910</v>
      </c>
      <c r="J826" s="207">
        <f>J791</f>
        <v>1386</v>
      </c>
      <c r="K826" s="192"/>
      <c r="L826" s="123">
        <f>ROUND(J826*$C826,0)</f>
        <v>462924</v>
      </c>
      <c r="N826" s="52"/>
      <c r="O826" s="52"/>
      <c r="P826" s="105"/>
      <c r="Q826" s="105"/>
      <c r="R826" s="105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</row>
    <row r="827" spans="1:35" hidden="1">
      <c r="A827" s="194" t="s">
        <v>159</v>
      </c>
      <c r="B827" s="141"/>
      <c r="C827" s="190">
        <f>2</f>
        <v>2</v>
      </c>
      <c r="D827" s="207">
        <v>1465</v>
      </c>
      <c r="E827" s="207"/>
      <c r="F827" s="123">
        <f>ROUND(D827*$C827,0)</f>
        <v>2930</v>
      </c>
      <c r="G827" s="207">
        <f>G792</f>
        <v>1650</v>
      </c>
      <c r="H827" s="195"/>
      <c r="I827" s="123">
        <f>ROUND(G827*C827,0)</f>
        <v>3300</v>
      </c>
      <c r="J827" s="207">
        <f>J792</f>
        <v>1675</v>
      </c>
      <c r="K827" s="195"/>
      <c r="L827" s="123">
        <f>ROUND(J827*$C827,0)</f>
        <v>3350</v>
      </c>
      <c r="N827" s="52"/>
      <c r="O827" s="52"/>
      <c r="P827" s="105"/>
      <c r="Q827" s="105"/>
      <c r="R827" s="105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</row>
    <row r="828" spans="1:35" hidden="1">
      <c r="A828" s="194" t="s">
        <v>229</v>
      </c>
      <c r="B828" s="141"/>
      <c r="C828" s="190">
        <f>SUM(C826:C827)</f>
        <v>336</v>
      </c>
      <c r="D828" s="207" t="s">
        <v>280</v>
      </c>
      <c r="E828" s="207"/>
      <c r="F828" s="123" t="s">
        <v>280</v>
      </c>
      <c r="G828" s="207" t="s">
        <v>280</v>
      </c>
      <c r="H828" s="192"/>
      <c r="I828" s="123" t="s">
        <v>280</v>
      </c>
      <c r="J828" s="207" t="s">
        <v>280</v>
      </c>
      <c r="K828" s="192"/>
      <c r="L828" s="123" t="s">
        <v>280</v>
      </c>
      <c r="N828" s="52"/>
      <c r="O828" s="52"/>
      <c r="P828" s="105"/>
      <c r="Q828" s="105"/>
      <c r="R828" s="105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</row>
    <row r="829" spans="1:35" hidden="1">
      <c r="A829" s="194" t="s">
        <v>160</v>
      </c>
      <c r="B829" s="141"/>
      <c r="C829" s="190">
        <f>526828</f>
        <v>526828</v>
      </c>
      <c r="D829" s="207">
        <v>0.92</v>
      </c>
      <c r="E829" s="207"/>
      <c r="F829" s="123">
        <f>ROUND(D829*$C829,0)</f>
        <v>484682</v>
      </c>
      <c r="G829" s="207">
        <f>G794</f>
        <v>1.04</v>
      </c>
      <c r="H829" s="192"/>
      <c r="I829" s="123">
        <f t="shared" ref="I829:I831" si="118">ROUND(G829*C829,0)</f>
        <v>547901</v>
      </c>
      <c r="J829" s="207">
        <f t="shared" ref="J829:J831" si="119">J794</f>
        <v>1.06</v>
      </c>
      <c r="K829" s="192"/>
      <c r="L829" s="123">
        <f>ROUND(J829*$C829,0)</f>
        <v>558438</v>
      </c>
      <c r="N829" s="52"/>
      <c r="O829" s="52"/>
      <c r="P829" s="105"/>
      <c r="Q829" s="105"/>
      <c r="R829" s="105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</row>
    <row r="830" spans="1:35" hidden="1">
      <c r="A830" s="194" t="s">
        <v>161</v>
      </c>
      <c r="B830" s="141"/>
      <c r="C830" s="190">
        <v>8495</v>
      </c>
      <c r="D830" s="207">
        <v>0.84</v>
      </c>
      <c r="E830" s="207"/>
      <c r="F830" s="123">
        <f>ROUND(D830*$C830,0)</f>
        <v>7136</v>
      </c>
      <c r="G830" s="207">
        <f t="shared" ref="G830:G831" si="120">G795</f>
        <v>0.95</v>
      </c>
      <c r="H830" s="192"/>
      <c r="I830" s="123">
        <f t="shared" si="118"/>
        <v>8070</v>
      </c>
      <c r="J830" s="207">
        <f t="shared" si="119"/>
        <v>0.96</v>
      </c>
      <c r="K830" s="192"/>
      <c r="L830" s="123">
        <f>ROUND(J830*$C830,0)</f>
        <v>8155</v>
      </c>
      <c r="N830" s="52"/>
      <c r="O830" s="52"/>
      <c r="P830" s="105"/>
      <c r="Q830" s="105"/>
      <c r="R830" s="105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</row>
    <row r="831" spans="1:35" hidden="1">
      <c r="A831" s="175" t="s">
        <v>237</v>
      </c>
      <c r="B831" s="141"/>
      <c r="C831" s="190">
        <f>456203+8197</f>
        <v>464400</v>
      </c>
      <c r="D831" s="207">
        <v>6.22</v>
      </c>
      <c r="E831" s="207"/>
      <c r="F831" s="123">
        <f>ROUND(D831*$C831,0)</f>
        <v>2888568</v>
      </c>
      <c r="G831" s="207">
        <f t="shared" si="120"/>
        <v>7.02</v>
      </c>
      <c r="H831" s="192"/>
      <c r="I831" s="123">
        <f t="shared" si="118"/>
        <v>3260088</v>
      </c>
      <c r="J831" s="207">
        <f t="shared" si="119"/>
        <v>7.12</v>
      </c>
      <c r="K831" s="192"/>
      <c r="L831" s="123">
        <f>ROUND(J831*$C831,0)</f>
        <v>3306528</v>
      </c>
      <c r="N831" s="52"/>
      <c r="O831" s="52"/>
      <c r="P831" s="105"/>
      <c r="Q831" s="105"/>
      <c r="R831" s="105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</row>
    <row r="832" spans="1:35" hidden="1">
      <c r="A832" s="194" t="s">
        <v>258</v>
      </c>
      <c r="B832" s="141"/>
      <c r="C832" s="190"/>
      <c r="D832" s="207" t="s">
        <v>280</v>
      </c>
      <c r="E832" s="207"/>
      <c r="F832" s="123"/>
      <c r="G832" s="207" t="s">
        <v>280</v>
      </c>
      <c r="H832" s="192"/>
      <c r="I832" s="123"/>
      <c r="J832" s="207" t="s">
        <v>280</v>
      </c>
      <c r="K832" s="192"/>
      <c r="L832" s="123"/>
      <c r="N832" s="52"/>
      <c r="O832" s="52"/>
      <c r="P832" s="105"/>
      <c r="Q832" s="105"/>
      <c r="R832" s="105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</row>
    <row r="833" spans="1:35" hidden="1">
      <c r="A833" s="194" t="s">
        <v>151</v>
      </c>
      <c r="B833" s="141"/>
      <c r="C833" s="190">
        <f>202410050+4447350</f>
        <v>206857400</v>
      </c>
      <c r="D833" s="279">
        <v>3.718</v>
      </c>
      <c r="E833" s="192" t="s">
        <v>210</v>
      </c>
      <c r="F833" s="123">
        <f>ROUND(D833/100*$C833,0)</f>
        <v>7690958</v>
      </c>
      <c r="G833" s="279">
        <f>G798</f>
        <v>4.1850000000000005</v>
      </c>
      <c r="H833" s="192" t="s">
        <v>210</v>
      </c>
      <c r="I833" s="123">
        <f>ROUND(G833/100*C833,0)</f>
        <v>8656982</v>
      </c>
      <c r="J833" s="279">
        <f>J798</f>
        <v>4.2460000000000004</v>
      </c>
      <c r="K833" s="192" t="s">
        <v>210</v>
      </c>
      <c r="L833" s="123">
        <f>ROUND(J833/100*$C833,0)</f>
        <v>8783165</v>
      </c>
      <c r="N833" s="52"/>
      <c r="O833" s="52"/>
      <c r="P833" s="105"/>
      <c r="Q833" s="105"/>
      <c r="R833" s="105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</row>
    <row r="834" spans="1:35" hidden="1">
      <c r="A834" s="194" t="s">
        <v>234</v>
      </c>
      <c r="B834" s="141"/>
      <c r="C834" s="190">
        <f>157917+4450</f>
        <v>162367</v>
      </c>
      <c r="D834" s="207">
        <v>0.48</v>
      </c>
      <c r="E834" s="192"/>
      <c r="F834" s="123">
        <f>ROUND(D834*$C834,0)</f>
        <v>77936</v>
      </c>
      <c r="G834" s="207">
        <f>G799</f>
        <v>0.54</v>
      </c>
      <c r="H834" s="192"/>
      <c r="I834" s="123">
        <f>ROUND(G834*C834,0)</f>
        <v>87678</v>
      </c>
      <c r="J834" s="207">
        <f>J799</f>
        <v>0.55000000000000004</v>
      </c>
      <c r="K834" s="192"/>
      <c r="L834" s="123">
        <f>ROUND(J834*$C834,0)</f>
        <v>89302</v>
      </c>
      <c r="N834" s="52"/>
      <c r="O834" s="52"/>
      <c r="P834" s="105"/>
      <c r="Q834" s="105"/>
      <c r="R834" s="105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</row>
    <row r="835" spans="1:35" hidden="1">
      <c r="A835" s="141" t="s">
        <v>215</v>
      </c>
      <c r="B835" s="141"/>
      <c r="C835" s="190">
        <f>C833</f>
        <v>206857400</v>
      </c>
      <c r="D835" s="200"/>
      <c r="E835" s="123"/>
      <c r="F835" s="123">
        <f>SUM(F826:F834)</f>
        <v>11558020</v>
      </c>
      <c r="G835" s="200"/>
      <c r="H835" s="141"/>
      <c r="I835" s="123">
        <f>SUM(I826:I834)</f>
        <v>13019929</v>
      </c>
      <c r="J835" s="200"/>
      <c r="K835" s="141"/>
      <c r="L835" s="123">
        <f>SUM(L826:L834)</f>
        <v>13211862</v>
      </c>
      <c r="N835" s="52"/>
      <c r="O835" s="52"/>
      <c r="P835" s="105"/>
      <c r="Q835" s="105"/>
      <c r="R835" s="105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</row>
    <row r="836" spans="1:35" hidden="1">
      <c r="A836" s="141" t="s">
        <v>197</v>
      </c>
      <c r="B836" s="141"/>
      <c r="C836" s="190">
        <f>C835/($C$835+$C$888)*$C$924</f>
        <v>-3701826.2897112733</v>
      </c>
      <c r="D836" s="175"/>
      <c r="E836" s="175"/>
      <c r="F836" s="280">
        <f>F835/($F$835+$F$888)*$F$924</f>
        <v>-189632.80753751704</v>
      </c>
      <c r="G836" s="175"/>
      <c r="H836" s="175"/>
      <c r="I836" s="211">
        <f>F836</f>
        <v>-189632.80753751704</v>
      </c>
      <c r="J836" s="175"/>
      <c r="K836" s="175"/>
      <c r="L836" s="211">
        <f>F836</f>
        <v>-189632.80753751704</v>
      </c>
      <c r="N836" s="156"/>
      <c r="O836" s="156"/>
      <c r="P836" s="154"/>
      <c r="Q836" s="105"/>
      <c r="R836" s="105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</row>
    <row r="837" spans="1:35" ht="16.5" hidden="1" thickBot="1">
      <c r="A837" s="141" t="s">
        <v>216</v>
      </c>
      <c r="B837" s="141"/>
      <c r="C837" s="278">
        <f>SUM(C835)+C836</f>
        <v>203155573.71028873</v>
      </c>
      <c r="D837" s="213"/>
      <c r="E837" s="214"/>
      <c r="F837" s="215">
        <f>F835+F836</f>
        <v>11368387.192462483</v>
      </c>
      <c r="G837" s="213"/>
      <c r="H837" s="216"/>
      <c r="I837" s="215">
        <f>I835+I836</f>
        <v>12830296.192462483</v>
      </c>
      <c r="J837" s="213"/>
      <c r="K837" s="216"/>
      <c r="L837" s="215">
        <f>L835+L836</f>
        <v>13022229.192462483</v>
      </c>
      <c r="N837" s="157"/>
      <c r="O837" s="157"/>
      <c r="P837" s="158"/>
      <c r="Q837" s="105"/>
      <c r="R837" s="105"/>
      <c r="S837" s="92" t="s">
        <v>280</v>
      </c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</row>
    <row r="838" spans="1:35" hidden="1">
      <c r="A838" s="141"/>
      <c r="B838" s="141"/>
      <c r="C838" s="160"/>
      <c r="D838" s="207"/>
      <c r="E838" s="123"/>
      <c r="F838" s="123"/>
      <c r="G838" s="207"/>
      <c r="H838" s="141"/>
      <c r="I838" s="123"/>
      <c r="J838" s="207"/>
      <c r="K838" s="141"/>
      <c r="L838" s="260"/>
      <c r="N838" s="52"/>
      <c r="P838" s="105"/>
      <c r="Q838" s="139" t="s">
        <v>280</v>
      </c>
      <c r="R838" s="139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</row>
    <row r="839" spans="1:35">
      <c r="A839" s="159" t="s">
        <v>162</v>
      </c>
      <c r="B839" s="141"/>
      <c r="C839" s="141"/>
      <c r="D839" s="123"/>
      <c r="E839" s="123"/>
      <c r="F839" s="141"/>
      <c r="G839" s="123"/>
      <c r="H839" s="141"/>
      <c r="I839" s="141"/>
      <c r="J839" s="123"/>
      <c r="K839" s="141"/>
      <c r="L839" s="141"/>
      <c r="N839" s="52"/>
      <c r="O839" s="52"/>
      <c r="P839" s="105"/>
      <c r="Q839" s="105"/>
      <c r="R839" s="105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</row>
    <row r="840" spans="1:35">
      <c r="A840" s="175" t="s">
        <v>169</v>
      </c>
      <c r="B840" s="141"/>
      <c r="C840" s="141"/>
      <c r="D840" s="123"/>
      <c r="E840" s="123"/>
      <c r="F840" s="141"/>
      <c r="G840" s="123"/>
      <c r="H840" s="141"/>
      <c r="I840" s="141"/>
      <c r="J840" s="123"/>
      <c r="K840" s="141"/>
      <c r="L840" s="141"/>
      <c r="N840" s="52"/>
      <c r="O840" s="52"/>
      <c r="P840" s="105"/>
      <c r="Q840" s="105"/>
      <c r="R840" s="105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</row>
    <row r="841" spans="1:35">
      <c r="A841" s="141" t="s">
        <v>280</v>
      </c>
      <c r="B841" s="141"/>
      <c r="C841" s="141"/>
      <c r="D841" s="123"/>
      <c r="E841" s="123"/>
      <c r="F841" s="141"/>
      <c r="G841" s="123"/>
      <c r="H841" s="141"/>
      <c r="I841" s="141"/>
      <c r="J841" s="123"/>
      <c r="K841" s="141"/>
      <c r="L841" s="141"/>
      <c r="N841" s="52"/>
      <c r="O841" s="52"/>
      <c r="P841" s="105"/>
      <c r="Q841" s="105"/>
      <c r="R841" s="105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</row>
    <row r="842" spans="1:35">
      <c r="A842" s="194" t="s">
        <v>228</v>
      </c>
      <c r="B842" s="141"/>
      <c r="C842" s="190"/>
      <c r="D842" s="123"/>
      <c r="E842" s="123"/>
      <c r="F842" s="141"/>
      <c r="G842" s="123"/>
      <c r="H842" s="141"/>
      <c r="I842" s="141"/>
      <c r="J842" s="123"/>
      <c r="K842" s="141"/>
      <c r="L842" s="141"/>
      <c r="N842" s="52"/>
      <c r="P842" s="105"/>
      <c r="Q842" s="105"/>
      <c r="R842" s="105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</row>
    <row r="843" spans="1:35">
      <c r="A843" s="194" t="s">
        <v>158</v>
      </c>
      <c r="B843" s="141"/>
      <c r="C843" s="190">
        <f t="shared" ref="C843:C848" si="121">C862+C879</f>
        <v>131</v>
      </c>
      <c r="D843" s="207">
        <v>1245</v>
      </c>
      <c r="E843" s="207"/>
      <c r="F843" s="123">
        <f>ROUND(D843*$C843,0)</f>
        <v>163095</v>
      </c>
      <c r="G843" s="207">
        <v>1400</v>
      </c>
      <c r="H843" s="192"/>
      <c r="I843" s="123">
        <f>ROUND(G843*C843,0)</f>
        <v>183400</v>
      </c>
      <c r="J843" s="207">
        <f>ROUND(G843*(1+$Q$785),0)-2</f>
        <v>1419</v>
      </c>
      <c r="K843" s="192"/>
      <c r="L843" s="123">
        <f>ROUND(J843*$C843,0)</f>
        <v>185889</v>
      </c>
      <c r="N843" s="52"/>
      <c r="O843" s="52"/>
      <c r="Q843" s="292">
        <f>(J843-G843)/G843</f>
        <v>1.3571428571428571E-2</v>
      </c>
      <c r="R843" s="139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</row>
    <row r="844" spans="1:35">
      <c r="A844" s="194" t="s">
        <v>159</v>
      </c>
      <c r="B844" s="141"/>
      <c r="C844" s="190">
        <f t="shared" si="121"/>
        <v>2</v>
      </c>
      <c r="D844" s="207">
        <v>1490</v>
      </c>
      <c r="E844" s="207"/>
      <c r="F844" s="123">
        <f>ROUND(D844*$C844,0)</f>
        <v>2980</v>
      </c>
      <c r="G844" s="207">
        <v>1680</v>
      </c>
      <c r="H844" s="195"/>
      <c r="I844" s="123">
        <f>ROUND(G844*C844,0)</f>
        <v>3360</v>
      </c>
      <c r="J844" s="207">
        <f>ROUND(G844*(1+$Q$785),0)+2</f>
        <v>1707</v>
      </c>
      <c r="K844" s="195"/>
      <c r="L844" s="123">
        <f>ROUND(J844*$C844,0)</f>
        <v>3414</v>
      </c>
      <c r="N844" s="52"/>
      <c r="O844" s="52"/>
      <c r="Q844" s="292">
        <f>(J844-G844)/G844</f>
        <v>1.607142857142857E-2</v>
      </c>
      <c r="R844" s="139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</row>
    <row r="845" spans="1:35">
      <c r="A845" s="194" t="s">
        <v>229</v>
      </c>
      <c r="B845" s="141"/>
      <c r="C845" s="190">
        <f t="shared" si="121"/>
        <v>133</v>
      </c>
      <c r="D845" s="207" t="s">
        <v>280</v>
      </c>
      <c r="E845" s="207"/>
      <c r="F845" s="123" t="s">
        <v>280</v>
      </c>
      <c r="G845" s="207" t="s">
        <v>280</v>
      </c>
      <c r="H845" s="192"/>
      <c r="I845" s="123" t="s">
        <v>280</v>
      </c>
      <c r="J845" s="207" t="s">
        <v>280</v>
      </c>
      <c r="K845" s="192"/>
      <c r="L845" s="123" t="s">
        <v>280</v>
      </c>
      <c r="N845" s="52"/>
      <c r="O845" s="52"/>
      <c r="Q845" s="293"/>
      <c r="R845" s="105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</row>
    <row r="846" spans="1:35">
      <c r="A846" s="194" t="s">
        <v>160</v>
      </c>
      <c r="B846" s="141"/>
      <c r="C846" s="190">
        <f t="shared" si="121"/>
        <v>210735</v>
      </c>
      <c r="D846" s="207">
        <v>0.45</v>
      </c>
      <c r="E846" s="207"/>
      <c r="F846" s="123">
        <f>ROUND(D846*$C846,0)</f>
        <v>94831</v>
      </c>
      <c r="G846" s="207">
        <v>0.52</v>
      </c>
      <c r="H846" s="192"/>
      <c r="I846" s="123">
        <f t="shared" ref="I846:I848" si="122">ROUND(G846*C846,0)</f>
        <v>109582</v>
      </c>
      <c r="J846" s="207">
        <f>ROUND(G846*(1+$Q$785),2)</f>
        <v>0.53</v>
      </c>
      <c r="K846" s="192"/>
      <c r="L846" s="123">
        <f>ROUND(J846*$C846,0)</f>
        <v>111690</v>
      </c>
      <c r="N846" s="52"/>
      <c r="Q846" s="292">
        <f>(J846-G846)/G846</f>
        <v>1.9230769230769246E-2</v>
      </c>
      <c r="R846" s="139"/>
      <c r="S846" s="52" t="s">
        <v>280</v>
      </c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</row>
    <row r="847" spans="1:35">
      <c r="A847" s="194" t="s">
        <v>161</v>
      </c>
      <c r="B847" s="141"/>
      <c r="C847" s="190">
        <f t="shared" si="121"/>
        <v>8595</v>
      </c>
      <c r="D847" s="207">
        <v>0.38000000000000006</v>
      </c>
      <c r="E847" s="207"/>
      <c r="F847" s="123">
        <f>ROUND(D847*$C847,0)</f>
        <v>3266</v>
      </c>
      <c r="G847" s="207">
        <v>0.42</v>
      </c>
      <c r="H847" s="192"/>
      <c r="I847" s="123">
        <f t="shared" si="122"/>
        <v>3610</v>
      </c>
      <c r="J847" s="207">
        <f>ROUND(G847*(1+$Q$785),2)</f>
        <v>0.43</v>
      </c>
      <c r="K847" s="192"/>
      <c r="L847" s="123">
        <f>ROUND(J847*$C847,0)</f>
        <v>3696</v>
      </c>
      <c r="N847" s="52"/>
      <c r="O847" s="52"/>
      <c r="Q847" s="292">
        <f>(J847-G847)/G847</f>
        <v>2.3809523809523832E-2</v>
      </c>
      <c r="R847" s="139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</row>
    <row r="848" spans="1:35">
      <c r="A848" s="175" t="s">
        <v>237</v>
      </c>
      <c r="B848" s="141"/>
      <c r="C848" s="190">
        <f t="shared" si="121"/>
        <v>171595</v>
      </c>
      <c r="D848" s="207">
        <v>6.12</v>
      </c>
      <c r="E848" s="207"/>
      <c r="F848" s="123">
        <f>ROUND(D848*$C848,0)</f>
        <v>1050161</v>
      </c>
      <c r="G848" s="207">
        <v>6.89</v>
      </c>
      <c r="H848" s="192"/>
      <c r="I848" s="123">
        <f t="shared" si="122"/>
        <v>1182290</v>
      </c>
      <c r="J848" s="207">
        <f>ROUND(G848*(1+$Q$785),2)</f>
        <v>6.99</v>
      </c>
      <c r="K848" s="192"/>
      <c r="L848" s="123">
        <f>ROUND(J848*$C848,0)</f>
        <v>1199449</v>
      </c>
      <c r="N848" s="52"/>
      <c r="O848" s="52"/>
      <c r="Q848" s="292">
        <f>(J848-G848)/G848</f>
        <v>1.4513788098693838E-2</v>
      </c>
      <c r="R848" s="139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</row>
    <row r="849" spans="1:35">
      <c r="A849" s="194" t="s">
        <v>258</v>
      </c>
      <c r="B849" s="141"/>
      <c r="C849" s="190"/>
      <c r="D849" s="207" t="s">
        <v>280</v>
      </c>
      <c r="E849" s="207"/>
      <c r="F849" s="123"/>
      <c r="G849" s="207" t="s">
        <v>280</v>
      </c>
      <c r="H849" s="192"/>
      <c r="I849" s="123"/>
      <c r="J849" s="207" t="s">
        <v>280</v>
      </c>
      <c r="K849" s="192"/>
      <c r="L849" s="123"/>
      <c r="N849" s="52"/>
      <c r="O849" s="52"/>
      <c r="Q849" s="293"/>
      <c r="R849" s="105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</row>
    <row r="850" spans="1:35">
      <c r="A850" s="194" t="s">
        <v>151</v>
      </c>
      <c r="B850" s="141"/>
      <c r="C850" s="190">
        <f>C869+C886</f>
        <v>66293651</v>
      </c>
      <c r="D850" s="279">
        <v>3.6669999999999998</v>
      </c>
      <c r="E850" s="192" t="s">
        <v>210</v>
      </c>
      <c r="F850" s="123">
        <f>ROUND(D850/100*$C850,0)</f>
        <v>2430988</v>
      </c>
      <c r="G850" s="279">
        <v>4.13</v>
      </c>
      <c r="H850" s="192" t="s">
        <v>210</v>
      </c>
      <c r="I850" s="123">
        <f>ROUND(G850/100*C850,0)</f>
        <v>2737928</v>
      </c>
      <c r="J850" s="279">
        <f>ROUND(G850*(1+$Q$785),3)</f>
        <v>4.1920000000000002</v>
      </c>
      <c r="K850" s="192" t="s">
        <v>210</v>
      </c>
      <c r="L850" s="123">
        <f>ROUND(J850/100*$C850,0)</f>
        <v>2779030</v>
      </c>
      <c r="N850" s="52"/>
      <c r="O850" s="52"/>
      <c r="Q850" s="292">
        <f>(J850-G850)/G850</f>
        <v>1.5012106537530333E-2</v>
      </c>
      <c r="R850" s="139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</row>
    <row r="851" spans="1:35">
      <c r="A851" s="194" t="s">
        <v>234</v>
      </c>
      <c r="B851" s="141"/>
      <c r="C851" s="190">
        <f>C870+C887</f>
        <v>20109</v>
      </c>
      <c r="D851" s="207">
        <v>0.47</v>
      </c>
      <c r="E851" s="192"/>
      <c r="F851" s="123">
        <f>ROUND(D851*$C851,0)</f>
        <v>9451</v>
      </c>
      <c r="G851" s="207">
        <v>0.53</v>
      </c>
      <c r="H851" s="192"/>
      <c r="I851" s="123">
        <f>ROUND(G851*C851,0)</f>
        <v>10658</v>
      </c>
      <c r="J851" s="207">
        <f>ROUND(G851*(1+$Q$785),2)</f>
        <v>0.54</v>
      </c>
      <c r="K851" s="192"/>
      <c r="L851" s="123">
        <f>ROUND(J851*$C851,0)</f>
        <v>10859</v>
      </c>
      <c r="N851" s="52"/>
      <c r="O851" s="52"/>
      <c r="Q851" s="292">
        <f>(J851-G851)/G851</f>
        <v>1.8867924528301903E-2</v>
      </c>
      <c r="R851" s="139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</row>
    <row r="852" spans="1:35">
      <c r="A852" s="141" t="s">
        <v>215</v>
      </c>
      <c r="B852" s="141"/>
      <c r="C852" s="190">
        <f>C850</f>
        <v>66293651</v>
      </c>
      <c r="D852" s="200"/>
      <c r="E852" s="123"/>
      <c r="F852" s="123">
        <f>SUM(F843:F851)</f>
        <v>3754772</v>
      </c>
      <c r="G852" s="200"/>
      <c r="H852" s="141"/>
      <c r="I852" s="123">
        <f>SUM(I843:I851)</f>
        <v>4230828</v>
      </c>
      <c r="J852" s="200"/>
      <c r="K852" s="141"/>
      <c r="L852" s="123">
        <f>SUM(L843:L851)</f>
        <v>4294027</v>
      </c>
      <c r="N852" s="52"/>
      <c r="O852" s="52"/>
      <c r="P852" s="105"/>
      <c r="Q852" s="105"/>
      <c r="R852" s="105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</row>
    <row r="853" spans="1:35">
      <c r="A853" s="141" t="s">
        <v>197</v>
      </c>
      <c r="B853" s="141"/>
      <c r="C853" s="190">
        <f>C872+C889</f>
        <v>-874838.83716795372</v>
      </c>
      <c r="D853" s="175"/>
      <c r="E853" s="175"/>
      <c r="F853" s="294">
        <f>F872+F889</f>
        <v>-39573.798733159812</v>
      </c>
      <c r="G853" s="175"/>
      <c r="H853" s="175"/>
      <c r="I853" s="211">
        <f>F853</f>
        <v>-39573.798733159812</v>
      </c>
      <c r="J853" s="175"/>
      <c r="K853" s="175"/>
      <c r="L853" s="211">
        <f>F853</f>
        <v>-39573.798733159812</v>
      </c>
      <c r="N853" s="156"/>
      <c r="O853" s="156"/>
      <c r="P853" s="154"/>
      <c r="Q853" s="105"/>
      <c r="R853" s="105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</row>
    <row r="854" spans="1:35" ht="16.5" thickBot="1">
      <c r="A854" s="141" t="s">
        <v>216</v>
      </c>
      <c r="B854" s="141"/>
      <c r="C854" s="278">
        <f>SUM(C852)+C853</f>
        <v>65418812.162832044</v>
      </c>
      <c r="D854" s="213"/>
      <c r="E854" s="214"/>
      <c r="F854" s="215">
        <f>F852+F853</f>
        <v>3715198.2012668401</v>
      </c>
      <c r="G854" s="213"/>
      <c r="H854" s="216"/>
      <c r="I854" s="215">
        <f>I852+I853</f>
        <v>4191254.2012668401</v>
      </c>
      <c r="J854" s="213"/>
      <c r="K854" s="216"/>
      <c r="L854" s="215">
        <f>L852+L853</f>
        <v>4254453.2012668401</v>
      </c>
      <c r="N854" s="157"/>
      <c r="O854" s="157" t="s">
        <v>280</v>
      </c>
      <c r="P854" s="139" t="s">
        <v>280</v>
      </c>
      <c r="Q854" s="297">
        <f>(L854-I854)/I854</f>
        <v>1.5078779994040351E-2</v>
      </c>
      <c r="R854" s="105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</row>
    <row r="855" spans="1:35" ht="16.5" thickTop="1">
      <c r="A855" s="141"/>
      <c r="B855" s="141"/>
      <c r="C855" s="160"/>
      <c r="D855" s="207"/>
      <c r="E855" s="123"/>
      <c r="F855" s="123"/>
      <c r="G855" s="207"/>
      <c r="H855" s="141"/>
      <c r="I855" s="123"/>
      <c r="J855" s="232" t="s">
        <v>280</v>
      </c>
      <c r="K855" s="141"/>
      <c r="L855" s="123" t="s">
        <v>280</v>
      </c>
      <c r="N855" s="52"/>
      <c r="P855" s="105"/>
      <c r="Q855" s="139" t="s">
        <v>280</v>
      </c>
      <c r="R855" s="139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</row>
    <row r="856" spans="1:35" hidden="1">
      <c r="A856" s="141"/>
      <c r="B856" s="141"/>
      <c r="C856" s="160"/>
      <c r="D856" s="207"/>
      <c r="E856" s="123"/>
      <c r="F856" s="123"/>
      <c r="G856" s="207"/>
      <c r="H856" s="141"/>
      <c r="I856" s="123"/>
      <c r="J856" s="232" t="s">
        <v>280</v>
      </c>
      <c r="K856" s="141"/>
      <c r="L856" s="123" t="s">
        <v>280</v>
      </c>
      <c r="N856" s="52"/>
      <c r="O856" s="52"/>
      <c r="P856" s="105"/>
      <c r="Q856" s="105"/>
      <c r="R856" s="105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</row>
    <row r="857" spans="1:35" hidden="1">
      <c r="A857" s="141"/>
      <c r="B857" s="141"/>
      <c r="C857" s="160"/>
      <c r="D857" s="207"/>
      <c r="E857" s="123"/>
      <c r="F857" s="123"/>
      <c r="G857" s="207"/>
      <c r="H857" s="141"/>
      <c r="I857" s="123"/>
      <c r="J857" s="207"/>
      <c r="K857" s="141"/>
      <c r="L857" s="260"/>
      <c r="N857" s="52"/>
      <c r="O857" s="52"/>
      <c r="P857" s="105"/>
      <c r="Q857" s="105"/>
      <c r="R857" s="105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</row>
    <row r="858" spans="1:35" hidden="1">
      <c r="A858" s="159" t="s">
        <v>162</v>
      </c>
      <c r="B858" s="141"/>
      <c r="C858" s="141"/>
      <c r="D858" s="123"/>
      <c r="E858" s="123"/>
      <c r="F858" s="141"/>
      <c r="G858" s="123"/>
      <c r="H858" s="141"/>
      <c r="I858" s="141"/>
      <c r="J858" s="123"/>
      <c r="K858" s="141"/>
      <c r="L858" s="141"/>
      <c r="N858" s="52"/>
      <c r="O858" s="52"/>
      <c r="P858" s="105"/>
      <c r="Q858" s="105"/>
      <c r="R858" s="105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</row>
    <row r="859" spans="1:35" hidden="1">
      <c r="A859" s="175" t="s">
        <v>170</v>
      </c>
      <c r="B859" s="141"/>
      <c r="C859" s="141"/>
      <c r="D859" s="123"/>
      <c r="E859" s="123"/>
      <c r="F859" s="141"/>
      <c r="G859" s="123"/>
      <c r="H859" s="141"/>
      <c r="I859" s="141"/>
      <c r="J859" s="123"/>
      <c r="K859" s="141"/>
      <c r="L859" s="141"/>
      <c r="N859" s="52"/>
      <c r="O859" s="52"/>
      <c r="P859" s="105"/>
      <c r="Q859" s="105"/>
      <c r="R859" s="105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</row>
    <row r="860" spans="1:35" hidden="1">
      <c r="A860" s="141" t="s">
        <v>280</v>
      </c>
      <c r="B860" s="141"/>
      <c r="C860" s="141"/>
      <c r="D860" s="123"/>
      <c r="E860" s="123"/>
      <c r="F860" s="141"/>
      <c r="G860" s="123"/>
      <c r="H860" s="141"/>
      <c r="I860" s="141"/>
      <c r="J860" s="123"/>
      <c r="K860" s="141"/>
      <c r="L860" s="141"/>
      <c r="N860" s="52"/>
      <c r="O860" s="52"/>
      <c r="P860" s="105"/>
      <c r="Q860" s="105"/>
      <c r="R860" s="105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</row>
    <row r="861" spans="1:35" hidden="1">
      <c r="A861" s="194" t="s">
        <v>228</v>
      </c>
      <c r="B861" s="141"/>
      <c r="C861" s="190"/>
      <c r="D861" s="123"/>
      <c r="E861" s="123"/>
      <c r="F861" s="141"/>
      <c r="G861" s="123"/>
      <c r="H861" s="141"/>
      <c r="I861" s="141"/>
      <c r="J861" s="123"/>
      <c r="K861" s="141"/>
      <c r="L861" s="141"/>
      <c r="N861" s="52"/>
      <c r="P861" s="105"/>
      <c r="Q861" s="105"/>
      <c r="R861" s="105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</row>
    <row r="862" spans="1:35" hidden="1">
      <c r="A862" s="194" t="s">
        <v>158</v>
      </c>
      <c r="B862" s="141"/>
      <c r="C862" s="190">
        <f>102</f>
        <v>102</v>
      </c>
      <c r="D862" s="207">
        <v>1245</v>
      </c>
      <c r="E862" s="207"/>
      <c r="F862" s="123">
        <f>ROUND(D862*$C862,0)</f>
        <v>126990</v>
      </c>
      <c r="G862" s="207">
        <f>G843</f>
        <v>1400</v>
      </c>
      <c r="H862" s="192"/>
      <c r="I862" s="123">
        <f>ROUND(G862*C862,0)</f>
        <v>142800</v>
      </c>
      <c r="J862" s="207">
        <f>J843</f>
        <v>1419</v>
      </c>
      <c r="K862" s="192"/>
      <c r="L862" s="123">
        <f>ROUND(J862*$C862,0)</f>
        <v>144738</v>
      </c>
      <c r="N862" s="52"/>
      <c r="O862" s="52"/>
      <c r="P862" s="105"/>
      <c r="Q862" s="105"/>
      <c r="R862" s="105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</row>
    <row r="863" spans="1:35" hidden="1">
      <c r="A863" s="194" t="s">
        <v>159</v>
      </c>
      <c r="B863" s="141"/>
      <c r="C863" s="190">
        <f>1</f>
        <v>1</v>
      </c>
      <c r="D863" s="207">
        <v>1490</v>
      </c>
      <c r="E863" s="207"/>
      <c r="F863" s="123">
        <f>ROUND(D863*$C863,0)</f>
        <v>1490</v>
      </c>
      <c r="G863" s="207">
        <f>G844</f>
        <v>1680</v>
      </c>
      <c r="H863" s="195"/>
      <c r="I863" s="123">
        <f>ROUND(G863*C863,0)</f>
        <v>1680</v>
      </c>
      <c r="J863" s="207">
        <f>J844</f>
        <v>1707</v>
      </c>
      <c r="K863" s="195"/>
      <c r="L863" s="123">
        <f>ROUND(J863*$C863,0)</f>
        <v>1707</v>
      </c>
      <c r="N863" s="52"/>
      <c r="O863" s="52"/>
      <c r="P863" s="105"/>
      <c r="Q863" s="105"/>
      <c r="R863" s="105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</row>
    <row r="864" spans="1:35" hidden="1">
      <c r="A864" s="194" t="s">
        <v>229</v>
      </c>
      <c r="B864" s="141"/>
      <c r="C864" s="190">
        <f>SUM(C862:C863)</f>
        <v>103</v>
      </c>
      <c r="D864" s="207" t="s">
        <v>280</v>
      </c>
      <c r="E864" s="207"/>
      <c r="F864" s="123" t="s">
        <v>280</v>
      </c>
      <c r="G864" s="207" t="s">
        <v>280</v>
      </c>
      <c r="H864" s="192"/>
      <c r="I864" s="123" t="s">
        <v>280</v>
      </c>
      <c r="J864" s="207" t="s">
        <v>280</v>
      </c>
      <c r="K864" s="192"/>
      <c r="L864" s="123" t="s">
        <v>280</v>
      </c>
      <c r="N864" s="52"/>
      <c r="O864" s="52"/>
      <c r="P864" s="105"/>
      <c r="Q864" s="105"/>
      <c r="R864" s="105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</row>
    <row r="865" spans="1:35" hidden="1">
      <c r="A865" s="194" t="s">
        <v>160</v>
      </c>
      <c r="B865" s="141"/>
      <c r="C865" s="190">
        <f>179022</f>
        <v>179022</v>
      </c>
      <c r="D865" s="207">
        <v>0.45</v>
      </c>
      <c r="E865" s="207"/>
      <c r="F865" s="123">
        <f>ROUND(D865*$C865,0)</f>
        <v>80560</v>
      </c>
      <c r="G865" s="207">
        <f>G846</f>
        <v>0.52</v>
      </c>
      <c r="H865" s="192"/>
      <c r="I865" s="123">
        <f t="shared" ref="I865:I867" si="123">ROUND(G865*C865,0)</f>
        <v>93091</v>
      </c>
      <c r="J865" s="207">
        <f>J846</f>
        <v>0.53</v>
      </c>
      <c r="K865" s="192"/>
      <c r="L865" s="123">
        <f>ROUND(J865*$C865,0)</f>
        <v>94882</v>
      </c>
      <c r="N865" s="52"/>
      <c r="O865" s="52">
        <v>0.97</v>
      </c>
      <c r="P865" s="105"/>
      <c r="Q865" s="105" t="s">
        <v>280</v>
      </c>
      <c r="R865" s="105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</row>
    <row r="866" spans="1:35" hidden="1">
      <c r="A866" s="194" t="s">
        <v>161</v>
      </c>
      <c r="B866" s="141"/>
      <c r="C866" s="190">
        <f>4258</f>
        <v>4258</v>
      </c>
      <c r="D866" s="207">
        <v>0.38000000000000006</v>
      </c>
      <c r="E866" s="207"/>
      <c r="F866" s="123">
        <f>ROUND(D866*$C866,0)</f>
        <v>1618</v>
      </c>
      <c r="G866" s="207">
        <f t="shared" ref="G866:G867" si="124">G847</f>
        <v>0.42</v>
      </c>
      <c r="H866" s="192"/>
      <c r="I866" s="123">
        <f t="shared" si="123"/>
        <v>1788</v>
      </c>
      <c r="J866" s="207">
        <f t="shared" ref="J866:J867" si="125">J847</f>
        <v>0.43</v>
      </c>
      <c r="K866" s="192"/>
      <c r="L866" s="123">
        <f>ROUND(J866*$C866,0)</f>
        <v>1831</v>
      </c>
      <c r="N866" s="52"/>
      <c r="O866" s="52"/>
      <c r="P866" s="105"/>
      <c r="Q866" s="105"/>
      <c r="R866" s="105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</row>
    <row r="867" spans="1:35" hidden="1">
      <c r="A867" s="175" t="s">
        <v>237</v>
      </c>
      <c r="B867" s="141"/>
      <c r="C867" s="190">
        <f>145456+3605</f>
        <v>149061</v>
      </c>
      <c r="D867" s="207">
        <v>6.12</v>
      </c>
      <c r="E867" s="207"/>
      <c r="F867" s="123">
        <f>ROUND(D867*$C867,0)</f>
        <v>912253</v>
      </c>
      <c r="G867" s="207">
        <f t="shared" si="124"/>
        <v>6.89</v>
      </c>
      <c r="H867" s="192"/>
      <c r="I867" s="123">
        <f t="shared" si="123"/>
        <v>1027030</v>
      </c>
      <c r="J867" s="207">
        <f t="shared" si="125"/>
        <v>6.99</v>
      </c>
      <c r="K867" s="192"/>
      <c r="L867" s="123">
        <f>ROUND(J867*$C867,0)</f>
        <v>1041936</v>
      </c>
      <c r="N867" s="52"/>
      <c r="O867" s="52"/>
      <c r="P867" s="105"/>
      <c r="Q867" s="105"/>
      <c r="R867" s="105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</row>
    <row r="868" spans="1:35" hidden="1">
      <c r="A868" s="194" t="s">
        <v>258</v>
      </c>
      <c r="B868" s="141"/>
      <c r="C868" s="190"/>
      <c r="D868" s="207" t="s">
        <v>280</v>
      </c>
      <c r="E868" s="207"/>
      <c r="F868" s="123"/>
      <c r="G868" s="207" t="s">
        <v>280</v>
      </c>
      <c r="H868" s="192"/>
      <c r="I868" s="123"/>
      <c r="J868" s="207" t="s">
        <v>280</v>
      </c>
      <c r="K868" s="192"/>
      <c r="L868" s="123"/>
      <c r="N868" s="52"/>
      <c r="O868" s="52"/>
      <c r="P868" s="105"/>
      <c r="Q868" s="105"/>
      <c r="R868" s="105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</row>
    <row r="869" spans="1:35" hidden="1">
      <c r="A869" s="194" t="s">
        <v>151</v>
      </c>
      <c r="B869" s="141"/>
      <c r="C869" s="190">
        <f>59892251+2150400</f>
        <v>62042651</v>
      </c>
      <c r="D869" s="279">
        <v>3.6669999999999998</v>
      </c>
      <c r="E869" s="192" t="s">
        <v>210</v>
      </c>
      <c r="F869" s="123">
        <f>ROUND(D869/100*$C869,0)</f>
        <v>2275104</v>
      </c>
      <c r="G869" s="279">
        <f>G850</f>
        <v>4.13</v>
      </c>
      <c r="H869" s="192" t="s">
        <v>210</v>
      </c>
      <c r="I869" s="123">
        <f>ROUND(G869/100*C869,0)</f>
        <v>2562361</v>
      </c>
      <c r="J869" s="279">
        <f>J850</f>
        <v>4.1920000000000002</v>
      </c>
      <c r="K869" s="192" t="s">
        <v>210</v>
      </c>
      <c r="L869" s="123">
        <f>ROUND(J869/100*$C869,0)</f>
        <v>2600828</v>
      </c>
      <c r="N869" s="52"/>
      <c r="O869" s="52"/>
      <c r="P869" s="105"/>
      <c r="Q869" s="105"/>
      <c r="R869" s="105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</row>
    <row r="870" spans="1:35" hidden="1">
      <c r="A870" s="194" t="s">
        <v>234</v>
      </c>
      <c r="B870" s="141"/>
      <c r="C870" s="190">
        <f>15127+592</f>
        <v>15719</v>
      </c>
      <c r="D870" s="207">
        <v>0.47</v>
      </c>
      <c r="E870" s="192"/>
      <c r="F870" s="123">
        <f>ROUND(D870*$C870,0)</f>
        <v>7388</v>
      </c>
      <c r="G870" s="207">
        <f>G851</f>
        <v>0.53</v>
      </c>
      <c r="H870" s="192"/>
      <c r="I870" s="123">
        <f>ROUND(G870*C870,0)</f>
        <v>8331</v>
      </c>
      <c r="J870" s="207">
        <f>J851</f>
        <v>0.54</v>
      </c>
      <c r="K870" s="192"/>
      <c r="L870" s="123">
        <f>ROUND(J870*$C870,0)</f>
        <v>8488</v>
      </c>
      <c r="N870" s="52"/>
      <c r="O870" s="52"/>
      <c r="P870" s="105"/>
      <c r="Q870" s="105"/>
      <c r="R870" s="105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</row>
    <row r="871" spans="1:35" hidden="1">
      <c r="A871" s="141" t="s">
        <v>215</v>
      </c>
      <c r="B871" s="141"/>
      <c r="C871" s="190">
        <f>C869</f>
        <v>62042651</v>
      </c>
      <c r="D871" s="200"/>
      <c r="E871" s="123"/>
      <c r="F871" s="123">
        <f>SUM(F862:F870)</f>
        <v>3405403</v>
      </c>
      <c r="G871" s="200"/>
      <c r="H871" s="141"/>
      <c r="I871" s="123">
        <f>SUM(I862:I870)</f>
        <v>3837081</v>
      </c>
      <c r="J871" s="200"/>
      <c r="K871" s="141"/>
      <c r="L871" s="123">
        <f>SUM(L862:L870)</f>
        <v>3894410</v>
      </c>
      <c r="N871" s="52"/>
      <c r="O871" s="52"/>
      <c r="P871" s="105"/>
      <c r="Q871" s="105"/>
      <c r="R871" s="105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</row>
    <row r="872" spans="1:35" hidden="1">
      <c r="A872" s="141" t="s">
        <v>197</v>
      </c>
      <c r="B872" s="141"/>
      <c r="C872" s="190">
        <f>C871/($C$818+$C$871)*$C$906</f>
        <v>-798764.86757555522</v>
      </c>
      <c r="D872" s="175"/>
      <c r="E872" s="175"/>
      <c r="F872" s="280">
        <f>F871/($F$818+$F$871)*$F$906</f>
        <v>-33841.690263320277</v>
      </c>
      <c r="G872" s="175"/>
      <c r="H872" s="175"/>
      <c r="I872" s="211">
        <f>F872</f>
        <v>-33841.690263320277</v>
      </c>
      <c r="J872" s="175"/>
      <c r="K872" s="175"/>
      <c r="L872" s="211">
        <f>F872</f>
        <v>-33841.690263320277</v>
      </c>
      <c r="N872" s="156"/>
      <c r="O872" s="156"/>
      <c r="P872" s="154"/>
      <c r="Q872" s="105"/>
      <c r="R872" s="105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</row>
    <row r="873" spans="1:35" ht="16.5" hidden="1" thickBot="1">
      <c r="A873" s="141" t="s">
        <v>216</v>
      </c>
      <c r="B873" s="141"/>
      <c r="C873" s="278">
        <f>SUM(C871)+C872</f>
        <v>61243886.132424444</v>
      </c>
      <c r="D873" s="213"/>
      <c r="E873" s="214"/>
      <c r="F873" s="215">
        <f>F871+F872</f>
        <v>3371561.3097366798</v>
      </c>
      <c r="G873" s="213"/>
      <c r="H873" s="216"/>
      <c r="I873" s="215">
        <f>I871+I872</f>
        <v>3803239.3097366798</v>
      </c>
      <c r="J873" s="213"/>
      <c r="K873" s="216"/>
      <c r="L873" s="215">
        <f>L871+L872</f>
        <v>3860568.3097366798</v>
      </c>
      <c r="N873" s="157"/>
      <c r="O873" s="157">
        <v>22552824.432375997</v>
      </c>
      <c r="P873" s="158"/>
      <c r="Q873" s="105"/>
      <c r="R873" s="105"/>
      <c r="S873" s="262">
        <f>(L873-F873)/F873</f>
        <v>0.14503873875518866</v>
      </c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</row>
    <row r="874" spans="1:35" hidden="1">
      <c r="A874" s="141"/>
      <c r="B874" s="141"/>
      <c r="C874" s="160"/>
      <c r="D874" s="207"/>
      <c r="E874" s="123"/>
      <c r="F874" s="123"/>
      <c r="G874" s="207"/>
      <c r="H874" s="141"/>
      <c r="I874" s="123"/>
      <c r="J874" s="232" t="s">
        <v>280</v>
      </c>
      <c r="K874" s="141"/>
      <c r="L874" s="123" t="s">
        <v>280</v>
      </c>
      <c r="N874" s="52"/>
      <c r="O874" s="52"/>
      <c r="P874" s="105"/>
      <c r="Q874" s="105"/>
      <c r="R874" s="105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</row>
    <row r="875" spans="1:35" hidden="1">
      <c r="A875" s="159" t="s">
        <v>162</v>
      </c>
      <c r="B875" s="141"/>
      <c r="C875" s="141"/>
      <c r="D875" s="123"/>
      <c r="E875" s="123"/>
      <c r="F875" s="141"/>
      <c r="G875" s="123"/>
      <c r="H875" s="141"/>
      <c r="I875" s="141"/>
      <c r="J875" s="123"/>
      <c r="K875" s="141"/>
      <c r="L875" s="141"/>
      <c r="N875" s="52"/>
      <c r="O875" s="52"/>
      <c r="P875" s="105"/>
      <c r="Q875" s="105"/>
      <c r="R875" s="105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</row>
    <row r="876" spans="1:35" hidden="1">
      <c r="A876" s="175" t="s">
        <v>171</v>
      </c>
      <c r="B876" s="141"/>
      <c r="C876" s="141"/>
      <c r="D876" s="123"/>
      <c r="E876" s="123"/>
      <c r="F876" s="141"/>
      <c r="G876" s="123"/>
      <c r="H876" s="141"/>
      <c r="I876" s="141"/>
      <c r="J876" s="123"/>
      <c r="K876" s="141"/>
      <c r="L876" s="141"/>
      <c r="N876" s="52"/>
      <c r="O876" s="52"/>
      <c r="P876" s="105"/>
      <c r="Q876" s="105"/>
      <c r="R876" s="105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</row>
    <row r="877" spans="1:35" hidden="1">
      <c r="A877" s="141" t="s">
        <v>280</v>
      </c>
      <c r="B877" s="141"/>
      <c r="C877" s="141"/>
      <c r="D877" s="123"/>
      <c r="E877" s="123"/>
      <c r="F877" s="141"/>
      <c r="G877" s="123"/>
      <c r="H877" s="141"/>
      <c r="I877" s="141"/>
      <c r="J877" s="123"/>
      <c r="K877" s="141"/>
      <c r="L877" s="141"/>
      <c r="N877" s="52"/>
      <c r="O877" s="52"/>
      <c r="P877" s="105"/>
      <c r="Q877" s="105"/>
      <c r="R877" s="105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</row>
    <row r="878" spans="1:35" hidden="1">
      <c r="A878" s="194" t="s">
        <v>228</v>
      </c>
      <c r="B878" s="141"/>
      <c r="C878" s="190"/>
      <c r="D878" s="123"/>
      <c r="E878" s="123"/>
      <c r="F878" s="141"/>
      <c r="G878" s="123"/>
      <c r="H878" s="141"/>
      <c r="I878" s="141"/>
      <c r="J878" s="123"/>
      <c r="K878" s="141"/>
      <c r="L878" s="141"/>
      <c r="N878" s="52"/>
      <c r="P878" s="105"/>
      <c r="Q878" s="105"/>
      <c r="R878" s="105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</row>
    <row r="879" spans="1:35" hidden="1">
      <c r="A879" s="194" t="s">
        <v>158</v>
      </c>
      <c r="B879" s="141"/>
      <c r="C879" s="190">
        <f>29</f>
        <v>29</v>
      </c>
      <c r="D879" s="207">
        <v>1245</v>
      </c>
      <c r="E879" s="207"/>
      <c r="F879" s="123">
        <f>ROUND(D879*$C879,0)</f>
        <v>36105</v>
      </c>
      <c r="G879" s="207">
        <f>G843</f>
        <v>1400</v>
      </c>
      <c r="H879" s="192"/>
      <c r="I879" s="123">
        <f>ROUND(G879*C879,0)</f>
        <v>40600</v>
      </c>
      <c r="J879" s="207">
        <f>J843</f>
        <v>1419</v>
      </c>
      <c r="K879" s="192"/>
      <c r="L879" s="123">
        <f>ROUND(J879*$C879,0)</f>
        <v>41151</v>
      </c>
      <c r="N879" s="52"/>
      <c r="O879" s="52"/>
      <c r="P879" s="105"/>
      <c r="Q879" s="105"/>
      <c r="R879" s="105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</row>
    <row r="880" spans="1:35" hidden="1">
      <c r="A880" s="194" t="s">
        <v>159</v>
      </c>
      <c r="B880" s="141"/>
      <c r="C880" s="190">
        <f>1</f>
        <v>1</v>
      </c>
      <c r="D880" s="207">
        <v>1490</v>
      </c>
      <c r="E880" s="207"/>
      <c r="F880" s="123">
        <f>ROUND(D880*$C880,0)</f>
        <v>1490</v>
      </c>
      <c r="G880" s="207">
        <f>G844</f>
        <v>1680</v>
      </c>
      <c r="H880" s="195"/>
      <c r="I880" s="123">
        <f>ROUND(G880*C880,0)</f>
        <v>1680</v>
      </c>
      <c r="J880" s="207">
        <f>J844</f>
        <v>1707</v>
      </c>
      <c r="K880" s="195"/>
      <c r="L880" s="123">
        <f>ROUND(J880*$C880,0)</f>
        <v>1707</v>
      </c>
      <c r="N880" s="52"/>
      <c r="O880" s="52"/>
      <c r="P880" s="105"/>
      <c r="Q880" s="105"/>
      <c r="R880" s="105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</row>
    <row r="881" spans="1:35" hidden="1">
      <c r="A881" s="194" t="s">
        <v>229</v>
      </c>
      <c r="B881" s="141"/>
      <c r="C881" s="190">
        <f>SUM(C879:C880)</f>
        <v>30</v>
      </c>
      <c r="D881" s="207" t="s">
        <v>280</v>
      </c>
      <c r="E881" s="207"/>
      <c r="F881" s="123" t="s">
        <v>280</v>
      </c>
      <c r="G881" s="207" t="s">
        <v>280</v>
      </c>
      <c r="H881" s="192"/>
      <c r="I881" s="123" t="s">
        <v>280</v>
      </c>
      <c r="J881" s="207" t="s">
        <v>280</v>
      </c>
      <c r="K881" s="192"/>
      <c r="L881" s="123" t="s">
        <v>280</v>
      </c>
      <c r="N881" s="52"/>
      <c r="O881" s="52"/>
      <c r="P881" s="105"/>
      <c r="Q881" s="105"/>
      <c r="R881" s="105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</row>
    <row r="882" spans="1:35" hidden="1">
      <c r="A882" s="194" t="s">
        <v>160</v>
      </c>
      <c r="B882" s="141"/>
      <c r="C882" s="190">
        <f>31713</f>
        <v>31713</v>
      </c>
      <c r="D882" s="207">
        <v>0.45</v>
      </c>
      <c r="E882" s="207"/>
      <c r="F882" s="123">
        <f>ROUND(D882*$C882,0)</f>
        <v>14271</v>
      </c>
      <c r="G882" s="207">
        <f>G846</f>
        <v>0.52</v>
      </c>
      <c r="H882" s="192"/>
      <c r="I882" s="123">
        <f t="shared" ref="I882:I884" si="126">ROUND(G882*C882,0)</f>
        <v>16491</v>
      </c>
      <c r="J882" s="207">
        <f t="shared" ref="J882:J884" si="127">J846</f>
        <v>0.53</v>
      </c>
      <c r="K882" s="192"/>
      <c r="L882" s="123">
        <f>ROUND(J882*$C882,0)</f>
        <v>16808</v>
      </c>
      <c r="N882" s="52"/>
      <c r="O882" s="52">
        <v>0.97</v>
      </c>
      <c r="P882" s="105"/>
      <c r="Q882" s="105" t="s">
        <v>280</v>
      </c>
      <c r="R882" s="105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</row>
    <row r="883" spans="1:35" hidden="1">
      <c r="A883" s="194" t="s">
        <v>161</v>
      </c>
      <c r="B883" s="141"/>
      <c r="C883" s="190">
        <f>4337</f>
        <v>4337</v>
      </c>
      <c r="D883" s="207">
        <v>0.38000000000000006</v>
      </c>
      <c r="E883" s="207"/>
      <c r="F883" s="123">
        <f>ROUND(D883*$C883,0)</f>
        <v>1648</v>
      </c>
      <c r="G883" s="207">
        <f t="shared" ref="G883:G884" si="128">G847</f>
        <v>0.42</v>
      </c>
      <c r="H883" s="192"/>
      <c r="I883" s="123">
        <f t="shared" si="126"/>
        <v>1822</v>
      </c>
      <c r="J883" s="207">
        <f t="shared" si="127"/>
        <v>0.43</v>
      </c>
      <c r="K883" s="192"/>
      <c r="L883" s="123">
        <f>ROUND(J883*$C883,0)</f>
        <v>1865</v>
      </c>
      <c r="N883" s="52"/>
      <c r="O883" s="52"/>
      <c r="P883" s="105"/>
      <c r="Q883" s="105"/>
      <c r="R883" s="105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</row>
    <row r="884" spans="1:35" hidden="1">
      <c r="A884" s="175" t="s">
        <v>237</v>
      </c>
      <c r="B884" s="141"/>
      <c r="C884" s="190">
        <f>22034+500</f>
        <v>22534</v>
      </c>
      <c r="D884" s="207">
        <v>6.12</v>
      </c>
      <c r="E884" s="207"/>
      <c r="F884" s="123">
        <f>ROUND(D884*$C884,0)</f>
        <v>137908</v>
      </c>
      <c r="G884" s="207">
        <f t="shared" si="128"/>
        <v>6.89</v>
      </c>
      <c r="H884" s="192"/>
      <c r="I884" s="123">
        <f t="shared" si="126"/>
        <v>155259</v>
      </c>
      <c r="J884" s="207">
        <f t="shared" si="127"/>
        <v>6.99</v>
      </c>
      <c r="K884" s="192"/>
      <c r="L884" s="123">
        <f>ROUND(J884*$C884,0)</f>
        <v>157513</v>
      </c>
      <c r="N884" s="52"/>
      <c r="O884" s="52"/>
      <c r="P884" s="105"/>
      <c r="Q884" s="105"/>
      <c r="R884" s="105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</row>
    <row r="885" spans="1:35" hidden="1">
      <c r="A885" s="194" t="s">
        <v>258</v>
      </c>
      <c r="B885" s="141"/>
      <c r="C885" s="190"/>
      <c r="D885" s="207" t="s">
        <v>280</v>
      </c>
      <c r="E885" s="207"/>
      <c r="F885" s="123"/>
      <c r="G885" s="207" t="s">
        <v>280</v>
      </c>
      <c r="H885" s="192"/>
      <c r="I885" s="123"/>
      <c r="J885" s="207" t="s">
        <v>280</v>
      </c>
      <c r="K885" s="192"/>
      <c r="L885" s="123"/>
      <c r="N885" s="52"/>
      <c r="O885" s="52"/>
      <c r="P885" s="105"/>
      <c r="Q885" s="105"/>
      <c r="R885" s="105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</row>
    <row r="886" spans="1:35" hidden="1">
      <c r="A886" s="194" t="s">
        <v>151</v>
      </c>
      <c r="B886" s="141"/>
      <c r="C886" s="190">
        <f>4137600+113400</f>
        <v>4251000</v>
      </c>
      <c r="D886" s="279">
        <v>3.6669999999999998</v>
      </c>
      <c r="E886" s="192" t="s">
        <v>210</v>
      </c>
      <c r="F886" s="123">
        <f>ROUND(D886/100*$C886,0)</f>
        <v>155884</v>
      </c>
      <c r="G886" s="279">
        <f>G850</f>
        <v>4.13</v>
      </c>
      <c r="H886" s="192" t="s">
        <v>210</v>
      </c>
      <c r="I886" s="123">
        <f>ROUND(G886/100*C886,0)</f>
        <v>175566</v>
      </c>
      <c r="J886" s="279">
        <f>J850</f>
        <v>4.1920000000000002</v>
      </c>
      <c r="K886" s="192" t="s">
        <v>210</v>
      </c>
      <c r="L886" s="123">
        <f>ROUND(J886/100*$C886,0)</f>
        <v>178202</v>
      </c>
      <c r="N886" s="52"/>
      <c r="O886" s="52"/>
      <c r="P886" s="105"/>
      <c r="Q886" s="105"/>
      <c r="R886" s="105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</row>
    <row r="887" spans="1:35" hidden="1">
      <c r="A887" s="194" t="s">
        <v>234</v>
      </c>
      <c r="B887" s="141"/>
      <c r="C887" s="190">
        <f>4212+178</f>
        <v>4390</v>
      </c>
      <c r="D887" s="207">
        <v>0.47</v>
      </c>
      <c r="E887" s="192"/>
      <c r="F887" s="123">
        <f>ROUND(D887*$C887,0)</f>
        <v>2063</v>
      </c>
      <c r="G887" s="207">
        <f>G851</f>
        <v>0.53</v>
      </c>
      <c r="H887" s="192"/>
      <c r="I887" s="123">
        <f>ROUND(G887*C887,0)</f>
        <v>2327</v>
      </c>
      <c r="J887" s="207">
        <f>J851</f>
        <v>0.54</v>
      </c>
      <c r="K887" s="192"/>
      <c r="L887" s="123">
        <f>ROUND(J887*$C887,0)</f>
        <v>2371</v>
      </c>
      <c r="N887" s="52"/>
      <c r="O887" s="52"/>
      <c r="P887" s="105"/>
      <c r="Q887" s="105"/>
      <c r="R887" s="105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</row>
    <row r="888" spans="1:35" hidden="1">
      <c r="A888" s="141" t="s">
        <v>215</v>
      </c>
      <c r="B888" s="141"/>
      <c r="C888" s="190">
        <f>C886</f>
        <v>4251000</v>
      </c>
      <c r="D888" s="200"/>
      <c r="E888" s="123"/>
      <c r="F888" s="123">
        <f>SUM(F879:F887)</f>
        <v>349369</v>
      </c>
      <c r="G888" s="200"/>
      <c r="H888" s="141"/>
      <c r="I888" s="123">
        <f>SUM(I879:I887)</f>
        <v>393745</v>
      </c>
      <c r="J888" s="200"/>
      <c r="K888" s="141"/>
      <c r="L888" s="123">
        <f>SUM(L879:L887)</f>
        <v>399617</v>
      </c>
      <c r="N888" s="52"/>
      <c r="O888" s="52"/>
      <c r="P888" s="105"/>
      <c r="Q888" s="105"/>
      <c r="R888" s="105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</row>
    <row r="889" spans="1:35" hidden="1">
      <c r="A889" s="141" t="s">
        <v>197</v>
      </c>
      <c r="B889" s="141"/>
      <c r="C889" s="190">
        <f>C888/($C$835+$C$888)*$C$924</f>
        <v>-76073.969592398542</v>
      </c>
      <c r="D889" s="175"/>
      <c r="E889" s="175"/>
      <c r="F889" s="280">
        <f>F888/($F$835+$F$888)*$F$924</f>
        <v>-5732.1084698395389</v>
      </c>
      <c r="G889" s="175"/>
      <c r="H889" s="175"/>
      <c r="I889" s="211">
        <f>F889</f>
        <v>-5732.1084698395389</v>
      </c>
      <c r="J889" s="175"/>
      <c r="K889" s="175"/>
      <c r="L889" s="211">
        <f>F889</f>
        <v>-5732.1084698395389</v>
      </c>
      <c r="N889" s="156"/>
      <c r="O889" s="156"/>
      <c r="P889" s="154"/>
      <c r="Q889" s="105"/>
      <c r="R889" s="105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</row>
    <row r="890" spans="1:35" ht="16.5" hidden="1" thickBot="1">
      <c r="A890" s="141" t="s">
        <v>216</v>
      </c>
      <c r="B890" s="141"/>
      <c r="C890" s="278">
        <f>SUM(C888)+C889</f>
        <v>4174926.0304076015</v>
      </c>
      <c r="D890" s="213"/>
      <c r="E890" s="214"/>
      <c r="F890" s="215">
        <f>F888+F889</f>
        <v>343636.89153016044</v>
      </c>
      <c r="G890" s="213"/>
      <c r="H890" s="216"/>
      <c r="I890" s="215">
        <f>I888+I889</f>
        <v>388012.89153016044</v>
      </c>
      <c r="J890" s="213"/>
      <c r="K890" s="216"/>
      <c r="L890" s="215">
        <f>L888+L889</f>
        <v>393884.89153016044</v>
      </c>
      <c r="N890" s="157"/>
      <c r="O890" s="157">
        <v>0</v>
      </c>
      <c r="P890" s="158"/>
      <c r="Q890" s="105"/>
      <c r="R890" s="105"/>
      <c r="S890" s="262">
        <f>(L890-F890)/F890</f>
        <v>0.14622411399501853</v>
      </c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</row>
    <row r="891" spans="1:35" hidden="1">
      <c r="A891" s="141"/>
      <c r="B891" s="141"/>
      <c r="C891" s="160"/>
      <c r="D891" s="207"/>
      <c r="E891" s="123"/>
      <c r="F891" s="123"/>
      <c r="G891" s="207"/>
      <c r="H891" s="141"/>
      <c r="I891" s="123"/>
      <c r="J891" s="232" t="s">
        <v>280</v>
      </c>
      <c r="K891" s="141"/>
      <c r="L891" s="123" t="s">
        <v>280</v>
      </c>
      <c r="N891" s="52"/>
      <c r="O891" s="52"/>
      <c r="P891" s="105"/>
      <c r="Q891" s="105"/>
      <c r="R891" s="105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</row>
    <row r="892" spans="1:35" hidden="1">
      <c r="A892" s="159" t="s">
        <v>162</v>
      </c>
      <c r="B892" s="141"/>
      <c r="C892" s="141"/>
      <c r="D892" s="123"/>
      <c r="E892" s="123"/>
      <c r="F892" s="141"/>
      <c r="G892" s="123"/>
      <c r="H892" s="141"/>
      <c r="I892" s="141"/>
      <c r="J892" s="123"/>
      <c r="K892" s="141"/>
      <c r="L892" s="141"/>
      <c r="N892" s="52"/>
      <c r="O892" s="52"/>
      <c r="P892" s="105"/>
      <c r="Q892" s="105"/>
      <c r="R892" s="105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</row>
    <row r="893" spans="1:35" hidden="1">
      <c r="A893" s="175" t="s">
        <v>172</v>
      </c>
      <c r="B893" s="141"/>
      <c r="C893" s="141"/>
      <c r="D893" s="123"/>
      <c r="E893" s="123"/>
      <c r="F893" s="141"/>
      <c r="G893" s="123"/>
      <c r="H893" s="141"/>
      <c r="I893" s="141"/>
      <c r="J893" s="123"/>
      <c r="K893" s="141"/>
      <c r="L893" s="141"/>
      <c r="N893" s="52"/>
      <c r="O893" s="52"/>
      <c r="P893" s="105"/>
      <c r="Q893" s="105"/>
      <c r="R893" s="105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</row>
    <row r="894" spans="1:35" hidden="1">
      <c r="A894" s="194"/>
      <c r="B894" s="141"/>
      <c r="C894" s="141"/>
      <c r="D894" s="123"/>
      <c r="E894" s="123"/>
      <c r="F894" s="141"/>
      <c r="G894" s="123"/>
      <c r="H894" s="141"/>
      <c r="I894" s="141"/>
      <c r="J894" s="123"/>
      <c r="K894" s="141"/>
      <c r="L894" s="141"/>
      <c r="N894" s="52"/>
      <c r="O894" s="52"/>
      <c r="P894" s="105"/>
      <c r="Q894" s="105"/>
      <c r="R894" s="105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</row>
    <row r="895" spans="1:35" hidden="1">
      <c r="A895" s="194" t="s">
        <v>228</v>
      </c>
      <c r="B895" s="141"/>
      <c r="C895" s="190"/>
      <c r="D895" s="123"/>
      <c r="E895" s="123"/>
      <c r="F895" s="141"/>
      <c r="G895" s="123"/>
      <c r="H895" s="141"/>
      <c r="I895" s="141"/>
      <c r="J895" s="123"/>
      <c r="K895" s="141"/>
      <c r="L895" s="141"/>
      <c r="N895" s="52"/>
      <c r="O895" s="52"/>
      <c r="P895" s="105"/>
      <c r="Q895" s="105"/>
      <c r="R895" s="105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</row>
    <row r="896" spans="1:35" hidden="1">
      <c r="A896" s="194" t="s">
        <v>158</v>
      </c>
      <c r="B896" s="141"/>
      <c r="C896" s="190">
        <f t="shared" ref="C896:C901" si="129">C862+C809</f>
        <v>310</v>
      </c>
      <c r="D896" s="207"/>
      <c r="E896" s="207"/>
      <c r="F896" s="123">
        <f>F862+F809</f>
        <v>379710</v>
      </c>
      <c r="G896" s="207"/>
      <c r="H896" s="192"/>
      <c r="I896" s="123">
        <f>I862+I809</f>
        <v>426720</v>
      </c>
      <c r="J896" s="207"/>
      <c r="K896" s="192"/>
      <c r="L896" s="123">
        <f>L862+L809</f>
        <v>433026</v>
      </c>
      <c r="N896" s="52"/>
      <c r="O896" s="52"/>
      <c r="P896" s="105"/>
      <c r="Q896" s="105"/>
      <c r="R896" s="105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</row>
    <row r="897" spans="1:35" hidden="1">
      <c r="A897" s="194" t="s">
        <v>159</v>
      </c>
      <c r="B897" s="141"/>
      <c r="C897" s="190">
        <f t="shared" si="129"/>
        <v>1</v>
      </c>
      <c r="D897" s="207"/>
      <c r="E897" s="207"/>
      <c r="F897" s="123">
        <f>F863+F810</f>
        <v>1490</v>
      </c>
      <c r="G897" s="207"/>
      <c r="H897" s="195"/>
      <c r="I897" s="123">
        <f>I863+I810</f>
        <v>1680</v>
      </c>
      <c r="J897" s="207"/>
      <c r="K897" s="195"/>
      <c r="L897" s="123">
        <f>L863+L810</f>
        <v>1707</v>
      </c>
      <c r="N897" s="52"/>
      <c r="O897" s="52"/>
      <c r="P897" s="105"/>
      <c r="Q897" s="105"/>
      <c r="R897" s="105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</row>
    <row r="898" spans="1:35" hidden="1">
      <c r="A898" s="194" t="s">
        <v>229</v>
      </c>
      <c r="B898" s="141"/>
      <c r="C898" s="190">
        <f t="shared" si="129"/>
        <v>311</v>
      </c>
      <c r="D898" s="207"/>
      <c r="E898" s="207"/>
      <c r="F898" s="123" t="s">
        <v>280</v>
      </c>
      <c r="G898" s="207"/>
      <c r="H898" s="192"/>
      <c r="I898" s="123" t="s">
        <v>280</v>
      </c>
      <c r="J898" s="207"/>
      <c r="K898" s="192"/>
      <c r="L898" s="123" t="s">
        <v>280</v>
      </c>
      <c r="N898" s="52"/>
      <c r="O898" s="52"/>
      <c r="P898" s="105"/>
      <c r="Q898" s="105"/>
      <c r="R898" s="105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</row>
    <row r="899" spans="1:35" hidden="1">
      <c r="A899" s="194" t="s">
        <v>160</v>
      </c>
      <c r="B899" s="141"/>
      <c r="C899" s="190">
        <f t="shared" si="129"/>
        <v>443037</v>
      </c>
      <c r="D899" s="207"/>
      <c r="E899" s="207"/>
      <c r="F899" s="123">
        <f>F865+F812</f>
        <v>323454</v>
      </c>
      <c r="G899" s="207"/>
      <c r="H899" s="192"/>
      <c r="I899" s="123">
        <f>I865+I812</f>
        <v>367667</v>
      </c>
      <c r="J899" s="207"/>
      <c r="K899" s="192"/>
      <c r="L899" s="123">
        <f>L865+L812</f>
        <v>374738</v>
      </c>
      <c r="N899" s="52"/>
      <c r="O899" s="52"/>
      <c r="P899" s="105"/>
      <c r="Q899" s="105"/>
      <c r="R899" s="105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</row>
    <row r="900" spans="1:35" hidden="1">
      <c r="A900" s="194" t="s">
        <v>161</v>
      </c>
      <c r="B900" s="141"/>
      <c r="C900" s="190">
        <f t="shared" si="129"/>
        <v>4258</v>
      </c>
      <c r="D900" s="207"/>
      <c r="E900" s="207"/>
      <c r="F900" s="123">
        <f>F866+F813</f>
        <v>1618</v>
      </c>
      <c r="G900" s="207"/>
      <c r="H900" s="192"/>
      <c r="I900" s="123">
        <f>I866+I813</f>
        <v>1788</v>
      </c>
      <c r="J900" s="207"/>
      <c r="K900" s="192"/>
      <c r="L900" s="123">
        <f>L866+L813</f>
        <v>1831</v>
      </c>
      <c r="N900" s="52"/>
      <c r="O900" s="52"/>
      <c r="P900" s="105"/>
      <c r="Q900" s="105"/>
      <c r="R900" s="105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</row>
    <row r="901" spans="1:35" hidden="1">
      <c r="A901" s="175" t="s">
        <v>237</v>
      </c>
      <c r="B901" s="141"/>
      <c r="C901" s="190">
        <f t="shared" si="129"/>
        <v>329646</v>
      </c>
      <c r="D901" s="207"/>
      <c r="E901" s="207"/>
      <c r="F901" s="123">
        <f>F867+F814</f>
        <v>2035492</v>
      </c>
      <c r="G901" s="207"/>
      <c r="H901" s="192"/>
      <c r="I901" s="123">
        <f>I867+I814</f>
        <v>2294737</v>
      </c>
      <c r="J901" s="207"/>
      <c r="K901" s="192"/>
      <c r="L901" s="123">
        <f>L867+L814</f>
        <v>2327701</v>
      </c>
      <c r="N901" s="52"/>
      <c r="O901" s="52"/>
      <c r="P901" s="105"/>
      <c r="Q901" s="105"/>
      <c r="R901" s="105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</row>
    <row r="902" spans="1:35" hidden="1">
      <c r="A902" s="194" t="s">
        <v>258</v>
      </c>
      <c r="B902" s="141"/>
      <c r="C902" s="190"/>
      <c r="D902" s="207"/>
      <c r="E902" s="207"/>
      <c r="F902" s="123"/>
      <c r="G902" s="207"/>
      <c r="H902" s="192"/>
      <c r="I902" s="123"/>
      <c r="J902" s="207"/>
      <c r="K902" s="192"/>
      <c r="L902" s="123"/>
      <c r="N902" s="52"/>
      <c r="O902" s="52"/>
      <c r="P902" s="105"/>
      <c r="Q902" s="105"/>
      <c r="R902" s="105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</row>
    <row r="903" spans="1:35" hidden="1">
      <c r="A903" s="194" t="s">
        <v>151</v>
      </c>
      <c r="B903" s="141"/>
      <c r="C903" s="190">
        <f>C869+C816</f>
        <v>143431951</v>
      </c>
      <c r="D903" s="279"/>
      <c r="E903" s="120" t="s">
        <v>280</v>
      </c>
      <c r="F903" s="123">
        <f>F869+F816</f>
        <v>5301158</v>
      </c>
      <c r="G903" s="279"/>
      <c r="H903" s="192"/>
      <c r="I903" s="123">
        <f>I869+I816</f>
        <v>5968503</v>
      </c>
      <c r="J903" s="279"/>
      <c r="K903" s="192"/>
      <c r="L903" s="123">
        <f>L869+L816</f>
        <v>6056618</v>
      </c>
      <c r="N903" s="52"/>
      <c r="O903" s="52"/>
      <c r="P903" s="105"/>
      <c r="Q903" s="105"/>
      <c r="R903" s="105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</row>
    <row r="904" spans="1:35" hidden="1">
      <c r="A904" s="194" t="s">
        <v>234</v>
      </c>
      <c r="B904" s="141"/>
      <c r="C904" s="190">
        <f>C870+C817</f>
        <v>38961</v>
      </c>
      <c r="D904" s="207"/>
      <c r="E904" s="192"/>
      <c r="F904" s="123">
        <f>F870+F817</f>
        <v>18544</v>
      </c>
      <c r="G904" s="207"/>
      <c r="H904" s="192"/>
      <c r="I904" s="123">
        <f>I870+I817</f>
        <v>20882</v>
      </c>
      <c r="J904" s="207"/>
      <c r="K904" s="192"/>
      <c r="L904" s="123">
        <f>L870+L817</f>
        <v>21271</v>
      </c>
      <c r="N904" s="52"/>
      <c r="O904" s="52"/>
      <c r="P904" s="105"/>
      <c r="Q904" s="105"/>
      <c r="R904" s="105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</row>
    <row r="905" spans="1:35" hidden="1">
      <c r="A905" s="141" t="s">
        <v>215</v>
      </c>
      <c r="B905" s="141"/>
      <c r="C905" s="190">
        <f>C871+C818</f>
        <v>143431951</v>
      </c>
      <c r="D905" s="200"/>
      <c r="E905" s="123"/>
      <c r="F905" s="123">
        <f>F871+F818</f>
        <v>8061466</v>
      </c>
      <c r="G905" s="200"/>
      <c r="H905" s="141"/>
      <c r="I905" s="123">
        <f>I871+I818</f>
        <v>9081977</v>
      </c>
      <c r="J905" s="200"/>
      <c r="K905" s="141"/>
      <c r="L905" s="123">
        <f>L871+L818</f>
        <v>9216892</v>
      </c>
      <c r="N905" s="52"/>
      <c r="O905" s="52"/>
      <c r="P905" s="105"/>
      <c r="Q905" s="105"/>
      <c r="R905" s="105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</row>
    <row r="906" spans="1:35" hidden="1">
      <c r="A906" s="141" t="s">
        <v>197</v>
      </c>
      <c r="B906" s="141"/>
      <c r="C906" s="210">
        <v>-1846607.156528797</v>
      </c>
      <c r="D906" s="175"/>
      <c r="E906" s="175"/>
      <c r="F906" s="280">
        <v>-80111.997152844313</v>
      </c>
      <c r="G906" s="175"/>
      <c r="H906" s="175"/>
      <c r="I906" s="280">
        <f>F906</f>
        <v>-80111.997152844313</v>
      </c>
      <c r="J906" s="175"/>
      <c r="K906" s="175"/>
      <c r="L906" s="280">
        <f>I906</f>
        <v>-80111.997152844313</v>
      </c>
      <c r="N906" s="156"/>
      <c r="O906" s="156"/>
      <c r="P906" s="154"/>
      <c r="Q906" s="105"/>
      <c r="R906" s="105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</row>
    <row r="907" spans="1:35" ht="16.5" hidden="1" thickBot="1">
      <c r="A907" s="141" t="s">
        <v>216</v>
      </c>
      <c r="B907" s="141"/>
      <c r="C907" s="289">
        <f>C905+C906</f>
        <v>141585343.8434712</v>
      </c>
      <c r="D907" s="213"/>
      <c r="E907" s="214"/>
      <c r="F907" s="290">
        <f>F905+F906</f>
        <v>7981354.0028471556</v>
      </c>
      <c r="G907" s="213"/>
      <c r="H907" s="216"/>
      <c r="I907" s="290">
        <f>I905+I906</f>
        <v>9001865.0028471556</v>
      </c>
      <c r="J907" s="213"/>
      <c r="K907" s="216"/>
      <c r="L907" s="290">
        <f>L905+L906</f>
        <v>9136780.0028471556</v>
      </c>
      <c r="N907" s="157"/>
      <c r="O907" s="157"/>
      <c r="P907" s="158"/>
      <c r="Q907" s="105"/>
      <c r="R907" s="105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</row>
    <row r="908" spans="1:35" hidden="1">
      <c r="A908" s="141"/>
      <c r="B908" s="141"/>
      <c r="C908" s="160"/>
      <c r="D908" s="207"/>
      <c r="E908" s="123"/>
      <c r="F908" s="123"/>
      <c r="G908" s="207"/>
      <c r="H908" s="141"/>
      <c r="I908" s="123"/>
      <c r="J908" s="232" t="s">
        <v>280</v>
      </c>
      <c r="K908" s="141"/>
      <c r="L908" s="123" t="s">
        <v>280</v>
      </c>
      <c r="N908" s="52"/>
      <c r="O908" s="52"/>
      <c r="P908" s="105"/>
      <c r="Q908" s="105"/>
      <c r="R908" s="105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</row>
    <row r="909" spans="1:35" hidden="1">
      <c r="A909" s="141"/>
      <c r="B909" s="141"/>
      <c r="C909" s="160"/>
      <c r="D909" s="207"/>
      <c r="E909" s="123"/>
      <c r="F909" s="123"/>
      <c r="G909" s="207"/>
      <c r="H909" s="141"/>
      <c r="I909" s="123"/>
      <c r="J909" s="207"/>
      <c r="K909" s="141"/>
      <c r="L909" s="260"/>
      <c r="N909" s="52"/>
      <c r="O909" s="52"/>
      <c r="P909" s="105"/>
      <c r="Q909" s="105"/>
      <c r="R909" s="105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</row>
    <row r="910" spans="1:35" hidden="1">
      <c r="A910" s="159" t="s">
        <v>162</v>
      </c>
      <c r="B910" s="141"/>
      <c r="C910" s="141"/>
      <c r="D910" s="123"/>
      <c r="E910" s="123"/>
      <c r="F910" s="141"/>
      <c r="G910" s="123"/>
      <c r="H910" s="141"/>
      <c r="I910" s="141"/>
      <c r="J910" s="123"/>
      <c r="K910" s="141"/>
      <c r="L910" s="141"/>
      <c r="N910" s="52"/>
      <c r="O910" s="52"/>
      <c r="P910" s="105"/>
      <c r="Q910" s="105"/>
      <c r="R910" s="105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</row>
    <row r="911" spans="1:35" hidden="1">
      <c r="A911" s="175" t="s">
        <v>173</v>
      </c>
      <c r="B911" s="141"/>
      <c r="C911" s="141"/>
      <c r="D911" s="123"/>
      <c r="E911" s="123"/>
      <c r="F911" s="141"/>
      <c r="G911" s="123"/>
      <c r="H911" s="141"/>
      <c r="I911" s="141"/>
      <c r="J911" s="123"/>
      <c r="K911" s="141"/>
      <c r="L911" s="141"/>
      <c r="N911" s="52"/>
      <c r="O911" s="52"/>
      <c r="P911" s="105"/>
      <c r="Q911" s="105"/>
      <c r="R911" s="105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</row>
    <row r="912" spans="1:35" hidden="1">
      <c r="A912" s="194"/>
      <c r="B912" s="141"/>
      <c r="C912" s="141"/>
      <c r="D912" s="123"/>
      <c r="E912" s="123"/>
      <c r="F912" s="141"/>
      <c r="G912" s="123"/>
      <c r="H912" s="141"/>
      <c r="I912" s="141"/>
      <c r="J912" s="123"/>
      <c r="K912" s="141"/>
      <c r="L912" s="141"/>
      <c r="N912" s="52"/>
      <c r="O912" s="52"/>
      <c r="P912" s="105"/>
      <c r="Q912" s="105"/>
      <c r="R912" s="105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</row>
    <row r="913" spans="1:35" hidden="1">
      <c r="A913" s="194" t="s">
        <v>228</v>
      </c>
      <c r="B913" s="141"/>
      <c r="C913" s="190"/>
      <c r="D913" s="123"/>
      <c r="E913" s="123"/>
      <c r="F913" s="141"/>
      <c r="G913" s="123"/>
      <c r="H913" s="141"/>
      <c r="I913" s="141"/>
      <c r="J913" s="123"/>
      <c r="K913" s="141"/>
      <c r="L913" s="141"/>
      <c r="N913" s="52"/>
      <c r="O913" s="52"/>
      <c r="P913" s="105"/>
      <c r="Q913" s="105"/>
      <c r="R913" s="105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</row>
    <row r="914" spans="1:35" hidden="1">
      <c r="A914" s="194" t="s">
        <v>158</v>
      </c>
      <c r="B914" s="141"/>
      <c r="C914" s="190">
        <f t="shared" ref="C914:C919" si="130">C879+C826</f>
        <v>363</v>
      </c>
      <c r="D914" s="207"/>
      <c r="E914" s="207"/>
      <c r="F914" s="123">
        <f>F879+F826</f>
        <v>441915</v>
      </c>
      <c r="G914" s="207"/>
      <c r="H914" s="192"/>
      <c r="I914" s="123">
        <f>I879+I826</f>
        <v>496510</v>
      </c>
      <c r="J914" s="207"/>
      <c r="K914" s="192"/>
      <c r="L914" s="123">
        <f>L879+L826</f>
        <v>504075</v>
      </c>
      <c r="N914" s="52"/>
      <c r="O914" s="52"/>
      <c r="P914" s="105"/>
      <c r="Q914" s="105"/>
      <c r="R914" s="105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</row>
    <row r="915" spans="1:35" hidden="1">
      <c r="A915" s="194" t="s">
        <v>159</v>
      </c>
      <c r="B915" s="141"/>
      <c r="C915" s="190">
        <f t="shared" si="130"/>
        <v>3</v>
      </c>
      <c r="D915" s="207"/>
      <c r="E915" s="207"/>
      <c r="F915" s="123">
        <f>F880+F827</f>
        <v>4420</v>
      </c>
      <c r="G915" s="207"/>
      <c r="H915" s="195"/>
      <c r="I915" s="123">
        <f>I880+I827</f>
        <v>4980</v>
      </c>
      <c r="J915" s="207"/>
      <c r="K915" s="195"/>
      <c r="L915" s="123">
        <f>L880+L827</f>
        <v>5057</v>
      </c>
      <c r="N915" s="52"/>
      <c r="O915" s="52"/>
      <c r="P915" s="105"/>
      <c r="Q915" s="105"/>
      <c r="R915" s="105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</row>
    <row r="916" spans="1:35" hidden="1">
      <c r="A916" s="194" t="s">
        <v>229</v>
      </c>
      <c r="B916" s="141"/>
      <c r="C916" s="190">
        <f t="shared" si="130"/>
        <v>366</v>
      </c>
      <c r="D916" s="207"/>
      <c r="E916" s="207"/>
      <c r="F916" s="123" t="s">
        <v>280</v>
      </c>
      <c r="G916" s="207"/>
      <c r="H916" s="192"/>
      <c r="I916" s="123" t="s">
        <v>280</v>
      </c>
      <c r="J916" s="207"/>
      <c r="K916" s="192"/>
      <c r="L916" s="123" t="s">
        <v>280</v>
      </c>
      <c r="N916" s="52"/>
      <c r="O916" s="52"/>
      <c r="P916" s="105"/>
      <c r="Q916" s="105"/>
      <c r="R916" s="105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</row>
    <row r="917" spans="1:35" hidden="1">
      <c r="A917" s="194" t="s">
        <v>160</v>
      </c>
      <c r="B917" s="141"/>
      <c r="C917" s="190">
        <f t="shared" si="130"/>
        <v>558541</v>
      </c>
      <c r="D917" s="207"/>
      <c r="E917" s="207"/>
      <c r="F917" s="123">
        <f>F882+F829</f>
        <v>498953</v>
      </c>
      <c r="G917" s="207"/>
      <c r="H917" s="192"/>
      <c r="I917" s="123">
        <f>I882+I829</f>
        <v>564392</v>
      </c>
      <c r="J917" s="207"/>
      <c r="K917" s="192"/>
      <c r="L917" s="123">
        <f>L882+L829</f>
        <v>575246</v>
      </c>
      <c r="N917" s="52"/>
      <c r="O917" s="52"/>
      <c r="P917" s="105"/>
      <c r="Q917" s="105"/>
      <c r="R917" s="105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</row>
    <row r="918" spans="1:35" hidden="1">
      <c r="A918" s="194" t="s">
        <v>161</v>
      </c>
      <c r="B918" s="141"/>
      <c r="C918" s="190">
        <f t="shared" si="130"/>
        <v>12832</v>
      </c>
      <c r="D918" s="207"/>
      <c r="E918" s="207"/>
      <c r="F918" s="123">
        <f>F883+F830</f>
        <v>8784</v>
      </c>
      <c r="G918" s="207"/>
      <c r="H918" s="192"/>
      <c r="I918" s="123">
        <f>I883+I830</f>
        <v>9892</v>
      </c>
      <c r="J918" s="207"/>
      <c r="K918" s="192"/>
      <c r="L918" s="123">
        <f>L883+L830</f>
        <v>10020</v>
      </c>
      <c r="N918" s="52"/>
      <c r="O918" s="52"/>
      <c r="P918" s="105"/>
      <c r="Q918" s="105"/>
      <c r="R918" s="105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</row>
    <row r="919" spans="1:35" hidden="1">
      <c r="A919" s="175" t="s">
        <v>237</v>
      </c>
      <c r="B919" s="141"/>
      <c r="C919" s="190">
        <f t="shared" si="130"/>
        <v>486934</v>
      </c>
      <c r="D919" s="207"/>
      <c r="E919" s="207"/>
      <c r="F919" s="123">
        <f>F884+F831</f>
        <v>3026476</v>
      </c>
      <c r="G919" s="207"/>
      <c r="H919" s="192"/>
      <c r="I919" s="123">
        <f>I884+I831</f>
        <v>3415347</v>
      </c>
      <c r="J919" s="207"/>
      <c r="K919" s="192"/>
      <c r="L919" s="123">
        <f>L884+L831</f>
        <v>3464041</v>
      </c>
      <c r="N919" s="52"/>
      <c r="O919" s="52"/>
      <c r="P919" s="105"/>
      <c r="Q919" s="105"/>
      <c r="R919" s="105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</row>
    <row r="920" spans="1:35" hidden="1">
      <c r="A920" s="194" t="s">
        <v>258</v>
      </c>
      <c r="B920" s="141"/>
      <c r="C920" s="190"/>
      <c r="D920" s="207"/>
      <c r="E920" s="207"/>
      <c r="F920" s="123"/>
      <c r="G920" s="207"/>
      <c r="H920" s="192"/>
      <c r="I920" s="123"/>
      <c r="J920" s="207"/>
      <c r="K920" s="192"/>
      <c r="L920" s="123"/>
      <c r="N920" s="52"/>
      <c r="O920" s="52"/>
      <c r="P920" s="105"/>
      <c r="Q920" s="105"/>
      <c r="R920" s="105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</row>
    <row r="921" spans="1:35" hidden="1">
      <c r="A921" s="194" t="s">
        <v>151</v>
      </c>
      <c r="B921" s="141"/>
      <c r="C921" s="190">
        <f>C886+C833</f>
        <v>211108400</v>
      </c>
      <c r="D921" s="279"/>
      <c r="E921" s="192"/>
      <c r="F921" s="123">
        <f>F886+F833</f>
        <v>7846842</v>
      </c>
      <c r="G921" s="279"/>
      <c r="H921" s="192"/>
      <c r="I921" s="123">
        <f>I886+I833</f>
        <v>8832548</v>
      </c>
      <c r="J921" s="279"/>
      <c r="K921" s="192"/>
      <c r="L921" s="123">
        <f>L886+L833</f>
        <v>8961367</v>
      </c>
      <c r="N921" s="52"/>
      <c r="O921" s="52"/>
      <c r="P921" s="105"/>
      <c r="Q921" s="105"/>
      <c r="R921" s="105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</row>
    <row r="922" spans="1:35" hidden="1">
      <c r="A922" s="194" t="s">
        <v>234</v>
      </c>
      <c r="B922" s="141"/>
      <c r="C922" s="190">
        <f>C887+C834</f>
        <v>166757</v>
      </c>
      <c r="D922" s="207"/>
      <c r="E922" s="192"/>
      <c r="F922" s="123">
        <f>F887+F834</f>
        <v>79999</v>
      </c>
      <c r="G922" s="207"/>
      <c r="H922" s="192"/>
      <c r="I922" s="123">
        <f>I887+I834</f>
        <v>90005</v>
      </c>
      <c r="J922" s="207"/>
      <c r="K922" s="192"/>
      <c r="L922" s="123">
        <f>L887+L834</f>
        <v>91673</v>
      </c>
      <c r="N922" s="52"/>
      <c r="O922" s="52"/>
      <c r="P922" s="105"/>
      <c r="Q922" s="105"/>
      <c r="R922" s="105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</row>
    <row r="923" spans="1:35" hidden="1">
      <c r="A923" s="141" t="s">
        <v>215</v>
      </c>
      <c r="B923" s="141"/>
      <c r="C923" s="228">
        <f>C888+C835</f>
        <v>211108400</v>
      </c>
      <c r="D923" s="200"/>
      <c r="E923" s="123"/>
      <c r="F923" s="184">
        <f>F888+F835</f>
        <v>11907389</v>
      </c>
      <c r="G923" s="200"/>
      <c r="H923" s="141"/>
      <c r="I923" s="184">
        <f>I888+I835</f>
        <v>13413674</v>
      </c>
      <c r="J923" s="200"/>
      <c r="K923" s="141"/>
      <c r="L923" s="184">
        <f>L888+L835</f>
        <v>13611479</v>
      </c>
      <c r="N923" s="52"/>
      <c r="O923" s="52"/>
      <c r="P923" s="105"/>
      <c r="Q923" s="105"/>
      <c r="R923" s="105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</row>
    <row r="924" spans="1:35" hidden="1">
      <c r="A924" s="141" t="s">
        <v>197</v>
      </c>
      <c r="B924" s="141"/>
      <c r="C924" s="190">
        <v>-3777900.2593036718</v>
      </c>
      <c r="D924" s="175"/>
      <c r="E924" s="175"/>
      <c r="F924" s="280">
        <v>-195364.91600735657</v>
      </c>
      <c r="G924" s="175"/>
      <c r="H924" s="175"/>
      <c r="I924" s="280">
        <f>F924</f>
        <v>-195364.91600735657</v>
      </c>
      <c r="J924" s="175"/>
      <c r="K924" s="175"/>
      <c r="L924" s="280">
        <f>I924</f>
        <v>-195364.91600735657</v>
      </c>
      <c r="N924" s="156"/>
      <c r="O924" s="156"/>
      <c r="P924" s="154"/>
      <c r="Q924" s="105"/>
      <c r="R924" s="105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</row>
    <row r="925" spans="1:35" ht="16.5" hidden="1" thickBot="1">
      <c r="A925" s="141" t="s">
        <v>216</v>
      </c>
      <c r="B925" s="141"/>
      <c r="C925" s="289">
        <f>C923+C924</f>
        <v>207330499.74069634</v>
      </c>
      <c r="D925" s="213"/>
      <c r="E925" s="214"/>
      <c r="F925" s="282">
        <f>F923+F924</f>
        <v>11712024.083992643</v>
      </c>
      <c r="G925" s="213"/>
      <c r="H925" s="216"/>
      <c r="I925" s="282">
        <f>I923+I924</f>
        <v>13218309.083992643</v>
      </c>
      <c r="J925" s="213"/>
      <c r="K925" s="216"/>
      <c r="L925" s="282">
        <f>L923+L924</f>
        <v>13416114.083992643</v>
      </c>
      <c r="N925" s="157"/>
      <c r="O925" s="157"/>
      <c r="P925" s="158"/>
      <c r="Q925" s="105"/>
      <c r="R925" s="105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</row>
    <row r="926" spans="1:35" hidden="1">
      <c r="A926" s="141"/>
      <c r="B926" s="141"/>
      <c r="C926" s="160"/>
      <c r="D926" s="207"/>
      <c r="E926" s="123"/>
      <c r="F926" s="123"/>
      <c r="G926" s="207"/>
      <c r="H926" s="141"/>
      <c r="I926" s="123"/>
      <c r="J926" s="232" t="s">
        <v>280</v>
      </c>
      <c r="K926" s="141"/>
      <c r="L926" s="123" t="s">
        <v>280</v>
      </c>
      <c r="N926" s="52"/>
      <c r="O926" s="52"/>
      <c r="P926" s="105"/>
      <c r="Q926" s="105"/>
      <c r="R926" s="105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</row>
    <row r="927" spans="1:35">
      <c r="A927" s="159" t="s">
        <v>162</v>
      </c>
      <c r="B927" s="141"/>
      <c r="C927" s="141"/>
      <c r="D927" s="123"/>
      <c r="E927" s="123"/>
      <c r="F927" s="141"/>
      <c r="G927" s="123"/>
      <c r="H927" s="141"/>
      <c r="I927" s="141"/>
      <c r="J927" s="123"/>
      <c r="K927" s="141"/>
      <c r="L927" s="141"/>
      <c r="N927" s="52"/>
      <c r="O927" s="52"/>
      <c r="P927" s="105"/>
      <c r="Q927" s="105"/>
      <c r="R927" s="105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</row>
    <row r="928" spans="1:35">
      <c r="A928" s="175" t="s">
        <v>174</v>
      </c>
      <c r="B928" s="141"/>
      <c r="C928" s="141"/>
      <c r="D928" s="123"/>
      <c r="E928" s="123"/>
      <c r="F928" s="141"/>
      <c r="G928" s="123"/>
      <c r="H928" s="141"/>
      <c r="I928" s="141"/>
      <c r="J928" s="123"/>
      <c r="K928" s="141"/>
      <c r="L928" s="141"/>
      <c r="N928" s="52"/>
      <c r="O928" s="52"/>
      <c r="P928" s="105"/>
      <c r="Q928" s="105"/>
      <c r="R928" s="105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</row>
    <row r="929" spans="1:35">
      <c r="A929" s="194"/>
      <c r="B929" s="141"/>
      <c r="C929" s="141"/>
      <c r="D929" s="123"/>
      <c r="E929" s="123"/>
      <c r="F929" s="141"/>
      <c r="G929" s="123"/>
      <c r="H929" s="141"/>
      <c r="I929" s="141"/>
      <c r="J929" s="123"/>
      <c r="K929" s="141"/>
      <c r="L929" s="141"/>
      <c r="N929" s="52"/>
      <c r="O929" s="52"/>
      <c r="P929" s="105"/>
      <c r="Q929" s="105"/>
      <c r="R929" s="105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</row>
    <row r="930" spans="1:35">
      <c r="A930" s="194" t="s">
        <v>228</v>
      </c>
      <c r="B930" s="141"/>
      <c r="C930" s="190"/>
      <c r="D930" s="123"/>
      <c r="E930" s="123"/>
      <c r="F930" s="141"/>
      <c r="G930" s="123"/>
      <c r="H930" s="141"/>
      <c r="I930" s="141"/>
      <c r="J930" s="123"/>
      <c r="K930" s="141"/>
      <c r="L930" s="141"/>
      <c r="N930" s="52"/>
      <c r="O930" s="52"/>
      <c r="AA930" s="52"/>
      <c r="AB930" s="52"/>
      <c r="AC930" s="52"/>
      <c r="AD930" s="52"/>
      <c r="AE930" s="52"/>
      <c r="AF930" s="52"/>
      <c r="AG930" s="52"/>
      <c r="AH930" s="52"/>
      <c r="AI930" s="52"/>
    </row>
    <row r="931" spans="1:35">
      <c r="A931" s="175" t="s">
        <v>175</v>
      </c>
      <c r="B931" s="141"/>
      <c r="C931" s="190">
        <v>0</v>
      </c>
      <c r="D931" s="207" t="s">
        <v>280</v>
      </c>
      <c r="E931" s="207"/>
      <c r="F931" s="123">
        <f>ROUND(D931*$C931,0)</f>
        <v>0</v>
      </c>
      <c r="G931" s="207" t="s">
        <v>280</v>
      </c>
      <c r="H931" s="192"/>
      <c r="I931" s="123">
        <f>ROUND(C931*G931,0)</f>
        <v>0</v>
      </c>
      <c r="J931" s="207" t="s">
        <v>280</v>
      </c>
      <c r="K931" s="192"/>
      <c r="L931" s="123">
        <f>ROUND(J931*$C931,0)</f>
        <v>0</v>
      </c>
      <c r="N931" s="52"/>
      <c r="O931" s="52"/>
      <c r="Q931" s="298"/>
      <c r="R931" s="298"/>
      <c r="T931" s="168"/>
      <c r="U931" s="287"/>
      <c r="V931" s="168"/>
      <c r="W931" s="287"/>
      <c r="X931" s="168"/>
      <c r="Y931" s="168"/>
      <c r="Z931" s="287"/>
      <c r="AA931" s="52"/>
      <c r="AB931" s="52"/>
      <c r="AC931" s="52"/>
      <c r="AD931" s="52"/>
      <c r="AE931" s="52"/>
      <c r="AF931" s="52"/>
      <c r="AG931" s="52"/>
      <c r="AH931" s="52"/>
      <c r="AI931" s="52"/>
    </row>
    <row r="932" spans="1:35">
      <c r="A932" s="175" t="s">
        <v>176</v>
      </c>
      <c r="B932" s="141"/>
      <c r="C932" s="190">
        <v>12</v>
      </c>
      <c r="D932" s="207">
        <v>2100</v>
      </c>
      <c r="E932" s="207"/>
      <c r="F932" s="123">
        <f>ROUND(D932*$C932,0)</f>
        <v>25200</v>
      </c>
      <c r="G932" s="207">
        <v>2512</v>
      </c>
      <c r="H932" s="195"/>
      <c r="I932" s="123">
        <f>ROUND(C932*G932,0)</f>
        <v>30144</v>
      </c>
      <c r="J932" s="207">
        <f>ROUND(G932*(1+$Q$942),0)-21</f>
        <v>2528</v>
      </c>
      <c r="K932" s="195"/>
      <c r="L932" s="123">
        <f>ROUND(J932*$C932,0)</f>
        <v>30336</v>
      </c>
      <c r="N932" s="52"/>
      <c r="O932" s="52"/>
      <c r="Q932" s="292">
        <f>(J932-G932)/G932</f>
        <v>6.369426751592357E-3</v>
      </c>
      <c r="R932" s="139"/>
      <c r="T932" s="168"/>
      <c r="U932" s="287"/>
      <c r="V932" s="168"/>
      <c r="W932" s="287"/>
      <c r="X932" s="168"/>
      <c r="Y932" s="168"/>
      <c r="Z932" s="287"/>
      <c r="AA932" s="52"/>
      <c r="AB932" s="52"/>
      <c r="AC932" s="52"/>
      <c r="AD932" s="52"/>
      <c r="AE932" s="52"/>
      <c r="AF932" s="52"/>
      <c r="AG932" s="52"/>
      <c r="AH932" s="52"/>
      <c r="AI932" s="52"/>
    </row>
    <row r="933" spans="1:35">
      <c r="A933" s="194" t="s">
        <v>229</v>
      </c>
      <c r="B933" s="141"/>
      <c r="C933" s="190">
        <f>SUM(C931:C932)</f>
        <v>12</v>
      </c>
      <c r="D933" s="207" t="s">
        <v>280</v>
      </c>
      <c r="E933" s="207"/>
      <c r="F933" s="123" t="s">
        <v>280</v>
      </c>
      <c r="G933" s="207" t="s">
        <v>280</v>
      </c>
      <c r="H933" s="192"/>
      <c r="I933" s="123" t="s">
        <v>280</v>
      </c>
      <c r="J933" s="207" t="s">
        <v>280</v>
      </c>
      <c r="K933" s="192"/>
      <c r="L933" s="123" t="s">
        <v>280</v>
      </c>
      <c r="N933" s="52"/>
      <c r="O933" s="52"/>
      <c r="Q933" s="299"/>
      <c r="T933" s="168"/>
      <c r="U933" s="287"/>
      <c r="V933" s="168"/>
      <c r="W933" s="287"/>
      <c r="X933" s="168"/>
      <c r="Y933" s="168"/>
      <c r="Z933" s="287"/>
      <c r="AA933" s="52"/>
      <c r="AB933" s="52"/>
      <c r="AC933" s="52"/>
      <c r="AD933" s="52"/>
      <c r="AE933" s="52"/>
      <c r="AF933" s="52"/>
      <c r="AG933" s="52"/>
      <c r="AH933" s="52"/>
      <c r="AI933" s="52"/>
    </row>
    <row r="934" spans="1:35">
      <c r="A934" s="194" t="s">
        <v>160</v>
      </c>
      <c r="B934" s="141"/>
      <c r="C934" s="190">
        <v>0</v>
      </c>
      <c r="D934" s="207" t="s">
        <v>280</v>
      </c>
      <c r="E934" s="207"/>
      <c r="F934" s="123">
        <f>ROUND(D934*$C934,0)</f>
        <v>0</v>
      </c>
      <c r="G934" s="207" t="s">
        <v>280</v>
      </c>
      <c r="H934" s="192"/>
      <c r="I934" s="123">
        <f t="shared" ref="I934:I936" si="131">ROUND(C934*G934,0)</f>
        <v>0</v>
      </c>
      <c r="J934" s="207" t="s">
        <v>280</v>
      </c>
      <c r="K934" s="192"/>
      <c r="L934" s="123">
        <f>ROUND(J934*$C934,0)</f>
        <v>0</v>
      </c>
      <c r="N934" s="52"/>
      <c r="O934" s="52"/>
      <c r="Q934" s="299"/>
      <c r="T934" s="168"/>
      <c r="U934" s="287"/>
      <c r="V934" s="168"/>
      <c r="W934" s="287"/>
      <c r="X934" s="168"/>
      <c r="Y934" s="168"/>
      <c r="Z934" s="287"/>
      <c r="AA934" s="52"/>
      <c r="AB934" s="52"/>
      <c r="AC934" s="52"/>
      <c r="AD934" s="52"/>
      <c r="AE934" s="52"/>
      <c r="AF934" s="52"/>
      <c r="AG934" s="52"/>
      <c r="AH934" s="52"/>
      <c r="AI934" s="52"/>
    </row>
    <row r="935" spans="1:35">
      <c r="A935" s="175" t="s">
        <v>177</v>
      </c>
      <c r="B935" s="141"/>
      <c r="C935" s="190">
        <f>694089</f>
        <v>694089</v>
      </c>
      <c r="D935" s="207">
        <v>0.2</v>
      </c>
      <c r="E935" s="207"/>
      <c r="F935" s="123">
        <f>ROUND(D935*$C935,0)</f>
        <v>138818</v>
      </c>
      <c r="G935" s="207">
        <v>0.23</v>
      </c>
      <c r="H935" s="192"/>
      <c r="I935" s="123">
        <f t="shared" si="131"/>
        <v>159640</v>
      </c>
      <c r="J935" s="207">
        <f>ROUND(G935*(1+$Q$942),2)</f>
        <v>0.23</v>
      </c>
      <c r="K935" s="192"/>
      <c r="L935" s="123">
        <f>ROUND(J935*$C935,0)</f>
        <v>159640</v>
      </c>
      <c r="N935" s="52"/>
      <c r="O935" s="52"/>
      <c r="Q935" s="292">
        <f>(J935-G935)/G935</f>
        <v>0</v>
      </c>
      <c r="R935" s="139"/>
      <c r="T935" s="168"/>
      <c r="U935" s="287"/>
      <c r="V935" s="168"/>
      <c r="W935" s="287"/>
      <c r="X935" s="168"/>
      <c r="Y935" s="168"/>
      <c r="Z935" s="287"/>
      <c r="AA935" s="52"/>
      <c r="AB935" s="52"/>
      <c r="AC935" s="52"/>
      <c r="AD935" s="52"/>
      <c r="AE935" s="52"/>
      <c r="AF935" s="52"/>
      <c r="AG935" s="52"/>
      <c r="AH935" s="52"/>
      <c r="AI935" s="52"/>
    </row>
    <row r="936" spans="1:35">
      <c r="A936" s="175" t="s">
        <v>237</v>
      </c>
      <c r="B936" s="141"/>
      <c r="C936" s="190">
        <f>685116</f>
        <v>685116</v>
      </c>
      <c r="D936" s="207">
        <v>6.09</v>
      </c>
      <c r="E936" s="207"/>
      <c r="F936" s="123">
        <f>ROUND(D936*$C936,0)</f>
        <v>4172356</v>
      </c>
      <c r="G936" s="207">
        <v>6.86</v>
      </c>
      <c r="H936" s="192"/>
      <c r="I936" s="123">
        <f t="shared" si="131"/>
        <v>4699896</v>
      </c>
      <c r="J936" s="207">
        <f>ROUND(G936*(1+$Q$942),2)-0.01</f>
        <v>6.95</v>
      </c>
      <c r="K936" s="192"/>
      <c r="L936" s="123">
        <f>ROUND(J936*$C936,0)</f>
        <v>4761556</v>
      </c>
      <c r="N936" s="52"/>
      <c r="O936" s="52"/>
      <c r="Q936" s="292">
        <f>(J936-G936)/G936</f>
        <v>1.3119533527696771E-2</v>
      </c>
      <c r="R936" s="139"/>
      <c r="S936" s="105"/>
      <c r="T936" s="288"/>
      <c r="U936" s="287"/>
      <c r="V936" s="288"/>
      <c r="W936" s="287"/>
      <c r="X936" s="288"/>
      <c r="Y936" s="105"/>
      <c r="Z936" s="287"/>
      <c r="AA936" s="52"/>
      <c r="AB936" s="52"/>
      <c r="AC936" s="52"/>
      <c r="AD936" s="52"/>
      <c r="AE936" s="52"/>
      <c r="AF936" s="52"/>
      <c r="AG936" s="52"/>
      <c r="AH936" s="52"/>
      <c r="AI936" s="52"/>
    </row>
    <row r="937" spans="1:35">
      <c r="A937" s="194" t="s">
        <v>258</v>
      </c>
      <c r="B937" s="141"/>
      <c r="C937" s="140" t="s">
        <v>280</v>
      </c>
      <c r="D937" s="207" t="s">
        <v>280</v>
      </c>
      <c r="E937" s="207"/>
      <c r="F937" s="123"/>
      <c r="G937" s="207" t="s">
        <v>280</v>
      </c>
      <c r="H937" s="192"/>
      <c r="I937" s="123"/>
      <c r="J937" s="207" t="s">
        <v>280</v>
      </c>
      <c r="K937" s="192"/>
      <c r="L937" s="123"/>
      <c r="N937" s="52"/>
      <c r="O937" s="52"/>
      <c r="Q937" s="299"/>
      <c r="S937" s="105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</row>
    <row r="938" spans="1:35">
      <c r="A938" s="194" t="s">
        <v>151</v>
      </c>
      <c r="B938" s="141"/>
      <c r="C938" s="190">
        <f>457812000</f>
        <v>457812000</v>
      </c>
      <c r="D938" s="279">
        <v>3.66</v>
      </c>
      <c r="E938" s="192" t="s">
        <v>210</v>
      </c>
      <c r="F938" s="123">
        <f>ROUND(D938/100*$C938,0)</f>
        <v>16755919</v>
      </c>
      <c r="G938" s="279">
        <v>4.1239999999999997</v>
      </c>
      <c r="H938" s="192" t="s">
        <v>210</v>
      </c>
      <c r="I938" s="123">
        <f>ROUND(C938/100*G938,0)</f>
        <v>18880167</v>
      </c>
      <c r="J938" s="300">
        <f>ROUND(G938*(1+$Q$942),3)+0.002</f>
        <v>4.1869999999999994</v>
      </c>
      <c r="K938" s="192" t="s">
        <v>210</v>
      </c>
      <c r="L938" s="123">
        <f>ROUND(J938/100*$C938,0)</f>
        <v>19168588</v>
      </c>
      <c r="N938" s="52"/>
      <c r="O938" s="52"/>
      <c r="Q938" s="292">
        <f>(J938-G938)/G938</f>
        <v>1.5276430649854443E-2</v>
      </c>
      <c r="R938" s="139"/>
      <c r="S938" s="105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</row>
    <row r="939" spans="1:35">
      <c r="A939" s="194" t="s">
        <v>234</v>
      </c>
      <c r="B939" s="141"/>
      <c r="C939" s="190">
        <f>175714</f>
        <v>175714</v>
      </c>
      <c r="D939" s="207">
        <v>0.46</v>
      </c>
      <c r="E939" s="192"/>
      <c r="F939" s="123">
        <f>ROUND(D939*$C939,0)</f>
        <v>80828</v>
      </c>
      <c r="G939" s="207">
        <v>0.52</v>
      </c>
      <c r="H939" s="192"/>
      <c r="I939" s="123">
        <f>ROUND(C939*G939,0)</f>
        <v>91371</v>
      </c>
      <c r="J939" s="207">
        <f>ROUND(G939*(1+$Q$942),2)</f>
        <v>0.53</v>
      </c>
      <c r="K939" s="192"/>
      <c r="L939" s="123">
        <f>ROUND(J939*$C939,0)</f>
        <v>93128</v>
      </c>
      <c r="N939" s="52"/>
      <c r="O939" s="52"/>
      <c r="Q939" s="292">
        <f>(J939-G939)/G939</f>
        <v>1.9230769230769246E-2</v>
      </c>
      <c r="R939" s="139"/>
      <c r="S939" s="105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</row>
    <row r="940" spans="1:35">
      <c r="A940" s="141" t="s">
        <v>215</v>
      </c>
      <c r="B940" s="141"/>
      <c r="C940" s="190">
        <f>C938</f>
        <v>457812000</v>
      </c>
      <c r="D940" s="200"/>
      <c r="E940" s="123"/>
      <c r="F940" s="123">
        <f>SUM(F931:F939)</f>
        <v>21173121</v>
      </c>
      <c r="G940" s="200"/>
      <c r="H940" s="141"/>
      <c r="I940" s="123">
        <f>SUM(I931:I939)</f>
        <v>23861218</v>
      </c>
      <c r="J940" s="200"/>
      <c r="K940" s="141"/>
      <c r="L940" s="123">
        <f>SUM(L931:L939)</f>
        <v>24213248</v>
      </c>
      <c r="N940" s="52"/>
      <c r="O940" s="52"/>
      <c r="P940" s="105"/>
      <c r="Q940" s="105"/>
      <c r="R940" s="105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</row>
    <row r="941" spans="1:35">
      <c r="A941" s="141" t="s">
        <v>197</v>
      </c>
      <c r="B941" s="141"/>
      <c r="C941" s="190">
        <v>-8192796.0872818539</v>
      </c>
      <c r="D941" s="175"/>
      <c r="E941" s="175"/>
      <c r="F941" s="211">
        <v>-346213.93852118979</v>
      </c>
      <c r="G941" s="175"/>
      <c r="H941" s="175"/>
      <c r="I941" s="211">
        <f>F941</f>
        <v>-346213.93852118979</v>
      </c>
      <c r="J941" s="175"/>
      <c r="K941" s="175"/>
      <c r="L941" s="211">
        <f>F941</f>
        <v>-346213.93852118979</v>
      </c>
      <c r="N941" s="156"/>
      <c r="O941" s="156"/>
      <c r="P941" s="154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</row>
    <row r="942" spans="1:35" ht="16.5" thickBot="1">
      <c r="A942" s="141" t="s">
        <v>216</v>
      </c>
      <c r="B942" s="141"/>
      <c r="C942" s="278">
        <f>SUM(C940)+C941</f>
        <v>449619203.91271812</v>
      </c>
      <c r="D942" s="213"/>
      <c r="E942" s="214"/>
      <c r="F942" s="215">
        <f>F940+F941</f>
        <v>20826907.061478809</v>
      </c>
      <c r="G942" s="213"/>
      <c r="H942" s="216"/>
      <c r="I942" s="215">
        <f>I940+I941</f>
        <v>23515004.061478809</v>
      </c>
      <c r="J942" s="213"/>
      <c r="K942" s="216"/>
      <c r="L942" s="215">
        <f>L940+L941</f>
        <v>23867034.061478809</v>
      </c>
      <c r="N942" s="157"/>
      <c r="O942" s="136" t="s">
        <v>199</v>
      </c>
      <c r="P942" s="137">
        <v>23867038.847334467</v>
      </c>
      <c r="Q942" s="138">
        <v>1.4870645335007433E-2</v>
      </c>
      <c r="R942" s="139"/>
      <c r="S942" s="92" t="s">
        <v>280</v>
      </c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</row>
    <row r="943" spans="1:35" ht="16.5" thickTop="1">
      <c r="A943" s="141"/>
      <c r="B943" s="141"/>
      <c r="C943" s="160"/>
      <c r="D943" s="207"/>
      <c r="E943" s="123"/>
      <c r="F943" s="260" t="s">
        <v>280</v>
      </c>
      <c r="G943" s="207"/>
      <c r="H943" s="141"/>
      <c r="I943" s="123"/>
      <c r="J943" s="232" t="s">
        <v>280</v>
      </c>
      <c r="K943" s="141"/>
      <c r="L943" s="123" t="s">
        <v>280</v>
      </c>
      <c r="N943" s="52"/>
      <c r="O943" s="142" t="s">
        <v>200</v>
      </c>
      <c r="P943" s="180">
        <f>P942-L942</f>
        <v>4.785855658352375</v>
      </c>
      <c r="Q943" s="285"/>
      <c r="R943" s="105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</row>
    <row r="944" spans="1:35">
      <c r="A944" s="159" t="s">
        <v>178</v>
      </c>
      <c r="B944" s="141"/>
      <c r="C944" s="141"/>
      <c r="D944" s="141"/>
      <c r="E944" s="141"/>
      <c r="F944" s="123"/>
      <c r="G944" s="141"/>
      <c r="H944" s="141"/>
      <c r="I944" s="123"/>
      <c r="J944" s="141"/>
      <c r="K944" s="141"/>
      <c r="L944" s="141"/>
      <c r="N944" s="52"/>
      <c r="O944" s="52"/>
      <c r="P944" s="105"/>
      <c r="Q944" s="105"/>
      <c r="R944" s="105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</row>
    <row r="945" spans="1:35">
      <c r="A945" s="141" t="s">
        <v>179</v>
      </c>
      <c r="B945" s="141"/>
      <c r="C945" s="141"/>
      <c r="D945" s="141"/>
      <c r="E945" s="141"/>
      <c r="F945" s="123"/>
      <c r="G945" s="141"/>
      <c r="H945" s="141"/>
      <c r="I945" s="123"/>
      <c r="J945" s="141"/>
      <c r="K945" s="141"/>
      <c r="L945" s="141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52"/>
      <c r="AF945" s="52"/>
      <c r="AG945" s="52"/>
      <c r="AH945" s="52"/>
      <c r="AI945" s="52"/>
    </row>
    <row r="946" spans="1:35">
      <c r="A946" s="141" t="s">
        <v>180</v>
      </c>
      <c r="B946" s="141"/>
      <c r="C946" s="141"/>
      <c r="D946" s="141"/>
      <c r="E946" s="141"/>
      <c r="F946" s="123"/>
      <c r="G946" s="141"/>
      <c r="H946" s="141"/>
      <c r="I946" s="123"/>
      <c r="J946" s="141"/>
      <c r="K946" s="141"/>
      <c r="L946" s="141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52"/>
      <c r="AF946" s="52"/>
      <c r="AG946" s="52"/>
      <c r="AH946" s="52"/>
      <c r="AI946" s="52"/>
    </row>
    <row r="947" spans="1:35">
      <c r="A947" s="141" t="s">
        <v>181</v>
      </c>
      <c r="B947" s="141"/>
      <c r="C947" s="141"/>
      <c r="D947" s="141"/>
      <c r="E947" s="141"/>
      <c r="F947" s="123"/>
      <c r="G947" s="141"/>
      <c r="H947" s="141"/>
      <c r="I947" s="123"/>
      <c r="J947" s="141"/>
      <c r="K947" s="141"/>
      <c r="L947" s="141"/>
      <c r="N947" s="146"/>
      <c r="O947" s="146"/>
      <c r="P947" s="146"/>
      <c r="Q947" s="105"/>
      <c r="R947" s="105"/>
      <c r="S947" s="147"/>
      <c r="T947" s="147"/>
      <c r="U947" s="148"/>
      <c r="V947" s="148"/>
      <c r="W947" s="148"/>
      <c r="X947" s="148"/>
      <c r="Y947" s="149"/>
      <c r="Z947" s="150"/>
      <c r="AA947" s="146"/>
      <c r="AB947" s="146"/>
      <c r="AC947" s="146"/>
      <c r="AD947" s="146"/>
      <c r="AE947" s="52"/>
      <c r="AF947" s="52"/>
      <c r="AG947" s="52"/>
      <c r="AH947" s="52"/>
      <c r="AI947" s="52"/>
    </row>
    <row r="948" spans="1:35">
      <c r="A948" s="104" t="s">
        <v>372</v>
      </c>
      <c r="C948" s="121">
        <f>11859+2812</f>
        <v>14671</v>
      </c>
      <c r="D948" s="122">
        <v>8.0299999999999994</v>
      </c>
      <c r="F948" s="123">
        <f t="shared" ref="F948:F957" si="132">ROUND(D948*$C948,0)</f>
        <v>117808</v>
      </c>
      <c r="G948" s="122">
        <v>8.4600000000000009</v>
      </c>
      <c r="I948" s="123">
        <f>ROUND(C948*G948,0)</f>
        <v>124117</v>
      </c>
      <c r="J948" s="122">
        <f>ROUND(G948+(G948*$Q$969),2)</f>
        <v>8.4600000000000009</v>
      </c>
      <c r="L948" s="123">
        <f>ROUND(J948*$C948,0)</f>
        <v>124117</v>
      </c>
      <c r="N948" s="124" t="e">
        <f>J948*#REF!</f>
        <v>#REF!</v>
      </c>
      <c r="Q948" s="149"/>
      <c r="R948" s="149"/>
      <c r="S948" s="105"/>
      <c r="T948" s="301"/>
      <c r="U948" s="301"/>
      <c r="V948" s="151"/>
      <c r="W948" s="151"/>
      <c r="X948" s="151"/>
      <c r="Y948" s="152"/>
      <c r="Z948" s="146"/>
      <c r="AA948" s="149"/>
      <c r="AB948" s="149"/>
      <c r="AC948" s="153"/>
      <c r="AD948" s="149"/>
      <c r="AE948" s="52"/>
      <c r="AF948" s="52"/>
      <c r="AG948" s="52"/>
      <c r="AH948" s="52"/>
      <c r="AI948" s="52"/>
    </row>
    <row r="949" spans="1:35">
      <c r="A949" s="104" t="s">
        <v>182</v>
      </c>
      <c r="C949" s="121">
        <f>13035+3335</f>
        <v>16370</v>
      </c>
      <c r="D949" s="122">
        <v>9.6300000000000008</v>
      </c>
      <c r="F949" s="123">
        <f t="shared" si="132"/>
        <v>157643</v>
      </c>
      <c r="G949" s="122">
        <v>10.15</v>
      </c>
      <c r="I949" s="123">
        <f t="shared" ref="I949:I965" si="133">ROUND(C949*G949,0)</f>
        <v>166156</v>
      </c>
      <c r="J949" s="122">
        <f t="shared" ref="J949:J957" si="134">ROUND(G949+(G949*$Q$969),2)</f>
        <v>10.15</v>
      </c>
      <c r="L949" s="123">
        <f t="shared" ref="L949:L962" si="135">ROUND(J949*$C949,0)</f>
        <v>166156</v>
      </c>
      <c r="N949" s="124" t="e">
        <f>J949*#REF!</f>
        <v>#REF!</v>
      </c>
      <c r="Q949" s="149"/>
      <c r="R949" s="149"/>
      <c r="S949" s="105"/>
      <c r="T949" s="301"/>
      <c r="U949" s="301"/>
      <c r="V949" s="151"/>
      <c r="W949" s="151"/>
      <c r="X949" s="151"/>
      <c r="Y949" s="146"/>
      <c r="Z949" s="146"/>
      <c r="AA949" s="149"/>
      <c r="AB949" s="149"/>
      <c r="AC949" s="153"/>
      <c r="AD949" s="149"/>
      <c r="AE949" s="52"/>
      <c r="AF949" s="52"/>
      <c r="AG949" s="52"/>
      <c r="AH949" s="52"/>
      <c r="AI949" s="52"/>
    </row>
    <row r="950" spans="1:35">
      <c r="A950" s="104" t="s">
        <v>183</v>
      </c>
      <c r="C950" s="121">
        <v>0</v>
      </c>
      <c r="D950" s="122">
        <v>30.59</v>
      </c>
      <c r="F950" s="123">
        <f t="shared" si="132"/>
        <v>0</v>
      </c>
      <c r="G950" s="122">
        <v>32.24</v>
      </c>
      <c r="I950" s="123">
        <f t="shared" si="133"/>
        <v>0</v>
      </c>
      <c r="J950" s="122">
        <f t="shared" si="134"/>
        <v>32.24</v>
      </c>
      <c r="L950" s="123">
        <f t="shared" si="135"/>
        <v>0</v>
      </c>
      <c r="N950" s="124" t="e">
        <f>J950*#REF!</f>
        <v>#REF!</v>
      </c>
      <c r="Q950" s="149"/>
      <c r="R950" s="149"/>
      <c r="S950" s="105"/>
      <c r="T950" s="301"/>
      <c r="U950" s="301"/>
      <c r="V950" s="151"/>
      <c r="W950" s="151"/>
      <c r="X950" s="151"/>
      <c r="Y950" s="146"/>
      <c r="Z950" s="146"/>
      <c r="AA950" s="149"/>
      <c r="AB950" s="149"/>
      <c r="AC950" s="153"/>
      <c r="AD950" s="149"/>
      <c r="AE950" s="52"/>
      <c r="AF950" s="52"/>
      <c r="AG950" s="52"/>
      <c r="AH950" s="52"/>
      <c r="AI950" s="52"/>
    </row>
    <row r="951" spans="1:35">
      <c r="A951" s="104" t="s">
        <v>184</v>
      </c>
      <c r="C951" s="121">
        <v>0</v>
      </c>
      <c r="D951" s="122">
        <v>23.79</v>
      </c>
      <c r="F951" s="123">
        <f t="shared" si="132"/>
        <v>0</v>
      </c>
      <c r="G951" s="122">
        <v>25.07</v>
      </c>
      <c r="I951" s="123">
        <f t="shared" si="133"/>
        <v>0</v>
      </c>
      <c r="J951" s="122">
        <f t="shared" si="134"/>
        <v>25.07</v>
      </c>
      <c r="L951" s="123">
        <f t="shared" si="135"/>
        <v>0</v>
      </c>
      <c r="N951" s="124" t="e">
        <f>J951*#REF!</f>
        <v>#REF!</v>
      </c>
      <c r="Q951" s="149"/>
      <c r="R951" s="149"/>
      <c r="S951" s="105"/>
      <c r="T951" s="301"/>
      <c r="U951" s="301"/>
      <c r="V951" s="151"/>
      <c r="W951" s="151"/>
      <c r="X951" s="151"/>
      <c r="Y951" s="146"/>
      <c r="Z951" s="146"/>
      <c r="AA951" s="149"/>
      <c r="AB951" s="149"/>
      <c r="AC951" s="153"/>
      <c r="AD951" s="149"/>
      <c r="AE951" s="52"/>
      <c r="AF951" s="52"/>
      <c r="AG951" s="52"/>
      <c r="AH951" s="52"/>
      <c r="AI951" s="52"/>
    </row>
    <row r="952" spans="1:35">
      <c r="A952" s="104" t="s">
        <v>185</v>
      </c>
      <c r="C952" s="121">
        <f>414</f>
        <v>414</v>
      </c>
      <c r="D952" s="122">
        <v>12.31</v>
      </c>
      <c r="F952" s="123">
        <f t="shared" si="132"/>
        <v>5096</v>
      </c>
      <c r="G952" s="122">
        <v>12.97</v>
      </c>
      <c r="I952" s="123">
        <f t="shared" si="133"/>
        <v>5370</v>
      </c>
      <c r="J952" s="122">
        <f t="shared" si="134"/>
        <v>12.97</v>
      </c>
      <c r="L952" s="123">
        <f t="shared" si="135"/>
        <v>5370</v>
      </c>
      <c r="N952" s="124" t="e">
        <f>J952*#REF!</f>
        <v>#REF!</v>
      </c>
      <c r="Q952" s="149"/>
      <c r="R952" s="149"/>
      <c r="S952" s="105"/>
      <c r="T952" s="301"/>
      <c r="U952" s="301"/>
      <c r="V952" s="151"/>
      <c r="W952" s="151"/>
      <c r="X952" s="151"/>
      <c r="Y952" s="146"/>
      <c r="Z952" s="146"/>
      <c r="AA952" s="149"/>
      <c r="AB952" s="149"/>
      <c r="AC952" s="153"/>
      <c r="AD952" s="149"/>
      <c r="AE952" s="52"/>
      <c r="AF952" s="52"/>
      <c r="AG952" s="52"/>
      <c r="AH952" s="52"/>
      <c r="AI952" s="52"/>
    </row>
    <row r="953" spans="1:35">
      <c r="A953" s="104" t="s">
        <v>186</v>
      </c>
      <c r="C953" s="121">
        <v>0</v>
      </c>
      <c r="D953" s="122">
        <v>31.69</v>
      </c>
      <c r="F953" s="123">
        <f t="shared" si="132"/>
        <v>0</v>
      </c>
      <c r="G953" s="122">
        <v>33.4</v>
      </c>
      <c r="I953" s="123">
        <f t="shared" si="133"/>
        <v>0</v>
      </c>
      <c r="J953" s="122">
        <f t="shared" si="134"/>
        <v>33.4</v>
      </c>
      <c r="L953" s="123">
        <f t="shared" si="135"/>
        <v>0</v>
      </c>
      <c r="N953" s="124" t="e">
        <f>J953*#REF!</f>
        <v>#REF!</v>
      </c>
      <c r="Q953" s="149"/>
      <c r="R953" s="149"/>
      <c r="S953" s="105"/>
      <c r="T953" s="301"/>
      <c r="U953" s="301"/>
      <c r="V953" s="151"/>
      <c r="W953" s="151"/>
      <c r="X953" s="151"/>
      <c r="Y953" s="146"/>
      <c r="Z953" s="146"/>
      <c r="AA953" s="149"/>
      <c r="AB953" s="149"/>
      <c r="AC953" s="153"/>
      <c r="AD953" s="149"/>
      <c r="AE953" s="52"/>
      <c r="AF953" s="52"/>
      <c r="AG953" s="52"/>
      <c r="AH953" s="52"/>
      <c r="AI953" s="52"/>
    </row>
    <row r="954" spans="1:35">
      <c r="A954" s="104" t="s">
        <v>187</v>
      </c>
      <c r="C954" s="121">
        <v>0</v>
      </c>
      <c r="D954" s="122">
        <v>24.93</v>
      </c>
      <c r="F954" s="123">
        <f t="shared" si="132"/>
        <v>0</v>
      </c>
      <c r="G954" s="122">
        <v>26.27</v>
      </c>
      <c r="I954" s="123">
        <f t="shared" si="133"/>
        <v>0</v>
      </c>
      <c r="J954" s="122">
        <f t="shared" si="134"/>
        <v>26.27</v>
      </c>
      <c r="L954" s="123">
        <f t="shared" si="135"/>
        <v>0</v>
      </c>
      <c r="N954" s="124" t="e">
        <f>J954*#REF!</f>
        <v>#REF!</v>
      </c>
      <c r="Q954" s="149"/>
      <c r="R954" s="149"/>
      <c r="S954" s="105"/>
      <c r="T954" s="301"/>
      <c r="U954" s="301"/>
      <c r="V954" s="151"/>
      <c r="W954" s="151"/>
      <c r="X954" s="151"/>
      <c r="Y954" s="146"/>
      <c r="Z954" s="146"/>
      <c r="AA954" s="149"/>
      <c r="AB954" s="149"/>
      <c r="AC954" s="153"/>
      <c r="AD954" s="149"/>
      <c r="AE954" s="52"/>
      <c r="AF954" s="52"/>
      <c r="AG954" s="52"/>
      <c r="AH954" s="52"/>
      <c r="AI954" s="52"/>
    </row>
    <row r="955" spans="1:35">
      <c r="A955" s="104" t="s">
        <v>373</v>
      </c>
      <c r="C955" s="121">
        <f>14926+3505</f>
        <v>18431</v>
      </c>
      <c r="D955" s="122">
        <v>14.05</v>
      </c>
      <c r="F955" s="123">
        <f t="shared" si="132"/>
        <v>258956</v>
      </c>
      <c r="G955" s="122">
        <v>14.81</v>
      </c>
      <c r="I955" s="123">
        <f t="shared" si="133"/>
        <v>272963</v>
      </c>
      <c r="J955" s="122">
        <f t="shared" si="134"/>
        <v>14.81</v>
      </c>
      <c r="L955" s="123">
        <f t="shared" si="135"/>
        <v>272963</v>
      </c>
      <c r="N955" s="124" t="e">
        <f>J955*#REF!</f>
        <v>#REF!</v>
      </c>
      <c r="Q955" s="149"/>
      <c r="R955" s="149"/>
      <c r="S955" s="105"/>
      <c r="T955" s="301"/>
      <c r="U955" s="301"/>
      <c r="V955" s="151"/>
      <c r="W955" s="151"/>
      <c r="X955" s="151"/>
      <c r="Y955" s="146"/>
      <c r="Z955" s="146"/>
      <c r="AA955" s="149"/>
      <c r="AB955" s="149"/>
      <c r="AC955" s="153"/>
      <c r="AD955" s="149"/>
      <c r="AE955" s="52"/>
      <c r="AF955" s="52"/>
      <c r="AG955" s="52"/>
      <c r="AH955" s="52"/>
      <c r="AI955" s="52"/>
    </row>
    <row r="956" spans="1:35">
      <c r="A956" s="104" t="s">
        <v>188</v>
      </c>
      <c r="C956" s="121">
        <f>959</f>
        <v>959</v>
      </c>
      <c r="D956" s="122">
        <v>17.829999999999998</v>
      </c>
      <c r="F956" s="123">
        <f t="shared" si="132"/>
        <v>17099</v>
      </c>
      <c r="G956" s="122">
        <v>18.79</v>
      </c>
      <c r="I956" s="123">
        <f t="shared" si="133"/>
        <v>18020</v>
      </c>
      <c r="J956" s="122">
        <f t="shared" si="134"/>
        <v>18.79</v>
      </c>
      <c r="L956" s="123">
        <f t="shared" si="135"/>
        <v>18020</v>
      </c>
      <c r="N956" s="124" t="e">
        <f>J956*#REF!</f>
        <v>#REF!</v>
      </c>
      <c r="Q956" s="149"/>
      <c r="R956" s="149"/>
      <c r="S956" s="105"/>
      <c r="T956" s="301"/>
      <c r="U956" s="301"/>
      <c r="V956" s="151"/>
      <c r="W956" s="151"/>
      <c r="X956" s="151"/>
      <c r="Y956" s="146"/>
      <c r="Z956" s="146"/>
      <c r="AA956" s="149"/>
      <c r="AB956" s="149"/>
      <c r="AC956" s="153"/>
      <c r="AD956" s="149"/>
      <c r="AE956" s="52"/>
      <c r="AF956" s="52"/>
      <c r="AG956" s="52"/>
      <c r="AH956" s="52"/>
      <c r="AI956" s="52"/>
    </row>
    <row r="957" spans="1:35">
      <c r="A957" s="104" t="s">
        <v>374</v>
      </c>
      <c r="C957" s="121">
        <f>1590+390</f>
        <v>1980</v>
      </c>
      <c r="D957" s="122">
        <v>23.53</v>
      </c>
      <c r="F957" s="123">
        <f t="shared" si="132"/>
        <v>46589</v>
      </c>
      <c r="G957" s="122">
        <v>24.8</v>
      </c>
      <c r="I957" s="123">
        <f t="shared" si="133"/>
        <v>49104</v>
      </c>
      <c r="J957" s="122">
        <f t="shared" si="134"/>
        <v>24.8</v>
      </c>
      <c r="L957" s="123">
        <f>ROUND(J957*$C957,0)</f>
        <v>49104</v>
      </c>
      <c r="N957" s="124" t="e">
        <f>J957*#REF!</f>
        <v>#REF!</v>
      </c>
      <c r="Q957" s="149"/>
      <c r="R957" s="149"/>
      <c r="S957" s="105"/>
      <c r="T957" s="301"/>
      <c r="U957" s="301"/>
      <c r="V957" s="151"/>
      <c r="W957" s="151"/>
      <c r="X957" s="151"/>
      <c r="Y957" s="146"/>
      <c r="Z957" s="146"/>
      <c r="AA957" s="149"/>
      <c r="AB957" s="149"/>
      <c r="AC957" s="153"/>
      <c r="AD957" s="149"/>
      <c r="AE957" s="52"/>
      <c r="AF957" s="52"/>
      <c r="AG957" s="52"/>
      <c r="AH957" s="52"/>
      <c r="AI957" s="52"/>
    </row>
    <row r="958" spans="1:35" hidden="1">
      <c r="A958" s="104" t="s">
        <v>189</v>
      </c>
      <c r="C958" s="121"/>
      <c r="D958" s="122"/>
      <c r="F958" s="123"/>
      <c r="G958" s="122"/>
      <c r="I958" s="123"/>
      <c r="J958" s="122"/>
      <c r="L958" s="123"/>
      <c r="N958" s="124"/>
      <c r="Q958" s="149"/>
      <c r="R958" s="149"/>
      <c r="S958" s="105"/>
      <c r="T958" s="301"/>
      <c r="U958" s="301"/>
      <c r="V958" s="151"/>
      <c r="W958" s="151"/>
      <c r="X958" s="151"/>
      <c r="Y958" s="146"/>
      <c r="Z958" s="146"/>
      <c r="AA958" s="149"/>
      <c r="AB958" s="149"/>
      <c r="AC958" s="153"/>
      <c r="AD958" s="149"/>
      <c r="AE958" s="52"/>
      <c r="AF958" s="52"/>
      <c r="AG958" s="52"/>
      <c r="AH958" s="52"/>
      <c r="AI958" s="52"/>
    </row>
    <row r="959" spans="1:35" hidden="1">
      <c r="A959" s="104" t="s">
        <v>190</v>
      </c>
      <c r="C959" s="121">
        <v>0</v>
      </c>
      <c r="D959" s="122">
        <v>30.92</v>
      </c>
      <c r="F959" s="123">
        <f t="shared" ref="F959:F965" si="136">ROUND(D959*$C959,0)</f>
        <v>0</v>
      </c>
      <c r="G959" s="122">
        <v>30.92</v>
      </c>
      <c r="I959" s="123">
        <f t="shared" si="133"/>
        <v>0</v>
      </c>
      <c r="J959" s="122">
        <f>ROUND(G959+(G959*$Q$969),2)</f>
        <v>30.92</v>
      </c>
      <c r="L959" s="123">
        <f>ROUND(J959*$C959,0)</f>
        <v>0</v>
      </c>
      <c r="N959" s="124" t="e">
        <f>J959*#REF!</f>
        <v>#REF!</v>
      </c>
      <c r="Q959" s="149"/>
      <c r="R959" s="149"/>
      <c r="S959" s="105"/>
      <c r="T959" s="301"/>
      <c r="U959" s="301"/>
      <c r="V959" s="151"/>
      <c r="W959" s="151"/>
      <c r="X959" s="151"/>
      <c r="Y959" s="146"/>
      <c r="Z959" s="146"/>
      <c r="AA959" s="149"/>
      <c r="AB959" s="149"/>
      <c r="AC959" s="153"/>
      <c r="AD959" s="149"/>
      <c r="AE959" s="52"/>
      <c r="AF959" s="52"/>
      <c r="AG959" s="52"/>
      <c r="AH959" s="52"/>
      <c r="AI959" s="52"/>
    </row>
    <row r="960" spans="1:35" hidden="1">
      <c r="A960" s="104" t="s">
        <v>191</v>
      </c>
      <c r="C960" s="121">
        <v>0</v>
      </c>
      <c r="D960" s="122">
        <v>25.79</v>
      </c>
      <c r="F960" s="123">
        <f t="shared" si="136"/>
        <v>0</v>
      </c>
      <c r="G960" s="122">
        <v>25.79</v>
      </c>
      <c r="I960" s="123">
        <f t="shared" si="133"/>
        <v>0</v>
      </c>
      <c r="J960" s="122">
        <f t="shared" ref="J960:J965" si="137">ROUND(G960+(G960*$Q$969),2)</f>
        <v>25.79</v>
      </c>
      <c r="L960" s="123">
        <f t="shared" si="135"/>
        <v>0</v>
      </c>
      <c r="N960" s="124" t="e">
        <f>J960*#REF!</f>
        <v>#REF!</v>
      </c>
      <c r="Q960" s="149"/>
      <c r="R960" s="149"/>
      <c r="S960" s="105"/>
      <c r="T960" s="301"/>
      <c r="U960" s="301"/>
      <c r="V960" s="151"/>
      <c r="W960" s="151"/>
      <c r="X960" s="151"/>
      <c r="Y960" s="146"/>
      <c r="Z960" s="146"/>
      <c r="AA960" s="149"/>
      <c r="AB960" s="149"/>
      <c r="AC960" s="153"/>
      <c r="AD960" s="149"/>
      <c r="AE960" s="52"/>
      <c r="AF960" s="52"/>
      <c r="AG960" s="52"/>
      <c r="AH960" s="52"/>
      <c r="AI960" s="52"/>
    </row>
    <row r="961" spans="1:35" hidden="1">
      <c r="A961" s="104" t="s">
        <v>192</v>
      </c>
      <c r="C961" s="121">
        <v>0</v>
      </c>
      <c r="D961" s="122">
        <v>23.77</v>
      </c>
      <c r="F961" s="123">
        <f t="shared" si="136"/>
        <v>0</v>
      </c>
      <c r="G961" s="122">
        <v>23.77</v>
      </c>
      <c r="I961" s="123">
        <f t="shared" si="133"/>
        <v>0</v>
      </c>
      <c r="J961" s="122">
        <f t="shared" si="137"/>
        <v>23.77</v>
      </c>
      <c r="L961" s="123">
        <f>ROUND(J961*$C961,0)</f>
        <v>0</v>
      </c>
      <c r="N961" s="124" t="e">
        <f>J961*#REF!</f>
        <v>#REF!</v>
      </c>
      <c r="Q961" s="149"/>
      <c r="R961" s="149"/>
      <c r="S961" s="105"/>
      <c r="T961" s="301"/>
      <c r="U961" s="301"/>
      <c r="V961" s="151"/>
      <c r="W961" s="151"/>
      <c r="X961" s="151"/>
      <c r="Y961" s="146"/>
      <c r="Z961" s="146"/>
      <c r="AA961" s="149"/>
      <c r="AB961" s="149"/>
      <c r="AC961" s="153"/>
      <c r="AD961" s="149"/>
      <c r="AE961" s="52"/>
      <c r="AF961" s="52"/>
      <c r="AG961" s="52"/>
      <c r="AH961" s="52"/>
      <c r="AI961" s="52"/>
    </row>
    <row r="962" spans="1:35" hidden="1">
      <c r="A962" s="104" t="s">
        <v>193</v>
      </c>
      <c r="C962" s="121">
        <v>0</v>
      </c>
      <c r="D962" s="122">
        <v>34.74</v>
      </c>
      <c r="F962" s="123">
        <f t="shared" si="136"/>
        <v>0</v>
      </c>
      <c r="G962" s="122">
        <v>34.74</v>
      </c>
      <c r="I962" s="123">
        <f t="shared" si="133"/>
        <v>0</v>
      </c>
      <c r="J962" s="122">
        <f t="shared" si="137"/>
        <v>34.74</v>
      </c>
      <c r="L962" s="123">
        <f t="shared" si="135"/>
        <v>0</v>
      </c>
      <c r="N962" s="124" t="e">
        <f>J962*#REF!</f>
        <v>#REF!</v>
      </c>
      <c r="Q962" s="149"/>
      <c r="R962" s="149"/>
      <c r="S962" s="105"/>
      <c r="T962" s="301"/>
      <c r="U962" s="301"/>
      <c r="V962" s="151"/>
      <c r="W962" s="151"/>
      <c r="X962" s="151"/>
      <c r="Y962" s="146"/>
      <c r="Z962" s="146"/>
      <c r="AA962" s="149"/>
      <c r="AB962" s="149"/>
      <c r="AC962" s="153"/>
      <c r="AD962" s="149"/>
      <c r="AE962" s="52"/>
      <c r="AF962" s="52"/>
      <c r="AG962" s="52"/>
      <c r="AH962" s="52"/>
      <c r="AI962" s="52"/>
    </row>
    <row r="963" spans="1:35" hidden="1">
      <c r="A963" s="104" t="s">
        <v>194</v>
      </c>
      <c r="C963" s="121">
        <v>0</v>
      </c>
      <c r="D963" s="122">
        <v>27.97</v>
      </c>
      <c r="F963" s="123">
        <f t="shared" si="136"/>
        <v>0</v>
      </c>
      <c r="G963" s="122">
        <v>27.97</v>
      </c>
      <c r="I963" s="123">
        <f t="shared" si="133"/>
        <v>0</v>
      </c>
      <c r="J963" s="122">
        <f t="shared" si="137"/>
        <v>27.97</v>
      </c>
      <c r="L963" s="123">
        <f>ROUND(J963*$C963,0)</f>
        <v>0</v>
      </c>
      <c r="N963" s="124" t="e">
        <f>J963*#REF!</f>
        <v>#REF!</v>
      </c>
      <c r="Q963" s="149"/>
      <c r="R963" s="149"/>
      <c r="S963" s="105"/>
      <c r="T963" s="301"/>
      <c r="U963" s="301"/>
      <c r="V963" s="151"/>
      <c r="W963" s="151"/>
      <c r="X963" s="151"/>
      <c r="Y963" s="146"/>
      <c r="Z963" s="146"/>
      <c r="AA963" s="149"/>
      <c r="AB963" s="149"/>
      <c r="AC963" s="153"/>
      <c r="AD963" s="149"/>
      <c r="AE963" s="52"/>
      <c r="AF963" s="52"/>
      <c r="AG963" s="52"/>
      <c r="AH963" s="52"/>
      <c r="AI963" s="52"/>
    </row>
    <row r="964" spans="1:35" hidden="1">
      <c r="A964" s="104" t="s">
        <v>195</v>
      </c>
      <c r="C964" s="121">
        <v>0</v>
      </c>
      <c r="D964" s="122">
        <v>27.49</v>
      </c>
      <c r="F964" s="123">
        <f t="shared" si="136"/>
        <v>0</v>
      </c>
      <c r="G964" s="122">
        <v>27.49</v>
      </c>
      <c r="I964" s="123">
        <f t="shared" si="133"/>
        <v>0</v>
      </c>
      <c r="J964" s="122">
        <f t="shared" si="137"/>
        <v>27.49</v>
      </c>
      <c r="L964" s="123">
        <f>ROUND(J964*$C964,0)</f>
        <v>0</v>
      </c>
      <c r="N964" s="124" t="e">
        <f>J964*#REF!</f>
        <v>#REF!</v>
      </c>
      <c r="Q964" s="149"/>
      <c r="R964" s="149"/>
      <c r="S964" s="105"/>
      <c r="T964" s="301"/>
      <c r="U964" s="301"/>
      <c r="V964" s="151"/>
      <c r="W964" s="151"/>
      <c r="X964" s="151"/>
      <c r="Y964" s="146"/>
      <c r="Z964" s="146"/>
      <c r="AA964" s="149"/>
      <c r="AB964" s="149"/>
      <c r="AC964" s="153"/>
      <c r="AD964" s="149"/>
      <c r="AE964" s="52"/>
      <c r="AF964" s="52"/>
      <c r="AG964" s="52"/>
      <c r="AH964" s="52"/>
      <c r="AI964" s="52"/>
    </row>
    <row r="965" spans="1:35" hidden="1">
      <c r="A965" s="104" t="s">
        <v>196</v>
      </c>
      <c r="C965" s="121">
        <v>0</v>
      </c>
      <c r="D965" s="122">
        <v>29.93</v>
      </c>
      <c r="F965" s="123">
        <f t="shared" si="136"/>
        <v>0</v>
      </c>
      <c r="G965" s="122">
        <v>29.93</v>
      </c>
      <c r="I965" s="123">
        <f t="shared" si="133"/>
        <v>0</v>
      </c>
      <c r="J965" s="122">
        <f t="shared" si="137"/>
        <v>29.93</v>
      </c>
      <c r="L965" s="123">
        <f>ROUND(J965*$C965,0)</f>
        <v>0</v>
      </c>
      <c r="N965" s="124" t="e">
        <f>J965*#REF!</f>
        <v>#REF!</v>
      </c>
      <c r="Q965" s="149"/>
      <c r="R965" s="149"/>
      <c r="S965" s="105"/>
      <c r="T965" s="301"/>
      <c r="U965" s="301"/>
      <c r="V965" s="151"/>
      <c r="W965" s="151"/>
      <c r="X965" s="151"/>
      <c r="Y965" s="146"/>
      <c r="Z965" s="146"/>
      <c r="AA965" s="149"/>
      <c r="AB965" s="149"/>
      <c r="AC965" s="153"/>
      <c r="AD965" s="149"/>
      <c r="AE965" s="52"/>
      <c r="AF965" s="52"/>
      <c r="AG965" s="52"/>
      <c r="AH965" s="52"/>
      <c r="AI965" s="52"/>
    </row>
    <row r="966" spans="1:35">
      <c r="A966" s="104" t="s">
        <v>376</v>
      </c>
      <c r="C966" s="121">
        <f>166*12</f>
        <v>1992</v>
      </c>
      <c r="D966" s="122"/>
      <c r="F966" s="123"/>
      <c r="G966" s="122"/>
      <c r="I966" s="123"/>
      <c r="J966" s="122"/>
      <c r="L966" s="123"/>
      <c r="Q966" s="149"/>
      <c r="R966" s="149"/>
      <c r="S966" s="105"/>
      <c r="T966" s="301"/>
      <c r="U966" s="301"/>
      <c r="V966" s="151"/>
      <c r="W966" s="151"/>
      <c r="X966" s="151"/>
      <c r="Y966" s="146"/>
      <c r="Z966" s="146"/>
      <c r="AA966" s="149"/>
      <c r="AB966" s="149"/>
      <c r="AC966" s="149"/>
      <c r="AD966" s="149"/>
      <c r="AE966" s="52"/>
      <c r="AF966" s="52"/>
      <c r="AG966" s="52"/>
      <c r="AH966" s="52"/>
      <c r="AI966" s="52"/>
    </row>
    <row r="967" spans="1:35">
      <c r="A967" s="104" t="s">
        <v>215</v>
      </c>
      <c r="C967" s="121">
        <f>367610+573570+1268892+279803+146755+68648+26542+110287+87162+297959</f>
        <v>3227228</v>
      </c>
      <c r="D967" s="129"/>
      <c r="E967" s="52"/>
      <c r="F967" s="132">
        <f>SUM(F948:F960)</f>
        <v>603191</v>
      </c>
      <c r="G967" s="129"/>
      <c r="H967" s="52"/>
      <c r="I967" s="132">
        <f>SUM(I948:I960)</f>
        <v>635730</v>
      </c>
      <c r="J967" s="129"/>
      <c r="K967" s="52"/>
      <c r="L967" s="132">
        <f>SUM(L948:L960)</f>
        <v>635730</v>
      </c>
      <c r="N967" s="124" t="e">
        <f>SUM(N948:N966)</f>
        <v>#REF!</v>
      </c>
      <c r="Q967" s="149"/>
      <c r="R967" s="149"/>
      <c r="S967" s="302"/>
      <c r="T967" s="52"/>
      <c r="U967" s="52"/>
      <c r="V967" s="154"/>
      <c r="W967" s="154"/>
      <c r="X967" s="154"/>
      <c r="Y967" s="146"/>
      <c r="Z967" s="146"/>
      <c r="AA967" s="155"/>
      <c r="AB967" s="146"/>
      <c r="AC967" s="146"/>
      <c r="AD967" s="146"/>
      <c r="AE967" s="52"/>
      <c r="AF967" s="52"/>
      <c r="AG967" s="52"/>
      <c r="AH967" s="52"/>
      <c r="AI967" s="52"/>
    </row>
    <row r="968" spans="1:35">
      <c r="A968" s="104" t="s">
        <v>197</v>
      </c>
      <c r="C968" s="121">
        <v>201387.11985653557</v>
      </c>
      <c r="D968" s="129"/>
      <c r="E968" s="52"/>
      <c r="F968" s="132">
        <v>39646.881057186562</v>
      </c>
      <c r="G968" s="129"/>
      <c r="H968" s="52"/>
      <c r="I968" s="132">
        <f>F968</f>
        <v>39646.881057186562</v>
      </c>
      <c r="J968" s="129"/>
      <c r="K968" s="52"/>
      <c r="L968" s="132">
        <f>F968</f>
        <v>39646.881057186562</v>
      </c>
      <c r="N968" s="212"/>
      <c r="O968" s="212"/>
      <c r="Q968" s="154"/>
      <c r="R968" s="154"/>
      <c r="S968" s="301"/>
      <c r="T968" s="52"/>
      <c r="U968" s="52"/>
      <c r="V968" s="52"/>
      <c r="W968" s="52"/>
      <c r="X968" s="52"/>
      <c r="Y968" s="149"/>
      <c r="Z968" s="146"/>
      <c r="AA968" s="52"/>
      <c r="AB968" s="52"/>
      <c r="AC968" s="52"/>
      <c r="AD968" s="52"/>
      <c r="AE968" s="52"/>
      <c r="AF968" s="52"/>
      <c r="AG968" s="52"/>
      <c r="AH968" s="52"/>
      <c r="AI968" s="52"/>
    </row>
    <row r="969" spans="1:35" ht="16.5" thickBot="1">
      <c r="A969" s="104" t="s">
        <v>198</v>
      </c>
      <c r="C969" s="134">
        <f>C967+C968</f>
        <v>3428615.1198565355</v>
      </c>
      <c r="D969" s="135"/>
      <c r="E969" s="135"/>
      <c r="F969" s="135">
        <f>F967+F968</f>
        <v>642837.88105718652</v>
      </c>
      <c r="G969" s="135"/>
      <c r="H969" s="135"/>
      <c r="I969" s="135">
        <f>I967+I968</f>
        <v>675376.88105718652</v>
      </c>
      <c r="J969" s="135"/>
      <c r="K969" s="135"/>
      <c r="L969" s="135">
        <f>L967+L968</f>
        <v>675376.88105718652</v>
      </c>
      <c r="N969" s="218"/>
      <c r="O969" s="303" t="s">
        <v>241</v>
      </c>
      <c r="P969" s="304">
        <v>675376.88105718652</v>
      </c>
      <c r="Q969" s="138">
        <v>0</v>
      </c>
      <c r="R969" s="139"/>
      <c r="Y969" s="146"/>
      <c r="Z969" s="146"/>
      <c r="AA969" s="52"/>
      <c r="AB969" s="52"/>
      <c r="AC969" s="52"/>
      <c r="AD969" s="52"/>
      <c r="AE969" s="52"/>
      <c r="AF969" s="52"/>
      <c r="AG969" s="52"/>
      <c r="AH969" s="52"/>
      <c r="AI969" s="52"/>
    </row>
    <row r="970" spans="1:35" ht="16.5" thickTop="1">
      <c r="A970" s="141"/>
      <c r="B970" s="141"/>
      <c r="C970" s="160"/>
      <c r="D970" s="160"/>
      <c r="E970" s="160"/>
      <c r="F970" s="123"/>
      <c r="G970" s="160"/>
      <c r="H970" s="160"/>
      <c r="I970" s="123"/>
      <c r="J970" s="160" t="s">
        <v>280</v>
      </c>
      <c r="K970" s="160"/>
      <c r="L970" s="123" t="s">
        <v>280</v>
      </c>
      <c r="N970" s="305"/>
      <c r="O970" s="306" t="s">
        <v>200</v>
      </c>
      <c r="P970" s="180">
        <f>P969-L969</f>
        <v>0</v>
      </c>
      <c r="Q970" s="144" t="s">
        <v>280</v>
      </c>
      <c r="R970" s="96"/>
      <c r="S970" s="305"/>
      <c r="T970" s="305"/>
      <c r="U970" s="305"/>
      <c r="V970" s="305"/>
      <c r="W970" s="305"/>
      <c r="X970" s="305"/>
      <c r="Y970" s="146"/>
      <c r="Z970" s="146"/>
      <c r="AA970" s="52"/>
      <c r="AB970" s="52"/>
      <c r="AC970" s="52"/>
      <c r="AD970" s="52"/>
      <c r="AE970" s="52"/>
      <c r="AF970" s="52"/>
      <c r="AG970" s="52"/>
      <c r="AH970" s="52"/>
      <c r="AI970" s="52"/>
    </row>
    <row r="971" spans="1:35">
      <c r="A971" s="159" t="s">
        <v>67</v>
      </c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N971" s="146"/>
      <c r="O971" s="146"/>
      <c r="P971" s="154"/>
      <c r="Q971" s="146"/>
      <c r="R971" s="146"/>
      <c r="S971" s="52"/>
      <c r="T971" s="52"/>
      <c r="U971" s="52"/>
      <c r="V971" s="52"/>
      <c r="W971" s="52"/>
      <c r="X971" s="52"/>
      <c r="Y971" s="52"/>
      <c r="Z971" s="146"/>
      <c r="AA971" s="146"/>
      <c r="AB971" s="146"/>
      <c r="AC971" s="146"/>
      <c r="AD971" s="146"/>
      <c r="AE971" s="52"/>
      <c r="AF971" s="52"/>
      <c r="AG971" s="52"/>
      <c r="AH971" s="52"/>
      <c r="AI971" s="52"/>
    </row>
    <row r="972" spans="1:35">
      <c r="A972" s="141" t="s">
        <v>68</v>
      </c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N972" s="52"/>
      <c r="O972" s="52"/>
      <c r="P972" s="105"/>
      <c r="Q972" s="105"/>
      <c r="R972" s="105"/>
      <c r="S972" s="52"/>
      <c r="T972" s="52"/>
      <c r="U972" s="52"/>
      <c r="V972" s="52"/>
      <c r="W972" s="52"/>
      <c r="X972" s="52"/>
      <c r="Y972" s="52"/>
      <c r="Z972" s="146"/>
      <c r="AA972" s="146"/>
      <c r="AB972" s="146"/>
      <c r="AC972" s="146"/>
      <c r="AD972" s="146"/>
      <c r="AE972" s="52"/>
      <c r="AF972" s="52"/>
      <c r="AG972" s="52"/>
      <c r="AH972" s="52"/>
      <c r="AI972" s="52"/>
    </row>
    <row r="973" spans="1:35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N973" s="52"/>
      <c r="O973" s="52"/>
      <c r="P973" s="105"/>
      <c r="Q973" s="105" t="s">
        <v>280</v>
      </c>
      <c r="R973" s="105"/>
      <c r="S973" s="52"/>
      <c r="T973" s="52"/>
      <c r="U973" s="52"/>
      <c r="V973" s="52"/>
      <c r="W973" s="52"/>
      <c r="X973" s="52"/>
      <c r="Y973" s="52"/>
      <c r="Z973" s="146"/>
      <c r="AA973" s="146"/>
      <c r="AB973" s="146"/>
      <c r="AC973" s="146"/>
      <c r="AD973" s="146"/>
      <c r="AE973" s="52"/>
      <c r="AF973" s="52"/>
      <c r="AG973" s="52"/>
      <c r="AH973" s="52"/>
      <c r="AI973" s="52"/>
    </row>
    <row r="974" spans="1:35">
      <c r="A974" s="141" t="s">
        <v>69</v>
      </c>
      <c r="B974" s="141"/>
      <c r="C974" s="160"/>
      <c r="D974" s="164"/>
      <c r="E974" s="141"/>
      <c r="F974" s="123">
        <v>28343.35</v>
      </c>
      <c r="G974" s="164"/>
      <c r="H974" s="141"/>
      <c r="I974" s="123">
        <v>28343.35</v>
      </c>
      <c r="J974" s="164"/>
      <c r="K974" s="141"/>
      <c r="L974" s="123">
        <f>F974</f>
        <v>28343.35</v>
      </c>
      <c r="N974" s="124">
        <f>L974</f>
        <v>28343.35</v>
      </c>
      <c r="O974" s="52"/>
      <c r="P974" s="105"/>
      <c r="Q974" s="105" t="s">
        <v>280</v>
      </c>
      <c r="R974" s="105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</row>
    <row r="975" spans="1:35">
      <c r="A975" s="141" t="s">
        <v>70</v>
      </c>
      <c r="B975" s="141"/>
      <c r="C975" s="121">
        <v>405868</v>
      </c>
      <c r="D975" s="307">
        <v>7.0739999999999998</v>
      </c>
      <c r="E975" s="141" t="s">
        <v>210</v>
      </c>
      <c r="F975" s="308">
        <f>ROUND(C975*D975/100,0)</f>
        <v>28711</v>
      </c>
      <c r="G975" s="307">
        <v>7.8140000000000001</v>
      </c>
      <c r="H975" s="141" t="s">
        <v>210</v>
      </c>
      <c r="I975" s="308">
        <f>ROUND(G975*C975/100,0)</f>
        <v>31715</v>
      </c>
      <c r="J975" s="307">
        <v>7.8140000000000001</v>
      </c>
      <c r="K975" s="141" t="s">
        <v>210</v>
      </c>
      <c r="L975" s="123">
        <f>ROUND(J975*$C975/100,0)</f>
        <v>31715</v>
      </c>
      <c r="N975" s="124" t="e">
        <f>(J975/100)*#REF!</f>
        <v>#REF!</v>
      </c>
      <c r="O975" s="52"/>
      <c r="P975" s="105"/>
      <c r="Q975" s="105"/>
      <c r="R975" s="105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</row>
    <row r="976" spans="1:35">
      <c r="A976" s="141" t="s">
        <v>71</v>
      </c>
      <c r="B976" s="141"/>
      <c r="C976" s="121">
        <v>0</v>
      </c>
      <c r="D976" s="307">
        <v>7.9160000000000004</v>
      </c>
      <c r="E976" s="141" t="s">
        <v>210</v>
      </c>
      <c r="F976" s="308">
        <f>ROUND(C976*D976/100,0)</f>
        <v>0</v>
      </c>
      <c r="G976" s="307">
        <v>8.7439999999999998</v>
      </c>
      <c r="H976" s="141" t="s">
        <v>210</v>
      </c>
      <c r="I976" s="308">
        <f>ROUND(G976*C976/100,0)</f>
        <v>0</v>
      </c>
      <c r="J976" s="273">
        <v>8.7439999999999998</v>
      </c>
      <c r="K976" s="141" t="s">
        <v>210</v>
      </c>
      <c r="L976" s="123">
        <f>ROUND(J976*$C976/100,0)</f>
        <v>0</v>
      </c>
      <c r="N976" s="124" t="e">
        <f>(J976/100)*#REF!</f>
        <v>#REF!</v>
      </c>
      <c r="O976" s="52"/>
      <c r="P976" s="105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</row>
    <row r="977" spans="1:35">
      <c r="A977" s="141" t="s">
        <v>376</v>
      </c>
      <c r="B977" s="141"/>
      <c r="C977" s="121">
        <f>23*12</f>
        <v>276</v>
      </c>
      <c r="D977" s="309"/>
      <c r="E977" s="141"/>
      <c r="F977" s="123"/>
      <c r="G977" s="309"/>
      <c r="H977" s="141"/>
      <c r="I977" s="123"/>
      <c r="J977" s="309"/>
      <c r="K977" s="141"/>
      <c r="L977" s="123"/>
      <c r="N977" s="52"/>
      <c r="O977" s="52"/>
      <c r="P977" s="105"/>
      <c r="Q977" s="105"/>
      <c r="R977" s="105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</row>
    <row r="978" spans="1:35">
      <c r="A978" s="104" t="s">
        <v>203</v>
      </c>
      <c r="C978" s="121">
        <f>SUM(C975:C976)</f>
        <v>405868</v>
      </c>
      <c r="D978" s="129"/>
      <c r="E978" s="52"/>
      <c r="F978" s="132">
        <f>SUM(F974:F976)</f>
        <v>57054.35</v>
      </c>
      <c r="G978" s="129"/>
      <c r="H978" s="52"/>
      <c r="I978" s="132">
        <f>SUM(I974:I976)</f>
        <v>60058.35</v>
      </c>
      <c r="J978" s="129"/>
      <c r="K978" s="52"/>
      <c r="L978" s="132">
        <f>SUM(L974:L976)</f>
        <v>60058.35</v>
      </c>
      <c r="N978" s="224" t="e">
        <f>SUM(N974:N977)</f>
        <v>#REF!</v>
      </c>
      <c r="O978" s="52"/>
      <c r="P978" s="105"/>
      <c r="Q978" s="105"/>
      <c r="R978" s="105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</row>
    <row r="979" spans="1:35">
      <c r="A979" s="104" t="s">
        <v>204</v>
      </c>
      <c r="C979" s="121">
        <v>25327.168949046227</v>
      </c>
      <c r="D979" s="129"/>
      <c r="E979" s="52"/>
      <c r="F979" s="132">
        <v>3746.408408523399</v>
      </c>
      <c r="G979" s="129"/>
      <c r="H979" s="52"/>
      <c r="I979" s="132">
        <f>F979</f>
        <v>3746.408408523399</v>
      </c>
      <c r="J979" s="129"/>
      <c r="K979" s="52"/>
      <c r="L979" s="132">
        <f>F979</f>
        <v>3746.408408523399</v>
      </c>
      <c r="N979" s="212"/>
      <c r="O979" s="212"/>
      <c r="P979" s="253"/>
      <c r="Q979" s="105"/>
      <c r="R979" s="105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</row>
    <row r="980" spans="1:35" ht="16.5" thickBot="1">
      <c r="A980" s="141" t="s">
        <v>198</v>
      </c>
      <c r="B980" s="141"/>
      <c r="C980" s="278">
        <f>C978+C979</f>
        <v>431195.16894904623</v>
      </c>
      <c r="D980" s="310"/>
      <c r="E980" s="311"/>
      <c r="F980" s="135">
        <f>F978+F979</f>
        <v>60800.758408523398</v>
      </c>
      <c r="G980" s="310"/>
      <c r="H980" s="311"/>
      <c r="I980" s="135">
        <f>I978+I979</f>
        <v>63804.758408523398</v>
      </c>
      <c r="J980" s="310"/>
      <c r="K980" s="311"/>
      <c r="L980" s="135">
        <f>L978+L979</f>
        <v>63804.758408523398</v>
      </c>
      <c r="N980" s="218"/>
      <c r="O980" s="303" t="s">
        <v>241</v>
      </c>
      <c r="P980" s="312">
        <v>63804.758408523398</v>
      </c>
      <c r="Q980" s="313" t="s">
        <v>280</v>
      </c>
      <c r="R980" s="29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</row>
    <row r="981" spans="1:35" ht="16.5" thickTop="1">
      <c r="A981" s="141"/>
      <c r="B981" s="141"/>
      <c r="C981" s="141"/>
      <c r="D981" s="274"/>
      <c r="E981" s="141"/>
      <c r="F981" s="141"/>
      <c r="G981" s="274"/>
      <c r="H981" s="141"/>
      <c r="I981" s="141"/>
      <c r="J981" s="274" t="s">
        <v>280</v>
      </c>
      <c r="K981" s="141"/>
      <c r="L981" s="123" t="s">
        <v>280</v>
      </c>
      <c r="N981" s="52"/>
      <c r="O981" s="306" t="s">
        <v>200</v>
      </c>
      <c r="P981" s="314">
        <f>P980-L980</f>
        <v>0</v>
      </c>
      <c r="Q981" s="96" t="s">
        <v>280</v>
      </c>
      <c r="R981" s="96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</row>
    <row r="982" spans="1:35">
      <c r="A982" s="159" t="s">
        <v>205</v>
      </c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N982" s="52"/>
      <c r="O982" s="52"/>
      <c r="P982" s="105"/>
      <c r="Q982" s="105"/>
      <c r="R982" s="105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</row>
    <row r="983" spans="1:35">
      <c r="A983" s="141" t="s">
        <v>72</v>
      </c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N983" s="52"/>
      <c r="O983" s="52"/>
      <c r="P983" s="105"/>
      <c r="Q983" s="105"/>
      <c r="R983" s="105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</row>
    <row r="984" spans="1:35">
      <c r="A984" s="141"/>
      <c r="B984" s="141"/>
      <c r="C984" s="141"/>
      <c r="D984" s="274"/>
      <c r="E984" s="141"/>
      <c r="F984" s="141"/>
      <c r="G984" s="274"/>
      <c r="H984" s="141"/>
      <c r="I984" s="141"/>
      <c r="J984" s="274"/>
      <c r="K984" s="141"/>
      <c r="L984" s="141"/>
      <c r="N984" s="52"/>
      <c r="O984" s="52"/>
      <c r="P984" s="105"/>
      <c r="Q984" s="105"/>
      <c r="R984" s="105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</row>
    <row r="985" spans="1:35">
      <c r="A985" s="141" t="s">
        <v>69</v>
      </c>
      <c r="B985" s="141"/>
      <c r="C985" s="160"/>
      <c r="D985" s="164"/>
      <c r="E985" s="141"/>
      <c r="F985" s="123">
        <f>F996+F1022</f>
        <v>2385.8499999999995</v>
      </c>
      <c r="G985" s="164"/>
      <c r="H985" s="141"/>
      <c r="I985" s="123">
        <f>I996+I1022</f>
        <v>2385.8499999999995</v>
      </c>
      <c r="J985" s="164"/>
      <c r="K985" s="141"/>
      <c r="L985" s="123">
        <f>F985</f>
        <v>2385.8499999999995</v>
      </c>
      <c r="N985" s="224">
        <f>L985</f>
        <v>2385.8499999999995</v>
      </c>
      <c r="O985" s="52"/>
      <c r="P985" s="105"/>
      <c r="Q985" s="105"/>
      <c r="R985" s="105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</row>
    <row r="986" spans="1:35">
      <c r="A986" s="141" t="s">
        <v>73</v>
      </c>
      <c r="B986" s="141"/>
      <c r="C986" s="121">
        <f>C1012+C1023+C1024</f>
        <v>2293811</v>
      </c>
      <c r="D986" s="307">
        <v>6.4820000000000002</v>
      </c>
      <c r="E986" s="141" t="s">
        <v>210</v>
      </c>
      <c r="F986" s="308">
        <f>F1012+F1023+F1024</f>
        <v>148685</v>
      </c>
      <c r="G986" s="307" t="s">
        <v>280</v>
      </c>
      <c r="H986" s="141" t="s">
        <v>280</v>
      </c>
      <c r="I986" s="308">
        <f>I1012+I1024</f>
        <v>156736</v>
      </c>
      <c r="J986" s="273" t="s">
        <v>280</v>
      </c>
      <c r="K986" s="141" t="s">
        <v>280</v>
      </c>
      <c r="L986" s="123">
        <f>L1012+L1024</f>
        <v>156736</v>
      </c>
      <c r="N986" s="124" t="e">
        <f>(J986/100)*#REF!</f>
        <v>#REF!</v>
      </c>
      <c r="O986" s="52"/>
      <c r="P986" s="105"/>
      <c r="Q986" s="105"/>
      <c r="R986" s="105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</row>
    <row r="987" spans="1:35">
      <c r="A987" s="141" t="s">
        <v>74</v>
      </c>
      <c r="B987" s="141"/>
      <c r="C987" s="121">
        <f>C1013</f>
        <v>2464284</v>
      </c>
      <c r="D987" s="315">
        <v>6.4820000000000002</v>
      </c>
      <c r="E987" s="141" t="s">
        <v>210</v>
      </c>
      <c r="F987" s="308">
        <f>SUM(F998:F1010)</f>
        <v>160307.57999999999</v>
      </c>
      <c r="G987" s="315" t="s">
        <v>280</v>
      </c>
      <c r="H987" s="141" t="s">
        <v>280</v>
      </c>
      <c r="I987" s="123">
        <f>I998+I999+I1000+I1001+I1002+I1003+I1006+I1007+I1008+I1009+I1010</f>
        <v>168961.05000000002</v>
      </c>
      <c r="J987" s="316" t="s">
        <v>280</v>
      </c>
      <c r="K987" s="141" t="s">
        <v>280</v>
      </c>
      <c r="L987" s="123">
        <f>L998+L999+L1000+L1001+L1002+L1003+L1006+L1007+L1008+L1009+L1010</f>
        <v>168961.05000000002</v>
      </c>
      <c r="N987" s="124" t="e">
        <f>(J987/100)*#REF!</f>
        <v>#REF!</v>
      </c>
      <c r="O987" s="52"/>
      <c r="P987" s="105"/>
      <c r="Q987" s="105"/>
      <c r="R987" s="105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</row>
    <row r="988" spans="1:35">
      <c r="A988" s="141" t="s">
        <v>376</v>
      </c>
      <c r="B988" s="141"/>
      <c r="C988" s="121">
        <f t="shared" ref="C988:C990" si="138">C1014+C1025</f>
        <v>2376</v>
      </c>
      <c r="D988" s="309"/>
      <c r="E988" s="141"/>
      <c r="F988" s="123"/>
      <c r="G988" s="309"/>
      <c r="H988" s="141"/>
      <c r="I988" s="123"/>
      <c r="J988" s="309"/>
      <c r="K988" s="141"/>
      <c r="L988" s="123"/>
      <c r="N988" s="52"/>
      <c r="O988" s="52"/>
      <c r="P988" s="105"/>
      <c r="Q988" s="105"/>
      <c r="R988" s="105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</row>
    <row r="989" spans="1:35">
      <c r="A989" s="104" t="s">
        <v>203</v>
      </c>
      <c r="C989" s="121">
        <f t="shared" si="138"/>
        <v>4758095</v>
      </c>
      <c r="D989" s="129"/>
      <c r="E989" s="52"/>
      <c r="F989" s="132">
        <f>F985+F986+F987</f>
        <v>311378.43</v>
      </c>
      <c r="G989" s="129"/>
      <c r="H989" s="52"/>
      <c r="I989" s="132">
        <f>I1015+I1026</f>
        <v>328082.90000000002</v>
      </c>
      <c r="J989" s="129"/>
      <c r="K989" s="52"/>
      <c r="L989" s="132">
        <f>L1015+L1026</f>
        <v>328082.90000000002</v>
      </c>
      <c r="N989" s="224" t="e">
        <f>SUM(N985:N988)</f>
        <v>#REF!</v>
      </c>
      <c r="O989" s="52"/>
      <c r="P989" s="105"/>
      <c r="Q989" s="105"/>
      <c r="R989" s="105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</row>
    <row r="990" spans="1:35">
      <c r="A990" s="104" t="s">
        <v>204</v>
      </c>
      <c r="C990" s="121">
        <f t="shared" si="138"/>
        <v>296917.05198728928</v>
      </c>
      <c r="D990" s="129"/>
      <c r="E990" s="52"/>
      <c r="F990" s="132">
        <f>F1016+F1027</f>
        <v>20439.975385151709</v>
      </c>
      <c r="G990" s="129"/>
      <c r="H990" s="52"/>
      <c r="I990" s="132">
        <f>I1016+I1027</f>
        <v>20439.975385151709</v>
      </c>
      <c r="J990" s="129"/>
      <c r="K990" s="52"/>
      <c r="L990" s="132">
        <f>F990</f>
        <v>20439.975385151709</v>
      </c>
      <c r="N990" s="212"/>
      <c r="O990" s="212"/>
      <c r="P990" s="253"/>
      <c r="Q990" s="105"/>
      <c r="R990" s="105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</row>
    <row r="991" spans="1:35" ht="16.5" thickBot="1">
      <c r="A991" s="141" t="s">
        <v>198</v>
      </c>
      <c r="B991" s="141"/>
      <c r="C991" s="278">
        <f>C989+C990</f>
        <v>5055012.0519872895</v>
      </c>
      <c r="D991" s="310"/>
      <c r="E991" s="311"/>
      <c r="F991" s="135">
        <f>F989+F990</f>
        <v>331818.40538515168</v>
      </c>
      <c r="G991" s="310"/>
      <c r="H991" s="311"/>
      <c r="I991" s="135">
        <f>I989+I990</f>
        <v>348522.87538515171</v>
      </c>
      <c r="J991" s="310"/>
      <c r="K991" s="311"/>
      <c r="L991" s="135">
        <f>L989+L990</f>
        <v>348522.87538515171</v>
      </c>
      <c r="N991" s="218"/>
      <c r="O991" s="303" t="s">
        <v>241</v>
      </c>
      <c r="P991" s="312">
        <v>348522.87538515171</v>
      </c>
      <c r="Q991" s="313" t="s">
        <v>280</v>
      </c>
      <c r="R991" s="29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</row>
    <row r="992" spans="1:35" ht="16.5" thickTop="1">
      <c r="A992" s="141"/>
      <c r="B992" s="141"/>
      <c r="C992" s="271"/>
      <c r="D992" s="317"/>
      <c r="E992" s="231"/>
      <c r="F992" s="184"/>
      <c r="G992" s="317"/>
      <c r="H992" s="231"/>
      <c r="I992" s="184"/>
      <c r="J992" s="317" t="s">
        <v>280</v>
      </c>
      <c r="K992" s="231"/>
      <c r="L992" s="184" t="s">
        <v>280</v>
      </c>
      <c r="N992" s="52"/>
      <c r="O992" s="306" t="s">
        <v>200</v>
      </c>
      <c r="P992" s="314">
        <f>L991-P991</f>
        <v>0</v>
      </c>
      <c r="Q992" s="105"/>
      <c r="R992" s="105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</row>
    <row r="993" spans="1:35">
      <c r="A993" s="159" t="s">
        <v>75</v>
      </c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N993" s="224"/>
      <c r="O993" s="224"/>
      <c r="P993" s="105"/>
      <c r="Q993" s="105"/>
      <c r="R993" s="105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</row>
    <row r="994" spans="1:35">
      <c r="A994" s="141" t="s">
        <v>76</v>
      </c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N994" s="52"/>
      <c r="O994" s="52"/>
      <c r="P994" s="105"/>
      <c r="Q994" s="105"/>
      <c r="R994" s="105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</row>
    <row r="995" spans="1:35">
      <c r="A995" s="141"/>
      <c r="B995" s="141"/>
      <c r="C995" s="141"/>
      <c r="D995" s="274"/>
      <c r="E995" s="141"/>
      <c r="F995" s="141"/>
      <c r="G995" s="274"/>
      <c r="H995" s="141"/>
      <c r="I995" s="141"/>
      <c r="J995" s="274"/>
      <c r="K995" s="141"/>
      <c r="L995" s="141"/>
      <c r="N995" s="52"/>
      <c r="O995" s="52"/>
      <c r="P995" s="105"/>
      <c r="Q995" s="105"/>
      <c r="R995" s="105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</row>
    <row r="996" spans="1:35">
      <c r="A996" s="141" t="s">
        <v>69</v>
      </c>
      <c r="B996" s="141"/>
      <c r="C996" s="160"/>
      <c r="D996" s="164"/>
      <c r="E996" s="141"/>
      <c r="F996" s="123">
        <f>4.1+2026.19+86.47+232.2+36.89</f>
        <v>2385.8499999999995</v>
      </c>
      <c r="G996" s="164"/>
      <c r="H996" s="141"/>
      <c r="I996" s="123">
        <f>4.1+2026.19+86.47+232.2+36.89</f>
        <v>2385.8499999999995</v>
      </c>
      <c r="J996" s="164"/>
      <c r="K996" s="141"/>
      <c r="L996" s="123">
        <f>I996</f>
        <v>2385.8499999999995</v>
      </c>
      <c r="N996" s="52"/>
      <c r="O996" s="52"/>
      <c r="P996" s="105"/>
      <c r="Q996" s="105"/>
      <c r="R996" s="105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</row>
    <row r="997" spans="1:35">
      <c r="A997" s="141" t="s">
        <v>180</v>
      </c>
      <c r="B997" s="141"/>
      <c r="C997" s="160"/>
      <c r="D997" s="164"/>
      <c r="E997" s="141"/>
      <c r="F997" s="123"/>
      <c r="G997" s="164"/>
      <c r="H997" s="141"/>
      <c r="I997" s="123"/>
      <c r="J997" s="164"/>
      <c r="K997" s="141"/>
      <c r="L997" s="123"/>
      <c r="N997" s="52"/>
      <c r="O997" s="52"/>
      <c r="S997" s="224">
        <f>P991-L991</f>
        <v>0</v>
      </c>
      <c r="T997" s="105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</row>
    <row r="998" spans="1:35">
      <c r="A998" s="104" t="s">
        <v>77</v>
      </c>
      <c r="B998" s="141"/>
      <c r="C998" s="160">
        <f>4396+59+48</f>
        <v>4503</v>
      </c>
      <c r="D998" s="164">
        <v>2.0099999999999998</v>
      </c>
      <c r="E998" s="141"/>
      <c r="F998" s="123">
        <f t="shared" ref="F998:F1003" si="139">D998*C998</f>
        <v>9051.0299999999988</v>
      </c>
      <c r="G998" s="164">
        <v>2.12</v>
      </c>
      <c r="H998" s="141"/>
      <c r="I998" s="123">
        <f>C998*G998</f>
        <v>9546.36</v>
      </c>
      <c r="J998" s="164">
        <f>ROUND(S998*$J$1012/100,2)</f>
        <v>2.12</v>
      </c>
      <c r="K998" s="141"/>
      <c r="L998" s="123">
        <f t="shared" ref="L998:L1003" si="140">J998*$C998</f>
        <v>9546.36</v>
      </c>
      <c r="N998" s="52"/>
      <c r="O998" s="52"/>
      <c r="S998" s="105">
        <v>31</v>
      </c>
      <c r="T998" s="318">
        <f t="shared" ref="T998:T1003" si="141">D998/S998</f>
        <v>6.4838709677419351E-2</v>
      </c>
      <c r="U998" s="52"/>
      <c r="V998" s="52"/>
      <c r="W998" s="295" t="s">
        <v>280</v>
      </c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</row>
    <row r="999" spans="1:35">
      <c r="A999" s="104" t="s">
        <v>78</v>
      </c>
      <c r="B999" s="141"/>
      <c r="C999" s="160">
        <f>8263+25</f>
        <v>8288</v>
      </c>
      <c r="D999" s="164">
        <v>2.85</v>
      </c>
      <c r="E999" s="141"/>
      <c r="F999" s="123">
        <f t="shared" si="139"/>
        <v>23620.799999999999</v>
      </c>
      <c r="G999" s="164">
        <v>3</v>
      </c>
      <c r="H999" s="141"/>
      <c r="I999" s="123">
        <f t="shared" ref="I999:I1003" si="142">C999*G999</f>
        <v>24864</v>
      </c>
      <c r="J999" s="164">
        <f>ROUND(S999*$J$1012/100,2)-0.01</f>
        <v>3</v>
      </c>
      <c r="K999" s="141"/>
      <c r="L999" s="123">
        <f t="shared" si="140"/>
        <v>24864</v>
      </c>
      <c r="N999" s="52"/>
      <c r="O999" s="52"/>
      <c r="S999" s="105">
        <v>44</v>
      </c>
      <c r="T999" s="318">
        <f t="shared" si="141"/>
        <v>6.4772727272727273E-2</v>
      </c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</row>
    <row r="1000" spans="1:35">
      <c r="A1000" s="104" t="s">
        <v>79</v>
      </c>
      <c r="B1000" s="141"/>
      <c r="C1000" s="160">
        <f>580</f>
        <v>580</v>
      </c>
      <c r="D1000" s="164">
        <v>4.1399999999999997</v>
      </c>
      <c r="E1000" s="141"/>
      <c r="F1000" s="123">
        <f t="shared" si="139"/>
        <v>2401.1999999999998</v>
      </c>
      <c r="G1000" s="164">
        <v>4.3600000000000003</v>
      </c>
      <c r="H1000" s="141"/>
      <c r="I1000" s="123">
        <f t="shared" si="142"/>
        <v>2528.8000000000002</v>
      </c>
      <c r="J1000" s="164">
        <f>ROUND(S1000*$J$1012/100,2)-0.01</f>
        <v>4.3600000000000003</v>
      </c>
      <c r="K1000" s="141"/>
      <c r="L1000" s="123">
        <f t="shared" si="140"/>
        <v>2528.8000000000002</v>
      </c>
      <c r="N1000" s="52"/>
      <c r="O1000" s="52"/>
      <c r="S1000" s="105">
        <v>64</v>
      </c>
      <c r="T1000" s="318">
        <f t="shared" si="141"/>
        <v>6.4687499999999995E-2</v>
      </c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</row>
    <row r="1001" spans="1:35">
      <c r="A1001" s="104" t="s">
        <v>80</v>
      </c>
      <c r="B1001" s="141"/>
      <c r="C1001" s="160">
        <f>12190</f>
        <v>12190</v>
      </c>
      <c r="D1001" s="164">
        <v>5.51</v>
      </c>
      <c r="E1001" s="141"/>
      <c r="F1001" s="123">
        <f t="shared" si="139"/>
        <v>67166.899999999994</v>
      </c>
      <c r="G1001" s="164">
        <v>5.81</v>
      </c>
      <c r="H1001" s="141"/>
      <c r="I1001" s="123">
        <f t="shared" si="142"/>
        <v>70823.899999999994</v>
      </c>
      <c r="J1001" s="164">
        <f t="shared" ref="J1001:J1003" si="143">ROUND(S1001*$J$1012/100,2)</f>
        <v>5.81</v>
      </c>
      <c r="K1001" s="141"/>
      <c r="L1001" s="123">
        <f t="shared" si="140"/>
        <v>70823.899999999994</v>
      </c>
      <c r="N1001" s="52"/>
      <c r="O1001" s="52"/>
      <c r="S1001" s="105">
        <v>85</v>
      </c>
      <c r="T1001" s="318">
        <f t="shared" si="141"/>
        <v>6.4823529411764697E-2</v>
      </c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</row>
    <row r="1002" spans="1:35">
      <c r="A1002" s="104" t="s">
        <v>81</v>
      </c>
      <c r="B1002" s="141"/>
      <c r="C1002" s="160">
        <f>2569+2084</f>
        <v>4653</v>
      </c>
      <c r="D1002" s="164">
        <v>7.46</v>
      </c>
      <c r="E1002" s="141"/>
      <c r="F1002" s="123">
        <f t="shared" si="139"/>
        <v>34711.379999999997</v>
      </c>
      <c r="G1002" s="164">
        <v>7.86</v>
      </c>
      <c r="H1002" s="141"/>
      <c r="I1002" s="123">
        <f t="shared" si="142"/>
        <v>36572.58</v>
      </c>
      <c r="J1002" s="164">
        <f t="shared" si="143"/>
        <v>7.86</v>
      </c>
      <c r="K1002" s="141"/>
      <c r="L1002" s="123">
        <f t="shared" si="140"/>
        <v>36572.58</v>
      </c>
      <c r="N1002" s="52"/>
      <c r="O1002" s="52"/>
      <c r="S1002" s="105">
        <v>115</v>
      </c>
      <c r="T1002" s="318">
        <f t="shared" si="141"/>
        <v>6.4869565217391303E-2</v>
      </c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</row>
    <row r="1003" spans="1:35">
      <c r="A1003" s="104" t="s">
        <v>82</v>
      </c>
      <c r="B1003" s="141"/>
      <c r="C1003" s="160">
        <f>2047</f>
        <v>2047</v>
      </c>
      <c r="D1003" s="164">
        <v>11.41</v>
      </c>
      <c r="E1003" s="141"/>
      <c r="F1003" s="123">
        <f t="shared" si="139"/>
        <v>23356.27</v>
      </c>
      <c r="G1003" s="164">
        <v>12.03</v>
      </c>
      <c r="H1003" s="141"/>
      <c r="I1003" s="123">
        <f t="shared" si="142"/>
        <v>24625.41</v>
      </c>
      <c r="J1003" s="164">
        <f t="shared" si="143"/>
        <v>12.03</v>
      </c>
      <c r="K1003" s="141"/>
      <c r="L1003" s="123">
        <f t="shared" si="140"/>
        <v>24625.41</v>
      </c>
      <c r="N1003" s="52"/>
      <c r="Q1003" s="292" t="s">
        <v>280</v>
      </c>
      <c r="R1003" s="139"/>
      <c r="S1003" s="105">
        <v>176</v>
      </c>
      <c r="T1003" s="318">
        <f t="shared" si="141"/>
        <v>6.4829545454545459E-2</v>
      </c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</row>
    <row r="1004" spans="1:35">
      <c r="B1004" s="141"/>
      <c r="C1004" s="160"/>
      <c r="D1004" s="164"/>
      <c r="E1004" s="141"/>
      <c r="F1004" s="123"/>
      <c r="G1004" s="164"/>
      <c r="H1004" s="141"/>
      <c r="I1004" s="123"/>
      <c r="J1004" s="164"/>
      <c r="K1004" s="141"/>
      <c r="L1004" s="123"/>
      <c r="N1004" s="52"/>
      <c r="O1004" s="52"/>
      <c r="S1004" s="105"/>
      <c r="T1004" s="105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</row>
    <row r="1005" spans="1:35">
      <c r="A1005" s="104" t="s">
        <v>189</v>
      </c>
      <c r="B1005" s="141"/>
      <c r="C1005" s="160"/>
      <c r="D1005" s="164" t="s">
        <v>280</v>
      </c>
      <c r="E1005" s="141"/>
      <c r="F1005" s="123"/>
      <c r="G1005" s="164" t="s">
        <v>280</v>
      </c>
      <c r="H1005" s="141"/>
      <c r="I1005" s="123"/>
      <c r="J1005" s="164" t="s">
        <v>280</v>
      </c>
      <c r="K1005" s="141"/>
      <c r="L1005" s="123"/>
      <c r="N1005" s="52"/>
      <c r="O1005" s="52"/>
      <c r="S1005" s="105"/>
      <c r="T1005" s="105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</row>
    <row r="1006" spans="1:35">
      <c r="A1006" s="104" t="s">
        <v>83</v>
      </c>
      <c r="B1006" s="141"/>
      <c r="C1006" s="160">
        <v>0</v>
      </c>
      <c r="D1006" s="164">
        <v>2.5299999999999998</v>
      </c>
      <c r="E1006" s="141"/>
      <c r="F1006" s="123">
        <f>D1006*C1006</f>
        <v>0</v>
      </c>
      <c r="G1006" s="164">
        <v>2.67</v>
      </c>
      <c r="H1006" s="141"/>
      <c r="I1006" s="123">
        <f t="shared" ref="I1006:I1010" si="144">C1006*G1006</f>
        <v>0</v>
      </c>
      <c r="J1006" s="164">
        <f>ROUND(S1006*$J$1012/100,2)+0.01</f>
        <v>2.67</v>
      </c>
      <c r="K1006" s="141"/>
      <c r="L1006" s="123">
        <f>J1006*$C1006</f>
        <v>0</v>
      </c>
      <c r="N1006" s="52"/>
      <c r="O1006" s="52"/>
      <c r="S1006" s="105">
        <v>39</v>
      </c>
      <c r="T1006" s="318">
        <f>D1006/S1006</f>
        <v>6.4871794871794869E-2</v>
      </c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</row>
    <row r="1007" spans="1:35">
      <c r="A1007" s="104" t="s">
        <v>84</v>
      </c>
      <c r="B1007" s="141"/>
      <c r="C1007" s="160">
        <v>0</v>
      </c>
      <c r="D1007" s="164">
        <v>4.41</v>
      </c>
      <c r="E1007" s="141"/>
      <c r="F1007" s="123">
        <f>D1007*C1007</f>
        <v>0</v>
      </c>
      <c r="G1007" s="164">
        <v>4.6500000000000004</v>
      </c>
      <c r="H1007" s="141"/>
      <c r="I1007" s="123">
        <f t="shared" si="144"/>
        <v>0</v>
      </c>
      <c r="J1007" s="164">
        <f t="shared" ref="J1007:J1010" si="145">ROUND(S1007*$J$1012/100,2)</f>
        <v>4.6500000000000004</v>
      </c>
      <c r="K1007" s="141"/>
      <c r="L1007" s="123">
        <f>J1007*$C1007</f>
        <v>0</v>
      </c>
      <c r="N1007" s="52"/>
      <c r="O1007" s="52"/>
      <c r="S1007" s="105">
        <v>68</v>
      </c>
      <c r="T1007" s="318">
        <f>D1007/S1007</f>
        <v>6.4852941176470585E-2</v>
      </c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</row>
    <row r="1008" spans="1:35">
      <c r="A1008" s="104" t="s">
        <v>85</v>
      </c>
      <c r="B1008" s="141"/>
      <c r="C1008" s="160">
        <v>0</v>
      </c>
      <c r="D1008" s="164">
        <v>6.1</v>
      </c>
      <c r="E1008" s="141"/>
      <c r="F1008" s="123">
        <f>D1008*C1008</f>
        <v>0</v>
      </c>
      <c r="G1008" s="164">
        <v>6.43</v>
      </c>
      <c r="H1008" s="141"/>
      <c r="I1008" s="123">
        <f t="shared" si="144"/>
        <v>0</v>
      </c>
      <c r="J1008" s="164">
        <f>ROUND(S1008*$J$1012/100,2)+0.01</f>
        <v>6.43</v>
      </c>
      <c r="K1008" s="141"/>
      <c r="L1008" s="123">
        <f>J1008*$C1008</f>
        <v>0</v>
      </c>
      <c r="N1008" s="52"/>
      <c r="O1008" s="52" t="s">
        <v>280</v>
      </c>
      <c r="S1008" s="105">
        <v>94</v>
      </c>
      <c r="T1008" s="318">
        <f>D1008/S1008</f>
        <v>6.4893617021276592E-2</v>
      </c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</row>
    <row r="1009" spans="1:35">
      <c r="A1009" s="104" t="s">
        <v>86</v>
      </c>
      <c r="B1009" s="141"/>
      <c r="C1009" s="160">
        <v>0</v>
      </c>
      <c r="D1009" s="164">
        <v>9.66</v>
      </c>
      <c r="E1009" s="141"/>
      <c r="F1009" s="123">
        <f>D1009*C1009</f>
        <v>0</v>
      </c>
      <c r="G1009" s="164">
        <v>10.18</v>
      </c>
      <c r="H1009" s="141"/>
      <c r="I1009" s="123">
        <f t="shared" si="144"/>
        <v>0</v>
      </c>
      <c r="J1009" s="164">
        <f t="shared" si="145"/>
        <v>10.18</v>
      </c>
      <c r="K1009" s="141"/>
      <c r="L1009" s="123">
        <f>J1009*$C1009</f>
        <v>0</v>
      </c>
      <c r="N1009" s="52"/>
      <c r="O1009" s="52"/>
      <c r="S1009" s="105">
        <v>149</v>
      </c>
      <c r="T1009" s="318">
        <f>D1009/S1009</f>
        <v>6.4832214765100676E-2</v>
      </c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</row>
    <row r="1010" spans="1:35">
      <c r="A1010" s="104" t="s">
        <v>87</v>
      </c>
      <c r="B1010" s="141"/>
      <c r="C1010" s="160">
        <v>0</v>
      </c>
      <c r="D1010" s="164">
        <v>22.95</v>
      </c>
      <c r="E1010" s="141"/>
      <c r="F1010" s="123">
        <f>D1010*C1010</f>
        <v>0</v>
      </c>
      <c r="G1010" s="164">
        <v>24.19</v>
      </c>
      <c r="H1010" s="141"/>
      <c r="I1010" s="123">
        <f t="shared" si="144"/>
        <v>0</v>
      </c>
      <c r="J1010" s="164">
        <f t="shared" si="145"/>
        <v>24.19</v>
      </c>
      <c r="K1010" s="141"/>
      <c r="L1010" s="123">
        <f>J1010*$C1010</f>
        <v>0</v>
      </c>
      <c r="N1010" s="52"/>
      <c r="O1010" s="52"/>
      <c r="S1010" s="105">
        <v>354</v>
      </c>
      <c r="T1010" s="318">
        <f>D1010/S1010</f>
        <v>6.4830508474576276E-2</v>
      </c>
      <c r="U1010" s="52" t="s">
        <v>280</v>
      </c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</row>
    <row r="1011" spans="1:35">
      <c r="A1011" s="141"/>
      <c r="B1011" s="141"/>
      <c r="C1011" s="160"/>
      <c r="D1011" s="164"/>
      <c r="E1011" s="141"/>
      <c r="F1011" s="123"/>
      <c r="G1011" s="164"/>
      <c r="H1011" s="141"/>
      <c r="I1011" s="123"/>
      <c r="J1011" s="164"/>
      <c r="K1011" s="141"/>
      <c r="L1011" s="123"/>
      <c r="N1011" s="52"/>
      <c r="O1011" s="52"/>
      <c r="S1011" s="105"/>
      <c r="T1011" s="105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</row>
    <row r="1012" spans="1:35">
      <c r="A1012" s="141" t="s">
        <v>73</v>
      </c>
      <c r="B1012" s="141"/>
      <c r="C1012" s="121">
        <f>5352+412101+327435+2565+134118+80517+6978+118636+31822+4895+182+489+697+2077</f>
        <v>1127864</v>
      </c>
      <c r="D1012" s="307">
        <v>6.4820000000000002</v>
      </c>
      <c r="E1012" s="141" t="s">
        <v>210</v>
      </c>
      <c r="F1012" s="308">
        <f>ROUND(C1012*D1012/100,0)</f>
        <v>73108</v>
      </c>
      <c r="G1012" s="307">
        <v>6.8330000000000002</v>
      </c>
      <c r="H1012" s="141" t="s">
        <v>210</v>
      </c>
      <c r="I1012" s="308">
        <f>ROUND(G1012*C1012/100,0)</f>
        <v>77067</v>
      </c>
      <c r="J1012" s="273">
        <v>6.8330000000000002</v>
      </c>
      <c r="K1012" s="141" t="s">
        <v>210</v>
      </c>
      <c r="L1012" s="123">
        <f>ROUND(J1012*C1012/100,0)</f>
        <v>77067</v>
      </c>
      <c r="N1012" s="52"/>
      <c r="O1012" s="52"/>
      <c r="S1012" s="105"/>
      <c r="T1012" s="105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</row>
    <row r="1013" spans="1:35">
      <c r="A1013" s="141" t="s">
        <v>88</v>
      </c>
      <c r="B1013" s="141"/>
      <c r="C1013" s="121">
        <f>3592148-C1012</f>
        <v>2464284</v>
      </c>
      <c r="D1013" s="315" t="s">
        <v>280</v>
      </c>
      <c r="E1013" s="141" t="s">
        <v>280</v>
      </c>
      <c r="F1013" s="308" t="s">
        <v>280</v>
      </c>
      <c r="G1013" s="315" t="s">
        <v>280</v>
      </c>
      <c r="H1013" s="141" t="s">
        <v>210</v>
      </c>
      <c r="I1013" s="308">
        <f>ROUND(G1013*C1013/100,0)</f>
        <v>0</v>
      </c>
      <c r="J1013" s="315">
        <v>0</v>
      </c>
      <c r="K1013" s="141" t="s">
        <v>210</v>
      </c>
      <c r="L1013" s="123">
        <v>0</v>
      </c>
      <c r="N1013" s="52"/>
      <c r="O1013" s="52"/>
      <c r="S1013" s="105"/>
      <c r="T1013" s="105">
        <v>211950</v>
      </c>
      <c r="U1013" s="123">
        <f>C1013*0.06146</f>
        <v>151454.89464000001</v>
      </c>
      <c r="V1013" s="123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</row>
    <row r="1014" spans="1:35">
      <c r="A1014" s="141" t="s">
        <v>376</v>
      </c>
      <c r="B1014" s="141"/>
      <c r="C1014" s="121">
        <v>1270</v>
      </c>
      <c r="D1014" s="309"/>
      <c r="E1014" s="141"/>
      <c r="F1014" s="123"/>
      <c r="G1014" s="309"/>
      <c r="H1014" s="141"/>
      <c r="I1014" s="123"/>
      <c r="J1014" s="309"/>
      <c r="K1014" s="141"/>
      <c r="L1014" s="123"/>
      <c r="N1014" s="52"/>
      <c r="O1014" s="52"/>
      <c r="P1014" s="105"/>
      <c r="Q1014" s="105"/>
      <c r="R1014" s="105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</row>
    <row r="1015" spans="1:35">
      <c r="A1015" s="104" t="s">
        <v>203</v>
      </c>
      <c r="C1015" s="121">
        <f>C1012+C1013</f>
        <v>3592148</v>
      </c>
      <c r="D1015" s="129"/>
      <c r="E1015" s="52"/>
      <c r="F1015" s="132">
        <f>SUM(F996:F1013)</f>
        <v>235801.42999999996</v>
      </c>
      <c r="G1015" s="129"/>
      <c r="H1015" s="52"/>
      <c r="I1015" s="132">
        <f>SUM(I996:I1013)</f>
        <v>248413.9</v>
      </c>
      <c r="J1015" s="129"/>
      <c r="K1015" s="52"/>
      <c r="L1015" s="132">
        <f>SUM(L996:L1013)</f>
        <v>248413.9</v>
      </c>
      <c r="N1015" s="52"/>
      <c r="O1015" s="52"/>
      <c r="P1015" s="105"/>
      <c r="Q1015" s="105"/>
      <c r="R1015" s="105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</row>
    <row r="1016" spans="1:35">
      <c r="A1016" s="104" t="s">
        <v>204</v>
      </c>
      <c r="C1016" s="121">
        <v>224159.04101600021</v>
      </c>
      <c r="D1016" s="129"/>
      <c r="E1016" s="52"/>
      <c r="F1016" s="132">
        <v>15481.535442223387</v>
      </c>
      <c r="G1016" s="129"/>
      <c r="H1016" s="52"/>
      <c r="I1016" s="132">
        <f>F1016</f>
        <v>15481.535442223387</v>
      </c>
      <c r="J1016" s="129"/>
      <c r="K1016" s="52"/>
      <c r="L1016" s="132">
        <f>F1016</f>
        <v>15481.535442223387</v>
      </c>
      <c r="N1016" s="156"/>
      <c r="O1016" s="156"/>
      <c r="P1016" s="154"/>
      <c r="Q1016" s="105"/>
      <c r="R1016" s="105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</row>
    <row r="1017" spans="1:35" ht="16.5" thickBot="1">
      <c r="A1017" s="141" t="s">
        <v>198</v>
      </c>
      <c r="B1017" s="141"/>
      <c r="C1017" s="278">
        <f>C1015+C1016</f>
        <v>3816307.0410160003</v>
      </c>
      <c r="D1017" s="310"/>
      <c r="E1017" s="311"/>
      <c r="F1017" s="135">
        <f>F1015+F1016</f>
        <v>251282.96544222336</v>
      </c>
      <c r="G1017" s="310"/>
      <c r="H1017" s="311"/>
      <c r="I1017" s="135">
        <f>I1015+I1016</f>
        <v>263895.43544222339</v>
      </c>
      <c r="J1017" s="310"/>
      <c r="K1017" s="311"/>
      <c r="L1017" s="135">
        <f>L1015+L1016</f>
        <v>263895.43544222339</v>
      </c>
      <c r="N1017" s="157"/>
      <c r="O1017" s="157"/>
      <c r="P1017" s="158"/>
      <c r="Q1017" s="105"/>
      <c r="R1017" s="105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</row>
    <row r="1018" spans="1:35" ht="16.5" thickTop="1">
      <c r="A1018" s="141"/>
      <c r="B1018" s="141"/>
      <c r="C1018" s="271"/>
      <c r="D1018" s="317"/>
      <c r="E1018" s="231"/>
      <c r="F1018" s="184"/>
      <c r="G1018" s="317"/>
      <c r="H1018" s="231"/>
      <c r="I1018" s="184"/>
      <c r="J1018" s="317" t="s">
        <v>280</v>
      </c>
      <c r="K1018" s="231"/>
      <c r="L1018" s="184" t="s">
        <v>280</v>
      </c>
      <c r="N1018" s="52"/>
      <c r="O1018" s="52"/>
      <c r="P1018" s="105"/>
      <c r="Q1018" s="105" t="s">
        <v>280</v>
      </c>
      <c r="R1018" s="105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</row>
    <row r="1019" spans="1:35">
      <c r="A1019" s="159" t="s">
        <v>89</v>
      </c>
      <c r="B1019" s="141"/>
      <c r="C1019" s="141"/>
      <c r="D1019" s="141"/>
      <c r="E1019" s="141"/>
      <c r="F1019" s="141"/>
      <c r="G1019" s="141"/>
      <c r="H1019" s="141"/>
      <c r="I1019" s="141"/>
      <c r="J1019" s="141"/>
      <c r="K1019" s="141"/>
      <c r="L1019" s="141"/>
      <c r="N1019" s="52"/>
      <c r="O1019" s="52"/>
      <c r="P1019" s="105"/>
      <c r="Q1019" s="105"/>
      <c r="R1019" s="105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</row>
    <row r="1020" spans="1:35">
      <c r="A1020" s="141" t="s">
        <v>90</v>
      </c>
      <c r="B1020" s="141"/>
      <c r="C1020" s="141"/>
      <c r="D1020" s="141"/>
      <c r="E1020" s="141"/>
      <c r="F1020" s="141"/>
      <c r="G1020" s="141"/>
      <c r="H1020" s="141"/>
      <c r="I1020" s="141"/>
      <c r="J1020" s="141"/>
      <c r="K1020" s="141"/>
      <c r="L1020" s="141"/>
      <c r="N1020" s="52"/>
      <c r="O1020" s="52"/>
      <c r="P1020" s="105"/>
      <c r="Q1020" s="105"/>
      <c r="R1020" s="105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</row>
    <row r="1021" spans="1:35">
      <c r="A1021" s="141"/>
      <c r="B1021" s="141"/>
      <c r="C1021" s="141"/>
      <c r="D1021" s="274"/>
      <c r="E1021" s="141"/>
      <c r="F1021" s="141"/>
      <c r="G1021" s="274"/>
      <c r="H1021" s="141"/>
      <c r="I1021" s="141"/>
      <c r="J1021" s="274"/>
      <c r="K1021" s="141"/>
      <c r="L1021" s="141"/>
      <c r="N1021" s="52"/>
      <c r="O1021" s="52"/>
      <c r="P1021" s="105"/>
      <c r="Q1021" s="105"/>
      <c r="R1021" s="105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</row>
    <row r="1022" spans="1:35">
      <c r="A1022" s="141" t="s">
        <v>69</v>
      </c>
      <c r="B1022" s="141"/>
      <c r="C1022" s="160"/>
      <c r="D1022" s="164"/>
      <c r="E1022" s="141"/>
      <c r="F1022" s="123">
        <v>0</v>
      </c>
      <c r="G1022" s="164"/>
      <c r="H1022" s="141"/>
      <c r="I1022" s="123">
        <v>0</v>
      </c>
      <c r="J1022" s="164"/>
      <c r="K1022" s="141"/>
      <c r="L1022" s="123">
        <f>F1022</f>
        <v>0</v>
      </c>
      <c r="N1022" s="52"/>
      <c r="O1022" s="52"/>
      <c r="P1022" s="105"/>
      <c r="Q1022" s="105"/>
      <c r="R1022" s="105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</row>
    <row r="1023" spans="1:35">
      <c r="A1023" s="141" t="s">
        <v>91</v>
      </c>
      <c r="B1023" s="141"/>
      <c r="C1023" s="121">
        <v>0</v>
      </c>
      <c r="D1023" s="307">
        <v>6.4820000000000002</v>
      </c>
      <c r="E1023" s="141" t="s">
        <v>210</v>
      </c>
      <c r="F1023" s="308">
        <f>ROUND(C1023*D1023/100,0)</f>
        <v>0</v>
      </c>
      <c r="G1023" s="307">
        <f>G1012</f>
        <v>6.8330000000000002</v>
      </c>
      <c r="H1023" s="141" t="s">
        <v>210</v>
      </c>
      <c r="I1023" s="308">
        <f>ROUND(G1023*C1023/100,0)</f>
        <v>0</v>
      </c>
      <c r="J1023" s="273">
        <f>J1012</f>
        <v>6.8330000000000002</v>
      </c>
      <c r="K1023" s="141" t="s">
        <v>210</v>
      </c>
      <c r="L1023" s="123">
        <f>ROUND(C1023*J1023/100,0)</f>
        <v>0</v>
      </c>
      <c r="N1023" s="52"/>
      <c r="O1023" s="52"/>
      <c r="P1023" s="105"/>
      <c r="Q1023" s="105"/>
      <c r="R1023" s="105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</row>
    <row r="1024" spans="1:35">
      <c r="A1024" s="141" t="s">
        <v>92</v>
      </c>
      <c r="B1024" s="141"/>
      <c r="C1024" s="121">
        <f>1165947</f>
        <v>1165947</v>
      </c>
      <c r="D1024" s="315">
        <v>6.4820000000000002</v>
      </c>
      <c r="E1024" s="141" t="s">
        <v>210</v>
      </c>
      <c r="F1024" s="308">
        <f>ROUND(C1024*D1024/100,0)</f>
        <v>75577</v>
      </c>
      <c r="G1024" s="315">
        <f>G1023</f>
        <v>6.8330000000000002</v>
      </c>
      <c r="H1024" s="141" t="s">
        <v>210</v>
      </c>
      <c r="I1024" s="308">
        <f>ROUND(G1024*C1024/100,0)</f>
        <v>79669</v>
      </c>
      <c r="J1024" s="316">
        <f>J1023</f>
        <v>6.8330000000000002</v>
      </c>
      <c r="K1024" s="141" t="s">
        <v>210</v>
      </c>
      <c r="L1024" s="123">
        <f>ROUND(J1024*$C1024/100,0)</f>
        <v>79669</v>
      </c>
      <c r="N1024" s="52"/>
      <c r="O1024" s="52"/>
      <c r="P1024" s="105"/>
      <c r="Q1024" s="105"/>
      <c r="R1024" s="105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</row>
    <row r="1025" spans="1:35">
      <c r="A1025" s="141" t="s">
        <v>376</v>
      </c>
      <c r="B1025" s="141"/>
      <c r="C1025" s="121">
        <f>1106</f>
        <v>1106</v>
      </c>
      <c r="D1025" s="309"/>
      <c r="E1025" s="141"/>
      <c r="F1025" s="123"/>
      <c r="G1025" s="309"/>
      <c r="H1025" s="141"/>
      <c r="I1025" s="123"/>
      <c r="J1025" s="309"/>
      <c r="K1025" s="141"/>
      <c r="L1025" s="123"/>
      <c r="N1025" s="52"/>
      <c r="O1025" s="52"/>
      <c r="P1025" s="105"/>
      <c r="Q1025" s="105"/>
      <c r="R1025" s="105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</row>
    <row r="1026" spans="1:35">
      <c r="A1026" s="104" t="s">
        <v>203</v>
      </c>
      <c r="C1026" s="121">
        <f>C1023+C1024</f>
        <v>1165947</v>
      </c>
      <c r="D1026" s="129"/>
      <c r="E1026" s="52"/>
      <c r="F1026" s="132">
        <f>SUM(F1022:F1024)</f>
        <v>75577</v>
      </c>
      <c r="G1026" s="129"/>
      <c r="H1026" s="52"/>
      <c r="I1026" s="132">
        <f>SUM(I1022:I1024)</f>
        <v>79669</v>
      </c>
      <c r="J1026" s="129"/>
      <c r="K1026" s="52"/>
      <c r="L1026" s="132">
        <f>SUM(L1022:L1024)</f>
        <v>79669</v>
      </c>
      <c r="N1026" s="52"/>
      <c r="O1026" s="52"/>
      <c r="P1026" s="105"/>
      <c r="Q1026" s="105"/>
      <c r="R1026" s="105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</row>
    <row r="1027" spans="1:35">
      <c r="A1027" s="104" t="s">
        <v>204</v>
      </c>
      <c r="C1027" s="121">
        <v>72758.010971289055</v>
      </c>
      <c r="D1027" s="129"/>
      <c r="E1027" s="52"/>
      <c r="F1027" s="132">
        <v>4958.4399429283212</v>
      </c>
      <c r="G1027" s="129"/>
      <c r="H1027" s="52"/>
      <c r="I1027" s="132">
        <f>F1027</f>
        <v>4958.4399429283212</v>
      </c>
      <c r="J1027" s="129"/>
      <c r="K1027" s="52"/>
      <c r="L1027" s="132">
        <f>F1027</f>
        <v>4958.4399429283212</v>
      </c>
      <c r="N1027" s="156"/>
      <c r="O1027" s="156"/>
      <c r="P1027" s="154"/>
      <c r="Q1027" s="105"/>
      <c r="R1027" s="105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</row>
    <row r="1028" spans="1:35" ht="16.5" thickBot="1">
      <c r="A1028" s="141" t="s">
        <v>198</v>
      </c>
      <c r="B1028" s="141"/>
      <c r="C1028" s="278">
        <f>C1026+C1027</f>
        <v>1238705.0109712891</v>
      </c>
      <c r="D1028" s="310"/>
      <c r="E1028" s="311"/>
      <c r="F1028" s="135">
        <f>F1026+F1027</f>
        <v>80535.439942928322</v>
      </c>
      <c r="G1028" s="310"/>
      <c r="H1028" s="311"/>
      <c r="I1028" s="135">
        <f>I1026+I1027</f>
        <v>84627.439942928322</v>
      </c>
      <c r="J1028" s="310"/>
      <c r="K1028" s="311"/>
      <c r="L1028" s="135">
        <f>L1026+L1027</f>
        <v>84627.439942928322</v>
      </c>
      <c r="N1028" s="157"/>
      <c r="O1028" s="157"/>
      <c r="P1028" s="158"/>
      <c r="Q1028" s="105"/>
      <c r="R1028" s="105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</row>
    <row r="1029" spans="1:35" ht="16.5" thickTop="1">
      <c r="A1029" s="141"/>
      <c r="B1029" s="141"/>
      <c r="C1029" s="271"/>
      <c r="D1029" s="317"/>
      <c r="E1029" s="231"/>
      <c r="F1029" s="184"/>
      <c r="G1029" s="317"/>
      <c r="H1029" s="231"/>
      <c r="I1029" s="184"/>
      <c r="J1029" s="317" t="s">
        <v>280</v>
      </c>
      <c r="K1029" s="231"/>
      <c r="L1029" s="184" t="s">
        <v>280</v>
      </c>
      <c r="N1029" s="52"/>
      <c r="O1029" s="52"/>
      <c r="P1029" s="105"/>
      <c r="Q1029" s="105"/>
      <c r="R1029" s="105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</row>
    <row r="1030" spans="1:35">
      <c r="A1030" s="159" t="s">
        <v>93</v>
      </c>
      <c r="B1030" s="141"/>
      <c r="C1030" s="141"/>
      <c r="D1030" s="141"/>
      <c r="E1030" s="141"/>
      <c r="F1030" s="141"/>
      <c r="G1030" s="141"/>
      <c r="H1030" s="141"/>
      <c r="I1030" s="141"/>
      <c r="J1030" s="141"/>
      <c r="K1030" s="141"/>
      <c r="L1030" s="141" t="s">
        <v>280</v>
      </c>
      <c r="N1030" s="52"/>
      <c r="O1030" s="52"/>
      <c r="P1030" s="105"/>
      <c r="Q1030" s="105"/>
      <c r="R1030" s="105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</row>
    <row r="1031" spans="1:35">
      <c r="A1031" s="141" t="s">
        <v>345</v>
      </c>
      <c r="B1031" s="141"/>
      <c r="C1031" s="141"/>
      <c r="D1031" s="141"/>
      <c r="E1031" s="141"/>
      <c r="F1031" s="141"/>
      <c r="G1031" s="141"/>
      <c r="H1031" s="141"/>
      <c r="I1031" s="141"/>
      <c r="J1031" s="141"/>
      <c r="K1031" s="141"/>
      <c r="L1031" s="141"/>
      <c r="N1031" s="52"/>
      <c r="O1031" s="52"/>
      <c r="P1031" s="105"/>
      <c r="Q1031" s="105"/>
      <c r="R1031" s="105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</row>
    <row r="1032" spans="1:35">
      <c r="A1032" s="141"/>
      <c r="B1032" s="141"/>
      <c r="C1032" s="141"/>
      <c r="D1032" s="141"/>
      <c r="E1032" s="141"/>
      <c r="F1032" s="141"/>
      <c r="G1032" s="141"/>
      <c r="H1032" s="141"/>
      <c r="I1032" s="141"/>
      <c r="J1032" s="141"/>
      <c r="K1032" s="141"/>
      <c r="L1032" s="141"/>
      <c r="N1032" s="52"/>
      <c r="O1032" s="52"/>
      <c r="P1032" s="105"/>
      <c r="Q1032" s="105"/>
      <c r="R1032" s="105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</row>
    <row r="1033" spans="1:35">
      <c r="A1033" s="141" t="s">
        <v>94</v>
      </c>
      <c r="B1033" s="141"/>
      <c r="C1033" s="160">
        <v>188</v>
      </c>
      <c r="D1033" s="164">
        <v>3.5</v>
      </c>
      <c r="E1033" s="141"/>
      <c r="F1033" s="123">
        <f>ROUND(D1033*C1033,0)</f>
        <v>658</v>
      </c>
      <c r="G1033" s="164">
        <v>3.75</v>
      </c>
      <c r="H1033" s="141"/>
      <c r="I1033" s="123">
        <f>ROUND(C1033*G1033,0)</f>
        <v>705</v>
      </c>
      <c r="J1033" s="164">
        <v>3.75</v>
      </c>
      <c r="K1033" s="141"/>
      <c r="L1033" s="123">
        <f>ROUND(J1033*$C1033,0)</f>
        <v>705</v>
      </c>
      <c r="N1033" s="124" t="e">
        <f>J1033*#REF!</f>
        <v>#REF!</v>
      </c>
      <c r="O1033" s="52"/>
      <c r="P1033" s="319"/>
      <c r="Q1033" s="319"/>
      <c r="R1033" s="319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</row>
    <row r="1034" spans="1:35">
      <c r="A1034" s="141" t="s">
        <v>95</v>
      </c>
      <c r="B1034" s="141"/>
      <c r="C1034" s="160">
        <v>156</v>
      </c>
      <c r="D1034" s="164">
        <v>6.5</v>
      </c>
      <c r="E1034" s="141"/>
      <c r="F1034" s="123">
        <f>ROUND(D1034*C1034,0)</f>
        <v>1014</v>
      </c>
      <c r="G1034" s="164">
        <v>6.75</v>
      </c>
      <c r="H1034" s="141"/>
      <c r="I1034" s="123">
        <f>ROUND(C1034*G1034,0)</f>
        <v>1053</v>
      </c>
      <c r="J1034" s="164">
        <v>6.75</v>
      </c>
      <c r="K1034" s="141"/>
      <c r="L1034" s="123">
        <f>ROUND(J1034*$C1034,0)</f>
        <v>1053</v>
      </c>
      <c r="N1034" s="124" t="e">
        <f>J1034*#REF!</f>
        <v>#REF!</v>
      </c>
      <c r="O1034" s="52"/>
      <c r="P1034" s="319"/>
      <c r="Q1034" s="319"/>
      <c r="R1034" s="319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</row>
    <row r="1035" spans="1:35">
      <c r="A1035" s="141" t="s">
        <v>96</v>
      </c>
      <c r="B1035" s="141"/>
      <c r="C1035" s="160">
        <f>SUM(C1033:C1034)</f>
        <v>344</v>
      </c>
      <c r="D1035" s="172"/>
      <c r="E1035" s="141"/>
      <c r="F1035" s="308"/>
      <c r="G1035" s="172"/>
      <c r="H1035" s="141"/>
      <c r="I1035" s="308"/>
      <c r="J1035" s="172"/>
      <c r="K1035" s="141"/>
      <c r="L1035" s="123"/>
      <c r="N1035" s="52"/>
      <c r="O1035" s="52"/>
      <c r="P1035" s="319"/>
      <c r="Q1035" s="319"/>
      <c r="R1035" s="319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</row>
    <row r="1036" spans="1:35">
      <c r="A1036" s="141" t="s">
        <v>151</v>
      </c>
      <c r="B1036" s="141"/>
      <c r="C1036" s="160">
        <f>112427+164073</f>
        <v>276500</v>
      </c>
      <c r="D1036" s="245">
        <v>7.7190000000000003</v>
      </c>
      <c r="E1036" s="141" t="s">
        <v>210</v>
      </c>
      <c r="F1036" s="308">
        <f>ROUND(C1036*D1036/100,0)</f>
        <v>21343</v>
      </c>
      <c r="G1036" s="245">
        <v>8.1110000000000007</v>
      </c>
      <c r="H1036" s="123" t="s">
        <v>210</v>
      </c>
      <c r="I1036" s="308">
        <f>ROUND(G1036*C1036/100,0)</f>
        <v>22427</v>
      </c>
      <c r="J1036" s="245">
        <v>8.1110000000000007</v>
      </c>
      <c r="K1036" s="123" t="s">
        <v>210</v>
      </c>
      <c r="L1036" s="123">
        <f>ROUND(J1036*$C1036/100,0)</f>
        <v>22427</v>
      </c>
      <c r="N1036" s="124" t="e">
        <f>(J1036/100)*#REF!</f>
        <v>#REF!</v>
      </c>
      <c r="O1036" s="52"/>
      <c r="P1036" s="319"/>
      <c r="Q1036" s="319"/>
      <c r="R1036" s="319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</row>
    <row r="1037" spans="1:35">
      <c r="A1037" s="141" t="s">
        <v>215</v>
      </c>
      <c r="B1037" s="141"/>
      <c r="C1037" s="190">
        <f>SUM(C1036)</f>
        <v>276500</v>
      </c>
      <c r="D1037" s="160"/>
      <c r="E1037" s="160"/>
      <c r="F1037" s="308">
        <f>SUM(F1033:F1036)</f>
        <v>23015</v>
      </c>
      <c r="G1037" s="160"/>
      <c r="H1037" s="123"/>
      <c r="I1037" s="308">
        <f>SUM(I1033:I1036)</f>
        <v>24185</v>
      </c>
      <c r="J1037" s="160"/>
      <c r="K1037" s="123"/>
      <c r="L1037" s="308">
        <f>SUM(L1033:L1036)</f>
        <v>24185</v>
      </c>
      <c r="N1037" s="224" t="e">
        <f>SUM(N1033:N1036)</f>
        <v>#REF!</v>
      </c>
      <c r="O1037" s="52"/>
      <c r="P1037" s="105"/>
      <c r="Q1037" s="105"/>
      <c r="R1037" s="105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</row>
    <row r="1038" spans="1:35">
      <c r="A1038" s="141" t="s">
        <v>197</v>
      </c>
      <c r="B1038" s="141"/>
      <c r="C1038" s="227">
        <v>-3559.784798438754</v>
      </c>
      <c r="D1038" s="320"/>
      <c r="E1038" s="320"/>
      <c r="F1038" s="321">
        <v>-228.61986342763595</v>
      </c>
      <c r="G1038" s="320"/>
      <c r="H1038" s="320"/>
      <c r="I1038" s="321">
        <f>F1038</f>
        <v>-228.61986342763595</v>
      </c>
      <c r="J1038" s="320"/>
      <c r="K1038" s="320"/>
      <c r="L1038" s="321">
        <f>F1038</f>
        <v>-228.61986342763595</v>
      </c>
      <c r="N1038" s="212"/>
      <c r="O1038" s="212"/>
      <c r="P1038" s="253"/>
      <c r="Q1038" s="105"/>
      <c r="R1038" s="105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</row>
    <row r="1039" spans="1:35" ht="16.5" thickBot="1">
      <c r="A1039" s="141" t="s">
        <v>216</v>
      </c>
      <c r="B1039" s="141"/>
      <c r="C1039" s="241">
        <f>C1037+C1038</f>
        <v>272940.21520156122</v>
      </c>
      <c r="D1039" s="216"/>
      <c r="E1039" s="216"/>
      <c r="F1039" s="178">
        <f>F1037+F1038</f>
        <v>22786.380136572363</v>
      </c>
      <c r="G1039" s="216"/>
      <c r="H1039" s="216"/>
      <c r="I1039" s="178">
        <f>I1037+I1038</f>
        <v>23956.380136572363</v>
      </c>
      <c r="J1039" s="216"/>
      <c r="K1039" s="216"/>
      <c r="L1039" s="178">
        <f>L1037+L1038</f>
        <v>23956.380136572363</v>
      </c>
      <c r="N1039" s="218"/>
      <c r="O1039" s="303" t="s">
        <v>241</v>
      </c>
      <c r="P1039" s="312">
        <v>23956.380136572363</v>
      </c>
      <c r="Q1039" s="105"/>
      <c r="R1039" s="105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</row>
    <row r="1040" spans="1:35" ht="16.5" thickTop="1">
      <c r="A1040" s="141"/>
      <c r="B1040" s="179"/>
      <c r="C1040" s="141"/>
      <c r="D1040" s="141"/>
      <c r="E1040" s="141"/>
      <c r="F1040" s="141"/>
      <c r="G1040" s="141"/>
      <c r="H1040" s="141"/>
      <c r="I1040" s="141"/>
      <c r="J1040" s="141" t="s">
        <v>280</v>
      </c>
      <c r="K1040" s="141"/>
      <c r="L1040" s="123" t="s">
        <v>280</v>
      </c>
      <c r="N1040" s="52"/>
      <c r="O1040" s="306" t="s">
        <v>200</v>
      </c>
      <c r="P1040" s="314">
        <f>P1039-L1039</f>
        <v>0</v>
      </c>
      <c r="Q1040" s="145" t="s">
        <v>280</v>
      </c>
      <c r="R1040" s="145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</row>
    <row r="1041" spans="1:35">
      <c r="A1041" s="119" t="s">
        <v>97</v>
      </c>
      <c r="B1041" s="169"/>
      <c r="C1041" s="169"/>
      <c r="D1041" s="169"/>
      <c r="E1041" s="169"/>
      <c r="F1041" s="169"/>
      <c r="G1041" s="169"/>
      <c r="H1041" s="169"/>
      <c r="I1041" s="169"/>
      <c r="J1041" s="169"/>
      <c r="K1041" s="169"/>
      <c r="L1041" s="169"/>
      <c r="N1041" s="52"/>
      <c r="O1041" s="52"/>
      <c r="P1041" s="105"/>
      <c r="Q1041" s="105"/>
      <c r="R1041" s="105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</row>
    <row r="1042" spans="1:35">
      <c r="A1042" s="169" t="s">
        <v>98</v>
      </c>
      <c r="B1042" s="169"/>
      <c r="C1042" s="169"/>
      <c r="D1042" s="169"/>
      <c r="E1042" s="169"/>
      <c r="F1042" s="169"/>
      <c r="G1042" s="169"/>
      <c r="H1042" s="169"/>
      <c r="I1042" s="169"/>
      <c r="J1042" s="169"/>
      <c r="K1042" s="169"/>
      <c r="L1042" s="169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52"/>
      <c r="AF1042" s="52"/>
      <c r="AG1042" s="52"/>
      <c r="AH1042" s="52"/>
      <c r="AI1042" s="52"/>
    </row>
    <row r="1043" spans="1:35">
      <c r="A1043" s="322" t="s">
        <v>99</v>
      </c>
      <c r="B1043" s="169"/>
      <c r="C1043" s="169"/>
      <c r="D1043" s="169"/>
      <c r="E1043" s="169"/>
      <c r="F1043" s="169"/>
      <c r="G1043" s="169"/>
      <c r="H1043" s="169"/>
      <c r="I1043" s="169"/>
      <c r="J1043" s="169"/>
      <c r="K1043" s="169"/>
      <c r="L1043" s="169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52"/>
      <c r="AF1043" s="52"/>
      <c r="AG1043" s="52"/>
      <c r="AH1043" s="52"/>
      <c r="AI1043" s="52"/>
    </row>
    <row r="1044" spans="1:35">
      <c r="A1044" s="104" t="s">
        <v>100</v>
      </c>
      <c r="F1044" s="120"/>
      <c r="I1044" s="120"/>
      <c r="N1044" s="146"/>
      <c r="O1044" s="146"/>
      <c r="P1044" s="146"/>
      <c r="Q1044" s="105"/>
      <c r="R1044" s="105"/>
      <c r="S1044" s="147"/>
      <c r="T1044" s="147"/>
      <c r="U1044" s="148"/>
      <c r="V1044" s="148"/>
      <c r="W1044" s="148"/>
      <c r="X1044" s="148"/>
      <c r="Y1044" s="323"/>
      <c r="Z1044" s="150"/>
      <c r="AA1044" s="146"/>
      <c r="AB1044" s="146"/>
      <c r="AC1044" s="146"/>
      <c r="AD1044" s="146"/>
      <c r="AE1044" s="52"/>
      <c r="AF1044" s="52"/>
      <c r="AG1044" s="52"/>
      <c r="AH1044" s="52"/>
      <c r="AI1044" s="52"/>
    </row>
    <row r="1045" spans="1:35">
      <c r="A1045" s="104" t="s">
        <v>368</v>
      </c>
      <c r="C1045" s="121">
        <f>11378</f>
        <v>11378</v>
      </c>
      <c r="D1045" s="122">
        <v>9.25</v>
      </c>
      <c r="F1045" s="123">
        <f>ROUND(D1045*$C1045,0)</f>
        <v>105247</v>
      </c>
      <c r="G1045" s="122">
        <v>9.75</v>
      </c>
      <c r="I1045" s="123">
        <f>ROUND(C1045*G1045,0)</f>
        <v>110936</v>
      </c>
      <c r="J1045" s="122">
        <f>G1045+(G1045*$Q$1076)</f>
        <v>9.75</v>
      </c>
      <c r="L1045" s="123">
        <f>ROUND(J1045*$C1045,0)</f>
        <v>110936</v>
      </c>
      <c r="N1045" s="124" t="e">
        <f>J1045*#REF!</f>
        <v>#REF!</v>
      </c>
      <c r="O1045" s="52"/>
      <c r="P1045" s="149"/>
      <c r="Q1045" s="105"/>
      <c r="R1045" s="105"/>
      <c r="S1045" s="301"/>
      <c r="T1045" s="301"/>
      <c r="U1045" s="151"/>
      <c r="V1045" s="151"/>
      <c r="W1045" s="151"/>
      <c r="X1045" s="151"/>
      <c r="Y1045" s="152"/>
      <c r="Z1045" s="146"/>
      <c r="AA1045" s="149"/>
      <c r="AB1045" s="149"/>
      <c r="AC1045" s="324"/>
      <c r="AD1045" s="149"/>
      <c r="AE1045" s="52"/>
      <c r="AF1045" s="52"/>
      <c r="AG1045" s="52"/>
      <c r="AH1045" s="52"/>
      <c r="AI1045" s="52"/>
    </row>
    <row r="1046" spans="1:35">
      <c r="A1046" s="104" t="s">
        <v>369</v>
      </c>
      <c r="C1046" s="121">
        <f>1491</f>
        <v>1491</v>
      </c>
      <c r="D1046" s="122">
        <v>16.940000000000001</v>
      </c>
      <c r="F1046" s="123">
        <f>ROUND(D1046*$C1046,0)</f>
        <v>25258</v>
      </c>
      <c r="G1046" s="122">
        <v>17.850000000000001</v>
      </c>
      <c r="I1046" s="123">
        <f t="shared" ref="I1046:I1050" si="146">ROUND(C1046*G1046,0)</f>
        <v>26614</v>
      </c>
      <c r="J1046" s="122">
        <f t="shared" ref="J1046:J1050" si="147">G1046+(G1046*$Q$1076)</f>
        <v>17.850000000000001</v>
      </c>
      <c r="L1046" s="123">
        <f>ROUND(J1046*$C1046,0)</f>
        <v>26614</v>
      </c>
      <c r="N1046" s="124" t="e">
        <f>J1046*#REF!</f>
        <v>#REF!</v>
      </c>
      <c r="O1046" s="52"/>
      <c r="P1046" s="149"/>
      <c r="Q1046" s="105"/>
      <c r="R1046" s="105"/>
      <c r="S1046" s="301"/>
      <c r="T1046" s="301"/>
      <c r="U1046" s="151"/>
      <c r="V1046" s="151"/>
      <c r="W1046" s="151"/>
      <c r="X1046" s="151"/>
      <c r="Y1046" s="146"/>
      <c r="Z1046" s="146"/>
      <c r="AA1046" s="149"/>
      <c r="AB1046" s="149"/>
      <c r="AC1046" s="324"/>
      <c r="AD1046" s="149"/>
      <c r="AE1046" s="52"/>
      <c r="AF1046" s="52"/>
      <c r="AG1046" s="52"/>
      <c r="AH1046" s="52"/>
      <c r="AI1046" s="52"/>
    </row>
    <row r="1047" spans="1:35">
      <c r="A1047" s="104" t="s">
        <v>370</v>
      </c>
      <c r="C1047" s="121">
        <v>0</v>
      </c>
      <c r="D1047" s="122">
        <v>34.25</v>
      </c>
      <c r="F1047" s="123">
        <f>ROUND(D1047*$C1047,0)</f>
        <v>0</v>
      </c>
      <c r="G1047" s="122">
        <v>36.1</v>
      </c>
      <c r="I1047" s="123">
        <f t="shared" si="146"/>
        <v>0</v>
      </c>
      <c r="J1047" s="122">
        <f t="shared" si="147"/>
        <v>36.1</v>
      </c>
      <c r="L1047" s="123">
        <f>ROUND(J1047*$C1047,0)</f>
        <v>0</v>
      </c>
      <c r="N1047" s="124" t="e">
        <f>J1047*#REF!</f>
        <v>#REF!</v>
      </c>
      <c r="O1047" s="52"/>
      <c r="P1047" s="149"/>
      <c r="Q1047" s="105"/>
      <c r="R1047" s="105"/>
      <c r="S1047" s="301"/>
      <c r="T1047" s="301"/>
      <c r="U1047" s="151"/>
      <c r="V1047" s="151"/>
      <c r="W1047" s="151"/>
      <c r="X1047" s="151"/>
      <c r="Y1047" s="146"/>
      <c r="Z1047" s="146"/>
      <c r="AA1047" s="149"/>
      <c r="AB1047" s="149"/>
      <c r="AC1047" s="324"/>
      <c r="AD1047" s="149"/>
      <c r="AE1047" s="52"/>
      <c r="AF1047" s="52"/>
      <c r="AG1047" s="52"/>
      <c r="AH1047" s="52"/>
      <c r="AI1047" s="52"/>
    </row>
    <row r="1048" spans="1:35">
      <c r="A1048" s="104" t="s">
        <v>101</v>
      </c>
      <c r="C1048" s="121"/>
      <c r="D1048" s="128"/>
      <c r="F1048" s="120"/>
      <c r="G1048" s="128"/>
      <c r="I1048" s="120"/>
      <c r="J1048" s="128"/>
      <c r="O1048" s="52"/>
      <c r="P1048" s="149"/>
      <c r="Q1048" s="105"/>
      <c r="R1048" s="105"/>
      <c r="S1048" s="52"/>
      <c r="T1048" s="52"/>
      <c r="U1048" s="154"/>
      <c r="V1048" s="154"/>
      <c r="W1048" s="154"/>
      <c r="X1048" s="154"/>
      <c r="Y1048" s="146"/>
      <c r="Z1048" s="146"/>
      <c r="AA1048" s="149"/>
      <c r="AB1048" s="149"/>
      <c r="AC1048" s="324"/>
      <c r="AD1048" s="149"/>
      <c r="AE1048" s="52"/>
      <c r="AF1048" s="52"/>
      <c r="AG1048" s="52"/>
      <c r="AH1048" s="52"/>
      <c r="AI1048" s="52"/>
    </row>
    <row r="1049" spans="1:35">
      <c r="A1049" s="104" t="s">
        <v>368</v>
      </c>
      <c r="C1049" s="121">
        <f>4848</f>
        <v>4848</v>
      </c>
      <c r="D1049" s="122">
        <v>8.68</v>
      </c>
      <c r="F1049" s="123">
        <f>ROUND(D1049*$C1049,0)</f>
        <v>42081</v>
      </c>
      <c r="G1049" s="122">
        <v>9.15</v>
      </c>
      <c r="I1049" s="123">
        <f t="shared" si="146"/>
        <v>44359</v>
      </c>
      <c r="J1049" s="122">
        <f t="shared" si="147"/>
        <v>9.15</v>
      </c>
      <c r="L1049" s="123">
        <f>ROUND(J1049*$C1049,0)</f>
        <v>44359</v>
      </c>
      <c r="N1049" s="124" t="e">
        <f>J1049*#REF!</f>
        <v>#REF!</v>
      </c>
      <c r="O1049" s="52"/>
      <c r="P1049" s="149"/>
      <c r="Q1049" s="105"/>
      <c r="R1049" s="105"/>
      <c r="S1049" s="301"/>
      <c r="T1049" s="301"/>
      <c r="U1049" s="151"/>
      <c r="V1049" s="151"/>
      <c r="W1049" s="151"/>
      <c r="X1049" s="151"/>
      <c r="Y1049" s="52"/>
      <c r="Z1049" s="52"/>
      <c r="AA1049" s="149"/>
      <c r="AB1049" s="149"/>
      <c r="AC1049" s="324"/>
      <c r="AD1049" s="149"/>
      <c r="AE1049" s="52"/>
      <c r="AF1049" s="52"/>
      <c r="AG1049" s="52"/>
      <c r="AH1049" s="52"/>
      <c r="AI1049" s="52"/>
    </row>
    <row r="1050" spans="1:35">
      <c r="A1050" s="104" t="s">
        <v>369</v>
      </c>
      <c r="C1050" s="121">
        <v>0</v>
      </c>
      <c r="D1050" s="122">
        <v>15.8</v>
      </c>
      <c r="F1050" s="123">
        <f>ROUND(D1050*$C1050,0)</f>
        <v>0</v>
      </c>
      <c r="G1050" s="122">
        <v>16.649999999999999</v>
      </c>
      <c r="I1050" s="123">
        <f t="shared" si="146"/>
        <v>0</v>
      </c>
      <c r="J1050" s="122">
        <f t="shared" si="147"/>
        <v>16.649999999999999</v>
      </c>
      <c r="L1050" s="123">
        <f>ROUND(J1050*$C1050,0)</f>
        <v>0</v>
      </c>
      <c r="N1050" s="124" t="e">
        <f>J1050*#REF!</f>
        <v>#REF!</v>
      </c>
      <c r="O1050" s="52"/>
      <c r="P1050" s="149"/>
      <c r="Q1050" s="105"/>
      <c r="R1050" s="105"/>
      <c r="S1050" s="301"/>
      <c r="T1050" s="301"/>
      <c r="U1050" s="151"/>
      <c r="V1050" s="151"/>
      <c r="W1050" s="151"/>
      <c r="X1050" s="151"/>
      <c r="Y1050" s="52"/>
      <c r="Z1050" s="52"/>
      <c r="AA1050" s="149"/>
      <c r="AB1050" s="149"/>
      <c r="AC1050" s="324"/>
      <c r="AD1050" s="149"/>
      <c r="AE1050" s="52"/>
      <c r="AF1050" s="52"/>
      <c r="AG1050" s="52"/>
      <c r="AH1050" s="52"/>
      <c r="AI1050" s="52"/>
    </row>
    <row r="1051" spans="1:35">
      <c r="A1051" s="322" t="s">
        <v>102</v>
      </c>
      <c r="C1051" s="121"/>
      <c r="D1051" s="122"/>
      <c r="F1051" s="123"/>
      <c r="G1051" s="122"/>
      <c r="I1051" s="123"/>
      <c r="J1051" s="122"/>
      <c r="L1051" s="123"/>
      <c r="O1051" s="52"/>
      <c r="P1051" s="149"/>
      <c r="Q1051" s="105"/>
      <c r="R1051" s="105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324"/>
      <c r="AD1051" s="52"/>
      <c r="AE1051" s="52"/>
      <c r="AF1051" s="52"/>
      <c r="AG1051" s="52"/>
      <c r="AH1051" s="52"/>
      <c r="AI1051" s="52"/>
    </row>
    <row r="1052" spans="1:35">
      <c r="A1052" s="104" t="s">
        <v>100</v>
      </c>
      <c r="C1052" s="121"/>
      <c r="D1052" s="128"/>
      <c r="F1052" s="120"/>
      <c r="G1052" s="128"/>
      <c r="I1052" s="120"/>
      <c r="J1052" s="128"/>
      <c r="O1052" s="52"/>
      <c r="P1052" s="105"/>
      <c r="Q1052" s="105"/>
      <c r="R1052" s="105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324"/>
      <c r="AD1052" s="52"/>
      <c r="AE1052" s="52"/>
      <c r="AF1052" s="52"/>
      <c r="AG1052" s="52"/>
      <c r="AH1052" s="52"/>
      <c r="AI1052" s="52"/>
    </row>
    <row r="1053" spans="1:35">
      <c r="A1053" s="104" t="s">
        <v>368</v>
      </c>
      <c r="C1053" s="121">
        <f>498</f>
        <v>498</v>
      </c>
      <c r="D1053" s="122">
        <v>12.09</v>
      </c>
      <c r="F1053" s="123">
        <f>ROUND(D1053*$C1053,0)</f>
        <v>6021</v>
      </c>
      <c r="G1053" s="122">
        <v>12.74</v>
      </c>
      <c r="I1053" s="123">
        <f t="shared" ref="I1053:I1055" si="148">ROUND(C1053*G1053,0)</f>
        <v>6345</v>
      </c>
      <c r="J1053" s="122">
        <f t="shared" ref="J1053:J1055" si="149">G1053+(G1053*$Q$1076)</f>
        <v>12.74</v>
      </c>
      <c r="L1053" s="123">
        <f>ROUND(J1053*$C1053,0)</f>
        <v>6345</v>
      </c>
      <c r="N1053" s="124" t="e">
        <f>J1053*#REF!</f>
        <v>#REF!</v>
      </c>
      <c r="O1053" s="52"/>
      <c r="P1053" s="149"/>
      <c r="Q1053" s="105"/>
      <c r="R1053" s="105"/>
      <c r="S1053" s="301"/>
      <c r="T1053" s="301"/>
      <c r="U1053" s="151"/>
      <c r="V1053" s="151"/>
      <c r="W1053" s="151"/>
      <c r="X1053" s="151"/>
      <c r="Y1053" s="52"/>
      <c r="Z1053" s="52"/>
      <c r="AA1053" s="149"/>
      <c r="AB1053" s="149"/>
      <c r="AC1053" s="324"/>
      <c r="AD1053" s="149"/>
      <c r="AE1053" s="52"/>
      <c r="AF1053" s="52"/>
      <c r="AG1053" s="52"/>
      <c r="AH1053" s="52"/>
      <c r="AI1053" s="52"/>
    </row>
    <row r="1054" spans="1:35">
      <c r="A1054" s="104" t="s">
        <v>369</v>
      </c>
      <c r="C1054" s="121">
        <f>464</f>
        <v>464</v>
      </c>
      <c r="D1054" s="122">
        <v>20.290000000000003</v>
      </c>
      <c r="F1054" s="123">
        <f>ROUND(D1054*$C1054,0)</f>
        <v>9415</v>
      </c>
      <c r="G1054" s="122">
        <v>21.39</v>
      </c>
      <c r="I1054" s="123">
        <f t="shared" si="148"/>
        <v>9925</v>
      </c>
      <c r="J1054" s="122">
        <f t="shared" si="149"/>
        <v>21.39</v>
      </c>
      <c r="L1054" s="123">
        <f>ROUND(J1054*$C1054,0)</f>
        <v>9925</v>
      </c>
      <c r="N1054" s="124" t="e">
        <f>J1054*#REF!</f>
        <v>#REF!</v>
      </c>
      <c r="O1054" s="52"/>
      <c r="P1054" s="149"/>
      <c r="Q1054" s="105"/>
      <c r="R1054" s="105"/>
      <c r="S1054" s="301"/>
      <c r="T1054" s="301"/>
      <c r="U1054" s="151"/>
      <c r="V1054" s="151"/>
      <c r="W1054" s="151"/>
      <c r="X1054" s="151"/>
      <c r="Y1054" s="325"/>
      <c r="Z1054" s="325"/>
      <c r="AA1054" s="149"/>
      <c r="AB1054" s="149"/>
      <c r="AC1054" s="324"/>
      <c r="AD1054" s="149"/>
      <c r="AE1054" s="52"/>
      <c r="AF1054" s="52"/>
      <c r="AG1054" s="52"/>
      <c r="AH1054" s="52"/>
      <c r="AI1054" s="52"/>
    </row>
    <row r="1055" spans="1:35">
      <c r="A1055" s="104" t="s">
        <v>370</v>
      </c>
      <c r="C1055" s="121">
        <v>0</v>
      </c>
      <c r="D1055" s="122">
        <v>37.64</v>
      </c>
      <c r="F1055" s="123">
        <f>ROUND(D1055*$C1055,0)</f>
        <v>0</v>
      </c>
      <c r="G1055" s="122">
        <v>39.67</v>
      </c>
      <c r="I1055" s="123">
        <f t="shared" si="148"/>
        <v>0</v>
      </c>
      <c r="J1055" s="122">
        <f t="shared" si="149"/>
        <v>39.67</v>
      </c>
      <c r="L1055" s="123">
        <f>ROUND(J1055*$C1055,0)</f>
        <v>0</v>
      </c>
      <c r="N1055" s="124" t="e">
        <f>J1055*#REF!</f>
        <v>#REF!</v>
      </c>
      <c r="O1055" s="52"/>
      <c r="P1055" s="149"/>
      <c r="Q1055" s="105"/>
      <c r="R1055" s="105"/>
      <c r="S1055" s="301"/>
      <c r="T1055" s="301"/>
      <c r="U1055" s="151"/>
      <c r="V1055" s="151"/>
      <c r="W1055" s="151"/>
      <c r="X1055" s="151"/>
      <c r="Y1055" s="325"/>
      <c r="Z1055" s="325"/>
      <c r="AA1055" s="149"/>
      <c r="AB1055" s="149"/>
      <c r="AC1055" s="324"/>
      <c r="AD1055" s="149"/>
      <c r="AE1055" s="52"/>
      <c r="AF1055" s="52"/>
      <c r="AG1055" s="52"/>
      <c r="AH1055" s="52"/>
      <c r="AI1055" s="52"/>
    </row>
    <row r="1056" spans="1:35">
      <c r="A1056" s="104" t="s">
        <v>101</v>
      </c>
      <c r="C1056" s="121"/>
      <c r="D1056" s="128"/>
      <c r="F1056" s="120"/>
      <c r="G1056" s="128"/>
      <c r="I1056" s="120"/>
      <c r="J1056" s="128"/>
      <c r="N1056" s="52"/>
      <c r="O1056" s="52"/>
      <c r="P1056" s="52"/>
      <c r="Q1056" s="326"/>
      <c r="R1056" s="326"/>
      <c r="S1056" s="326"/>
      <c r="T1056" s="326"/>
      <c r="U1056" s="327"/>
      <c r="V1056" s="327"/>
      <c r="W1056" s="327"/>
      <c r="X1056" s="327"/>
      <c r="Y1056" s="325"/>
      <c r="Z1056" s="325"/>
      <c r="AA1056" s="220"/>
      <c r="AB1056" s="52"/>
      <c r="AC1056" s="324"/>
      <c r="AD1056" s="52"/>
      <c r="AE1056" s="52"/>
      <c r="AF1056" s="52"/>
      <c r="AG1056" s="52"/>
      <c r="AH1056" s="52"/>
      <c r="AI1056" s="52"/>
    </row>
    <row r="1057" spans="1:35">
      <c r="A1057" s="104" t="s">
        <v>368</v>
      </c>
      <c r="C1057" s="121">
        <v>0</v>
      </c>
      <c r="D1057" s="122">
        <v>11.44</v>
      </c>
      <c r="F1057" s="123">
        <f>ROUND(D1057*$C1057,0)</f>
        <v>0</v>
      </c>
      <c r="G1057" s="122">
        <v>12.06</v>
      </c>
      <c r="I1057" s="123">
        <f t="shared" ref="I1057:I1058" si="150">ROUND(C1057*G1057,0)</f>
        <v>0</v>
      </c>
      <c r="J1057" s="122">
        <f t="shared" ref="J1057:J1058" si="151">G1057+(G1057*$Q$1076)</f>
        <v>12.06</v>
      </c>
      <c r="L1057" s="123">
        <f>ROUND(J1057*$C1057,0)</f>
        <v>0</v>
      </c>
      <c r="N1057" s="124" t="e">
        <f>J1057*#REF!</f>
        <v>#REF!</v>
      </c>
      <c r="O1057" s="52"/>
      <c r="P1057" s="149"/>
      <c r="Q1057" s="105"/>
      <c r="R1057" s="105"/>
      <c r="S1057" s="301"/>
      <c r="T1057" s="301"/>
      <c r="U1057" s="151"/>
      <c r="V1057" s="151"/>
      <c r="W1057" s="151"/>
      <c r="X1057" s="151"/>
      <c r="Y1057" s="325"/>
      <c r="Z1057" s="325"/>
      <c r="AA1057" s="149"/>
      <c r="AB1057" s="149"/>
      <c r="AC1057" s="324"/>
      <c r="AD1057" s="149"/>
      <c r="AE1057" s="52"/>
      <c r="AF1057" s="52"/>
      <c r="AG1057" s="52"/>
      <c r="AH1057" s="52"/>
      <c r="AI1057" s="52"/>
    </row>
    <row r="1058" spans="1:35">
      <c r="A1058" s="104" t="s">
        <v>369</v>
      </c>
      <c r="C1058" s="121">
        <v>0</v>
      </c>
      <c r="D1058" s="122">
        <v>19.18</v>
      </c>
      <c r="F1058" s="123">
        <f>ROUND(D1058*$C1058,0)</f>
        <v>0</v>
      </c>
      <c r="G1058" s="122">
        <v>20.22</v>
      </c>
      <c r="I1058" s="123">
        <f t="shared" si="150"/>
        <v>0</v>
      </c>
      <c r="J1058" s="122">
        <f t="shared" si="151"/>
        <v>20.22</v>
      </c>
      <c r="L1058" s="123">
        <f>ROUND(J1058*$C1058,0)</f>
        <v>0</v>
      </c>
      <c r="N1058" s="124" t="e">
        <f>J1058*#REF!</f>
        <v>#REF!</v>
      </c>
      <c r="O1058" s="52"/>
      <c r="P1058" s="149"/>
      <c r="Q1058" s="105"/>
      <c r="R1058" s="105"/>
      <c r="S1058" s="301"/>
      <c r="T1058" s="301"/>
      <c r="U1058" s="151"/>
      <c r="V1058" s="151"/>
      <c r="W1058" s="151"/>
      <c r="X1058" s="151"/>
      <c r="Y1058" s="325"/>
      <c r="Z1058" s="325"/>
      <c r="AA1058" s="149"/>
      <c r="AB1058" s="149"/>
      <c r="AC1058" s="324"/>
      <c r="AD1058" s="149"/>
      <c r="AE1058" s="52"/>
      <c r="AF1058" s="52"/>
      <c r="AG1058" s="52"/>
      <c r="AH1058" s="52"/>
      <c r="AI1058" s="52"/>
    </row>
    <row r="1059" spans="1:35">
      <c r="A1059" s="322" t="s">
        <v>103</v>
      </c>
      <c r="B1059" s="169"/>
      <c r="C1059" s="121"/>
      <c r="D1059" s="128"/>
      <c r="E1059" s="169"/>
      <c r="F1059" s="169"/>
      <c r="G1059" s="128"/>
      <c r="H1059" s="169"/>
      <c r="I1059" s="169"/>
      <c r="J1059" s="128"/>
      <c r="K1059" s="169"/>
      <c r="L1059" s="169"/>
      <c r="N1059" s="52"/>
      <c r="O1059" s="52"/>
      <c r="P1059" s="52"/>
      <c r="Q1059" s="326"/>
      <c r="R1059" s="326"/>
      <c r="S1059" s="326"/>
      <c r="T1059" s="326"/>
      <c r="U1059" s="327"/>
      <c r="V1059" s="327"/>
      <c r="W1059" s="327"/>
      <c r="X1059" s="327"/>
      <c r="Y1059" s="325"/>
      <c r="Z1059" s="325"/>
      <c r="AA1059" s="220"/>
      <c r="AB1059" s="52"/>
      <c r="AC1059" s="324"/>
      <c r="AD1059" s="52"/>
      <c r="AE1059" s="52"/>
      <c r="AF1059" s="52"/>
      <c r="AG1059" s="52"/>
      <c r="AH1059" s="52"/>
      <c r="AI1059" s="52"/>
    </row>
    <row r="1060" spans="1:35">
      <c r="A1060" s="104" t="s">
        <v>100</v>
      </c>
      <c r="C1060" s="121"/>
      <c r="D1060" s="128"/>
      <c r="F1060" s="120"/>
      <c r="G1060" s="128"/>
      <c r="I1060" s="120"/>
      <c r="J1060" s="128"/>
      <c r="N1060" s="52"/>
      <c r="O1060" s="52"/>
      <c r="P1060" s="52"/>
      <c r="Q1060" s="326"/>
      <c r="R1060" s="326"/>
      <c r="S1060" s="326"/>
      <c r="T1060" s="326"/>
      <c r="U1060" s="327"/>
      <c r="V1060" s="327"/>
      <c r="W1060" s="327"/>
      <c r="X1060" s="327"/>
      <c r="Y1060" s="325"/>
      <c r="Z1060" s="325"/>
      <c r="AA1060" s="220"/>
      <c r="AB1060" s="52"/>
      <c r="AC1060" s="324"/>
      <c r="AD1060" s="52"/>
      <c r="AE1060" s="52"/>
      <c r="AF1060" s="52"/>
      <c r="AG1060" s="52"/>
      <c r="AH1060" s="52"/>
      <c r="AI1060" s="52"/>
    </row>
    <row r="1061" spans="1:35">
      <c r="A1061" s="104" t="s">
        <v>368</v>
      </c>
      <c r="C1061" s="121">
        <v>0</v>
      </c>
      <c r="D1061" s="122">
        <v>12.08</v>
      </c>
      <c r="F1061" s="123">
        <f>ROUND(D1061*$C1061,0)</f>
        <v>0</v>
      </c>
      <c r="G1061" s="122">
        <v>12.73</v>
      </c>
      <c r="I1061" s="123">
        <f t="shared" ref="I1061:I1063" si="152">ROUND(C1061*G1061,0)</f>
        <v>0</v>
      </c>
      <c r="J1061" s="122">
        <f t="shared" ref="J1061:J1063" si="153">G1061+(G1061*$Q$1076)</f>
        <v>12.73</v>
      </c>
      <c r="L1061" s="123">
        <f>ROUND(J1061*$C1061,0)</f>
        <v>0</v>
      </c>
      <c r="N1061" s="124" t="e">
        <f>J1061*#REF!</f>
        <v>#REF!</v>
      </c>
      <c r="O1061" s="52"/>
      <c r="P1061" s="149"/>
      <c r="Q1061" s="105"/>
      <c r="R1061" s="105"/>
      <c r="S1061" s="301"/>
      <c r="T1061" s="301"/>
      <c r="U1061" s="151"/>
      <c r="V1061" s="151"/>
      <c r="W1061" s="151"/>
      <c r="X1061" s="151"/>
      <c r="Y1061" s="325"/>
      <c r="Z1061" s="325"/>
      <c r="AA1061" s="149"/>
      <c r="AB1061" s="149"/>
      <c r="AC1061" s="324"/>
      <c r="AD1061" s="149"/>
      <c r="AE1061" s="52"/>
      <c r="AF1061" s="52"/>
      <c r="AG1061" s="52"/>
      <c r="AH1061" s="52"/>
      <c r="AI1061" s="52"/>
    </row>
    <row r="1062" spans="1:35">
      <c r="A1062" s="104" t="s">
        <v>369</v>
      </c>
      <c r="C1062" s="121">
        <v>0</v>
      </c>
      <c r="D1062" s="122">
        <v>19.64</v>
      </c>
      <c r="F1062" s="123">
        <f>ROUND(D1062*$C1062,0)</f>
        <v>0</v>
      </c>
      <c r="G1062" s="122">
        <v>20.7</v>
      </c>
      <c r="I1062" s="123">
        <f t="shared" si="152"/>
        <v>0</v>
      </c>
      <c r="J1062" s="122">
        <f t="shared" si="153"/>
        <v>20.7</v>
      </c>
      <c r="L1062" s="123">
        <f>ROUND(J1062*$C1062,0)</f>
        <v>0</v>
      </c>
      <c r="N1062" s="124" t="e">
        <f>J1062*#REF!</f>
        <v>#REF!</v>
      </c>
      <c r="O1062" s="52"/>
      <c r="P1062" s="149"/>
      <c r="Q1062" s="105"/>
      <c r="R1062" s="105"/>
      <c r="S1062" s="301"/>
      <c r="T1062" s="301"/>
      <c r="U1062" s="151"/>
      <c r="V1062" s="151"/>
      <c r="W1062" s="151"/>
      <c r="X1062" s="151"/>
      <c r="Y1062" s="325"/>
      <c r="Z1062" s="325"/>
      <c r="AA1062" s="149"/>
      <c r="AB1062" s="149"/>
      <c r="AC1062" s="324"/>
      <c r="AD1062" s="149"/>
      <c r="AE1062" s="52"/>
      <c r="AF1062" s="52"/>
      <c r="AG1062" s="52"/>
      <c r="AH1062" s="52"/>
      <c r="AI1062" s="52"/>
    </row>
    <row r="1063" spans="1:35">
      <c r="A1063" s="104" t="s">
        <v>370</v>
      </c>
      <c r="C1063" s="121">
        <v>0</v>
      </c>
      <c r="D1063" s="122">
        <v>36.99</v>
      </c>
      <c r="F1063" s="123">
        <f>ROUND(D1063*$C1063,0)</f>
        <v>0</v>
      </c>
      <c r="G1063" s="122">
        <v>38.99</v>
      </c>
      <c r="I1063" s="123">
        <f t="shared" si="152"/>
        <v>0</v>
      </c>
      <c r="J1063" s="122">
        <f t="shared" si="153"/>
        <v>38.99</v>
      </c>
      <c r="L1063" s="123">
        <f>ROUND(J1063*$C1063,0)</f>
        <v>0</v>
      </c>
      <c r="N1063" s="124" t="e">
        <f>J1063*#REF!</f>
        <v>#REF!</v>
      </c>
      <c r="O1063" s="52"/>
      <c r="P1063" s="149"/>
      <c r="Q1063" s="105"/>
      <c r="R1063" s="105"/>
      <c r="S1063" s="301"/>
      <c r="T1063" s="301"/>
      <c r="U1063" s="151"/>
      <c r="V1063" s="151"/>
      <c r="W1063" s="151"/>
      <c r="X1063" s="151"/>
      <c r="Y1063" s="325"/>
      <c r="Z1063" s="325"/>
      <c r="AA1063" s="149"/>
      <c r="AB1063" s="149"/>
      <c r="AC1063" s="324"/>
      <c r="AD1063" s="149"/>
      <c r="AE1063" s="52"/>
      <c r="AF1063" s="52"/>
      <c r="AG1063" s="52"/>
      <c r="AH1063" s="52"/>
      <c r="AI1063" s="52"/>
    </row>
    <row r="1064" spans="1:35">
      <c r="A1064" s="104" t="s">
        <v>101</v>
      </c>
      <c r="C1064" s="121"/>
      <c r="D1064" s="128"/>
      <c r="F1064" s="120"/>
      <c r="G1064" s="128"/>
      <c r="I1064" s="120"/>
      <c r="J1064" s="128"/>
      <c r="N1064" s="52"/>
      <c r="O1064" s="52"/>
      <c r="P1064" s="52"/>
      <c r="Q1064" s="326"/>
      <c r="R1064" s="326"/>
      <c r="S1064" s="326"/>
      <c r="T1064" s="326"/>
      <c r="U1064" s="327"/>
      <c r="V1064" s="327"/>
      <c r="W1064" s="327"/>
      <c r="X1064" s="327"/>
      <c r="Y1064" s="325"/>
      <c r="Z1064" s="325"/>
      <c r="AA1064" s="220"/>
      <c r="AB1064" s="52"/>
      <c r="AC1064" s="324"/>
      <c r="AD1064" s="52"/>
      <c r="AE1064" s="52"/>
      <c r="AF1064" s="52"/>
      <c r="AG1064" s="52"/>
      <c r="AH1064" s="52"/>
      <c r="AI1064" s="52"/>
    </row>
    <row r="1065" spans="1:35">
      <c r="A1065" s="104" t="s">
        <v>368</v>
      </c>
      <c r="C1065" s="121">
        <v>0</v>
      </c>
      <c r="D1065" s="122">
        <v>11.44</v>
      </c>
      <c r="F1065" s="123">
        <f>ROUND(D1065*$C1065,0)</f>
        <v>0</v>
      </c>
      <c r="G1065" s="122">
        <v>12.06</v>
      </c>
      <c r="I1065" s="123">
        <f t="shared" ref="I1065:I1066" si="154">ROUND(C1065*G1065,0)</f>
        <v>0</v>
      </c>
      <c r="J1065" s="122">
        <f t="shared" ref="J1065:J1066" si="155">G1065+(G1065*$Q$1076)</f>
        <v>12.06</v>
      </c>
      <c r="L1065" s="123">
        <f>ROUND(J1065*$C1065,0)</f>
        <v>0</v>
      </c>
      <c r="N1065" s="124" t="e">
        <f>J1065*#REF!</f>
        <v>#REF!</v>
      </c>
      <c r="O1065" s="52"/>
      <c r="P1065" s="149"/>
      <c r="Q1065" s="105"/>
      <c r="R1065" s="105"/>
      <c r="S1065" s="301"/>
      <c r="T1065" s="301"/>
      <c r="U1065" s="151"/>
      <c r="V1065" s="151"/>
      <c r="W1065" s="151"/>
      <c r="X1065" s="151"/>
      <c r="Y1065" s="325"/>
      <c r="Z1065" s="325"/>
      <c r="AA1065" s="149"/>
      <c r="AB1065" s="149"/>
      <c r="AC1065" s="324"/>
      <c r="AD1065" s="149"/>
      <c r="AE1065" s="52"/>
      <c r="AF1065" s="52"/>
      <c r="AG1065" s="52"/>
      <c r="AH1065" s="52"/>
      <c r="AI1065" s="52"/>
    </row>
    <row r="1066" spans="1:35">
      <c r="A1066" s="104" t="s">
        <v>369</v>
      </c>
      <c r="C1066" s="121">
        <v>0</v>
      </c>
      <c r="D1066" s="122">
        <v>18.53</v>
      </c>
      <c r="F1066" s="123">
        <f>ROUND(D1066*$C1066,0)</f>
        <v>0</v>
      </c>
      <c r="G1066" s="122">
        <v>19.53</v>
      </c>
      <c r="I1066" s="123">
        <f t="shared" si="154"/>
        <v>0</v>
      </c>
      <c r="J1066" s="122">
        <f t="shared" si="155"/>
        <v>19.53</v>
      </c>
      <c r="L1066" s="123">
        <f>ROUND(J1066*$C1066,0)</f>
        <v>0</v>
      </c>
      <c r="N1066" s="124" t="e">
        <f>J1066*#REF!</f>
        <v>#REF!</v>
      </c>
      <c r="O1066" s="52"/>
      <c r="P1066" s="149"/>
      <c r="Q1066" s="105"/>
      <c r="R1066" s="105"/>
      <c r="S1066" s="301"/>
      <c r="T1066" s="301"/>
      <c r="U1066" s="151"/>
      <c r="V1066" s="151"/>
      <c r="W1066" s="151"/>
      <c r="X1066" s="151"/>
      <c r="Y1066" s="325"/>
      <c r="Z1066" s="325"/>
      <c r="AA1066" s="149"/>
      <c r="AB1066" s="149"/>
      <c r="AC1066" s="324"/>
      <c r="AD1066" s="149"/>
      <c r="AE1066" s="52"/>
      <c r="AF1066" s="52"/>
      <c r="AG1066" s="52"/>
      <c r="AH1066" s="52"/>
      <c r="AI1066" s="52"/>
    </row>
    <row r="1067" spans="1:35">
      <c r="A1067" s="322" t="s">
        <v>104</v>
      </c>
      <c r="B1067" s="169"/>
      <c r="C1067" s="121"/>
      <c r="D1067" s="128"/>
      <c r="E1067" s="169"/>
      <c r="F1067" s="169"/>
      <c r="G1067" s="128"/>
      <c r="H1067" s="169"/>
      <c r="I1067" s="169"/>
      <c r="J1067" s="128"/>
      <c r="K1067" s="169"/>
      <c r="L1067" s="169"/>
      <c r="N1067" s="52"/>
      <c r="O1067" s="52"/>
      <c r="P1067" s="52"/>
      <c r="Q1067" s="326"/>
      <c r="R1067" s="326"/>
      <c r="S1067" s="326"/>
      <c r="T1067" s="326"/>
      <c r="U1067" s="327"/>
      <c r="V1067" s="327"/>
      <c r="W1067" s="327"/>
      <c r="X1067" s="327"/>
      <c r="Y1067" s="325"/>
      <c r="Z1067" s="325"/>
      <c r="AA1067" s="220"/>
      <c r="AB1067" s="52"/>
      <c r="AC1067" s="324"/>
      <c r="AD1067" s="52"/>
      <c r="AE1067" s="52"/>
      <c r="AF1067" s="52"/>
      <c r="AG1067" s="52"/>
      <c r="AH1067" s="52"/>
      <c r="AI1067" s="52"/>
    </row>
    <row r="1068" spans="1:35">
      <c r="A1068" s="104" t="s">
        <v>368</v>
      </c>
      <c r="C1068" s="121">
        <f>1592</f>
        <v>1592</v>
      </c>
      <c r="D1068" s="122">
        <v>9.67</v>
      </c>
      <c r="F1068" s="123">
        <f>ROUND(D1068*$C1068,0)</f>
        <v>15395</v>
      </c>
      <c r="G1068" s="122">
        <v>10.19</v>
      </c>
      <c r="I1068" s="123">
        <f t="shared" ref="I1068:I1070" si="156">ROUND(C1068*G1068,0)</f>
        <v>16222</v>
      </c>
      <c r="J1068" s="122">
        <f t="shared" ref="J1068:J1070" si="157">G1068+(G1068*$Q$1076)</f>
        <v>10.19</v>
      </c>
      <c r="L1068" s="123">
        <f>ROUND(J1068*$C1068,0)</f>
        <v>16222</v>
      </c>
      <c r="N1068" s="124" t="e">
        <f>J1068*#REF!</f>
        <v>#REF!</v>
      </c>
      <c r="O1068" s="52"/>
      <c r="P1068" s="149"/>
      <c r="Q1068" s="105"/>
      <c r="R1068" s="105"/>
      <c r="S1068" s="301"/>
      <c r="T1068" s="301"/>
      <c r="U1068" s="151"/>
      <c r="V1068" s="151"/>
      <c r="W1068" s="151"/>
      <c r="X1068" s="151"/>
      <c r="Y1068" s="325"/>
      <c r="Z1068" s="325"/>
      <c r="AA1068" s="149"/>
      <c r="AB1068" s="149"/>
      <c r="AC1068" s="324"/>
      <c r="AD1068" s="149"/>
      <c r="AE1068" s="52"/>
      <c r="AF1068" s="52"/>
      <c r="AG1068" s="52"/>
      <c r="AH1068" s="52"/>
      <c r="AI1068" s="52"/>
    </row>
    <row r="1069" spans="1:35">
      <c r="A1069" s="104" t="s">
        <v>369</v>
      </c>
      <c r="C1069" s="121">
        <f>1469</f>
        <v>1469</v>
      </c>
      <c r="D1069" s="122">
        <v>16.93</v>
      </c>
      <c r="F1069" s="123">
        <f>ROUND(D1069*$C1069,0)</f>
        <v>24870</v>
      </c>
      <c r="G1069" s="122">
        <v>17.84</v>
      </c>
      <c r="I1069" s="123">
        <f t="shared" si="156"/>
        <v>26207</v>
      </c>
      <c r="J1069" s="122">
        <f t="shared" si="157"/>
        <v>17.84</v>
      </c>
      <c r="L1069" s="123">
        <f>ROUND(J1069*$C1069,0)</f>
        <v>26207</v>
      </c>
      <c r="N1069" s="124" t="e">
        <f>J1069*#REF!</f>
        <v>#REF!</v>
      </c>
      <c r="O1069" s="52"/>
      <c r="P1069" s="149"/>
      <c r="Q1069" s="105"/>
      <c r="R1069" s="105"/>
      <c r="S1069" s="301"/>
      <c r="T1069" s="301"/>
      <c r="U1069" s="151"/>
      <c r="V1069" s="151"/>
      <c r="W1069" s="151"/>
      <c r="X1069" s="151"/>
      <c r="Y1069" s="325"/>
      <c r="Z1069" s="325"/>
      <c r="AA1069" s="149"/>
      <c r="AB1069" s="149"/>
      <c r="AC1069" s="324"/>
      <c r="AD1069" s="149"/>
      <c r="AE1069" s="52"/>
      <c r="AF1069" s="52"/>
      <c r="AG1069" s="52"/>
      <c r="AH1069" s="52"/>
      <c r="AI1069" s="52"/>
    </row>
    <row r="1070" spans="1:35">
      <c r="A1070" s="104" t="s">
        <v>370</v>
      </c>
      <c r="C1070" s="121">
        <v>0</v>
      </c>
      <c r="D1070" s="122">
        <v>36.159999999999997</v>
      </c>
      <c r="F1070" s="123">
        <f>ROUND(D1070*$C1070,0)</f>
        <v>0</v>
      </c>
      <c r="G1070" s="122">
        <v>38.11</v>
      </c>
      <c r="I1070" s="123">
        <f t="shared" si="156"/>
        <v>0</v>
      </c>
      <c r="J1070" s="122">
        <f t="shared" si="157"/>
        <v>38.11</v>
      </c>
      <c r="L1070" s="123">
        <f>ROUND(J1070*$C1070,0)</f>
        <v>0</v>
      </c>
      <c r="N1070" s="124" t="e">
        <f>J1070*#REF!</f>
        <v>#REF!</v>
      </c>
      <c r="O1070" s="52"/>
      <c r="P1070" s="149"/>
      <c r="Q1070" s="105"/>
      <c r="R1070" s="105"/>
      <c r="S1070" s="301"/>
      <c r="T1070" s="301"/>
      <c r="U1070" s="151"/>
      <c r="V1070" s="151"/>
      <c r="W1070" s="151"/>
      <c r="X1070" s="151"/>
      <c r="Y1070" s="325"/>
      <c r="Z1070" s="325"/>
      <c r="AA1070" s="149"/>
      <c r="AB1070" s="149"/>
      <c r="AC1070" s="324"/>
      <c r="AD1070" s="149"/>
      <c r="AE1070" s="52"/>
      <c r="AF1070" s="52"/>
      <c r="AG1070" s="52"/>
      <c r="AH1070" s="52"/>
      <c r="AI1070" s="52"/>
    </row>
    <row r="1071" spans="1:35">
      <c r="A1071" s="328" t="s">
        <v>105</v>
      </c>
      <c r="C1071" s="121"/>
      <c r="D1071" s="122"/>
      <c r="F1071" s="123"/>
      <c r="G1071" s="122"/>
      <c r="I1071" s="123"/>
      <c r="J1071" s="122"/>
      <c r="L1071" s="123"/>
      <c r="N1071" s="52"/>
      <c r="O1071" s="52"/>
      <c r="P1071" s="52"/>
      <c r="Q1071" s="326"/>
      <c r="R1071" s="326"/>
      <c r="S1071" s="326"/>
      <c r="T1071" s="326"/>
      <c r="U1071" s="329"/>
      <c r="V1071" s="329"/>
      <c r="W1071" s="329"/>
      <c r="X1071" s="329"/>
      <c r="Y1071" s="325"/>
      <c r="Z1071" s="325"/>
      <c r="AA1071" s="220"/>
      <c r="AB1071" s="52"/>
      <c r="AC1071" s="324"/>
      <c r="AD1071" s="52"/>
      <c r="AE1071" s="52"/>
      <c r="AF1071" s="52"/>
      <c r="AG1071" s="52"/>
      <c r="AH1071" s="52"/>
      <c r="AI1071" s="52"/>
    </row>
    <row r="1072" spans="1:35">
      <c r="A1072" s="104" t="s">
        <v>106</v>
      </c>
      <c r="C1072" s="121">
        <f>71</f>
        <v>71</v>
      </c>
      <c r="D1072" s="122">
        <v>34.700000000000003</v>
      </c>
      <c r="F1072" s="123">
        <f>ROUND(D1072*$C1072,0)</f>
        <v>2464</v>
      </c>
      <c r="G1072" s="122">
        <v>36.57</v>
      </c>
      <c r="I1072" s="123">
        <f t="shared" ref="I1072" si="158">ROUND(C1072*G1072,0)</f>
        <v>2596</v>
      </c>
      <c r="J1072" s="122">
        <f t="shared" ref="J1072" si="159">G1072+(G1072*$Q$1076)</f>
        <v>36.57</v>
      </c>
      <c r="L1072" s="123">
        <f>ROUND(J1072*$C1072,0)</f>
        <v>2596</v>
      </c>
      <c r="N1072" s="124" t="e">
        <f>J1072*#REF!</f>
        <v>#REF!</v>
      </c>
      <c r="O1072" s="52"/>
      <c r="P1072" s="149"/>
      <c r="Q1072" s="105"/>
      <c r="R1072" s="105"/>
      <c r="S1072" s="301"/>
      <c r="T1072" s="301"/>
      <c r="U1072" s="151"/>
      <c r="V1072" s="151"/>
      <c r="W1072" s="151"/>
      <c r="X1072" s="151"/>
      <c r="Y1072" s="325"/>
      <c r="Z1072" s="325"/>
      <c r="AA1072" s="149"/>
      <c r="AB1072" s="149"/>
      <c r="AC1072" s="324"/>
      <c r="AD1072" s="149"/>
      <c r="AE1072" s="52"/>
      <c r="AF1072" s="52"/>
      <c r="AG1072" s="52"/>
      <c r="AH1072" s="52"/>
      <c r="AI1072" s="52"/>
    </row>
    <row r="1073" spans="1:35">
      <c r="A1073" s="104" t="s">
        <v>376</v>
      </c>
      <c r="C1073" s="121">
        <f>537</f>
        <v>537</v>
      </c>
      <c r="D1073" s="330"/>
      <c r="F1073" s="123"/>
      <c r="G1073" s="330"/>
      <c r="I1073" s="123"/>
      <c r="J1073" s="330"/>
      <c r="L1073" s="123"/>
      <c r="O1073" s="52"/>
      <c r="P1073" s="149"/>
      <c r="Q1073" s="331"/>
      <c r="R1073" s="331"/>
      <c r="S1073" s="52"/>
      <c r="T1073" s="52"/>
      <c r="U1073" s="154"/>
      <c r="V1073" s="154"/>
      <c r="W1073" s="154"/>
      <c r="X1073" s="154"/>
      <c r="Y1073" s="146"/>
      <c r="Z1073" s="146"/>
      <c r="AA1073" s="149"/>
      <c r="AB1073" s="149"/>
      <c r="AC1073" s="149"/>
      <c r="AD1073" s="149"/>
      <c r="AE1073" s="52"/>
      <c r="AF1073" s="52"/>
      <c r="AG1073" s="52"/>
      <c r="AH1073" s="52"/>
      <c r="AI1073" s="52"/>
    </row>
    <row r="1074" spans="1:35">
      <c r="A1074" s="104" t="s">
        <v>215</v>
      </c>
      <c r="C1074" s="121">
        <f>1993008</f>
        <v>1993008</v>
      </c>
      <c r="D1074" s="129"/>
      <c r="E1074" s="52"/>
      <c r="F1074" s="132">
        <f>SUM(F1045:F1072)</f>
        <v>230751</v>
      </c>
      <c r="G1074" s="129"/>
      <c r="H1074" s="52"/>
      <c r="I1074" s="132">
        <f>SUM(I1045:I1072)</f>
        <v>243204</v>
      </c>
      <c r="J1074" s="129"/>
      <c r="K1074" s="52"/>
      <c r="L1074" s="132">
        <f>SUM(L1045:L1072)</f>
        <v>243204</v>
      </c>
      <c r="N1074" s="124" t="e">
        <f>SUM(N1045:N1073)</f>
        <v>#REF!</v>
      </c>
      <c r="O1074" s="52"/>
      <c r="P1074" s="149"/>
      <c r="Q1074" s="332"/>
      <c r="R1074" s="332"/>
      <c r="S1074" s="52"/>
      <c r="T1074" s="52"/>
      <c r="U1074" s="154"/>
      <c r="V1074" s="154"/>
      <c r="W1074" s="154"/>
      <c r="X1074" s="154"/>
      <c r="Y1074" s="146"/>
      <c r="Z1074" s="146"/>
      <c r="AA1074" s="155"/>
      <c r="AB1074" s="146"/>
      <c r="AC1074" s="146"/>
      <c r="AD1074" s="146"/>
      <c r="AE1074" s="52"/>
      <c r="AF1074" s="52"/>
      <c r="AG1074" s="52"/>
      <c r="AH1074" s="52"/>
      <c r="AI1074" s="52"/>
    </row>
    <row r="1075" spans="1:35">
      <c r="A1075" s="104" t="s">
        <v>197</v>
      </c>
      <c r="C1075" s="121">
        <v>124368.65920712905</v>
      </c>
      <c r="D1075" s="129"/>
      <c r="E1075" s="52"/>
      <c r="F1075" s="132">
        <v>15166.735149138356</v>
      </c>
      <c r="G1075" s="129"/>
      <c r="H1075" s="52"/>
      <c r="I1075" s="132">
        <f>F1075</f>
        <v>15166.735149138356</v>
      </c>
      <c r="J1075" s="129"/>
      <c r="K1075" s="52"/>
      <c r="L1075" s="132">
        <f>F1075</f>
        <v>15166.735149138356</v>
      </c>
      <c r="N1075" s="212"/>
      <c r="O1075" s="156"/>
      <c r="P1075" s="154"/>
      <c r="Q1075" s="146"/>
      <c r="R1075" s="146"/>
      <c r="S1075" s="146"/>
      <c r="T1075" s="146"/>
      <c r="U1075" s="151"/>
      <c r="V1075" s="151"/>
      <c r="W1075" s="151"/>
      <c r="X1075" s="151"/>
      <c r="Y1075" s="149"/>
      <c r="Z1075" s="146"/>
      <c r="AA1075" s="52"/>
      <c r="AB1075" s="52"/>
      <c r="AC1075" s="52"/>
      <c r="AD1075" s="52"/>
      <c r="AE1075" s="52"/>
      <c r="AF1075" s="52"/>
      <c r="AG1075" s="52"/>
      <c r="AH1075" s="52"/>
      <c r="AI1075" s="52"/>
    </row>
    <row r="1076" spans="1:35" ht="16.5" thickBot="1">
      <c r="A1076" s="104" t="s">
        <v>198</v>
      </c>
      <c r="C1076" s="134">
        <f>C1074+C1075</f>
        <v>2117376.6592071289</v>
      </c>
      <c r="D1076" s="135"/>
      <c r="E1076" s="135"/>
      <c r="F1076" s="135">
        <f>F1074+F1075</f>
        <v>245917.73514913835</v>
      </c>
      <c r="G1076" s="135"/>
      <c r="H1076" s="135"/>
      <c r="I1076" s="135">
        <f>I1074+I1075</f>
        <v>258370.73514913835</v>
      </c>
      <c r="J1076" s="135"/>
      <c r="K1076" s="135"/>
      <c r="L1076" s="135">
        <f>L1074+L1075</f>
        <v>258370.73514913835</v>
      </c>
      <c r="N1076" s="218"/>
      <c r="O1076" s="303" t="s">
        <v>241</v>
      </c>
      <c r="P1076" s="312">
        <v>258370.73514913835</v>
      </c>
      <c r="Q1076" s="297">
        <v>0</v>
      </c>
      <c r="R1076" s="297"/>
      <c r="S1076" s="146"/>
      <c r="T1076" s="146"/>
      <c r="U1076" s="146"/>
      <c r="V1076" s="146"/>
      <c r="W1076" s="146"/>
      <c r="X1076" s="146"/>
      <c r="Y1076" s="146"/>
      <c r="Z1076" s="146"/>
      <c r="AA1076" s="52"/>
      <c r="AB1076" s="52"/>
      <c r="AC1076" s="52"/>
      <c r="AD1076" s="52"/>
      <c r="AE1076" s="52"/>
      <c r="AF1076" s="52"/>
      <c r="AG1076" s="52"/>
      <c r="AH1076" s="52"/>
      <c r="AI1076" s="52"/>
    </row>
    <row r="1077" spans="1:35" ht="16.5" thickTop="1">
      <c r="C1077" s="333" t="s">
        <v>280</v>
      </c>
      <c r="D1077" s="140"/>
      <c r="E1077" s="140"/>
      <c r="F1077" s="120"/>
      <c r="G1077" s="140"/>
      <c r="H1077" s="140"/>
      <c r="I1077" s="120"/>
      <c r="J1077" s="140" t="s">
        <v>280</v>
      </c>
      <c r="K1077" s="140"/>
      <c r="L1077" s="123" t="s">
        <v>280</v>
      </c>
      <c r="N1077" s="305"/>
      <c r="O1077" s="306" t="s">
        <v>200</v>
      </c>
      <c r="P1077" s="314">
        <f>P1076-L1076</f>
        <v>0</v>
      </c>
      <c r="Q1077" s="209" t="s">
        <v>280</v>
      </c>
      <c r="R1077" s="209"/>
      <c r="S1077" s="146"/>
      <c r="T1077" s="146"/>
      <c r="U1077" s="146"/>
      <c r="V1077" s="146"/>
      <c r="W1077" s="146"/>
      <c r="X1077" s="146"/>
      <c r="Y1077" s="146"/>
      <c r="Z1077" s="146"/>
      <c r="AA1077" s="52"/>
      <c r="AB1077" s="52"/>
      <c r="AC1077" s="52"/>
      <c r="AD1077" s="52"/>
      <c r="AE1077" s="52"/>
      <c r="AF1077" s="52"/>
      <c r="AG1077" s="52"/>
      <c r="AH1077" s="52"/>
      <c r="AI1077" s="52"/>
    </row>
    <row r="1078" spans="1:35">
      <c r="A1078" s="169"/>
      <c r="B1078" s="179"/>
      <c r="C1078" s="334"/>
      <c r="D1078" s="335"/>
      <c r="E1078" s="123"/>
      <c r="F1078" s="123"/>
      <c r="G1078" s="335"/>
      <c r="H1078" s="169"/>
      <c r="I1078" s="123"/>
      <c r="J1078" s="335"/>
      <c r="K1078" s="169"/>
      <c r="L1078" s="123"/>
      <c r="N1078" s="52"/>
      <c r="O1078" s="52"/>
      <c r="P1078" s="105"/>
      <c r="Q1078" s="105"/>
      <c r="R1078" s="105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</row>
    <row r="1079" spans="1:35" s="339" customFormat="1" ht="20.100000000000001" customHeight="1" thickBot="1">
      <c r="A1079" s="231" t="s">
        <v>107</v>
      </c>
      <c r="B1079" s="179"/>
      <c r="C1079" s="336">
        <f>C27+C91+C176+C474+C508+C627+C750+C767+C969+C980+C991+C1039+C1076</f>
        <v>4023695074.9669628</v>
      </c>
      <c r="D1079" s="337"/>
      <c r="E1079" s="338"/>
      <c r="F1079" s="338">
        <f>F27+F91+F176+F474+F508+F627+F750+F767+F969+F980+F991+F1039+F1076</f>
        <v>269287391.78000003</v>
      </c>
      <c r="G1079" s="337"/>
      <c r="H1079" s="338"/>
      <c r="I1079" s="338">
        <f>I27+I91+I176+I474+I508+I627+I750+I767+I969+I980+I991+I1039+I1076</f>
        <v>302470870.94000006</v>
      </c>
      <c r="J1079" s="337"/>
      <c r="K1079" s="338"/>
      <c r="L1079" s="338">
        <f>L27+L91+L176+L474+L508+L627+L750+L767+L969+L980+L991+L1039+L1076</f>
        <v>306972152.25000006</v>
      </c>
      <c r="N1079" s="52"/>
      <c r="O1079" s="340" t="s">
        <v>241</v>
      </c>
      <c r="P1079" s="341">
        <f>P27+P91+P176+P508+P627+P785+P942+P969+P980+P991+P1039+P1076</f>
        <v>306971182.38663375</v>
      </c>
      <c r="Q1079" s="105"/>
      <c r="R1079" s="105"/>
      <c r="S1079" s="295"/>
      <c r="T1079" s="295"/>
      <c r="U1079" s="295"/>
      <c r="V1079" s="295"/>
      <c r="W1079" s="295"/>
      <c r="X1079" s="295"/>
      <c r="Y1079" s="295"/>
      <c r="Z1079" s="295"/>
      <c r="AA1079" s="295"/>
      <c r="AB1079" s="295"/>
      <c r="AC1079" s="295"/>
      <c r="AD1079" s="295"/>
    </row>
    <row r="1080" spans="1:35" ht="16.5" thickTop="1">
      <c r="A1080" s="141"/>
      <c r="B1080" s="179"/>
      <c r="C1080" s="160"/>
      <c r="D1080" s="207"/>
      <c r="E1080" s="123"/>
      <c r="F1080" s="123"/>
      <c r="G1080" s="207"/>
      <c r="H1080" s="141"/>
      <c r="I1080" s="123"/>
      <c r="J1080" s="232" t="s">
        <v>280</v>
      </c>
      <c r="K1080" s="141"/>
      <c r="L1080" s="123" t="s">
        <v>280</v>
      </c>
      <c r="N1080" s="52"/>
      <c r="O1080" s="142" t="s">
        <v>200</v>
      </c>
      <c r="P1080" s="314">
        <f>P1079-L1079</f>
        <v>-969.86336630582809</v>
      </c>
      <c r="Q1080" s="342" t="s">
        <v>280</v>
      </c>
      <c r="R1080" s="34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</row>
    <row r="1081" spans="1:35">
      <c r="A1081" s="141" t="s">
        <v>108</v>
      </c>
      <c r="B1081" s="179"/>
      <c r="C1081" s="343"/>
      <c r="D1081" s="344"/>
      <c r="E1081" s="345"/>
      <c r="F1081" s="345">
        <v>722471.65999999992</v>
      </c>
      <c r="G1081" s="344"/>
      <c r="H1081" s="346"/>
      <c r="I1081" s="345">
        <v>722471.65999999992</v>
      </c>
      <c r="J1081" s="347"/>
      <c r="K1081" s="346"/>
      <c r="L1081" s="348">
        <f>F1081</f>
        <v>722471.65999999992</v>
      </c>
      <c r="N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</row>
    <row r="1082" spans="1:35" s="339" customFormat="1" ht="20.100000000000001" customHeight="1" thickBot="1">
      <c r="A1082" s="349" t="s">
        <v>109</v>
      </c>
      <c r="B1082" s="350"/>
      <c r="C1082" s="351">
        <f>C1079+C1081</f>
        <v>4023695074.9669628</v>
      </c>
      <c r="D1082" s="352"/>
      <c r="E1082" s="353"/>
      <c r="F1082" s="354">
        <f>F1079+F1081</f>
        <v>270009863.44000006</v>
      </c>
      <c r="G1082" s="352"/>
      <c r="H1082" s="353"/>
      <c r="I1082" s="355">
        <f>I1079+I1081</f>
        <v>303193342.60000008</v>
      </c>
      <c r="J1082" s="356"/>
      <c r="K1082" s="353"/>
      <c r="L1082" s="354">
        <f>L1079+L1081</f>
        <v>307694623.91000009</v>
      </c>
      <c r="N1082" s="295"/>
      <c r="S1082" s="295"/>
      <c r="T1082" s="295"/>
      <c r="U1082" s="295"/>
      <c r="V1082" s="295"/>
      <c r="W1082" s="295"/>
      <c r="X1082" s="295"/>
      <c r="Y1082" s="295"/>
      <c r="Z1082" s="295"/>
      <c r="AA1082" s="295"/>
      <c r="AB1082" s="295"/>
      <c r="AC1082" s="295"/>
      <c r="AD1082" s="295"/>
    </row>
    <row r="1083" spans="1:35" ht="16.5" thickTop="1">
      <c r="A1083" s="141"/>
      <c r="B1083" s="179"/>
      <c r="C1083" s="160"/>
      <c r="D1083" s="357" t="s">
        <v>280</v>
      </c>
      <c r="E1083" s="123"/>
      <c r="F1083" s="123" t="s">
        <v>280</v>
      </c>
      <c r="G1083" s="357" t="s">
        <v>280</v>
      </c>
      <c r="H1083" s="357"/>
      <c r="I1083" s="123" t="s">
        <v>280</v>
      </c>
      <c r="J1083" s="207"/>
      <c r="K1083" s="141"/>
      <c r="L1083" s="123"/>
      <c r="N1083" s="52"/>
      <c r="O1083" s="52"/>
      <c r="P1083" s="105"/>
      <c r="Q1083" s="105"/>
      <c r="R1083" s="105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</row>
    <row r="1084" spans="1:35">
      <c r="C1084" s="271"/>
      <c r="D1084" s="130"/>
      <c r="G1084" s="130"/>
      <c r="H1084" s="130"/>
      <c r="I1084" s="358"/>
      <c r="L1084" s="121"/>
      <c r="N1084" s="52"/>
      <c r="O1084" s="52"/>
      <c r="P1084" s="105"/>
      <c r="Q1084" s="105"/>
      <c r="R1084" s="105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</row>
    <row r="1085" spans="1:35">
      <c r="A1085" s="359"/>
      <c r="N1085" s="52"/>
      <c r="O1085" s="52"/>
      <c r="P1085" s="105"/>
      <c r="Q1085" s="105"/>
      <c r="R1085" s="105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</row>
    <row r="1086" spans="1:35">
      <c r="A1086" s="141" t="s">
        <v>110</v>
      </c>
      <c r="B1086" s="104" t="s">
        <v>111</v>
      </c>
      <c r="C1086" s="121">
        <v>4023695074.9669628</v>
      </c>
      <c r="F1086" s="124">
        <v>303193342.59999996</v>
      </c>
      <c r="I1086" s="124">
        <v>303193342.59999996</v>
      </c>
      <c r="N1086" s="52"/>
      <c r="O1086" s="52"/>
      <c r="P1086" s="105"/>
      <c r="Q1086" s="105"/>
      <c r="R1086" s="105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</row>
    <row r="1087" spans="1:35">
      <c r="B1087" s="104" t="s">
        <v>112</v>
      </c>
      <c r="C1087" s="121">
        <v>4023695074.9669628</v>
      </c>
      <c r="F1087" s="124">
        <v>303193342.59999996</v>
      </c>
      <c r="I1087" s="124">
        <v>303193342.59999996</v>
      </c>
      <c r="N1087" s="52"/>
      <c r="O1087" s="52"/>
      <c r="P1087" s="105"/>
      <c r="Q1087" s="105"/>
      <c r="R1087" s="105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</row>
    <row r="1088" spans="1:35">
      <c r="N1088" s="52"/>
      <c r="O1088" s="52"/>
      <c r="P1088" s="105"/>
      <c r="Q1088" s="105"/>
      <c r="R1088" s="105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</row>
    <row r="1089" spans="2:30">
      <c r="B1089" s="104" t="s">
        <v>113</v>
      </c>
      <c r="C1089" s="121">
        <f>C1082-C1087</f>
        <v>0</v>
      </c>
      <c r="F1089" s="121">
        <f>F1082-F1087</f>
        <v>-33183479.159999907</v>
      </c>
      <c r="I1089" s="121">
        <f>I1082-I1087</f>
        <v>0</v>
      </c>
      <c r="N1089" s="52"/>
      <c r="O1089" s="52"/>
      <c r="P1089" s="105"/>
      <c r="Q1089" s="105"/>
      <c r="R1089" s="105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</row>
    <row r="1090" spans="2:30">
      <c r="N1090" s="52"/>
      <c r="O1090" s="52"/>
      <c r="P1090" s="105"/>
      <c r="Q1090" s="105"/>
      <c r="R1090" s="105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</row>
    <row r="1092" spans="2:30">
      <c r="B1092" s="104" t="s">
        <v>114</v>
      </c>
      <c r="C1092" s="121">
        <f>C24+C83+C157+C483+C587+C737+C758+C966+C977+C988+C1035+C1073</f>
        <v>1524216</v>
      </c>
    </row>
    <row r="1093" spans="2:30">
      <c r="B1093" s="104" t="s">
        <v>115</v>
      </c>
      <c r="C1093" s="121">
        <f>((C24+C83+C186+C271+C483+C737+C758+C966+C977+C988+C1035+C1073)/12)+C358+C587</f>
        <v>131854.16666666669</v>
      </c>
    </row>
    <row r="1094" spans="2:30">
      <c r="B1094" s="360" t="s">
        <v>116</v>
      </c>
      <c r="C1094" s="121">
        <v>131854.33333333337</v>
      </c>
      <c r="D1094" s="361" t="s">
        <v>280</v>
      </c>
    </row>
    <row r="1095" spans="2:30">
      <c r="B1095" s="104" t="s">
        <v>113</v>
      </c>
      <c r="C1095" s="121">
        <f>C1093-C1094</f>
        <v>-0.16666666668606922</v>
      </c>
    </row>
  </sheetData>
  <mergeCells count="4">
    <mergeCell ref="A2:L2"/>
    <mergeCell ref="A3:L3"/>
    <mergeCell ref="A4:L4"/>
    <mergeCell ref="A5:L5"/>
  </mergeCells>
  <phoneticPr fontId="35" type="noConversion"/>
  <printOptions horizontalCentered="1"/>
  <pageMargins left="0.5" right="0.5" top="0.5" bottom="0.55000000000000004" header="0.5" footer="0.25"/>
  <pageSetup orientation="portrait" r:id="rId1"/>
  <headerFooter alignWithMargins="0"/>
  <rowBreaks count="7" manualBreakCount="7">
    <brk id="130" max="11" man="1"/>
    <brk id="177" max="11" man="1"/>
    <brk id="509" max="11" man="1"/>
    <brk id="751" max="11" man="1"/>
    <brk id="838" max="11" man="1"/>
    <brk id="992" max="11" man="1"/>
    <brk id="1040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X49"/>
  <sheetViews>
    <sheetView view="pageBreakPreview" zoomScale="90" zoomScaleSheetLayoutView="90" workbookViewId="0">
      <selection activeCell="B4" sqref="B4:N4"/>
    </sheetView>
  </sheetViews>
  <sheetFormatPr defaultColWidth="8.5" defaultRowHeight="15"/>
  <cols>
    <col min="1" max="1" width="4.625" style="362" customWidth="1"/>
    <col min="2" max="2" width="8.5" style="362"/>
    <col min="3" max="3" width="2.625" style="362" customWidth="1"/>
    <col min="4" max="4" width="11.375" style="362" bestFit="1" customWidth="1"/>
    <col min="5" max="5" width="4" style="362" customWidth="1"/>
    <col min="6" max="6" width="12.875" style="362" bestFit="1" customWidth="1"/>
    <col min="7" max="7" width="3" style="362" customWidth="1"/>
    <col min="8" max="8" width="9.125" style="362" hidden="1" customWidth="1"/>
    <col min="9" max="9" width="2.875" style="362" hidden="1" customWidth="1"/>
    <col min="10" max="10" width="7.125" style="362" hidden="1" customWidth="1"/>
    <col min="11" max="11" width="3.375" style="362" hidden="1" customWidth="1"/>
    <col min="12" max="12" width="7.125" style="362" bestFit="1" customWidth="1"/>
    <col min="13" max="13" width="1.875" style="362" customWidth="1"/>
    <col min="14" max="14" width="9.625" style="362" customWidth="1"/>
    <col min="15" max="16" width="2.125" style="362" customWidth="1"/>
    <col min="17" max="18" width="15.125" style="362" customWidth="1"/>
    <col min="19" max="19" width="9.125" style="362" customWidth="1"/>
    <col min="20" max="20" width="8.125" style="362" customWidth="1"/>
    <col min="21" max="21" width="1.625" style="362" customWidth="1"/>
    <col min="22" max="16384" width="8.5" style="362"/>
  </cols>
  <sheetData>
    <row r="2" spans="1:24" ht="18.75">
      <c r="B2" s="363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5" t="s">
        <v>280</v>
      </c>
    </row>
    <row r="3" spans="1:24" ht="18.75">
      <c r="B3" s="511" t="s">
        <v>117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366"/>
    </row>
    <row r="4" spans="1:24" ht="18.75">
      <c r="A4" s="367"/>
      <c r="B4" s="511" t="s">
        <v>118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366"/>
    </row>
    <row r="5" spans="1:24" ht="18.75">
      <c r="A5" s="367"/>
      <c r="B5" s="511" t="s">
        <v>119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366"/>
    </row>
    <row r="6" spans="1:24" ht="18.75">
      <c r="B6" s="366" t="s">
        <v>280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</row>
    <row r="8" spans="1:24" ht="18.75" thickBot="1">
      <c r="D8" s="368" t="s">
        <v>120</v>
      </c>
      <c r="E8" s="368"/>
      <c r="F8" s="368"/>
      <c r="I8" s="369"/>
      <c r="J8" s="369"/>
      <c r="K8" s="369"/>
      <c r="L8" s="370"/>
      <c r="O8" s="371"/>
      <c r="P8" s="367"/>
      <c r="Q8" s="371"/>
    </row>
    <row r="9" spans="1:24">
      <c r="D9" s="372" t="s">
        <v>121</v>
      </c>
      <c r="E9" s="373"/>
      <c r="F9" s="373" t="s">
        <v>293</v>
      </c>
      <c r="H9" s="374" t="s">
        <v>122</v>
      </c>
      <c r="J9" s="374" t="s">
        <v>123</v>
      </c>
      <c r="L9" s="512" t="s">
        <v>200</v>
      </c>
      <c r="M9" s="512"/>
      <c r="N9" s="512"/>
      <c r="P9" s="373"/>
      <c r="Q9" s="375" t="s">
        <v>124</v>
      </c>
      <c r="R9" s="376"/>
      <c r="S9" s="375" t="s">
        <v>125</v>
      </c>
      <c r="T9" s="376"/>
    </row>
    <row r="10" spans="1:24" ht="18">
      <c r="B10" s="377" t="s">
        <v>316</v>
      </c>
      <c r="D10" s="378" t="s">
        <v>126</v>
      </c>
      <c r="E10" s="379" t="s">
        <v>280</v>
      </c>
      <c r="F10" s="378" t="s">
        <v>126</v>
      </c>
      <c r="G10" s="379" t="s">
        <v>280</v>
      </c>
      <c r="H10" s="377" t="s">
        <v>127</v>
      </c>
      <c r="I10" s="379"/>
      <c r="J10" s="377" t="s">
        <v>128</v>
      </c>
      <c r="K10" s="379"/>
      <c r="L10" s="377" t="s">
        <v>198</v>
      </c>
      <c r="N10" s="378" t="s">
        <v>129</v>
      </c>
      <c r="Q10" s="380" t="s">
        <v>130</v>
      </c>
      <c r="R10" s="381">
        <f>'Billing Determinants'!G83</f>
        <v>6</v>
      </c>
      <c r="S10" s="380"/>
      <c r="T10" s="381">
        <f>'Billing Determinants'!J83</f>
        <v>6</v>
      </c>
    </row>
    <row r="11" spans="1:24">
      <c r="B11" s="382"/>
      <c r="D11" s="382"/>
      <c r="E11" s="382"/>
      <c r="F11" s="382"/>
      <c r="Q11" s="380" t="s">
        <v>131</v>
      </c>
      <c r="R11" s="383">
        <f>'Billing Determinants'!G84+T13+T21+T22</f>
        <v>6.0339999999999998</v>
      </c>
      <c r="S11" s="380"/>
      <c r="T11" s="384">
        <f>'Billing Determinants'!J84+T13+T21+T22</f>
        <v>6.125</v>
      </c>
      <c r="U11" s="385"/>
    </row>
    <row r="12" spans="1:24" ht="15.75" thickBot="1">
      <c r="B12" s="386">
        <v>50</v>
      </c>
      <c r="D12" s="387">
        <f>ROUND((($B12*R$11/100+R$10))+((B12*$T$16)/100),2)+T18</f>
        <v>9.3600000000000012</v>
      </c>
      <c r="F12" s="387">
        <f>ROUND((($B12*T$11/100+T$10))+((B12*$T$17)/100),2)+T19</f>
        <v>9.49</v>
      </c>
      <c r="H12" s="387">
        <v>0.25</v>
      </c>
      <c r="J12" s="388">
        <f>F12-D12-H12</f>
        <v>-0.12000000000000099</v>
      </c>
      <c r="L12" s="388">
        <f>F12-D12</f>
        <v>0.12999999999999901</v>
      </c>
      <c r="N12" s="389">
        <f>(F12-D12)/D12</f>
        <v>1.3888888888888781E-2</v>
      </c>
      <c r="Q12" s="390" t="s">
        <v>123</v>
      </c>
      <c r="R12" s="391">
        <f>'Billing Determinants'!G85+T13+T21+T22</f>
        <v>9.44</v>
      </c>
      <c r="S12" s="390"/>
      <c r="T12" s="391">
        <f>'Billing Determinants'!J85+T13+T21+T22</f>
        <v>9.591999999999997</v>
      </c>
    </row>
    <row r="13" spans="1:24">
      <c r="B13" s="386">
        <v>100</v>
      </c>
      <c r="D13" s="387">
        <f>ROUND((($B13*R$11/100+R$10))+((B13*$T$16)/100),2)+T18</f>
        <v>12.17</v>
      </c>
      <c r="F13" s="387">
        <f>ROUND((($B13*T$11/100+T$10))+((B13*$T$17)/100),2)+T19</f>
        <v>12.350000000000001</v>
      </c>
      <c r="H13" s="387">
        <v>0.25</v>
      </c>
      <c r="J13" s="388">
        <f t="shared" ref="J13:J35" si="0">F13-D13-H13</f>
        <v>-6.9999999999998508E-2</v>
      </c>
      <c r="L13" s="388">
        <f>F13-D13</f>
        <v>0.18000000000000149</v>
      </c>
      <c r="N13" s="389">
        <f>(F13-D13)/D13</f>
        <v>1.4790468364831676E-2</v>
      </c>
      <c r="Q13" s="392"/>
      <c r="R13" s="392" t="s">
        <v>132</v>
      </c>
      <c r="S13" s="392"/>
      <c r="T13" s="393">
        <v>0.245</v>
      </c>
      <c r="X13" s="388"/>
    </row>
    <row r="14" spans="1:24">
      <c r="B14" s="386">
        <v>150</v>
      </c>
      <c r="D14" s="387">
        <f>ROUND((($B14*R$11/100+R$10))+((B14*$T$16)/100),2)+T18</f>
        <v>14.99</v>
      </c>
      <c r="F14" s="387">
        <f>ROUND((($B14*T$11/100+T$10))+((B14*$T$17)/100),2)+T19</f>
        <v>15.200000000000001</v>
      </c>
      <c r="H14" s="387">
        <v>0.25</v>
      </c>
      <c r="J14" s="388">
        <f t="shared" si="0"/>
        <v>-3.9999999999999147E-2</v>
      </c>
      <c r="L14" s="388">
        <f>F14-D14</f>
        <v>0.21000000000000085</v>
      </c>
      <c r="N14" s="389">
        <f>(F14-D14)/D14</f>
        <v>1.4009339559706529E-2</v>
      </c>
      <c r="Q14" s="392"/>
      <c r="R14" s="392"/>
      <c r="S14" s="392"/>
      <c r="T14" s="393">
        <v>0.245</v>
      </c>
      <c r="U14" s="394"/>
      <c r="X14" s="388"/>
    </row>
    <row r="15" spans="1:24">
      <c r="D15" s="395"/>
      <c r="F15" s="395"/>
      <c r="Q15" s="392"/>
      <c r="R15" s="392"/>
      <c r="S15" s="392"/>
      <c r="T15" s="396"/>
      <c r="X15" s="388"/>
    </row>
    <row r="16" spans="1:24">
      <c r="B16" s="386">
        <v>200</v>
      </c>
      <c r="D16" s="387">
        <f>ROUND((($B16*R$11/100+R$10))+((B16*$T$16)/100),2)+T18</f>
        <v>17.8</v>
      </c>
      <c r="F16" s="387">
        <f>ROUND((($B16*T$11/100+T$10))+((B16*$T$17)/100),2)+T19</f>
        <v>18.059999999999999</v>
      </c>
      <c r="H16" s="387">
        <v>0.25</v>
      </c>
      <c r="J16" s="388">
        <f t="shared" si="0"/>
        <v>9.9999999999980105E-3</v>
      </c>
      <c r="L16" s="388">
        <f>F16-D16</f>
        <v>0.25999999999999801</v>
      </c>
      <c r="N16" s="389">
        <f>(F16-D16)/D16</f>
        <v>1.4606741573033596E-2</v>
      </c>
      <c r="Q16" s="392"/>
      <c r="R16" s="392" t="s">
        <v>133</v>
      </c>
      <c r="S16" s="392"/>
      <c r="T16" s="393">
        <v>-0.41</v>
      </c>
      <c r="V16" s="362" t="s">
        <v>280</v>
      </c>
      <c r="X16" s="388"/>
    </row>
    <row r="17" spans="2:24">
      <c r="B17" s="386">
        <v>300</v>
      </c>
      <c r="D17" s="387">
        <f>ROUND((($B17*R$11/100+R$10))+((B17*$T$16)/100),2)+T18</f>
        <v>23.42</v>
      </c>
      <c r="F17" s="387">
        <f>ROUND((($B17*T$11/100+T$10))+((B17*$T$17)/100),2)+T19</f>
        <v>23.779999999999998</v>
      </c>
      <c r="H17" s="387">
        <v>0.25</v>
      </c>
      <c r="J17" s="388">
        <f t="shared" si="0"/>
        <v>0.10999999999999588</v>
      </c>
      <c r="L17" s="388">
        <f>F17-D17</f>
        <v>0.35999999999999588</v>
      </c>
      <c r="N17" s="389">
        <f>(F17-D17)/D17</f>
        <v>1.5371477369769251E-2</v>
      </c>
      <c r="Q17" s="392"/>
      <c r="R17" s="362" t="s">
        <v>280</v>
      </c>
      <c r="S17" s="362" t="s">
        <v>280</v>
      </c>
      <c r="T17" s="393">
        <v>-0.41</v>
      </c>
      <c r="X17" s="388"/>
    </row>
    <row r="18" spans="2:24">
      <c r="B18" s="386">
        <v>400</v>
      </c>
      <c r="D18" s="387">
        <f>ROUND((($B18*R$11/100+R$10))+((B18*$T$16)/100),2)+T18</f>
        <v>29.05</v>
      </c>
      <c r="F18" s="387">
        <f>ROUND((($B18*T$11/100+T$10))+((B18*$T$17)/100),2)+T19</f>
        <v>29.49</v>
      </c>
      <c r="H18" s="387">
        <v>0.25</v>
      </c>
      <c r="J18" s="388">
        <f t="shared" si="0"/>
        <v>0.18999999999999773</v>
      </c>
      <c r="L18" s="388">
        <f>F18-D18</f>
        <v>0.43999999999999773</v>
      </c>
      <c r="N18" s="389">
        <f>(F18-D18)/D18</f>
        <v>1.5146299483648802E-2</v>
      </c>
      <c r="R18" s="362" t="s">
        <v>134</v>
      </c>
      <c r="T18" s="388">
        <v>0.55000000000000004</v>
      </c>
      <c r="U18" s="362" t="s">
        <v>280</v>
      </c>
      <c r="X18" s="388"/>
    </row>
    <row r="19" spans="2:24">
      <c r="B19" s="386">
        <v>500</v>
      </c>
      <c r="D19" s="387">
        <f>ROUND((($B19*R$11/100+R$10))+((B19*$T$16)/100),2)+T18</f>
        <v>34.669999999999995</v>
      </c>
      <c r="F19" s="387">
        <f>ROUND((($B19*T$11/100+T$10))+((B19*$T$17)/100),2)+T19</f>
        <v>35.21</v>
      </c>
      <c r="H19" s="387">
        <v>0.25</v>
      </c>
      <c r="J19" s="388">
        <f t="shared" si="0"/>
        <v>0.29000000000000625</v>
      </c>
      <c r="L19" s="388">
        <f>F19-D19</f>
        <v>0.54000000000000625</v>
      </c>
      <c r="N19" s="389">
        <f>(F19-D19)/D19</f>
        <v>1.5575425439861734E-2</v>
      </c>
      <c r="R19" s="362" t="s">
        <v>135</v>
      </c>
      <c r="T19" s="388">
        <f>'Low Income Surcharges'!E15</f>
        <v>0.63</v>
      </c>
      <c r="X19" s="388"/>
    </row>
    <row r="20" spans="2:24">
      <c r="D20" s="395"/>
      <c r="F20" s="395"/>
      <c r="X20" s="388"/>
    </row>
    <row r="21" spans="2:24">
      <c r="B21" s="386">
        <v>600</v>
      </c>
      <c r="D21" s="387">
        <f>ROUND((($B21*R$11/100+R$10))+((B21*$T$16)/100),2)+T18</f>
        <v>40.29</v>
      </c>
      <c r="F21" s="387">
        <f>ROUND((($B21*T$11/100+T$10))+((B21*$T$17)/100),2)+T19</f>
        <v>40.92</v>
      </c>
      <c r="H21" s="387">
        <v>0.25</v>
      </c>
      <c r="J21" s="388">
        <f t="shared" si="0"/>
        <v>0.38000000000000256</v>
      </c>
      <c r="L21" s="388">
        <f>F21-D21</f>
        <v>0.63000000000000256</v>
      </c>
      <c r="N21" s="389">
        <f>(F21-D21)/D21</f>
        <v>1.5636634400595744E-2</v>
      </c>
      <c r="R21" s="362" t="s">
        <v>136</v>
      </c>
      <c r="T21" s="362">
        <v>5.5E-2</v>
      </c>
      <c r="X21" s="388"/>
    </row>
    <row r="22" spans="2:24">
      <c r="B22" s="386">
        <v>700</v>
      </c>
      <c r="D22" s="387">
        <f>ROUND((((600*R$11/100)+(($B22-600)*R$12/100)+R$10))+((B22*$T$16)/100),2)+T18</f>
        <v>49.32</v>
      </c>
      <c r="F22" s="387">
        <f>ROUND((((600*T$11/100)+(($B22-600)*T$12/100)+T$10))+((B22*$T$17)/100),2)+T19</f>
        <v>50.1</v>
      </c>
      <c r="H22" s="387">
        <v>0.25</v>
      </c>
      <c r="J22" s="388">
        <f t="shared" si="0"/>
        <v>0.53000000000000114</v>
      </c>
      <c r="L22" s="388">
        <f>F22-D22</f>
        <v>0.78000000000000114</v>
      </c>
      <c r="N22" s="389">
        <f>(F22-D22)/D22</f>
        <v>1.5815085158150874E-2</v>
      </c>
      <c r="R22" s="362" t="s">
        <v>137</v>
      </c>
      <c r="T22" s="362">
        <v>-0.124</v>
      </c>
      <c r="X22" s="388"/>
    </row>
    <row r="23" spans="2:24">
      <c r="B23" s="386">
        <v>800</v>
      </c>
      <c r="D23" s="387">
        <f>ROUND((((600*R$11/100)+(($B23-600)*R$12/100)+R$10))+((B23*$T$16)/100),2)+T18</f>
        <v>58.349999999999994</v>
      </c>
      <c r="F23" s="387">
        <f>ROUND((((600*T$11/100)+(($B23-600)*T$12/100)+T$10))+((B23*$T$17)/100),2)+T19</f>
        <v>59.28</v>
      </c>
      <c r="H23" s="387">
        <v>0.25</v>
      </c>
      <c r="J23" s="388">
        <f t="shared" si="0"/>
        <v>0.68000000000000682</v>
      </c>
      <c r="L23" s="388">
        <f>F23-D23</f>
        <v>0.93000000000000682</v>
      </c>
      <c r="N23" s="389">
        <f>(F23-D23)/D23</f>
        <v>1.5938303341902431E-2</v>
      </c>
      <c r="X23" s="388"/>
    </row>
    <row r="24" spans="2:24">
      <c r="B24" s="386">
        <v>900</v>
      </c>
      <c r="D24" s="387">
        <f>ROUND((((600*R$11/100)+(($B24-600)*R$12/100)+R$10))+((B24*$T$16)/100),2)+T18</f>
        <v>67.38</v>
      </c>
      <c r="F24" s="387">
        <f>ROUND((((600*T$11/100)+(($B24-600)*T$12/100)+T$10))+((B24*$T$17)/100),2)+T19</f>
        <v>68.47</v>
      </c>
      <c r="H24" s="387">
        <v>0.25</v>
      </c>
      <c r="J24" s="388">
        <f t="shared" si="0"/>
        <v>0.84000000000000341</v>
      </c>
      <c r="L24" s="388">
        <f>F24-D24</f>
        <v>1.0900000000000034</v>
      </c>
      <c r="N24" s="389">
        <f>(F24-D24)/D24</f>
        <v>1.6176907094093255E-2</v>
      </c>
      <c r="Q24" s="397" t="s">
        <v>138</v>
      </c>
      <c r="R24" s="398">
        <f>'Rate Spread'!V16</f>
        <v>1.4975909809896951E-2</v>
      </c>
      <c r="X24" s="388"/>
    </row>
    <row r="25" spans="2:24">
      <c r="B25" s="386">
        <v>1000</v>
      </c>
      <c r="D25" s="387">
        <f>ROUND((((600*R$11/100)+(($B25-600)*R$12/100)+R$10))+((B25*$T$16)/100),2)+T18</f>
        <v>76.41</v>
      </c>
      <c r="F25" s="387">
        <f>ROUND((((600*T$11/100)+(($B25-600)*T$12/100)+T$10))+((B25*$T$17)/100),2)+T19</f>
        <v>77.649999999999991</v>
      </c>
      <c r="H25" s="387">
        <v>0.25</v>
      </c>
      <c r="J25" s="388">
        <f t="shared" si="0"/>
        <v>0.98999999999999488</v>
      </c>
      <c r="L25" s="388">
        <f>F25-D25</f>
        <v>1.2399999999999949</v>
      </c>
      <c r="N25" s="389">
        <f>(F25-D25)/D25</f>
        <v>1.6228242376652203E-2</v>
      </c>
      <c r="X25" s="388"/>
    </row>
    <row r="26" spans="2:24">
      <c r="D26" s="395"/>
      <c r="F26" s="395"/>
      <c r="N26" s="399"/>
      <c r="X26" s="388"/>
    </row>
    <row r="27" spans="2:24">
      <c r="B27" s="386">
        <v>1100</v>
      </c>
      <c r="D27" s="387">
        <f>ROUND((((600*R$11/100)+(($B27-600)*R$12/100)+R$10))+((B27*$T$16)/100),2)+T18</f>
        <v>85.44</v>
      </c>
      <c r="F27" s="387">
        <f>ROUND((((600*T$11/100)+(($B27-600)*T$12/100)+T$10))+((B27*$T$17)/100),2)+T19</f>
        <v>86.83</v>
      </c>
      <c r="H27" s="387">
        <v>0.25</v>
      </c>
      <c r="J27" s="388">
        <f t="shared" si="0"/>
        <v>1.1400000000000006</v>
      </c>
      <c r="L27" s="388">
        <f>F27-D27</f>
        <v>1.3900000000000006</v>
      </c>
      <c r="N27" s="389">
        <f>(F27-D27)/D27</f>
        <v>1.6268726591760308E-2</v>
      </c>
      <c r="X27" s="388"/>
    </row>
    <row r="28" spans="2:24">
      <c r="B28" s="386">
        <v>1200</v>
      </c>
      <c r="D28" s="387">
        <f>ROUND((((600*R$11/100)+(($B28-600)*R$12/100)+R$10))+((B28*$T$16)/100),2)+T18</f>
        <v>94.47</v>
      </c>
      <c r="F28" s="387">
        <f>ROUND((((600*T$11/100)+(($B28-600)*T$12/100)+T$10))+((B28*$T$17)/100),2)+T19</f>
        <v>96.009999999999991</v>
      </c>
      <c r="H28" s="387">
        <v>0.25</v>
      </c>
      <c r="J28" s="388">
        <f t="shared" si="0"/>
        <v>1.289999999999992</v>
      </c>
      <c r="L28" s="388">
        <f>F28-D28</f>
        <v>1.539999999999992</v>
      </c>
      <c r="N28" s="389">
        <f>(F28-D28)/D28</f>
        <v>1.6301471366571313E-2</v>
      </c>
      <c r="X28" s="388"/>
    </row>
    <row r="29" spans="2:24">
      <c r="B29" s="386">
        <v>1300</v>
      </c>
      <c r="C29" s="362" t="s">
        <v>139</v>
      </c>
      <c r="D29" s="387">
        <f>ROUND((((600*R$11/100)+(($B29-600)*R$12/100)+R$10))+((B29*$T$16)/100),2)+T18</f>
        <v>103.5</v>
      </c>
      <c r="F29" s="387">
        <f>ROUND((((600*T$11/100)+(($B29-600)*T$12/100)+T$10))+((B29*$T$17)/100),2)+T19</f>
        <v>105.19</v>
      </c>
      <c r="H29" s="387">
        <v>0.25</v>
      </c>
      <c r="J29" s="388">
        <f t="shared" si="0"/>
        <v>1.4399999999999977</v>
      </c>
      <c r="L29" s="388">
        <f>F29-D29</f>
        <v>1.6899999999999977</v>
      </c>
      <c r="N29" s="389">
        <f>(F29-D29)/D29</f>
        <v>1.6328502415458915E-2</v>
      </c>
      <c r="X29" s="388"/>
    </row>
    <row r="30" spans="2:24">
      <c r="B30" s="386">
        <v>1400</v>
      </c>
      <c r="D30" s="387">
        <f>ROUND((((600*R$11/100)+(($B30-600)*R$12/100)+R$10))+((B30*$T$16)/100),2)+T18</f>
        <v>112.53</v>
      </c>
      <c r="F30" s="387">
        <f>ROUND((((600*T$11/100)+(($B30-600)*T$12/100)+T$10))+((B30*$T$17)/100),2)+T19</f>
        <v>114.38</v>
      </c>
      <c r="H30" s="387">
        <v>0.25</v>
      </c>
      <c r="J30" s="388">
        <f t="shared" si="0"/>
        <v>1.5999999999999943</v>
      </c>
      <c r="L30" s="388">
        <f>F30-D30</f>
        <v>1.8499999999999943</v>
      </c>
      <c r="N30" s="389">
        <f>(F30-D30)/D30</f>
        <v>1.6440060428330173E-2</v>
      </c>
      <c r="X30" s="388"/>
    </row>
    <row r="31" spans="2:24">
      <c r="B31" s="386">
        <v>1500</v>
      </c>
      <c r="D31" s="387">
        <f>ROUND((((600*R$11/100)+(($B31-600)*R$12/100)+R$10))+((B31*$T$16)/100),2)+T18</f>
        <v>121.56</v>
      </c>
      <c r="F31" s="387">
        <f>ROUND((((600*T$11/100)+(($B31-600)*T$12/100)+T$10))+((B31*$T$17)/100),2)+T19</f>
        <v>123.56</v>
      </c>
      <c r="H31" s="387">
        <v>0.25</v>
      </c>
      <c r="J31" s="388">
        <f t="shared" si="0"/>
        <v>1.75</v>
      </c>
      <c r="L31" s="388">
        <f>F31-D31</f>
        <v>2</v>
      </c>
      <c r="N31" s="389">
        <f>(F31-D31)/D31</f>
        <v>1.6452780519907863E-2</v>
      </c>
      <c r="X31" s="388"/>
    </row>
    <row r="32" spans="2:24">
      <c r="D32" s="395"/>
      <c r="F32" s="395"/>
      <c r="X32" s="388"/>
    </row>
    <row r="33" spans="2:24">
      <c r="B33" s="386">
        <v>1600</v>
      </c>
      <c r="D33" s="387">
        <f>ROUND((((600*R$11/100)+(($B33-600)*R$12/100)+R$10))+((B33*$T$16)/100),2)+T18</f>
        <v>130.59</v>
      </c>
      <c r="F33" s="387">
        <f>ROUND((((600*T$11/100)+(($B33-600)*T$12/100)+T$10))+((B33*$T$17)/100),2)+T19</f>
        <v>132.74</v>
      </c>
      <c r="H33" s="387">
        <v>0.25</v>
      </c>
      <c r="J33" s="388">
        <f t="shared" si="0"/>
        <v>1.9000000000000057</v>
      </c>
      <c r="L33" s="388">
        <f>F33-D33</f>
        <v>2.1500000000000057</v>
      </c>
      <c r="N33" s="389">
        <f>(F33-D33)/D33</f>
        <v>1.646374148097102E-2</v>
      </c>
      <c r="X33" s="388"/>
    </row>
    <row r="34" spans="2:24">
      <c r="B34" s="386">
        <v>2000</v>
      </c>
      <c r="D34" s="387">
        <f>ROUND((((600*R$11/100)+(($B34-600)*R$12/100)+R$10))+((B34*$T$16)/100),2)+T18</f>
        <v>166.71</v>
      </c>
      <c r="F34" s="387">
        <f>ROUND((((600*T$11/100)+(($B34-600)*T$12/100)+T$10))+((B34*$T$17)/100),2)+T19</f>
        <v>169.47</v>
      </c>
      <c r="H34" s="387">
        <v>0.25</v>
      </c>
      <c r="J34" s="388">
        <f t="shared" si="0"/>
        <v>2.5099999999999909</v>
      </c>
      <c r="L34" s="388">
        <f>F34-D34</f>
        <v>2.7599999999999909</v>
      </c>
      <c r="N34" s="389">
        <f>(F34-D34)/D34</f>
        <v>1.6555695519164963E-2</v>
      </c>
      <c r="X34" s="388"/>
    </row>
    <row r="35" spans="2:24">
      <c r="B35" s="386">
        <v>3000</v>
      </c>
      <c r="D35" s="387">
        <f>ROUND((((600*R$11/100)+(($B35-600)*R$12/100)+R$10))+((B35*$T$16)/100),2)+T18</f>
        <v>257.01</v>
      </c>
      <c r="F35" s="387">
        <f>ROUND((((600*T$11/100)+(($B35-600)*T$12/100)+T$10))+((B35*$T$17)/100),2)+T19</f>
        <v>261.29000000000002</v>
      </c>
      <c r="H35" s="387">
        <v>0.25</v>
      </c>
      <c r="J35" s="388">
        <f t="shared" si="0"/>
        <v>4.0300000000000296</v>
      </c>
      <c r="L35" s="388">
        <f>F35-D35</f>
        <v>4.2800000000000296</v>
      </c>
      <c r="N35" s="389">
        <f>(F35-D35)/D35</f>
        <v>1.6653048519512974E-2</v>
      </c>
      <c r="X35" s="388"/>
    </row>
    <row r="36" spans="2:24">
      <c r="B36" s="400"/>
      <c r="C36" s="401"/>
      <c r="D36" s="402"/>
      <c r="E36" s="401"/>
      <c r="F36" s="402"/>
      <c r="G36" s="401"/>
      <c r="H36" s="401"/>
      <c r="I36" s="401"/>
      <c r="J36" s="401"/>
      <c r="K36" s="401"/>
      <c r="L36" s="401"/>
      <c r="M36" s="401"/>
      <c r="N36" s="403"/>
      <c r="O36" s="401"/>
      <c r="X36" s="388"/>
    </row>
    <row r="37" spans="2:24">
      <c r="B37" s="404"/>
      <c r="O37" s="394"/>
    </row>
    <row r="38" spans="2:24">
      <c r="B38" s="362" t="s">
        <v>140</v>
      </c>
    </row>
    <row r="39" spans="2:24">
      <c r="B39" s="362" t="s">
        <v>149</v>
      </c>
    </row>
    <row r="40" spans="2:24" ht="16.5">
      <c r="B40" s="405" t="s">
        <v>0</v>
      </c>
    </row>
    <row r="41" spans="2:24" ht="16.5">
      <c r="B41" s="405" t="s">
        <v>1</v>
      </c>
    </row>
    <row r="49" spans="20:20">
      <c r="T49" s="406"/>
    </row>
  </sheetData>
  <mergeCells count="4">
    <mergeCell ref="B3:N3"/>
    <mergeCell ref="B4:N4"/>
    <mergeCell ref="B5:N5"/>
    <mergeCell ref="L9:N9"/>
  </mergeCells>
  <phoneticPr fontId="35" type="noConversion"/>
  <printOptions horizontalCentered="1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X50"/>
  <sheetViews>
    <sheetView view="pageBreakPreview" topLeftCell="A6" zoomScale="90" zoomScaleNormal="90" zoomScaleSheetLayoutView="90" zoomScalePageLayoutView="90" workbookViewId="0">
      <selection sqref="A1:J1"/>
    </sheetView>
  </sheetViews>
  <sheetFormatPr defaultColWidth="8.875" defaultRowHeight="15.75"/>
  <cols>
    <col min="1" max="1" width="41.125" bestFit="1" customWidth="1"/>
    <col min="2" max="2" width="10.125" bestFit="1" customWidth="1"/>
    <col min="3" max="3" width="7.625" customWidth="1"/>
    <col min="4" max="4" width="11.625" bestFit="1" customWidth="1"/>
    <col min="5" max="5" width="15.625" bestFit="1" customWidth="1"/>
    <col min="6" max="6" width="10.5" customWidth="1"/>
    <col min="7" max="7" width="10.375" bestFit="1" customWidth="1"/>
    <col min="10" max="10" width="9.875" bestFit="1" customWidth="1"/>
    <col min="11" max="11" width="2" customWidth="1"/>
    <col min="12" max="12" width="11.5" bestFit="1" customWidth="1"/>
    <col min="13" max="20" width="0" hidden="1" customWidth="1"/>
  </cols>
  <sheetData>
    <row r="1" spans="1:24">
      <c r="A1" s="513" t="s">
        <v>2</v>
      </c>
      <c r="B1" s="513"/>
      <c r="C1" s="513"/>
      <c r="D1" s="513"/>
      <c r="E1" s="513"/>
      <c r="F1" s="513"/>
      <c r="G1" s="513"/>
      <c r="H1" s="513"/>
      <c r="I1" s="513"/>
      <c r="J1" s="513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</row>
    <row r="2" spans="1:24">
      <c r="A2" s="513" t="s">
        <v>3</v>
      </c>
      <c r="B2" s="513"/>
      <c r="C2" s="513"/>
      <c r="D2" s="513"/>
      <c r="E2" s="513"/>
      <c r="F2" s="513"/>
      <c r="G2" s="513"/>
      <c r="H2" s="513"/>
      <c r="I2" s="513"/>
      <c r="J2" s="513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</row>
    <row r="3" spans="1:24">
      <c r="A3" s="513" t="s">
        <v>4</v>
      </c>
      <c r="B3" s="513"/>
      <c r="C3" s="513"/>
      <c r="D3" s="513"/>
      <c r="E3" s="513"/>
      <c r="F3" s="513"/>
      <c r="G3" s="513"/>
      <c r="H3" s="513"/>
      <c r="I3" s="513"/>
      <c r="J3" s="513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</row>
    <row r="4" spans="1:24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5" spans="1:24">
      <c r="A5" s="409" t="s">
        <v>5</v>
      </c>
      <c r="B5" s="410">
        <v>4720</v>
      </c>
      <c r="C5" s="408"/>
      <c r="D5" s="411"/>
      <c r="E5" s="411"/>
      <c r="F5" s="408"/>
      <c r="G5" s="408"/>
      <c r="H5" s="408"/>
      <c r="I5" s="408"/>
      <c r="J5" s="408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</row>
    <row r="6" spans="1:24">
      <c r="A6" s="412" t="s">
        <v>6</v>
      </c>
      <c r="B6" s="413">
        <v>0.1</v>
      </c>
      <c r="C6" s="407"/>
      <c r="D6" s="414" t="s">
        <v>7</v>
      </c>
      <c r="E6" s="415" t="s">
        <v>293</v>
      </c>
      <c r="F6" s="416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</row>
    <row r="7" spans="1:24">
      <c r="A7" s="412" t="s">
        <v>8</v>
      </c>
      <c r="B7" s="417">
        <v>65</v>
      </c>
      <c r="C7" s="417"/>
      <c r="D7" s="418" t="s">
        <v>9</v>
      </c>
      <c r="E7" s="419" t="s">
        <v>10</v>
      </c>
      <c r="F7" s="420"/>
      <c r="G7" s="407"/>
      <c r="H7" s="421"/>
      <c r="I7" s="421"/>
      <c r="J7" s="421"/>
      <c r="K7" s="421"/>
      <c r="L7" s="419" t="s">
        <v>11</v>
      </c>
      <c r="M7" s="421"/>
      <c r="N7" s="422"/>
      <c r="O7" s="423"/>
      <c r="P7" s="423"/>
      <c r="Q7" s="416"/>
      <c r="R7" s="407"/>
      <c r="S7" s="422"/>
      <c r="T7" s="416"/>
      <c r="U7" s="407"/>
      <c r="V7" s="419" t="s">
        <v>11</v>
      </c>
      <c r="W7" s="407"/>
      <c r="X7" s="407"/>
    </row>
    <row r="8" spans="1:24">
      <c r="A8" s="424" t="s">
        <v>280</v>
      </c>
      <c r="B8" s="407"/>
      <c r="C8" s="407"/>
      <c r="D8" s="425"/>
      <c r="E8" s="426">
        <v>0.1363692250219907</v>
      </c>
      <c r="F8" s="420"/>
      <c r="G8" s="427" t="s">
        <v>280</v>
      </c>
      <c r="H8" s="427"/>
      <c r="I8" s="427"/>
      <c r="J8" s="427"/>
      <c r="K8" s="421"/>
      <c r="L8" s="428" t="s">
        <v>12</v>
      </c>
      <c r="M8" s="421"/>
      <c r="N8" s="429"/>
      <c r="O8" s="421"/>
      <c r="P8" s="421"/>
      <c r="Q8" s="420"/>
      <c r="R8" s="407"/>
      <c r="S8" s="429"/>
      <c r="T8" s="420"/>
      <c r="U8" s="407"/>
      <c r="V8" s="428" t="s">
        <v>13</v>
      </c>
      <c r="W8" s="407"/>
      <c r="X8" s="407"/>
    </row>
    <row r="9" spans="1:24">
      <c r="A9" s="407"/>
      <c r="B9" s="514" t="s">
        <v>14</v>
      </c>
      <c r="C9" s="515"/>
      <c r="D9" s="418" t="s">
        <v>280</v>
      </c>
      <c r="E9" s="419" t="s">
        <v>307</v>
      </c>
      <c r="F9" s="430" t="s">
        <v>294</v>
      </c>
      <c r="G9" s="419" t="s">
        <v>15</v>
      </c>
      <c r="H9" s="421"/>
      <c r="I9" s="421"/>
      <c r="J9" s="431" t="s">
        <v>15</v>
      </c>
      <c r="K9" s="421"/>
      <c r="L9" s="428" t="s">
        <v>295</v>
      </c>
      <c r="M9" s="421"/>
      <c r="N9" s="429"/>
      <c r="O9" s="421"/>
      <c r="P9" s="421"/>
      <c r="Q9" s="420"/>
      <c r="R9" s="407"/>
      <c r="S9" s="425" t="s">
        <v>16</v>
      </c>
      <c r="T9" s="432">
        <f>E8</f>
        <v>0.1363692250219907</v>
      </c>
      <c r="U9" s="407"/>
      <c r="V9" s="428" t="s">
        <v>306</v>
      </c>
      <c r="W9" s="407"/>
      <c r="X9" s="407"/>
    </row>
    <row r="10" spans="1:24">
      <c r="A10" s="412" t="s">
        <v>17</v>
      </c>
      <c r="B10" s="407" t="s">
        <v>18</v>
      </c>
      <c r="C10" s="407" t="s">
        <v>19</v>
      </c>
      <c r="D10" s="433">
        <v>1470236.1600000006</v>
      </c>
      <c r="E10" s="434">
        <f>+J27</f>
        <v>1677542.3200000005</v>
      </c>
      <c r="F10" s="435">
        <f>E10-D10</f>
        <v>207306.15999999992</v>
      </c>
      <c r="G10" s="419" t="s">
        <v>20</v>
      </c>
      <c r="H10" s="419"/>
      <c r="I10" s="421"/>
      <c r="J10" s="431" t="s">
        <v>21</v>
      </c>
      <c r="K10" s="421"/>
      <c r="L10" s="436"/>
      <c r="M10" s="421"/>
      <c r="N10" s="429"/>
      <c r="O10" s="421"/>
      <c r="P10" s="421"/>
      <c r="Q10" s="420"/>
      <c r="R10" s="407"/>
      <c r="S10" s="437">
        <f>D10</f>
        <v>1470236.1600000006</v>
      </c>
      <c r="T10" s="438">
        <f>E10</f>
        <v>1677542.3200000005</v>
      </c>
      <c r="U10" s="407"/>
      <c r="V10" s="407"/>
      <c r="W10" s="407"/>
      <c r="X10" s="407" t="s">
        <v>22</v>
      </c>
    </row>
    <row r="11" spans="1:24">
      <c r="A11" s="439" t="s">
        <v>8</v>
      </c>
      <c r="B11" s="417">
        <v>48</v>
      </c>
      <c r="C11" s="417">
        <f>+B7</f>
        <v>65</v>
      </c>
      <c r="D11" s="433">
        <f>D29*B11</f>
        <v>226560</v>
      </c>
      <c r="E11" s="440">
        <f>IF(E29=4720,E29*C11,E29*C11*0.5)</f>
        <v>306800</v>
      </c>
      <c r="F11" s="441">
        <f>+E11-D11</f>
        <v>80240</v>
      </c>
      <c r="G11" s="419" t="s">
        <v>295</v>
      </c>
      <c r="H11" s="442"/>
      <c r="I11" s="421"/>
      <c r="J11" s="443" t="s">
        <v>293</v>
      </c>
      <c r="K11" s="419"/>
      <c r="L11" s="444"/>
      <c r="M11" s="407"/>
      <c r="N11" s="429" t="s">
        <v>115</v>
      </c>
      <c r="O11" s="421"/>
      <c r="P11" s="421" t="s">
        <v>114</v>
      </c>
      <c r="Q11" s="420" t="s">
        <v>23</v>
      </c>
      <c r="R11" s="407"/>
      <c r="S11" s="437">
        <f>D11</f>
        <v>226560</v>
      </c>
      <c r="T11" s="438">
        <f>E11</f>
        <v>306800</v>
      </c>
      <c r="U11" s="407"/>
      <c r="V11" s="407"/>
      <c r="W11" s="407"/>
      <c r="X11" s="419" t="s">
        <v>15</v>
      </c>
    </row>
    <row r="12" spans="1:24">
      <c r="A12" s="412" t="s">
        <v>24</v>
      </c>
      <c r="B12" s="407"/>
      <c r="C12" s="407"/>
      <c r="D12" s="445">
        <f>D10-D11</f>
        <v>1243676.1600000006</v>
      </c>
      <c r="E12" s="446">
        <f>E10-E11</f>
        <v>1370742.3200000005</v>
      </c>
      <c r="F12" s="447">
        <f>E12-D12</f>
        <v>127066.15999999992</v>
      </c>
      <c r="G12" s="448" t="s">
        <v>25</v>
      </c>
      <c r="H12" s="449" t="s">
        <v>115</v>
      </c>
      <c r="I12" s="421"/>
      <c r="J12" s="450" t="s">
        <v>306</v>
      </c>
      <c r="K12" s="442"/>
      <c r="L12" s="436"/>
      <c r="M12" s="407" t="s">
        <v>280</v>
      </c>
      <c r="N12" s="429" t="s">
        <v>26</v>
      </c>
      <c r="O12" s="421"/>
      <c r="P12" s="421" t="s">
        <v>26</v>
      </c>
      <c r="Q12" s="420" t="s">
        <v>26</v>
      </c>
      <c r="R12" s="407"/>
      <c r="S12" s="437">
        <f>S10-S11</f>
        <v>1243676.1600000006</v>
      </c>
      <c r="T12" s="438">
        <f>T10-T11</f>
        <v>1370742.3200000005</v>
      </c>
      <c r="U12" s="407"/>
      <c r="V12" s="407"/>
      <c r="W12" s="407"/>
      <c r="X12" s="419" t="s">
        <v>21</v>
      </c>
    </row>
    <row r="13" spans="1:24">
      <c r="A13" s="412"/>
      <c r="B13" s="407"/>
      <c r="C13" s="407"/>
      <c r="D13" s="425"/>
      <c r="E13" s="451"/>
      <c r="F13" s="421"/>
      <c r="G13" s="407"/>
      <c r="H13" s="407"/>
      <c r="I13" s="407"/>
      <c r="J13" s="420"/>
      <c r="K13" s="421"/>
      <c r="L13" s="407"/>
      <c r="M13" s="407"/>
      <c r="N13" s="429"/>
      <c r="O13" s="421"/>
      <c r="P13" s="421"/>
      <c r="Q13" s="420"/>
      <c r="R13" s="407"/>
      <c r="S13" s="437"/>
      <c r="T13" s="438"/>
      <c r="U13" s="407"/>
      <c r="V13" s="407"/>
      <c r="W13" s="407"/>
      <c r="X13" s="419" t="s">
        <v>306</v>
      </c>
    </row>
    <row r="14" spans="1:24">
      <c r="A14" s="412" t="s">
        <v>27</v>
      </c>
      <c r="B14" s="407" t="s">
        <v>303</v>
      </c>
      <c r="C14" s="452">
        <v>15</v>
      </c>
      <c r="D14" s="453">
        <v>0.1</v>
      </c>
      <c r="E14" s="454">
        <f t="shared" ref="E14" si="0">ROUND(D14*(1+$E$8),2)</f>
        <v>0.11</v>
      </c>
      <c r="F14" s="421"/>
      <c r="G14" s="455">
        <f t="shared" ref="G14:G26" si="1">E14-D14</f>
        <v>9.999999999999995E-3</v>
      </c>
      <c r="H14" s="456">
        <v>2641</v>
      </c>
      <c r="I14" s="456"/>
      <c r="J14" s="438">
        <f>H14*E14*12</f>
        <v>3486.12</v>
      </c>
      <c r="K14" s="455"/>
      <c r="L14" s="413">
        <f t="shared" ref="L14:L26" si="2">(E14-D14)/D14</f>
        <v>9.999999999999995E-2</v>
      </c>
      <c r="M14" s="407"/>
      <c r="N14" s="457">
        <v>3226</v>
      </c>
      <c r="O14" s="456"/>
      <c r="P14" s="456">
        <f t="shared" ref="P14:P18" si="3">Q14/D14/12</f>
        <v>1153.75</v>
      </c>
      <c r="Q14" s="438">
        <v>1384.5</v>
      </c>
      <c r="R14" s="407"/>
      <c r="S14" s="437">
        <f t="shared" ref="S14:S18" si="4">P14*D14*12</f>
        <v>1384.5</v>
      </c>
      <c r="T14" s="438">
        <f>H14*E14*12</f>
        <v>3486.12</v>
      </c>
      <c r="U14" s="407"/>
      <c r="V14" s="458">
        <f>(J14-X14)/X14</f>
        <v>9.9999999999999867E-2</v>
      </c>
      <c r="W14" s="407"/>
      <c r="X14" s="459">
        <v>3169.2000000000003</v>
      </c>
    </row>
    <row r="15" spans="1:24">
      <c r="A15" s="412"/>
      <c r="B15" s="407" t="s">
        <v>303</v>
      </c>
      <c r="C15" s="460" t="s">
        <v>28</v>
      </c>
      <c r="D15" s="453">
        <v>0.55000000000000004</v>
      </c>
      <c r="E15" s="454">
        <f>ROUND(D15*(1+$E$8),2)</f>
        <v>0.63</v>
      </c>
      <c r="F15" s="421"/>
      <c r="G15" s="455">
        <f t="shared" si="1"/>
        <v>7.999999999999996E-2</v>
      </c>
      <c r="H15" s="456">
        <f>99245-E29+D29</f>
        <v>99245</v>
      </c>
      <c r="I15" s="456"/>
      <c r="J15" s="438">
        <f>(H15)*E15*12</f>
        <v>750292.2</v>
      </c>
      <c r="K15" s="455"/>
      <c r="L15" s="413">
        <f t="shared" si="2"/>
        <v>0.14545454545454536</v>
      </c>
      <c r="M15" s="407"/>
      <c r="N15" s="457">
        <v>130394</v>
      </c>
      <c r="O15" s="456"/>
      <c r="P15" s="456">
        <f t="shared" si="3"/>
        <v>40544.177272727269</v>
      </c>
      <c r="Q15" s="438">
        <v>267591.57</v>
      </c>
      <c r="R15" s="407"/>
      <c r="S15" s="437">
        <f t="shared" si="4"/>
        <v>267591.57</v>
      </c>
      <c r="T15" s="438">
        <f>(H15-E29)*E15*12</f>
        <v>714609</v>
      </c>
      <c r="U15" s="407"/>
      <c r="V15" s="458">
        <f t="shared" ref="V15:V27" si="5">(J15-X15)/X15</f>
        <v>0.14545454545454517</v>
      </c>
      <c r="W15" s="407"/>
      <c r="X15" s="459">
        <v>655017.00000000012</v>
      </c>
    </row>
    <row r="16" spans="1:24">
      <c r="A16" s="412"/>
      <c r="B16" s="407" t="s">
        <v>303</v>
      </c>
      <c r="C16" s="452">
        <v>24</v>
      </c>
      <c r="D16" s="453">
        <v>1.1399999999999999</v>
      </c>
      <c r="E16" s="454">
        <f t="shared" ref="E16:E26" si="6">ROUND(D16*(1+$E$8),2)</f>
        <v>1.3</v>
      </c>
      <c r="F16" s="421"/>
      <c r="G16" s="455">
        <f t="shared" si="1"/>
        <v>0.16000000000000014</v>
      </c>
      <c r="H16" s="456">
        <v>18382</v>
      </c>
      <c r="I16" s="456"/>
      <c r="J16" s="438">
        <f>H16*E16*12</f>
        <v>286759.2</v>
      </c>
      <c r="K16" s="455"/>
      <c r="L16" s="413">
        <f t="shared" si="2"/>
        <v>0.14035087719298259</v>
      </c>
      <c r="M16" s="407"/>
      <c r="N16" s="457">
        <v>19694</v>
      </c>
      <c r="O16" s="456"/>
      <c r="P16" s="456">
        <f t="shared" si="3"/>
        <v>6826.1191520467837</v>
      </c>
      <c r="Q16" s="438">
        <v>93381.31</v>
      </c>
      <c r="R16" s="407"/>
      <c r="S16" s="437">
        <f t="shared" si="4"/>
        <v>93381.31</v>
      </c>
      <c r="T16" s="438">
        <f>H16*E16*12</f>
        <v>286759.2</v>
      </c>
      <c r="U16" s="407"/>
      <c r="V16" s="458">
        <f t="shared" si="5"/>
        <v>0.14035087719298245</v>
      </c>
      <c r="W16" s="407"/>
      <c r="X16" s="459">
        <v>251465.76</v>
      </c>
    </row>
    <row r="17" spans="1:24">
      <c r="A17" s="412"/>
      <c r="B17" s="407" t="s">
        <v>303</v>
      </c>
      <c r="C17" s="452">
        <v>33</v>
      </c>
      <c r="D17" s="453">
        <v>27.96</v>
      </c>
      <c r="E17" s="454">
        <f t="shared" si="6"/>
        <v>31.77</v>
      </c>
      <c r="F17" s="421"/>
      <c r="G17" s="455">
        <f t="shared" si="1"/>
        <v>3.8099999999999987</v>
      </c>
      <c r="H17" s="456">
        <v>0</v>
      </c>
      <c r="I17" s="456"/>
      <c r="J17" s="438">
        <f>H17*E17*12</f>
        <v>0</v>
      </c>
      <c r="K17" s="455"/>
      <c r="L17" s="413">
        <f t="shared" si="2"/>
        <v>0.13626609442060081</v>
      </c>
      <c r="M17" s="407"/>
      <c r="N17" s="457">
        <v>1</v>
      </c>
      <c r="O17" s="456"/>
      <c r="P17" s="456">
        <f t="shared" si="3"/>
        <v>0.12139365760610395</v>
      </c>
      <c r="Q17" s="438">
        <v>40.729999999999997</v>
      </c>
      <c r="R17" s="407"/>
      <c r="S17" s="437">
        <f t="shared" si="4"/>
        <v>40.729999999999997</v>
      </c>
      <c r="T17" s="438">
        <f>H17*E17*12</f>
        <v>0</v>
      </c>
      <c r="U17" s="407"/>
      <c r="V17" s="458" t="e">
        <f t="shared" si="5"/>
        <v>#DIV/0!</v>
      </c>
      <c r="W17" s="407"/>
      <c r="X17" s="459">
        <v>0</v>
      </c>
    </row>
    <row r="18" spans="1:24">
      <c r="A18" s="412"/>
      <c r="B18" s="407" t="s">
        <v>303</v>
      </c>
      <c r="C18" s="452">
        <v>36</v>
      </c>
      <c r="D18" s="453">
        <v>27.96</v>
      </c>
      <c r="E18" s="454">
        <f t="shared" si="6"/>
        <v>31.77</v>
      </c>
      <c r="F18" s="421"/>
      <c r="G18" s="455">
        <f t="shared" si="1"/>
        <v>3.8099999999999987</v>
      </c>
      <c r="H18" s="456">
        <v>1072</v>
      </c>
      <c r="I18" s="456"/>
      <c r="J18" s="438">
        <f>H18*E18*12</f>
        <v>408689.28</v>
      </c>
      <c r="K18" s="455"/>
      <c r="L18" s="413">
        <f t="shared" si="2"/>
        <v>0.13626609442060081</v>
      </c>
      <c r="M18" s="407"/>
      <c r="N18" s="457">
        <v>1318</v>
      </c>
      <c r="O18" s="456"/>
      <c r="P18" s="456">
        <f t="shared" si="3"/>
        <v>396.55734382451124</v>
      </c>
      <c r="Q18" s="438">
        <v>133052.92000000001</v>
      </c>
      <c r="R18" s="407"/>
      <c r="S18" s="437">
        <f t="shared" si="4"/>
        <v>133052.92000000001</v>
      </c>
      <c r="T18" s="438">
        <f>H18*E18*12</f>
        <v>408689.28</v>
      </c>
      <c r="U18" s="407"/>
      <c r="V18" s="458">
        <f t="shared" si="5"/>
        <v>0.13626609442060075</v>
      </c>
      <c r="W18" s="407"/>
      <c r="X18" s="459">
        <v>359677.44000000006</v>
      </c>
    </row>
    <row r="19" spans="1:24">
      <c r="A19" s="412"/>
      <c r="B19" s="407" t="s">
        <v>303</v>
      </c>
      <c r="C19" s="452">
        <v>40</v>
      </c>
      <c r="D19" s="453">
        <v>11.53</v>
      </c>
      <c r="E19" s="454">
        <f t="shared" si="6"/>
        <v>13.1</v>
      </c>
      <c r="F19" s="461" t="s">
        <v>29</v>
      </c>
      <c r="G19" s="455">
        <f t="shared" si="1"/>
        <v>1.5700000000000003</v>
      </c>
      <c r="H19" s="456">
        <v>5276</v>
      </c>
      <c r="I19" s="456"/>
      <c r="J19" s="438">
        <f>H19*E19</f>
        <v>69115.599999999991</v>
      </c>
      <c r="K19" s="455"/>
      <c r="L19" s="413">
        <f t="shared" si="2"/>
        <v>0.1361665221162186</v>
      </c>
      <c r="M19" s="455"/>
      <c r="N19" s="457">
        <v>3590</v>
      </c>
      <c r="O19" s="456"/>
      <c r="P19" s="456">
        <f>Q19/D19</f>
        <v>1349.6400693842152</v>
      </c>
      <c r="Q19" s="438">
        <v>15561.35</v>
      </c>
      <c r="R19" s="407"/>
      <c r="S19" s="437">
        <f>P19*D19</f>
        <v>15561.35</v>
      </c>
      <c r="T19" s="438">
        <f>H19*E19</f>
        <v>69115.599999999991</v>
      </c>
      <c r="U19" s="407"/>
      <c r="V19" s="458">
        <f t="shared" si="5"/>
        <v>0.13616652211621844</v>
      </c>
      <c r="W19" s="407"/>
      <c r="X19" s="459">
        <v>60832.28</v>
      </c>
    </row>
    <row r="20" spans="1:24">
      <c r="A20" s="412"/>
      <c r="B20" s="407" t="s">
        <v>303</v>
      </c>
      <c r="C20" s="452" t="s">
        <v>30</v>
      </c>
      <c r="D20" s="453">
        <v>189.21</v>
      </c>
      <c r="E20" s="454">
        <f t="shared" si="6"/>
        <v>215.01</v>
      </c>
      <c r="F20" s="421"/>
      <c r="G20" s="455">
        <f t="shared" si="1"/>
        <v>25.799999999999983</v>
      </c>
      <c r="H20" s="456">
        <v>1</v>
      </c>
      <c r="I20" s="456"/>
      <c r="J20" s="438">
        <f t="shared" ref="J20:J26" si="7">H20*E20*12</f>
        <v>2580.12</v>
      </c>
      <c r="K20" s="455"/>
      <c r="L20" s="413">
        <f t="shared" si="2"/>
        <v>0.13635642936419842</v>
      </c>
      <c r="M20" s="455"/>
      <c r="N20" s="457">
        <v>1</v>
      </c>
      <c r="O20" s="456"/>
      <c r="P20" s="456">
        <f t="shared" ref="P20:P26" si="8">Q20/D20/12</f>
        <v>0.39638496908197235</v>
      </c>
      <c r="Q20" s="438">
        <v>900</v>
      </c>
      <c r="R20" s="407"/>
      <c r="S20" s="437">
        <f t="shared" ref="S20:S26" si="9">P20*D20*12</f>
        <v>899.99999999999977</v>
      </c>
      <c r="T20" s="438">
        <f t="shared" ref="T20:T26" si="10">H20*E20*12</f>
        <v>2580.12</v>
      </c>
      <c r="U20" s="407"/>
      <c r="V20" s="458">
        <f t="shared" si="5"/>
        <v>0.13635642936419848</v>
      </c>
      <c r="W20" s="407"/>
      <c r="X20" s="459">
        <v>2270.52</v>
      </c>
    </row>
    <row r="21" spans="1:24">
      <c r="A21" s="412"/>
      <c r="B21" s="407" t="s">
        <v>303</v>
      </c>
      <c r="C21" s="452" t="s">
        <v>31</v>
      </c>
      <c r="D21" s="453">
        <v>189.21</v>
      </c>
      <c r="E21" s="454">
        <f t="shared" si="6"/>
        <v>215.01</v>
      </c>
      <c r="F21" s="421"/>
      <c r="G21" s="455">
        <f t="shared" si="1"/>
        <v>25.799999999999983</v>
      </c>
      <c r="H21" s="456">
        <v>57</v>
      </c>
      <c r="I21" s="456"/>
      <c r="J21" s="438">
        <f t="shared" si="7"/>
        <v>147066.84</v>
      </c>
      <c r="K21" s="455"/>
      <c r="L21" s="413">
        <f t="shared" si="2"/>
        <v>0.13635642936419842</v>
      </c>
      <c r="M21" s="455"/>
      <c r="N21" s="457">
        <v>77</v>
      </c>
      <c r="O21" s="456"/>
      <c r="P21" s="456">
        <f t="shared" si="8"/>
        <v>25.589860472490884</v>
      </c>
      <c r="Q21" s="438">
        <v>58102.29</v>
      </c>
      <c r="R21" s="407"/>
      <c r="S21" s="437">
        <f t="shared" si="9"/>
        <v>58102.29</v>
      </c>
      <c r="T21" s="438">
        <f t="shared" si="10"/>
        <v>147066.84</v>
      </c>
      <c r="U21" s="407"/>
      <c r="V21" s="458">
        <f t="shared" si="5"/>
        <v>0.13635642936419837</v>
      </c>
      <c r="W21" s="407"/>
      <c r="X21" s="459">
        <v>129419.64000000001</v>
      </c>
    </row>
    <row r="22" spans="1:24">
      <c r="A22" s="412"/>
      <c r="B22" s="407" t="s">
        <v>303</v>
      </c>
      <c r="C22" s="452">
        <v>51</v>
      </c>
      <c r="D22" s="453">
        <v>1.58</v>
      </c>
      <c r="E22" s="454">
        <f t="shared" si="6"/>
        <v>1.8</v>
      </c>
      <c r="F22" s="462"/>
      <c r="G22" s="455">
        <f t="shared" si="1"/>
        <v>0.21999999999999997</v>
      </c>
      <c r="H22" s="456">
        <v>166</v>
      </c>
      <c r="I22" s="456"/>
      <c r="J22" s="438">
        <f t="shared" si="7"/>
        <v>3585.6000000000004</v>
      </c>
      <c r="K22" s="455"/>
      <c r="L22" s="413">
        <f t="shared" si="2"/>
        <v>0.13924050632911389</v>
      </c>
      <c r="M22" s="421"/>
      <c r="N22" s="457">
        <v>149</v>
      </c>
      <c r="O22" s="456"/>
      <c r="P22" s="456">
        <f t="shared" si="8"/>
        <v>55.301160337552744</v>
      </c>
      <c r="Q22" s="438">
        <v>1048.51</v>
      </c>
      <c r="R22" s="407"/>
      <c r="S22" s="437">
        <f t="shared" si="9"/>
        <v>1048.5100000000002</v>
      </c>
      <c r="T22" s="438">
        <f t="shared" si="10"/>
        <v>3585.6000000000004</v>
      </c>
      <c r="U22" s="407"/>
      <c r="V22" s="458">
        <f t="shared" si="5"/>
        <v>0.13924050632911383</v>
      </c>
      <c r="W22" s="407"/>
      <c r="X22" s="459">
        <v>3147.3600000000006</v>
      </c>
    </row>
    <row r="23" spans="1:24">
      <c r="A23" s="412"/>
      <c r="B23" s="407" t="s">
        <v>303</v>
      </c>
      <c r="C23" s="452">
        <v>52</v>
      </c>
      <c r="D23" s="453">
        <v>1.58</v>
      </c>
      <c r="E23" s="454">
        <f t="shared" si="6"/>
        <v>1.8</v>
      </c>
      <c r="F23" s="421"/>
      <c r="G23" s="455">
        <f t="shared" si="1"/>
        <v>0.21999999999999997</v>
      </c>
      <c r="H23" s="456">
        <v>23</v>
      </c>
      <c r="I23" s="456"/>
      <c r="J23" s="438">
        <f t="shared" si="7"/>
        <v>496.79999999999995</v>
      </c>
      <c r="K23" s="455"/>
      <c r="L23" s="413">
        <f t="shared" si="2"/>
        <v>0.13924050632911389</v>
      </c>
      <c r="M23" s="421"/>
      <c r="N23" s="457">
        <v>28</v>
      </c>
      <c r="O23" s="456"/>
      <c r="P23" s="456">
        <f t="shared" si="8"/>
        <v>8.6898734177215182</v>
      </c>
      <c r="Q23" s="438">
        <v>164.76</v>
      </c>
      <c r="R23" s="407"/>
      <c r="S23" s="437">
        <f t="shared" si="9"/>
        <v>164.76</v>
      </c>
      <c r="T23" s="438">
        <f t="shared" si="10"/>
        <v>496.79999999999995</v>
      </c>
      <c r="U23" s="407"/>
      <c r="V23" s="458">
        <f t="shared" si="5"/>
        <v>0.13924050632911372</v>
      </c>
      <c r="W23" s="407"/>
      <c r="X23" s="459">
        <v>436.08000000000004</v>
      </c>
    </row>
    <row r="24" spans="1:24">
      <c r="A24" s="412"/>
      <c r="B24" s="407" t="s">
        <v>303</v>
      </c>
      <c r="C24" s="452">
        <v>53</v>
      </c>
      <c r="D24" s="453">
        <v>1.58</v>
      </c>
      <c r="E24" s="454">
        <f t="shared" si="6"/>
        <v>1.8</v>
      </c>
      <c r="F24" s="421"/>
      <c r="G24" s="455">
        <f t="shared" si="1"/>
        <v>0.21999999999999997</v>
      </c>
      <c r="H24" s="456">
        <v>198</v>
      </c>
      <c r="I24" s="456"/>
      <c r="J24" s="438">
        <f t="shared" si="7"/>
        <v>4276.8</v>
      </c>
      <c r="K24" s="455"/>
      <c r="L24" s="413">
        <f t="shared" si="2"/>
        <v>0.13924050632911389</v>
      </c>
      <c r="M24" s="421"/>
      <c r="N24" s="457">
        <v>264</v>
      </c>
      <c r="O24" s="456"/>
      <c r="P24" s="456">
        <f t="shared" si="8"/>
        <v>100.79535864978902</v>
      </c>
      <c r="Q24" s="438">
        <v>1911.08</v>
      </c>
      <c r="R24" s="407"/>
      <c r="S24" s="437">
        <f t="shared" si="9"/>
        <v>1911.08</v>
      </c>
      <c r="T24" s="438">
        <f t="shared" si="10"/>
        <v>4276.8</v>
      </c>
      <c r="U24" s="407"/>
      <c r="V24" s="458">
        <f t="shared" si="5"/>
        <v>0.13924050632911386</v>
      </c>
      <c r="W24" s="407"/>
      <c r="X24" s="459">
        <v>3754.0800000000004</v>
      </c>
    </row>
    <row r="25" spans="1:24">
      <c r="A25" s="412"/>
      <c r="B25" s="407" t="s">
        <v>303</v>
      </c>
      <c r="C25" s="452">
        <v>54</v>
      </c>
      <c r="D25" s="453">
        <v>0.55000000000000004</v>
      </c>
      <c r="E25" s="454">
        <f t="shared" si="6"/>
        <v>0.63</v>
      </c>
      <c r="F25" s="421"/>
      <c r="G25" s="455">
        <f t="shared" si="1"/>
        <v>7.999999999999996E-2</v>
      </c>
      <c r="H25" s="456">
        <v>29.333333333333332</v>
      </c>
      <c r="I25" s="456"/>
      <c r="J25" s="438">
        <f t="shared" si="7"/>
        <v>221.76</v>
      </c>
      <c r="K25" s="455"/>
      <c r="L25" s="413">
        <f t="shared" si="2"/>
        <v>0.14545454545454536</v>
      </c>
      <c r="M25" s="421"/>
      <c r="N25" s="457">
        <v>34</v>
      </c>
      <c r="O25" s="456"/>
      <c r="P25" s="456">
        <f t="shared" si="8"/>
        <v>11.76060606060606</v>
      </c>
      <c r="Q25" s="438">
        <v>77.62</v>
      </c>
      <c r="R25" s="407"/>
      <c r="S25" s="437">
        <f t="shared" si="9"/>
        <v>77.62</v>
      </c>
      <c r="T25" s="438">
        <f t="shared" si="10"/>
        <v>221.76</v>
      </c>
      <c r="U25" s="407"/>
      <c r="V25" s="458">
        <f t="shared" si="5"/>
        <v>0.14545454545454545</v>
      </c>
      <c r="W25" s="407"/>
      <c r="X25" s="459">
        <v>193.6</v>
      </c>
    </row>
    <row r="26" spans="1:24">
      <c r="A26" s="412"/>
      <c r="B26" s="407" t="s">
        <v>303</v>
      </c>
      <c r="C26" s="452">
        <v>57</v>
      </c>
      <c r="D26" s="453">
        <v>1.58</v>
      </c>
      <c r="E26" s="454">
        <f t="shared" si="6"/>
        <v>1.8</v>
      </c>
      <c r="F26" s="421"/>
      <c r="G26" s="455">
        <f t="shared" si="1"/>
        <v>0.21999999999999997</v>
      </c>
      <c r="H26" s="463">
        <v>45</v>
      </c>
      <c r="I26" s="456"/>
      <c r="J26" s="464">
        <f t="shared" si="7"/>
        <v>972</v>
      </c>
      <c r="K26" s="465"/>
      <c r="L26" s="413">
        <f t="shared" si="2"/>
        <v>0.13924050632911389</v>
      </c>
      <c r="M26" s="421"/>
      <c r="N26" s="457">
        <v>66</v>
      </c>
      <c r="O26" s="456"/>
      <c r="P26" s="456">
        <f t="shared" si="8"/>
        <v>25.35759493670886</v>
      </c>
      <c r="Q26" s="438">
        <v>480.78</v>
      </c>
      <c r="R26" s="407"/>
      <c r="S26" s="437">
        <f t="shared" si="9"/>
        <v>480.78000000000009</v>
      </c>
      <c r="T26" s="438">
        <f t="shared" si="10"/>
        <v>972</v>
      </c>
      <c r="U26" s="407"/>
      <c r="V26" s="458">
        <f t="shared" si="5"/>
        <v>0.13924050632911386</v>
      </c>
      <c r="W26" s="407"/>
      <c r="X26" s="459">
        <v>853.2</v>
      </c>
    </row>
    <row r="27" spans="1:24">
      <c r="A27" s="412"/>
      <c r="B27" s="407"/>
      <c r="C27" s="407"/>
      <c r="D27" s="425"/>
      <c r="E27" s="466"/>
      <c r="F27" s="421"/>
      <c r="G27" s="421"/>
      <c r="H27" s="456">
        <f>SUM(H14:H26)</f>
        <v>127135.33333333333</v>
      </c>
      <c r="I27" s="456"/>
      <c r="J27" s="438">
        <f>SUM(J14:J26)</f>
        <v>1677542.3200000005</v>
      </c>
      <c r="K27" s="455"/>
      <c r="L27" s="455"/>
      <c r="M27" s="421"/>
      <c r="N27" s="457">
        <v>158986</v>
      </c>
      <c r="O27" s="456"/>
      <c r="P27" s="456">
        <f>SUM(P14:P26)</f>
        <v>50498.256070484349</v>
      </c>
      <c r="Q27" s="438">
        <v>574056.87</v>
      </c>
      <c r="R27" s="407"/>
      <c r="S27" s="437">
        <f>SUM(S14:S26)</f>
        <v>573697.42000000004</v>
      </c>
      <c r="T27" s="438">
        <f>SUM(T14:T26)</f>
        <v>1641859.1200000006</v>
      </c>
      <c r="U27" s="407"/>
      <c r="V27" s="458">
        <f t="shared" si="5"/>
        <v>0.14100194624515278</v>
      </c>
      <c r="W27" s="407"/>
      <c r="X27" s="459">
        <f>SUM(X14:X26)</f>
        <v>1470236.1600000006</v>
      </c>
    </row>
    <row r="28" spans="1:24">
      <c r="A28" s="452" t="s">
        <v>280</v>
      </c>
      <c r="B28" s="412" t="s">
        <v>280</v>
      </c>
      <c r="C28" s="407"/>
      <c r="D28" s="467"/>
      <c r="E28" s="466"/>
      <c r="F28" s="421"/>
      <c r="G28" s="421"/>
      <c r="H28" s="421"/>
      <c r="I28" s="421"/>
      <c r="J28" s="420"/>
      <c r="K28" s="421"/>
    </row>
    <row r="29" spans="1:24">
      <c r="A29" s="412" t="s">
        <v>32</v>
      </c>
      <c r="B29" s="407" t="s">
        <v>280</v>
      </c>
      <c r="C29" s="412" t="s">
        <v>280</v>
      </c>
      <c r="D29" s="468">
        <v>4720</v>
      </c>
      <c r="E29" s="469">
        <v>4720</v>
      </c>
      <c r="F29" s="470">
        <f>E29-D29</f>
        <v>0</v>
      </c>
      <c r="G29" s="427"/>
      <c r="H29" s="427"/>
      <c r="I29" s="427"/>
      <c r="J29" s="441">
        <f>+J27-E50</f>
        <v>2697.5200000007171</v>
      </c>
      <c r="K29" s="421"/>
    </row>
    <row r="30" spans="1:24">
      <c r="A30" s="452"/>
      <c r="B30" s="407"/>
      <c r="C30" s="412"/>
      <c r="D30" s="471"/>
      <c r="E30" s="472" t="s">
        <v>33</v>
      </c>
      <c r="F30" s="473"/>
      <c r="G30" s="421"/>
      <c r="H30" s="421"/>
      <c r="I30" s="421"/>
      <c r="J30" s="474" t="s">
        <v>34</v>
      </c>
      <c r="K30" s="421"/>
    </row>
    <row r="31" spans="1:24">
      <c r="A31" s="475" t="s">
        <v>35</v>
      </c>
      <c r="B31" s="407"/>
      <c r="C31" s="412"/>
      <c r="D31" s="476"/>
      <c r="E31" s="472"/>
      <c r="F31" s="473"/>
      <c r="G31" s="421"/>
      <c r="H31" s="421"/>
      <c r="I31" s="421"/>
      <c r="J31" s="421"/>
      <c r="K31" s="421"/>
    </row>
    <row r="32" spans="1:24">
      <c r="A32" s="452" t="s">
        <v>36</v>
      </c>
      <c r="B32" s="407"/>
      <c r="C32" s="412"/>
      <c r="D32" s="476"/>
      <c r="E32" s="472"/>
      <c r="F32" s="473"/>
      <c r="G32" s="421"/>
      <c r="H32" s="421"/>
      <c r="I32" s="421"/>
      <c r="J32" s="421"/>
      <c r="K32" s="421"/>
    </row>
    <row r="33" spans="1:12">
      <c r="A33" s="452"/>
      <c r="B33" s="407"/>
      <c r="C33" s="412"/>
      <c r="D33" s="476"/>
      <c r="E33" s="472"/>
      <c r="F33" s="473"/>
      <c r="G33" s="419" t="s">
        <v>307</v>
      </c>
      <c r="H33" s="419" t="s">
        <v>207</v>
      </c>
      <c r="I33" s="421"/>
      <c r="J33" s="421"/>
      <c r="K33" s="421"/>
    </row>
    <row r="34" spans="1:12">
      <c r="A34" s="477" t="s">
        <v>37</v>
      </c>
      <c r="B34" s="407"/>
      <c r="C34" s="412"/>
      <c r="D34" s="476" t="s">
        <v>18</v>
      </c>
      <c r="E34" s="472" t="s">
        <v>19</v>
      </c>
      <c r="F34" s="473"/>
      <c r="G34" s="419" t="s">
        <v>38</v>
      </c>
      <c r="H34" s="419" t="s">
        <v>38</v>
      </c>
      <c r="I34" s="421"/>
      <c r="J34" s="421"/>
      <c r="K34" s="421"/>
    </row>
    <row r="35" spans="1:12">
      <c r="A35" s="407" t="s">
        <v>39</v>
      </c>
      <c r="B35" s="407"/>
      <c r="C35" s="407"/>
      <c r="D35" s="478">
        <f>ROUND(D12/D29,2)</f>
        <v>263.49</v>
      </c>
      <c r="E35" s="478">
        <f>E46</f>
        <v>289.83999999999997</v>
      </c>
      <c r="F35" s="407"/>
      <c r="G35" s="479">
        <f>E35-D35</f>
        <v>26.349999999999966</v>
      </c>
      <c r="H35" s="480">
        <f>G35/D35</f>
        <v>0.10000379521044428</v>
      </c>
      <c r="I35" s="407"/>
      <c r="J35" s="407" t="s">
        <v>280</v>
      </c>
      <c r="K35" s="407"/>
      <c r="L35" s="481"/>
    </row>
    <row r="36" spans="1:12">
      <c r="A36" s="452" t="s">
        <v>40</v>
      </c>
      <c r="B36" s="407"/>
      <c r="C36" s="407"/>
      <c r="D36" s="482">
        <f>+B11</f>
        <v>48</v>
      </c>
      <c r="E36" s="482">
        <f>+C11</f>
        <v>65</v>
      </c>
      <c r="F36" s="407"/>
      <c r="G36" s="407"/>
      <c r="H36" s="407"/>
      <c r="I36" s="407"/>
      <c r="J36" s="407"/>
      <c r="K36" s="407"/>
    </row>
    <row r="37" spans="1:12">
      <c r="A37" s="452" t="s">
        <v>41</v>
      </c>
      <c r="B37" s="407"/>
      <c r="C37" s="407"/>
      <c r="D37" s="478">
        <f>SUM(D35:D36)</f>
        <v>311.49</v>
      </c>
      <c r="E37" s="478">
        <f>SUM(E35:E36)</f>
        <v>354.84</v>
      </c>
      <c r="F37" s="407"/>
      <c r="G37" s="407"/>
      <c r="H37" s="407"/>
      <c r="I37" s="407"/>
      <c r="J37" s="407"/>
      <c r="K37" s="407"/>
    </row>
    <row r="38" spans="1:12">
      <c r="A38" s="452"/>
      <c r="B38" s="407"/>
      <c r="C38" s="407"/>
      <c r="D38" s="478"/>
      <c r="E38" s="478"/>
      <c r="F38" s="407"/>
      <c r="G38" s="407"/>
      <c r="H38" s="407"/>
      <c r="I38" s="407"/>
      <c r="J38" s="407"/>
      <c r="K38" s="407"/>
    </row>
    <row r="39" spans="1:12">
      <c r="A39" s="452" t="s">
        <v>42</v>
      </c>
      <c r="B39" s="407"/>
      <c r="C39" s="407"/>
      <c r="D39" s="483">
        <f>D37*D29</f>
        <v>1470232.8</v>
      </c>
      <c r="E39" s="483">
        <f>E37*E29</f>
        <v>1674844.7999999998</v>
      </c>
      <c r="F39" s="407"/>
      <c r="G39" s="407"/>
      <c r="H39" s="407"/>
      <c r="I39" s="407"/>
      <c r="J39" s="407"/>
      <c r="K39" s="407"/>
    </row>
    <row r="40" spans="1:12">
      <c r="A40" s="484" t="s">
        <v>43</v>
      </c>
      <c r="B40" s="407"/>
      <c r="C40" s="407"/>
      <c r="D40" s="483">
        <f>E44*D29</f>
        <v>1368040.0800000003</v>
      </c>
      <c r="E40" s="483">
        <f>E35*E29</f>
        <v>1368044.7999999998</v>
      </c>
      <c r="F40" s="407"/>
      <c r="G40" s="485"/>
      <c r="H40" s="407"/>
      <c r="I40" s="407"/>
      <c r="J40" s="407"/>
      <c r="K40" s="407"/>
    </row>
    <row r="41" spans="1:12">
      <c r="A41" s="484"/>
      <c r="B41" s="407"/>
      <c r="C41" s="407"/>
      <c r="D41" s="483"/>
      <c r="E41" s="483"/>
      <c r="F41" s="407"/>
      <c r="G41" s="407"/>
      <c r="H41" s="407"/>
      <c r="I41" s="407"/>
      <c r="J41" s="407"/>
      <c r="K41" s="407"/>
    </row>
    <row r="42" spans="1:12">
      <c r="A42" s="452"/>
      <c r="B42" s="407"/>
      <c r="C42" s="407"/>
      <c r="D42" s="478"/>
      <c r="E42" s="478"/>
      <c r="F42" s="407"/>
      <c r="G42" s="407"/>
      <c r="H42" s="407"/>
      <c r="I42" s="486" t="s">
        <v>280</v>
      </c>
      <c r="J42" s="407"/>
      <c r="K42" s="407"/>
    </row>
    <row r="43" spans="1:12">
      <c r="A43" s="477" t="s">
        <v>44</v>
      </c>
      <c r="B43" s="407"/>
      <c r="C43" s="407"/>
      <c r="D43" s="478"/>
      <c r="E43" s="478"/>
      <c r="F43" s="407"/>
      <c r="G43" s="407"/>
      <c r="H43" s="407"/>
      <c r="I43" s="407"/>
      <c r="J43" s="407"/>
      <c r="K43" s="407"/>
    </row>
    <row r="44" spans="1:12">
      <c r="A44" s="452" t="s">
        <v>45</v>
      </c>
      <c r="B44" s="487">
        <f>(1+B6)</f>
        <v>1.1000000000000001</v>
      </c>
      <c r="C44" s="407"/>
      <c r="E44" s="478">
        <f>D35*B44</f>
        <v>289.83900000000006</v>
      </c>
      <c r="F44" s="407"/>
      <c r="G44" s="407"/>
      <c r="H44" s="407"/>
      <c r="I44" s="407"/>
      <c r="J44" s="407"/>
      <c r="K44" s="407"/>
    </row>
    <row r="45" spans="1:12">
      <c r="A45" s="484" t="s">
        <v>46</v>
      </c>
      <c r="B45" s="407" t="s">
        <v>47</v>
      </c>
      <c r="C45" s="407"/>
      <c r="E45" s="482">
        <v>0</v>
      </c>
      <c r="F45" s="407"/>
      <c r="G45" s="407"/>
      <c r="H45" s="407"/>
      <c r="I45" s="407"/>
      <c r="J45" s="407"/>
      <c r="K45" s="407"/>
    </row>
    <row r="46" spans="1:12">
      <c r="A46" s="452" t="s">
        <v>48</v>
      </c>
      <c r="B46" s="407"/>
      <c r="C46" s="407"/>
      <c r="E46" s="478">
        <f>ROUND(SUM(E44:E45),2)</f>
        <v>289.83999999999997</v>
      </c>
      <c r="F46" s="407"/>
      <c r="G46" s="407"/>
      <c r="H46" s="407"/>
      <c r="I46" s="407"/>
      <c r="J46" s="407"/>
      <c r="K46" s="407"/>
    </row>
    <row r="47" spans="1:12">
      <c r="A47" s="452" t="s">
        <v>49</v>
      </c>
      <c r="B47" s="488">
        <f>+E29</f>
        <v>4720</v>
      </c>
      <c r="C47" s="407"/>
      <c r="E47" s="478"/>
      <c r="F47" s="407"/>
      <c r="G47" s="407"/>
      <c r="H47" s="407"/>
      <c r="I47" s="407"/>
      <c r="J47" s="407"/>
      <c r="K47" s="407"/>
    </row>
    <row r="48" spans="1:12">
      <c r="A48" s="489" t="s">
        <v>50</v>
      </c>
      <c r="B48" s="407"/>
      <c r="C48" s="407"/>
      <c r="E48" s="483">
        <f>+E46*B47</f>
        <v>1368044.7999999998</v>
      </c>
      <c r="F48" s="407"/>
      <c r="G48" s="485"/>
      <c r="H48" s="407"/>
      <c r="I48" s="407"/>
      <c r="J48" s="407"/>
      <c r="K48" s="407"/>
    </row>
    <row r="49" spans="1:5">
      <c r="A49" s="489" t="s">
        <v>51</v>
      </c>
      <c r="E49" s="490">
        <f>+E11</f>
        <v>306800</v>
      </c>
    </row>
    <row r="50" spans="1:5">
      <c r="A50" s="491" t="s">
        <v>52</v>
      </c>
      <c r="B50" s="492"/>
      <c r="C50" s="492"/>
      <c r="D50" s="493"/>
      <c r="E50" s="494">
        <f>+E49+E48</f>
        <v>1674844.7999999998</v>
      </c>
    </row>
  </sheetData>
  <mergeCells count="4">
    <mergeCell ref="A1:J1"/>
    <mergeCell ref="A2:J2"/>
    <mergeCell ref="A3:J3"/>
    <mergeCell ref="B9:C9"/>
  </mergeCells>
  <phoneticPr fontId="35" type="noConversion"/>
  <pageMargins left="0.7" right="0.7" top="0.75" bottom="0.75" header="0.3" footer="0.3"/>
  <pageSetup scale="62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7"/>
  <sheetViews>
    <sheetView tabSelected="1" view="pageBreakPreview" topLeftCell="A2" zoomScaleSheetLayoutView="100" workbookViewId="0">
      <selection activeCell="H13" sqref="H13"/>
    </sheetView>
  </sheetViews>
  <sheetFormatPr defaultColWidth="8.875" defaultRowHeight="15.75"/>
  <cols>
    <col min="1" max="1" width="16.125" customWidth="1"/>
    <col min="3" max="3" width="12.5" customWidth="1"/>
    <col min="5" max="5" width="9.625" customWidth="1"/>
    <col min="6" max="6" width="13.125" customWidth="1"/>
  </cols>
  <sheetData>
    <row r="1" spans="1:8">
      <c r="A1" s="516" t="s">
        <v>2</v>
      </c>
      <c r="B1" s="516"/>
      <c r="C1" s="516"/>
      <c r="D1" s="516"/>
      <c r="E1" s="516"/>
      <c r="F1" s="516"/>
    </row>
    <row r="2" spans="1:8">
      <c r="A2" s="516" t="s">
        <v>53</v>
      </c>
      <c r="B2" s="516"/>
      <c r="C2" s="516"/>
      <c r="D2" s="516"/>
      <c r="E2" s="516"/>
      <c r="F2" s="516"/>
    </row>
    <row r="3" spans="1:8">
      <c r="A3" s="516" t="s">
        <v>54</v>
      </c>
      <c r="B3" s="516"/>
      <c r="C3" s="516"/>
      <c r="D3" s="516"/>
      <c r="E3" s="516"/>
      <c r="F3" s="516"/>
    </row>
    <row r="4" spans="1:8">
      <c r="A4" s="407"/>
      <c r="B4" s="407"/>
      <c r="C4" s="407"/>
      <c r="D4" s="407"/>
      <c r="E4" s="407"/>
      <c r="F4" s="407"/>
    </row>
    <row r="5" spans="1:8">
      <c r="A5" s="407"/>
      <c r="B5" s="503"/>
      <c r="C5" s="503"/>
      <c r="D5" s="503"/>
      <c r="E5" s="517" t="s">
        <v>293</v>
      </c>
      <c r="F5" s="503"/>
      <c r="H5" s="495" t="s">
        <v>7</v>
      </c>
    </row>
    <row r="6" spans="1:8">
      <c r="A6" s="452" t="s">
        <v>55</v>
      </c>
      <c r="B6" s="428" t="s">
        <v>15</v>
      </c>
      <c r="C6" s="428" t="s">
        <v>56</v>
      </c>
      <c r="D6" s="428" t="s">
        <v>57</v>
      </c>
      <c r="E6" s="518" t="s">
        <v>59</v>
      </c>
      <c r="F6" s="419" t="s">
        <v>15</v>
      </c>
      <c r="H6" s="518" t="s">
        <v>59</v>
      </c>
    </row>
    <row r="7" spans="1:8">
      <c r="A7" s="496" t="s">
        <v>58</v>
      </c>
      <c r="B7" s="497" t="s">
        <v>115</v>
      </c>
      <c r="C7" s="497" t="s">
        <v>59</v>
      </c>
      <c r="D7" s="497" t="s">
        <v>60</v>
      </c>
      <c r="E7" s="498" t="s">
        <v>61</v>
      </c>
      <c r="F7" s="497" t="s">
        <v>62</v>
      </c>
      <c r="H7" s="498" t="s">
        <v>61</v>
      </c>
    </row>
    <row r="8" spans="1:8">
      <c r="A8" s="475" t="s">
        <v>63</v>
      </c>
      <c r="B8" s="499">
        <v>2217.0465250805719</v>
      </c>
      <c r="C8" s="436">
        <f>F8*E8/100</f>
        <v>827858.63213737716</v>
      </c>
      <c r="D8" s="479">
        <f>C8/B8</f>
        <v>373.406070992259</v>
      </c>
      <c r="E8" s="500">
        <f>ROUND(H8*(1+$E$14),3)</f>
        <v>5.8280000000000003</v>
      </c>
      <c r="F8" s="499">
        <v>14204849.556235023</v>
      </c>
      <c r="H8" s="501">
        <v>4.7</v>
      </c>
    </row>
    <row r="9" spans="1:8">
      <c r="A9" s="475" t="s">
        <v>64</v>
      </c>
      <c r="B9" s="499">
        <v>1410.6173043550118</v>
      </c>
      <c r="C9" s="436">
        <f>F9*E9/100</f>
        <v>362132.09451774234</v>
      </c>
      <c r="D9" s="479">
        <f>C9/B9</f>
        <v>256.71888002488595</v>
      </c>
      <c r="E9" s="500">
        <f>ROUND(H9*(1+$E$14),3)</f>
        <v>3.9209999999999998</v>
      </c>
      <c r="F9" s="499">
        <v>9235707.5878026616</v>
      </c>
      <c r="H9">
        <v>3.1619999999999999</v>
      </c>
    </row>
    <row r="10" spans="1:8">
      <c r="A10" s="475" t="s">
        <v>65</v>
      </c>
      <c r="B10" s="499">
        <v>1092.3361705644161</v>
      </c>
      <c r="C10" s="436">
        <f>F10*E10/100</f>
        <v>178057.80091232131</v>
      </c>
      <c r="D10" s="479">
        <f>C10/B10</f>
        <v>163.00641296197111</v>
      </c>
      <c r="E10" s="500">
        <f>ROUND(H10*(1+$E$14),3)</f>
        <v>2.4500000000000002</v>
      </c>
      <c r="F10" s="499">
        <v>7267665.3433600534</v>
      </c>
      <c r="H10">
        <v>1.976</v>
      </c>
    </row>
    <row r="11" spans="1:8">
      <c r="A11" s="452" t="s">
        <v>66</v>
      </c>
      <c r="B11" s="499">
        <f>'Low Income Surcharges'!E29</f>
        <v>4720</v>
      </c>
      <c r="C11" s="436">
        <f>SUM(C8:C10)</f>
        <v>1368048.5275674409</v>
      </c>
      <c r="D11" s="479">
        <f>C11/B11</f>
        <v>289.8407897388646</v>
      </c>
      <c r="E11" s="500">
        <f>C11/F11*100</f>
        <v>4.4549909332227564</v>
      </c>
      <c r="F11" s="499">
        <f>SUM(F8:F10)</f>
        <v>30708222.487397738</v>
      </c>
      <c r="H11" s="501">
        <v>3.66</v>
      </c>
    </row>
    <row r="13" spans="1:8">
      <c r="B13" t="s">
        <v>280</v>
      </c>
    </row>
    <row r="14" spans="1:8">
      <c r="E14" s="424">
        <v>0.24</v>
      </c>
    </row>
    <row r="16" spans="1:8">
      <c r="C16" s="502">
        <f>'Low Income Surcharges'!D40</f>
        <v>1368040.0800000003</v>
      </c>
      <c r="D16" s="481">
        <v>206.91</v>
      </c>
      <c r="H16" t="s">
        <v>280</v>
      </c>
    </row>
    <row r="17" spans="3:4">
      <c r="C17" s="502">
        <f>'Low Income Surcharges'!E40</f>
        <v>1368044.7999999998</v>
      </c>
      <c r="D17" s="481">
        <f>'Low Income Surcharges'!E35</f>
        <v>289.83999999999997</v>
      </c>
    </row>
  </sheetData>
  <mergeCells count="3">
    <mergeCell ref="A1:F1"/>
    <mergeCell ref="A2:F2"/>
    <mergeCell ref="A3:F3"/>
  </mergeCells>
  <phoneticPr fontId="35" type="noConversion"/>
  <printOptions horizontalCentered="1"/>
  <pageMargins left="0.25" right="0.25" top="0.5" bottom="0.25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2012-02-21T08:00:00+00:00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EFED3-484A-483D-83E7-EC436F763905}"/>
</file>

<file path=customXml/itemProps2.xml><?xml version="1.0" encoding="utf-8"?>
<ds:datastoreItem xmlns:ds="http://schemas.openxmlformats.org/officeDocument/2006/customXml" ds:itemID="{5EA67FC0-DD92-460A-A811-169716B93140}"/>
</file>

<file path=customXml/itemProps3.xml><?xml version="1.0" encoding="utf-8"?>
<ds:datastoreItem xmlns:ds="http://schemas.openxmlformats.org/officeDocument/2006/customXml" ds:itemID="{FDF5FEB9-2691-4912-BB40-7A202DC6BE9E}"/>
</file>

<file path=customXml/itemProps4.xml><?xml version="1.0" encoding="utf-8"?>
<ds:datastoreItem xmlns:ds="http://schemas.openxmlformats.org/officeDocument/2006/customXml" ds:itemID="{00326F0E-C026-44DA-B17E-FDD841DFE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Rate Spread</vt:lpstr>
      <vt:lpstr>Billing Determinants</vt:lpstr>
      <vt:lpstr>Residential Bill Comparison</vt:lpstr>
      <vt:lpstr>Low Income Surcharges</vt:lpstr>
      <vt:lpstr>Low Income Credits</vt:lpstr>
      <vt:lpstr>'Billing Determinants'!Print_Area</vt:lpstr>
      <vt:lpstr>'Low Income Credits'!Print_Area</vt:lpstr>
      <vt:lpstr>'Low Income Surcharges'!Print_Area</vt:lpstr>
      <vt:lpstr>'Rate Spread'!Print_Area</vt:lpstr>
      <vt:lpstr>'Residential Bill Comparison'!Print_Area</vt:lpstr>
      <vt:lpstr>'Billing Determinants'!Print_Titles</vt:lpstr>
      <vt:lpstr>'Rate Spread'!TABLEA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p74933</dc:creator>
  <cp:lastModifiedBy>p90902</cp:lastModifiedBy>
  <cp:lastPrinted>2012-02-09T18:05:59Z</cp:lastPrinted>
  <dcterms:created xsi:type="dcterms:W3CDTF">2012-02-07T21:23:24Z</dcterms:created>
  <dcterms:modified xsi:type="dcterms:W3CDTF">2012-02-17T22:09:33Z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