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4.bin" ContentType="application/vnd.openxmlformats-officedocument.spreadsheetml.customProperty"/>
  <Override PartName="/xl/customProperty3.bin" ContentType="application/vnd.openxmlformats-officedocument.spreadsheetml.customPropert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stdpt2\RPL\Tariffs\1. Open Advices\2025-44 Electric Schedule 95 - PCA (UE-250326) (Eff. 01-01-26)\Sent to UTC 10-01-25\"/>
    </mc:Choice>
  </mc:AlternateContent>
  <xr:revisionPtr revIDLastSave="0" documentId="13_ncr:1_{E2ED1D94-C986-4BE4-ABFD-8BBCCEC37523}" xr6:coauthVersionLast="47" xr6:coauthVersionMax="47" xr10:uidLastSave="{00000000-0000-0000-0000-000000000000}"/>
  <bookViews>
    <workbookView xWindow="33015" yWindow="6045" windowWidth="21600" windowHeight="11445" tabRatio="860" xr2:uid="{00000000-000D-0000-FFFF-FFFF00000000}"/>
  </bookViews>
  <sheets>
    <sheet name="Deficiency" sheetId="18" r:id="rId1"/>
    <sheet name="Explain" sheetId="22" r:id="rId2"/>
    <sheet name="Exhibit A-1 2026" sheetId="20" r:id="rId3"/>
    <sheet name="F25 Forecased Delivered Load" sheetId="23" r:id="rId4"/>
    <sheet name="24GRC=&gt;" sheetId="15" r:id="rId5"/>
    <sheet name="Exhibit A-1 24GRC" sheetId="16" r:id="rId6"/>
    <sheet name="F24 Delivered Load by Sched" sheetId="21" r:id="rId7"/>
    <sheet name="24 GRC Conversion Factor" sheetId="24" r:id="rId8"/>
  </sheets>
  <definedNames>
    <definedName name="Company">#REF!</definedName>
    <definedName name="FI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4" l="1"/>
  <c r="A12" i="24"/>
  <c r="A13" i="24" s="1"/>
  <c r="A14" i="24" s="1"/>
  <c r="A15" i="24" s="1"/>
  <c r="A16" i="24" s="1"/>
  <c r="A17" i="24" s="1"/>
  <c r="A18" i="24" s="1"/>
  <c r="B20" i="24" l="1"/>
  <c r="A19" i="24"/>
  <c r="A20" i="24" s="1"/>
  <c r="E14" i="24"/>
  <c r="B14" i="24" s="1"/>
  <c r="E16" i="24" l="1"/>
  <c r="E18" i="24" s="1"/>
  <c r="E20" i="24" l="1"/>
  <c r="D17" i="18"/>
  <c r="F19" i="22"/>
  <c r="F8" i="22" l="1"/>
  <c r="L22" i="23" l="1"/>
  <c r="J22" i="23"/>
  <c r="I22" i="23"/>
  <c r="B22" i="23"/>
  <c r="C5" i="23"/>
  <c r="D5" i="23" s="1"/>
  <c r="E5" i="23" s="1"/>
  <c r="F5" i="23" s="1"/>
  <c r="G5" i="23" s="1"/>
  <c r="H5" i="23" s="1"/>
  <c r="I5" i="23" s="1"/>
  <c r="J5" i="23" s="1"/>
  <c r="K5" i="23" s="1"/>
  <c r="L5" i="23" s="1"/>
  <c r="M5" i="23" s="1"/>
  <c r="N9" i="23" l="1"/>
  <c r="K22" i="23"/>
  <c r="C22" i="23"/>
  <c r="N17" i="23"/>
  <c r="N26" i="23" s="1"/>
  <c r="N7" i="23"/>
  <c r="N8" i="23"/>
  <c r="N10" i="23"/>
  <c r="N15" i="23"/>
  <c r="N16" i="23"/>
  <c r="N18" i="23"/>
  <c r="N6" i="23"/>
  <c r="N14" i="23"/>
  <c r="E22" i="23"/>
  <c r="M22" i="23"/>
  <c r="F22" i="23"/>
  <c r="N11" i="23"/>
  <c r="N12" i="23"/>
  <c r="N13" i="23"/>
  <c r="N19" i="23"/>
  <c r="N27" i="23" s="1"/>
  <c r="N20" i="23"/>
  <c r="N21" i="23"/>
  <c r="G22" i="23"/>
  <c r="H22" i="23"/>
  <c r="D22" i="23"/>
  <c r="N22" i="23" l="1"/>
  <c r="N28" i="23" s="1"/>
  <c r="N30" i="23" s="1"/>
  <c r="D20" i="18" s="1"/>
  <c r="C42" i="20" l="1"/>
  <c r="F11" i="22"/>
  <c r="F7" i="22" l="1"/>
  <c r="E124" i="21" l="1"/>
  <c r="F124" i="21" s="1"/>
  <c r="F125" i="21"/>
  <c r="E125" i="21"/>
  <c r="D125" i="21"/>
  <c r="B114" i="21"/>
  <c r="B115" i="21" s="1"/>
  <c r="F126" i="21"/>
  <c r="E126" i="21"/>
  <c r="D126" i="21"/>
  <c r="B111" i="21"/>
  <c r="B104" i="21"/>
  <c r="B105" i="21" s="1"/>
  <c r="B106" i="21" s="1"/>
  <c r="B107" i="21" s="1"/>
  <c r="B108" i="21" s="1"/>
  <c r="B99" i="21"/>
  <c r="B100" i="21" s="1"/>
  <c r="B101" i="21" s="1"/>
  <c r="B94" i="21"/>
  <c r="B95" i="21" s="1"/>
  <c r="B96" i="21" s="1"/>
  <c r="B86" i="21"/>
  <c r="B87" i="21" s="1"/>
  <c r="B88" i="21" s="1"/>
  <c r="B89" i="21" s="1"/>
  <c r="B90" i="21" s="1"/>
  <c r="B91" i="21" s="1"/>
  <c r="B76" i="21"/>
  <c r="B77" i="21" s="1"/>
  <c r="B78" i="21" s="1"/>
  <c r="B79" i="21" s="1"/>
  <c r="B80" i="21" s="1"/>
  <c r="B81" i="21" s="1"/>
  <c r="B66" i="21"/>
  <c r="B67" i="21" s="1"/>
  <c r="B68" i="21" s="1"/>
  <c r="B69" i="21" s="1"/>
  <c r="B70" i="21" s="1"/>
  <c r="B71" i="21" s="1"/>
  <c r="B72" i="21" s="1"/>
  <c r="B73" i="21" s="1"/>
  <c r="B49" i="2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39" i="21"/>
  <c r="B40" i="21" s="1"/>
  <c r="B41" i="21" s="1"/>
  <c r="B42" i="21" s="1"/>
  <c r="B43" i="21" s="1"/>
  <c r="B44" i="21" s="1"/>
  <c r="B45" i="21" s="1"/>
  <c r="B46" i="21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17" i="21"/>
  <c r="B18" i="21" s="1"/>
  <c r="B19" i="21" s="1"/>
  <c r="B20" i="21" s="1"/>
  <c r="B21" i="21" s="1"/>
  <c r="B22" i="21" s="1"/>
  <c r="B23" i="21" s="1"/>
  <c r="B8" i="21"/>
  <c r="B9" i="21" s="1"/>
  <c r="B10" i="21" s="1"/>
  <c r="B11" i="21" s="1"/>
  <c r="B12" i="21" s="1"/>
  <c r="B13" i="21" s="1"/>
  <c r="B14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E30" i="21" l="1"/>
  <c r="D34" i="21"/>
  <c r="E71" i="21"/>
  <c r="E34" i="21"/>
  <c r="E57" i="21"/>
  <c r="F14" i="21"/>
  <c r="F44" i="21"/>
  <c r="D10" i="21"/>
  <c r="D81" i="21"/>
  <c r="E19" i="21"/>
  <c r="F10" i="21"/>
  <c r="D61" i="21"/>
  <c r="E61" i="21"/>
  <c r="G24" i="18"/>
  <c r="E10" i="21"/>
  <c r="E44" i="21"/>
  <c r="E23" i="21"/>
  <c r="D19" i="21"/>
  <c r="F23" i="21"/>
  <c r="F61" i="21"/>
  <c r="D23" i="21"/>
  <c r="D30" i="21"/>
  <c r="D57" i="21"/>
  <c r="E81" i="21"/>
  <c r="F34" i="21"/>
  <c r="F71" i="21"/>
  <c r="F81" i="21"/>
  <c r="F57" i="21"/>
  <c r="D71" i="21"/>
  <c r="E14" i="21"/>
  <c r="F19" i="21"/>
  <c r="D51" i="21"/>
  <c r="D44" i="21"/>
  <c r="D14" i="21"/>
  <c r="F51" i="21"/>
  <c r="F30" i="21"/>
  <c r="E51" i="21"/>
  <c r="B82" i="21"/>
  <c r="B83" i="21"/>
  <c r="F120" i="21" l="1"/>
  <c r="F127" i="21" s="1"/>
  <c r="F129" i="21" s="1"/>
  <c r="E121" i="21"/>
  <c r="D120" i="21"/>
  <c r="D127" i="21" s="1"/>
  <c r="D129" i="21" s="1"/>
  <c r="D130" i="21" s="1"/>
  <c r="D134" i="21" s="1"/>
  <c r="D121" i="21"/>
  <c r="E120" i="21"/>
  <c r="E127" i="21" s="1"/>
  <c r="E129" i="21" s="1"/>
  <c r="E130" i="21" s="1"/>
  <c r="E134" i="21" s="1"/>
  <c r="F121" i="21"/>
  <c r="K41" i="16" l="1"/>
  <c r="D131" i="21"/>
  <c r="F130" i="21"/>
  <c r="F20" i="18"/>
  <c r="E131" i="21"/>
  <c r="F17" i="18"/>
  <c r="D42" i="20"/>
  <c r="C23" i="20"/>
  <c r="C22" i="20"/>
  <c r="C38" i="20"/>
  <c r="C37" i="20"/>
  <c r="C36" i="20"/>
  <c r="C35" i="20"/>
  <c r="C32" i="20"/>
  <c r="C31" i="20"/>
  <c r="C26" i="20"/>
  <c r="C24" i="20"/>
  <c r="C10" i="20"/>
  <c r="C8" i="20"/>
  <c r="C7" i="20"/>
  <c r="C6" i="20"/>
  <c r="D58" i="20"/>
  <c r="D57" i="20"/>
  <c r="D56" i="20"/>
  <c r="C16" i="20"/>
  <c r="F134" i="21" l="1"/>
  <c r="F131" i="21"/>
  <c r="D59" i="20"/>
  <c r="F38" i="20"/>
  <c r="F37" i="20"/>
  <c r="F36" i="20"/>
  <c r="F35" i="20"/>
  <c r="G27" i="20"/>
  <c r="F26" i="20"/>
  <c r="F24" i="20"/>
  <c r="D24" i="20"/>
  <c r="F23" i="20"/>
  <c r="F22" i="20"/>
  <c r="D22" i="20"/>
  <c r="C18" i="20"/>
  <c r="C17" i="20"/>
  <c r="G16" i="20"/>
  <c r="D16" i="20"/>
  <c r="C14" i="20"/>
  <c r="C9" i="20"/>
  <c r="A9" i="20"/>
  <c r="A10" i="20" s="1"/>
  <c r="A11" i="20" s="1"/>
  <c r="A12" i="20" s="1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D11" i="18"/>
  <c r="B22" i="18" l="1"/>
  <c r="F18" i="20"/>
  <c r="D9" i="22"/>
  <c r="F17" i="20"/>
  <c r="D14" i="20"/>
  <c r="D12" i="22"/>
  <c r="D26" i="20"/>
  <c r="D27" i="20"/>
  <c r="D23" i="20"/>
  <c r="D36" i="20"/>
  <c r="D38" i="20"/>
  <c r="D35" i="20"/>
  <c r="D37" i="20"/>
  <c r="D18" i="20"/>
  <c r="D60" i="20"/>
  <c r="D17" i="20"/>
  <c r="D32" i="20"/>
  <c r="D31" i="20"/>
  <c r="F32" i="20"/>
  <c r="F31" i="20"/>
  <c r="F14" i="20"/>
  <c r="K39" i="16"/>
  <c r="G39" i="16"/>
  <c r="F39" i="16"/>
  <c r="N37" i="16"/>
  <c r="L37" i="16"/>
  <c r="F37" i="16"/>
  <c r="D37" i="16"/>
  <c r="N36" i="16"/>
  <c r="L36" i="16"/>
  <c r="F36" i="16"/>
  <c r="D36" i="16"/>
  <c r="N35" i="16"/>
  <c r="L35" i="16"/>
  <c r="F35" i="16"/>
  <c r="D35" i="16"/>
  <c r="N34" i="16"/>
  <c r="L34" i="16"/>
  <c r="F34" i="16"/>
  <c r="D34" i="16"/>
  <c r="O33" i="16"/>
  <c r="L33" i="16"/>
  <c r="G33" i="16"/>
  <c r="D33" i="16"/>
  <c r="O32" i="16"/>
  <c r="L32" i="16"/>
  <c r="G32" i="16"/>
  <c r="D32" i="16"/>
  <c r="N31" i="16"/>
  <c r="L31" i="16"/>
  <c r="F31" i="16"/>
  <c r="D31" i="16"/>
  <c r="N30" i="16"/>
  <c r="L30" i="16"/>
  <c r="F30" i="16"/>
  <c r="D30" i="16"/>
  <c r="O29" i="16"/>
  <c r="L29" i="16"/>
  <c r="G29" i="16"/>
  <c r="D29" i="16"/>
  <c r="O28" i="16"/>
  <c r="L28" i="16"/>
  <c r="G28" i="16"/>
  <c r="D28" i="16"/>
  <c r="O27" i="16"/>
  <c r="L27" i="16"/>
  <c r="G27" i="16"/>
  <c r="E12" i="22" s="1"/>
  <c r="D27" i="16"/>
  <c r="N26" i="16"/>
  <c r="L26" i="16"/>
  <c r="F26" i="16"/>
  <c r="D26" i="16"/>
  <c r="N24" i="16"/>
  <c r="L24" i="16"/>
  <c r="F24" i="16"/>
  <c r="D24" i="16"/>
  <c r="N23" i="16"/>
  <c r="L23" i="16"/>
  <c r="F23" i="16"/>
  <c r="D23" i="16"/>
  <c r="N22" i="16"/>
  <c r="L22" i="16"/>
  <c r="F22" i="16"/>
  <c r="D22" i="16"/>
  <c r="O21" i="16"/>
  <c r="L21" i="16"/>
  <c r="G21" i="16"/>
  <c r="D21" i="16"/>
  <c r="O20" i="16"/>
  <c r="L20" i="16"/>
  <c r="G20" i="16"/>
  <c r="D20" i="16"/>
  <c r="O19" i="16"/>
  <c r="L19" i="16"/>
  <c r="G19" i="16"/>
  <c r="D19" i="16"/>
  <c r="K18" i="16"/>
  <c r="N18" i="16" s="1"/>
  <c r="C18" i="16"/>
  <c r="F18" i="16" s="1"/>
  <c r="K17" i="16"/>
  <c r="N17" i="16" s="1"/>
  <c r="C17" i="16"/>
  <c r="F17" i="16" s="1"/>
  <c r="O16" i="16"/>
  <c r="L16" i="16"/>
  <c r="G16" i="16"/>
  <c r="E9" i="22" s="1"/>
  <c r="D16" i="16"/>
  <c r="O15" i="16"/>
  <c r="L15" i="16"/>
  <c r="G15" i="16"/>
  <c r="D15" i="16"/>
  <c r="C48" i="16" s="1"/>
  <c r="D48" i="16" s="1"/>
  <c r="K14" i="16"/>
  <c r="C14" i="16"/>
  <c r="K9" i="16"/>
  <c r="I9" i="16"/>
  <c r="I10" i="16" s="1"/>
  <c r="I11" i="16" s="1"/>
  <c r="I12" i="16" s="1"/>
  <c r="C9" i="16"/>
  <c r="A9" i="16"/>
  <c r="A10" i="16" s="1"/>
  <c r="A11" i="16" s="1"/>
  <c r="A12" i="16" s="1"/>
  <c r="F12" i="22" l="1"/>
  <c r="O39" i="16"/>
  <c r="C40" i="20"/>
  <c r="N39" i="16"/>
  <c r="D17" i="16"/>
  <c r="O38" i="16"/>
  <c r="C38" i="16"/>
  <c r="C40" i="16" s="1"/>
  <c r="K38" i="16"/>
  <c r="K40" i="16" s="1"/>
  <c r="F9" i="22"/>
  <c r="L17" i="16"/>
  <c r="G38" i="16"/>
  <c r="G40" i="16" s="1"/>
  <c r="E10" i="22"/>
  <c r="K48" i="16"/>
  <c r="L48" i="16" s="1"/>
  <c r="F39" i="20"/>
  <c r="C48" i="20"/>
  <c r="L18" i="16"/>
  <c r="D14" i="16"/>
  <c r="L14" i="16"/>
  <c r="F14" i="16"/>
  <c r="F38" i="16" s="1"/>
  <c r="F40" i="16" s="1"/>
  <c r="N14" i="16"/>
  <c r="N38" i="16" s="1"/>
  <c r="N40" i="16" s="1"/>
  <c r="D18" i="16"/>
  <c r="E15" i="22" l="1"/>
  <c r="E13" i="22"/>
  <c r="F13" i="22" s="1"/>
  <c r="F16" i="18"/>
  <c r="J16" i="18" s="1"/>
  <c r="O40" i="16"/>
  <c r="G40" i="20"/>
  <c r="F40" i="20"/>
  <c r="D48" i="20"/>
  <c r="L38" i="16"/>
  <c r="K46" i="16" s="1"/>
  <c r="L46" i="16" s="1"/>
  <c r="K47" i="16"/>
  <c r="D38" i="16"/>
  <c r="C46" i="16" s="1"/>
  <c r="D46" i="16" s="1"/>
  <c r="C47" i="16"/>
  <c r="E14" i="22" l="1"/>
  <c r="E16" i="22" s="1"/>
  <c r="E18" i="22" s="1"/>
  <c r="E20" i="22" s="1"/>
  <c r="F19" i="18"/>
  <c r="F22" i="18" s="1"/>
  <c r="F23" i="18" s="1"/>
  <c r="F41" i="20"/>
  <c r="D47" i="16"/>
  <c r="D49" i="16" s="1"/>
  <c r="D50" i="16" s="1"/>
  <c r="C49" i="16"/>
  <c r="C50" i="16" s="1"/>
  <c r="L47" i="16"/>
  <c r="L49" i="16" s="1"/>
  <c r="L50" i="16" s="1"/>
  <c r="K49" i="16"/>
  <c r="K50" i="16" s="1"/>
  <c r="I14" i="22" l="1"/>
  <c r="E26" i="22"/>
  <c r="G30" i="20" l="1"/>
  <c r="D30" i="20"/>
  <c r="G28" i="20" l="1"/>
  <c r="D28" i="20"/>
  <c r="D21" i="20"/>
  <c r="G21" i="20"/>
  <c r="D33" i="20"/>
  <c r="G33" i="20"/>
  <c r="G19" i="20"/>
  <c r="D19" i="20"/>
  <c r="G29" i="20"/>
  <c r="D29" i="20"/>
  <c r="D34" i="20"/>
  <c r="G34" i="20"/>
  <c r="G20" i="20" l="1"/>
  <c r="D20" i="20"/>
  <c r="G15" i="20" l="1"/>
  <c r="D15" i="20"/>
  <c r="C39" i="20"/>
  <c r="C41" i="20" s="1"/>
  <c r="D10" i="22" l="1"/>
  <c r="G39" i="20"/>
  <c r="D39" i="20"/>
  <c r="C47" i="20" s="1"/>
  <c r="D47" i="20" s="1"/>
  <c r="C49" i="20"/>
  <c r="D49" i="20" l="1"/>
  <c r="C50" i="20"/>
  <c r="C51" i="20" s="1"/>
  <c r="Y39" i="20"/>
  <c r="D16" i="18"/>
  <c r="G41" i="20"/>
  <c r="Y41" i="20" s="1"/>
  <c r="I16" i="18"/>
  <c r="D14" i="22"/>
  <c r="F10" i="22"/>
  <c r="F14" i="22" s="1"/>
  <c r="H39" i="20" l="1"/>
  <c r="D15" i="22"/>
  <c r="F15" i="22" s="1"/>
  <c r="F16" i="22" s="1"/>
  <c r="D50" i="20"/>
  <c r="D51" i="20" s="1"/>
  <c r="G16" i="18"/>
  <c r="J14" i="22" s="1"/>
  <c r="D19" i="18"/>
  <c r="D22" i="18" s="1"/>
  <c r="G22" i="18" s="1"/>
  <c r="G26" i="18" s="1"/>
  <c r="H14" i="22"/>
  <c r="D16" i="22" l="1"/>
  <c r="D17" i="22"/>
  <c r="F17" i="22" s="1"/>
  <c r="F18" i="22" s="1"/>
  <c r="F20" i="22" s="1"/>
  <c r="C15" i="18"/>
  <c r="D26" i="22"/>
  <c r="D23" i="18"/>
  <c r="D18" i="22" l="1"/>
  <c r="D20" i="22" s="1"/>
  <c r="F26" i="22"/>
</calcChain>
</file>

<file path=xl/sharedStrings.xml><?xml version="1.0" encoding="utf-8"?>
<sst xmlns="http://schemas.openxmlformats.org/spreadsheetml/2006/main" count="529" uniqueCount="245">
  <si>
    <t>447-Sales to Others</t>
  </si>
  <si>
    <t xml:space="preserve"> </t>
  </si>
  <si>
    <t>←check</t>
  </si>
  <si>
    <t>Power Cost Baseline Rate</t>
  </si>
  <si>
    <t>Variable Production Costs</t>
  </si>
  <si>
    <t xml:space="preserve">Fixed Production Costs </t>
  </si>
  <si>
    <t>Rev Req (Column (II) )</t>
  </si>
  <si>
    <t>Sensitive Items</t>
  </si>
  <si>
    <t>After Rev.</t>
  </si>
  <si>
    <t>Before Rev.</t>
  </si>
  <si>
    <t>For PCA Mechanism</t>
  </si>
  <si>
    <t>Grossed up for RSI</t>
  </si>
  <si>
    <t>Revenue Sensitive Items</t>
  </si>
  <si>
    <t>Subtotal &amp; Baseline Rate</t>
  </si>
  <si>
    <t>F</t>
  </si>
  <si>
    <t>Amortization  - Reg Assets - Non PC Only</t>
  </si>
  <si>
    <t>Fixed</t>
  </si>
  <si>
    <t>Depreciation-Transmission</t>
  </si>
  <si>
    <t>Depreciation-Production (FERC 403)</t>
  </si>
  <si>
    <t>Transmission Exp - 500KV</t>
  </si>
  <si>
    <t>V</t>
  </si>
  <si>
    <t>456-Purch/Sales Non-Core Gas</t>
  </si>
  <si>
    <t>Production O&amp;M</t>
  </si>
  <si>
    <t>456-1 OATT Transmission Income</t>
  </si>
  <si>
    <t>565-Wheeling Incl Reg Amort</t>
  </si>
  <si>
    <t>547-Fuel Incl Reg Amort</t>
  </si>
  <si>
    <t>Brokerage Fees #55700003</t>
  </si>
  <si>
    <t>15e</t>
  </si>
  <si>
    <t>Payroll Taxes on Production Wages</t>
  </si>
  <si>
    <t>15d</t>
  </si>
  <si>
    <t>in tracker</t>
  </si>
  <si>
    <t xml:space="preserve">Montana Electric Energy Tax </t>
  </si>
  <si>
    <t>15c</t>
  </si>
  <si>
    <t>15b</t>
  </si>
  <si>
    <t>Property Insurance (A&amp;G)</t>
  </si>
  <si>
    <t>Payroll Overheads - Benefits</t>
  </si>
  <si>
    <t>15a</t>
  </si>
  <si>
    <t>557-Other Power Exp</t>
  </si>
  <si>
    <t>555-Purchased power Incl Reg Amort</t>
  </si>
  <si>
    <t>501-Steam Fuel Incl Reg Amort</t>
  </si>
  <si>
    <t>Fixed Asset Return Production (on Row 5)</t>
  </si>
  <si>
    <t>Fixed Asset Return Transmission (on Row 4)</t>
  </si>
  <si>
    <t>Equity Adder Centralia Coal Transition PPA</t>
  </si>
  <si>
    <t>10a</t>
  </si>
  <si>
    <t>Fixed Asset Return Reg Assets (on Row 3)</t>
  </si>
  <si>
    <t>(V)</t>
  </si>
  <si>
    <t>(IV)</t>
  </si>
  <si>
    <t>(III)</t>
  </si>
  <si>
    <t>(II)</t>
  </si>
  <si>
    <t>(I)</t>
  </si>
  <si>
    <t>9A</t>
  </si>
  <si>
    <t>in PCA</t>
  </si>
  <si>
    <t>In Decoupling</t>
  </si>
  <si>
    <t>$/MWh</t>
  </si>
  <si>
    <t>Prod Costs</t>
  </si>
  <si>
    <t>Test Yr</t>
  </si>
  <si>
    <t>Variable</t>
  </si>
  <si>
    <t xml:space="preserve">Net of tax rate of return </t>
  </si>
  <si>
    <t xml:space="preserve">     Net Rate Base for Exh. A-1</t>
  </si>
  <si>
    <t>Production Rate Base</t>
  </si>
  <si>
    <t>Transmission Rate Base</t>
  </si>
  <si>
    <t>Regulatory Assets</t>
  </si>
  <si>
    <t>Row</t>
  </si>
  <si>
    <t>AMA Rate Year 1</t>
  </si>
  <si>
    <t>Exhibit A-1 Power Cost Baseline Rate</t>
  </si>
  <si>
    <t>Puget Sound Energy</t>
  </si>
  <si>
    <t>REVENUE (SURPLUS) / DEFICIENCY</t>
  </si>
  <si>
    <t xml:space="preserve">Revenue </t>
  </si>
  <si>
    <t>TY</t>
  </si>
  <si>
    <t>Deficiency</t>
  </si>
  <si>
    <t>RY</t>
  </si>
  <si>
    <t>(Surplus)</t>
  </si>
  <si>
    <t>VARIABLE DEFICIENCY (SURPLUS)</t>
  </si>
  <si>
    <t>Total Variable Costs</t>
  </si>
  <si>
    <t>Conversion Factor for Revenue Sensitive Items ("RSI")</t>
  </si>
  <si>
    <t>Total Variable Costs Grossed-up RSI's</t>
  </si>
  <si>
    <t>check</t>
  </si>
  <si>
    <t>Check=&gt;</t>
  </si>
  <si>
    <t>TOTAL NON-POWER COST RELATED</t>
  </si>
  <si>
    <t>MINT FARM DEFFRED - UE-090704 (ends Mar 2025)</t>
  </si>
  <si>
    <t>CARRYING CHARGES ON LSR PREPAID TRANSM</t>
  </si>
  <si>
    <t>SPI Biogas</t>
  </si>
  <si>
    <t xml:space="preserve">FERC </t>
  </si>
  <si>
    <t>NON POWER COST RELATED REG ASSETS &amp; LIAB</t>
  </si>
  <si>
    <t>Rate Year</t>
  </si>
  <si>
    <t>Property Insurance</t>
  </si>
  <si>
    <t>AMA Rate Year 2</t>
  </si>
  <si>
    <t>14a</t>
  </si>
  <si>
    <r>
      <t xml:space="preserve">557-Demand Response  </t>
    </r>
    <r>
      <rPr>
        <b/>
        <sz val="8.25"/>
        <color rgb="FFFF0000"/>
        <rFont val="Arial"/>
        <family val="2"/>
      </rPr>
      <t>NEW</t>
    </r>
  </si>
  <si>
    <t>Rate Year DELIVERED Load Incl Green Direct (MWh's)</t>
  </si>
  <si>
    <t>Rate Year DELIVERED Load Excl Gr Direct (MWh's)</t>
  </si>
  <si>
    <t>2024 Delivered Load</t>
  </si>
  <si>
    <t>PROFORMA 2024 BLR INCREASE - VARIABLE:</t>
  </si>
  <si>
    <t>Exh. SEF-03</t>
  </si>
  <si>
    <t>24GRC Rate Year 1 - 2025</t>
  </si>
  <si>
    <t>24GRC Rate Year 2 - 2026</t>
  </si>
  <si>
    <t>Return on CETA DR PPAs</t>
  </si>
  <si>
    <t>10b</t>
  </si>
  <si>
    <t>CETA DR PPAs</t>
  </si>
  <si>
    <t>Rate Year Delivered MWh's (Excl Gr Direct)</t>
  </si>
  <si>
    <t>NOTE: PSE will request an Update to Variable Power Costs for Rate Year 2026 per paragraph 381 of the Final Order.</t>
  </si>
  <si>
    <t>2026 BLR Update from 2024 GRC</t>
  </si>
  <si>
    <t>2024 GRC</t>
  </si>
  <si>
    <t>Jul '22 ~ Jun '23</t>
  </si>
  <si>
    <t>Jan '26 ~ Dec '26</t>
  </si>
  <si>
    <t>AMA Rate Year 2026</t>
  </si>
  <si>
    <t>25BLR Update Rate Year - 2026</t>
  </si>
  <si>
    <t>UE-250327</t>
  </si>
  <si>
    <t>Summary of Electric Bill Determinants: MYRP 2024-2026</t>
  </si>
  <si>
    <t>Line No</t>
  </si>
  <si>
    <t>Tariff</t>
  </si>
  <si>
    <t>Bill Determinant</t>
  </si>
  <si>
    <t>MYRP 2024</t>
  </si>
  <si>
    <t>MYRP 2025</t>
  </si>
  <si>
    <t>MYRP 2026</t>
  </si>
  <si>
    <t>a</t>
  </si>
  <si>
    <t>b</t>
  </si>
  <si>
    <t>c</t>
  </si>
  <si>
    <t>d</t>
  </si>
  <si>
    <t>e</t>
  </si>
  <si>
    <t>7 (307) (317) (327)</t>
  </si>
  <si>
    <t>Basic Charge</t>
  </si>
  <si>
    <t>Single Phase</t>
  </si>
  <si>
    <t>Three Phase</t>
  </si>
  <si>
    <t>Subtotal</t>
  </si>
  <si>
    <t>Energy Charge</t>
  </si>
  <si>
    <t>First 600 kWh</t>
  </si>
  <si>
    <t>Over 600 kWh</t>
  </si>
  <si>
    <t>08 (24) (324)</t>
  </si>
  <si>
    <t>Winter (October to March) kWh</t>
  </si>
  <si>
    <t>Summer (April to September) kWh</t>
  </si>
  <si>
    <t>7A (11) (25)</t>
  </si>
  <si>
    <t>Energy Charges</t>
  </si>
  <si>
    <t>First 20,000 kWh (Winter Oct to Mar)</t>
  </si>
  <si>
    <t>First 20,000 kWh (Summer Apr to Sep)</t>
  </si>
  <si>
    <t>All additional kWh</t>
  </si>
  <si>
    <t>Demand Charges</t>
  </si>
  <si>
    <t>Winter Demand over 50 kW</t>
  </si>
  <si>
    <t>Summer Demand over 50 kW</t>
  </si>
  <si>
    <t>Reactive Power</t>
  </si>
  <si>
    <t>12 (26) (26P)</t>
  </si>
  <si>
    <t>All kWh</t>
  </si>
  <si>
    <t>Winter Demand (Oct to Mar)</t>
  </si>
  <si>
    <t>Summer Demand (Apr to Sep)</t>
  </si>
  <si>
    <t>29</t>
  </si>
  <si>
    <t xml:space="preserve">  Single Phase</t>
  </si>
  <si>
    <t xml:space="preserve">  Three Phase</t>
  </si>
  <si>
    <t>Over 20,000 kWh (Winter Oct to Mar)</t>
  </si>
  <si>
    <t>Over 20,000 kWh (Summer Apr to Sep)</t>
  </si>
  <si>
    <t>10 (31)</t>
  </si>
  <si>
    <t>35</t>
  </si>
  <si>
    <t>43</t>
  </si>
  <si>
    <t>All kW</t>
  </si>
  <si>
    <t>46</t>
  </si>
  <si>
    <t>All kVa</t>
  </si>
  <si>
    <t>49</t>
  </si>
  <si>
    <t>Firm Resale</t>
  </si>
  <si>
    <t>449/459</t>
  </si>
  <si>
    <t>Customer Charges</t>
  </si>
  <si>
    <t>kWh</t>
  </si>
  <si>
    <t>Special Contract</t>
  </si>
  <si>
    <t>Distribution Charges</t>
  </si>
  <si>
    <t>03, 50-59</t>
  </si>
  <si>
    <t>Total kWh</t>
  </si>
  <si>
    <t>Total KW/kVa</t>
  </si>
  <si>
    <t>MYRP Forecasted Delivered KWHs Load:</t>
  </si>
  <si>
    <t xml:space="preserve">Green Direct Load (based on 2024 GRC Test-Year GD Load Actuals) </t>
  </si>
  <si>
    <t>Transportation Load (SCH SC)</t>
  </si>
  <si>
    <t xml:space="preserve"> Transportation Load (SCH 449-459)</t>
  </si>
  <si>
    <t>Delivered Load (excluding GD and Transportation)</t>
  </si>
  <si>
    <t>&lt;= for Exhibit A-1 used for PCA Tracking</t>
  </si>
  <si>
    <t>Delivered Load (Including GD, excluding Transportation)</t>
  </si>
  <si>
    <t>&lt;= for Rate Design and Revenue Requirement Development</t>
  </si>
  <si>
    <t>Delivered Load (Including GD and Transportation)</t>
  </si>
  <si>
    <t>cross check</t>
  </si>
  <si>
    <t>2024 GRC Rebuttal Filing</t>
  </si>
  <si>
    <t>Difference</t>
  </si>
  <si>
    <t>compliance</t>
  </si>
  <si>
    <t>Line</t>
  </si>
  <si>
    <t>Description</t>
  </si>
  <si>
    <t>Updated Filing</t>
  </si>
  <si>
    <t>Current Rates</t>
  </si>
  <si>
    <t>(a)</t>
  </si>
  <si>
    <t>(b)</t>
  </si>
  <si>
    <t>(c)</t>
  </si>
  <si>
    <t>Add Earnings on Centralia Coal Transition PPA</t>
  </si>
  <si>
    <t>Remove 557 Fixed Costs not to be updated</t>
  </si>
  <si>
    <t>Add Brokerage Fees</t>
  </si>
  <si>
    <t>Updated Power Costs - Adjusted</t>
  </si>
  <si>
    <t>Gross Up</t>
  </si>
  <si>
    <t>Grossed Up Costs</t>
  </si>
  <si>
    <t>2026 Updated Power Costs vs. 2025 Power Costs (Narrative Provided)</t>
  </si>
  <si>
    <r>
      <t>2024 GRC change to 2025 for load to establish existing 2026 rates</t>
    </r>
    <r>
      <rPr>
        <vertAlign val="superscript"/>
        <sz val="11"/>
        <color theme="1"/>
        <rFont val="Calibri"/>
        <family val="2"/>
      </rPr>
      <t>(1)</t>
    </r>
  </si>
  <si>
    <t>adjusted to a level that resulted in the same volumetric variable baseline rate as was approved for 2025.</t>
  </si>
  <si>
    <t>Earnings on DR/DER PPAs</t>
  </si>
  <si>
    <t>CCA (555)</t>
  </si>
  <si>
    <t>Return on CETA DR/DER PPAs</t>
  </si>
  <si>
    <r>
      <rPr>
        <vertAlign val="superscript"/>
        <sz val="11"/>
        <color theme="1"/>
        <rFont val="Calibri"/>
        <family val="2"/>
      </rPr>
      <t>(1)</t>
    </r>
    <r>
      <rPr>
        <sz val="11"/>
        <color theme="1"/>
        <rFont val="Calibri"/>
        <family val="2"/>
        <scheme val="minor"/>
      </rPr>
      <t xml:space="preserve"> To establish the 2026 power cost rates that were approved in the 1/15/2025 2024 GRC compliance, 2026 power costs were </t>
    </r>
  </si>
  <si>
    <t>2026 BLR Update</t>
  </si>
  <si>
    <t>Forecast Delivered Sales Volumes and Customer Counts</t>
  </si>
  <si>
    <t>Source: F2025 Load forecast (approved on June 17th, 2025)</t>
  </si>
  <si>
    <t>Projected Delivered Sales Volume by Month (kWh)</t>
  </si>
  <si>
    <t>Rate Schedule</t>
  </si>
  <si>
    <t>TOTAL</t>
  </si>
  <si>
    <t>7A</t>
  </si>
  <si>
    <t>11 (25)</t>
  </si>
  <si>
    <t xml:space="preserve">Special Contracts </t>
  </si>
  <si>
    <t>Lighting (03, 50 - 59)</t>
  </si>
  <si>
    <t>Transportation (448 - 459)</t>
  </si>
  <si>
    <t>EV Fleet Depot Charging (558)</t>
  </si>
  <si>
    <t>Resale (5)</t>
  </si>
  <si>
    <t>Total</t>
  </si>
  <si>
    <t>2024 GRC Green Direct Load</t>
  </si>
  <si>
    <t>Transportation load (SCH SC)</t>
  </si>
  <si>
    <t>Transportation load (SCH 449-459)</t>
  </si>
  <si>
    <t>Forecast Delivered Load (Excluding GD and Transportation)</t>
  </si>
  <si>
    <t>&lt;-- for Exhibit A-1 used for PCA Tracking</t>
  </si>
  <si>
    <t>Forecasted Delivered Load (including GD load)</t>
  </si>
  <si>
    <t>&lt;-- for Rate Design and Revenue Requirement Development</t>
  </si>
  <si>
    <t>Source: File "240004-05-PSE-Cply-WP-CTM-3-ELEC-F2023-BILL-DETERMINANTS-24GRC-01-2025.xlsx", Tab "Bill-Determinants" from PSE's Compliance Filing made January 21, 2025 to set rates in UE-240004.</t>
  </si>
  <si>
    <t>Source: File "220004-05-Advice-2025-03-PSE-Cply-Exh-A-1-(01-21-2025).xlsx" as explicitly approved in the Commission's 1/28/2025 Acknowledgement letter in UE-240004.</t>
  </si>
  <si>
    <t>Jan '25 ~ Dec '25</t>
  </si>
  <si>
    <t>check s/b 0</t>
  </si>
  <si>
    <t>Final Revenue Requirement Change vs. 2025 BLR approved in 2024 GRC</t>
  </si>
  <si>
    <t>checks s/b 0</t>
  </si>
  <si>
    <t>Increase for Load Reduction Between Forecasts</t>
  </si>
  <si>
    <t>Add CCA Allowance Costs to PCA Mechanism</t>
  </si>
  <si>
    <t>Proposed CCA methodology applied to 2025 Current Rates for Meaningful Comparison</t>
  </si>
  <si>
    <t>Change</t>
  </si>
  <si>
    <t>EXH. SEF-29 page 3 of 3</t>
  </si>
  <si>
    <t>PUGET SOUND ENERGY - ELECTRIC</t>
  </si>
  <si>
    <t>ELECTRIC RESULTS OF OPERATIONS</t>
  </si>
  <si>
    <t>2024 GENERAL RATE CASE</t>
  </si>
  <si>
    <t>12 MONTHS ENDED JUNE 30, 2023</t>
  </si>
  <si>
    <t>CONVERSION FACTOR</t>
  </si>
  <si>
    <t>LINE</t>
  </si>
  <si>
    <t>NO.</t>
  </si>
  <si>
    <t>DESCRIPTION</t>
  </si>
  <si>
    <t>BAD DEBTS</t>
  </si>
  <si>
    <t>ANNUAL FILING FEE</t>
  </si>
  <si>
    <t>SUM OF TAXES OTHER</t>
  </si>
  <si>
    <t>2024 General Rate Case Docket No. UE-240004 and UG-240005</t>
  </si>
  <si>
    <t>Electric Bill Determinants based on Forecast F2023</t>
  </si>
  <si>
    <t>SOURCE: Please refer to Confidential Workpaper 250326-Attachment-A-(Power cost forecast detail)-C.xlsx tab Power cost summary (C)</t>
  </si>
  <si>
    <t>Docket Number UE-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</si>
</sst>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&quot;$&quot;* #,##0_);_(&quot;$&quot;* \(#,##0\);_(&quot;$&quot;* &quot;-&quot;???_);_(@_)"/>
    <numFmt numFmtId="168" formatCode="_(&quot;$&quot;* #,##0.000_);_(&quot;$&quot;* \(#,##0.000\);_(&quot;$&quot;* &quot;-&quot;???_);_(@_)"/>
    <numFmt numFmtId="169" formatCode="_(&quot;$&quot;* #,##0.000_);_(&quot;$&quot;* \(#,##0.000\);_(&quot;$&quot;* &quot;-&quot;??_);_(@_)"/>
    <numFmt numFmtId="170" formatCode="_(* #,##0.000_);_(* \(#,##0.000\);_(* &quot;-&quot;??_);_(@_)"/>
    <numFmt numFmtId="171" formatCode="0.000"/>
    <numFmt numFmtId="172" formatCode="_(* #,##0.000000_);_(* \(#,##0.000000\);_(* &quot;-&quot;??_);_(@_)"/>
    <numFmt numFmtId="173" formatCode="_(* #,##0.0000000_);_(* \(#,##0.0000000\);_(* &quot;-&quot;??_);_(@_)"/>
    <numFmt numFmtId="174" formatCode="_(* #,##0.0000_);_(* \(#,##0.0000\);_(* &quot;-&quot;??_);_(@_)"/>
    <numFmt numFmtId="175" formatCode="_(* #,##0.000_);_(* \(#,##0.000\);_(* &quot;-&quot;_);_(@_)"/>
    <numFmt numFmtId="176" formatCode="0.000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8.25"/>
      <color rgb="FFFF000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i/>
      <sz val="10"/>
      <color rgb="FF0000FF"/>
      <name val="Arial"/>
      <family val="2"/>
    </font>
    <font>
      <u/>
      <sz val="10"/>
      <color theme="1"/>
      <name val="Arial"/>
      <family val="2"/>
    </font>
    <font>
      <b/>
      <i/>
      <sz val="12"/>
      <color rgb="FFFF0000"/>
      <name val="Calibri"/>
      <family val="2"/>
      <scheme val="minor"/>
    </font>
    <font>
      <b/>
      <sz val="8"/>
      <color rgb="FF008080"/>
      <name val="Arial"/>
      <family val="2"/>
    </font>
    <font>
      <sz val="11"/>
      <color rgb="FF008080"/>
      <name val="Calibri"/>
      <family val="2"/>
      <scheme val="minor"/>
    </font>
    <font>
      <b/>
      <sz val="8"/>
      <color rgb="FF0033CC"/>
      <name val="Arial"/>
      <family val="2"/>
    </font>
    <font>
      <sz val="11"/>
      <color rgb="FF0033CC"/>
      <name val="Calibri"/>
      <family val="2"/>
      <scheme val="minor"/>
    </font>
    <font>
      <b/>
      <sz val="8"/>
      <name val="Arial"/>
      <family val="2"/>
    </font>
    <font>
      <sz val="8"/>
      <color rgb="FF0033CC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rgb="FFFF5050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CC"/>
      <name val="Arial"/>
      <family val="2"/>
    </font>
    <font>
      <sz val="8"/>
      <color rgb="FF008080"/>
      <name val="Arial"/>
      <family val="2"/>
    </font>
    <font>
      <b/>
      <sz val="8"/>
      <color rgb="FFFF0000"/>
      <name val="Arial"/>
      <family val="2"/>
    </font>
    <font>
      <b/>
      <sz val="8"/>
      <color rgb="FF006666"/>
      <name val="Arial"/>
      <family val="2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3" fillId="0" borderId="0" applyFont="0" applyFill="0" applyBorder="0" applyAlignment="0" applyProtection="0"/>
    <xf numFmtId="0" fontId="26" fillId="0" borderId="0"/>
    <xf numFmtId="166" fontId="7" fillId="0" borderId="0">
      <alignment horizontal="left" wrapText="1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6" fillId="9" borderId="0" applyNumberFormat="0" applyBorder="0" applyAlignment="0" applyProtection="0"/>
  </cellStyleXfs>
  <cellXfs count="2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6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9" fontId="5" fillId="0" borderId="10" xfId="0" applyNumberFormat="1" applyFont="1" applyBorder="1"/>
    <xf numFmtId="169" fontId="5" fillId="0" borderId="11" xfId="0" applyNumberFormat="1" applyFont="1" applyBorder="1"/>
    <xf numFmtId="169" fontId="7" fillId="0" borderId="0" xfId="0" applyNumberFormat="1" applyFont="1"/>
    <xf numFmtId="169" fontId="5" fillId="0" borderId="0" xfId="0" applyNumberFormat="1" applyFont="1"/>
    <xf numFmtId="169" fontId="5" fillId="0" borderId="9" xfId="0" applyNumberFormat="1" applyFont="1" applyBorder="1"/>
    <xf numFmtId="170" fontId="8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Continuous"/>
    </xf>
    <xf numFmtId="170" fontId="8" fillId="0" borderId="11" xfId="0" applyNumberFormat="1" applyFont="1" applyBorder="1" applyAlignment="1">
      <alignment horizontal="centerContinuous"/>
    </xf>
    <xf numFmtId="0" fontId="7" fillId="0" borderId="0" xfId="0" applyFo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70" fontId="8" fillId="0" borderId="10" xfId="0" applyNumberFormat="1" applyFont="1" applyBorder="1" applyAlignment="1">
      <alignment horizontal="center"/>
    </xf>
    <xf numFmtId="170" fontId="8" fillId="0" borderId="11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Continuous"/>
    </xf>
    <xf numFmtId="171" fontId="7" fillId="0" borderId="0" xfId="0" applyNumberFormat="1" applyFont="1"/>
    <xf numFmtId="171" fontId="7" fillId="0" borderId="13" xfId="0" applyNumberFormat="1" applyFont="1" applyBorder="1" applyAlignment="1">
      <alignment horizontal="centerContinuous"/>
    </xf>
    <xf numFmtId="41" fontId="9" fillId="0" borderId="0" xfId="0" applyNumberFormat="1" applyFont="1"/>
    <xf numFmtId="41" fontId="5" fillId="0" borderId="0" xfId="0" applyNumberFormat="1" applyFont="1"/>
    <xf numFmtId="164" fontId="5" fillId="0" borderId="0" xfId="0" applyNumberFormat="1" applyFont="1"/>
    <xf numFmtId="165" fontId="5" fillId="0" borderId="4" xfId="0" applyNumberFormat="1" applyFont="1" applyBorder="1"/>
    <xf numFmtId="0" fontId="10" fillId="0" borderId="0" xfId="0" applyFont="1"/>
    <xf numFmtId="172" fontId="5" fillId="0" borderId="0" xfId="0" applyNumberFormat="1" applyFont="1"/>
    <xf numFmtId="170" fontId="5" fillId="0" borderId="0" xfId="0" applyNumberFormat="1" applyFont="1"/>
    <xf numFmtId="165" fontId="5" fillId="0" borderId="4" xfId="0" applyNumberFormat="1" applyFont="1" applyBorder="1" applyAlignment="1">
      <alignment vertical="center"/>
    </xf>
    <xf numFmtId="169" fontId="5" fillId="0" borderId="4" xfId="0" applyNumberFormat="1" applyFont="1" applyBorder="1" applyAlignment="1">
      <alignment vertical="center"/>
    </xf>
    <xf numFmtId="169" fontId="5" fillId="0" borderId="15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169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 indent="1"/>
    </xf>
    <xf numFmtId="16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0" fontId="5" fillId="0" borderId="0" xfId="0" applyNumberFormat="1" applyFont="1"/>
    <xf numFmtId="164" fontId="5" fillId="0" borderId="0" xfId="0" applyNumberFormat="1" applyFont="1" applyAlignment="1">
      <alignment horizontal="left"/>
    </xf>
    <xf numFmtId="43" fontId="5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7" fillId="0" borderId="6" xfId="0" applyFont="1" applyBorder="1"/>
    <xf numFmtId="0" fontId="14" fillId="0" borderId="5" xfId="0" quotePrefix="1" applyFont="1" applyBorder="1" applyAlignment="1">
      <alignment horizontal="left"/>
    </xf>
    <xf numFmtId="0" fontId="7" fillId="0" borderId="5" xfId="0" applyFont="1" applyBorder="1"/>
    <xf numFmtId="0" fontId="14" fillId="0" borderId="3" xfId="0" applyFont="1" applyBorder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right"/>
    </xf>
    <xf numFmtId="0" fontId="14" fillId="0" borderId="0" xfId="0" quotePrefix="1" applyFont="1" applyAlignment="1">
      <alignment horizontal="centerContinuous"/>
    </xf>
    <xf numFmtId="0" fontId="7" fillId="0" borderId="3" xfId="0" applyFont="1" applyBorder="1"/>
    <xf numFmtId="0" fontId="16" fillId="0" borderId="0" xfId="0" applyFont="1"/>
    <xf numFmtId="0" fontId="16" fillId="0" borderId="0" xfId="0" quotePrefix="1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/>
    <xf numFmtId="0" fontId="7" fillId="0" borderId="0" xfId="0" applyFont="1" applyAlignment="1">
      <alignment horizontal="right"/>
    </xf>
    <xf numFmtId="16" fontId="7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12" xfId="0" applyFont="1" applyBorder="1"/>
    <xf numFmtId="0" fontId="7" fillId="0" borderId="12" xfId="0" quotePrefix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8" fillId="0" borderId="0" xfId="0" applyFont="1"/>
    <xf numFmtId="174" fontId="7" fillId="0" borderId="0" xfId="0" applyNumberFormat="1" applyFont="1"/>
    <xf numFmtId="165" fontId="7" fillId="0" borderId="0" xfId="0" applyNumberFormat="1" applyFont="1"/>
    <xf numFmtId="173" fontId="7" fillId="0" borderId="0" xfId="0" applyNumberFormat="1" applyFont="1"/>
    <xf numFmtId="164" fontId="7" fillId="0" borderId="0" xfId="0" applyNumberFormat="1" applyFont="1"/>
    <xf numFmtId="41" fontId="7" fillId="0" borderId="0" xfId="0" applyNumberFormat="1" applyFont="1"/>
    <xf numFmtId="43" fontId="7" fillId="0" borderId="0" xfId="0" applyNumberFormat="1" applyFont="1"/>
    <xf numFmtId="0" fontId="7" fillId="0" borderId="0" xfId="0" quotePrefix="1" applyFont="1" applyAlignment="1">
      <alignment horizontal="left"/>
    </xf>
    <xf numFmtId="175" fontId="7" fillId="0" borderId="0" xfId="0" applyNumberFormat="1" applyFont="1"/>
    <xf numFmtId="165" fontId="7" fillId="2" borderId="16" xfId="0" applyNumberFormat="1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/>
    <xf numFmtId="41" fontId="3" fillId="0" borderId="18" xfId="0" applyNumberFormat="1" applyFont="1" applyBorder="1"/>
    <xf numFmtId="0" fontId="3" fillId="0" borderId="1" xfId="0" applyFont="1" applyBorder="1" applyAlignment="1">
      <alignment horizontal="right"/>
    </xf>
    <xf numFmtId="0" fontId="19" fillId="0" borderId="2" xfId="0" applyFont="1" applyBorder="1"/>
    <xf numFmtId="41" fontId="19" fillId="0" borderId="19" xfId="0" applyNumberFormat="1" applyFont="1" applyBorder="1"/>
    <xf numFmtId="0" fontId="19" fillId="0" borderId="0" xfId="0" applyFont="1"/>
    <xf numFmtId="166" fontId="19" fillId="0" borderId="3" xfId="0" applyNumberFormat="1" applyFont="1" applyBorder="1" applyAlignment="1">
      <alignment horizontal="left"/>
    </xf>
    <xf numFmtId="41" fontId="19" fillId="0" borderId="20" xfId="0" applyNumberFormat="1" applyFont="1" applyBorder="1"/>
    <xf numFmtId="0" fontId="19" fillId="0" borderId="0" xfId="0" applyFont="1" applyAlignment="1">
      <alignment horizontal="center"/>
    </xf>
    <xf numFmtId="41" fontId="19" fillId="0" borderId="7" xfId="0" applyNumberFormat="1" applyFont="1" applyBorder="1"/>
    <xf numFmtId="0" fontId="19" fillId="0" borderId="4" xfId="0" applyFont="1" applyBorder="1" applyAlignment="1">
      <alignment horizontal="center"/>
    </xf>
    <xf numFmtId="166" fontId="19" fillId="0" borderId="21" xfId="0" applyNumberFormat="1" applyFont="1" applyBorder="1" applyAlignment="1">
      <alignment horizontal="left"/>
    </xf>
    <xf numFmtId="0" fontId="20" fillId="0" borderId="2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66" fontId="20" fillId="0" borderId="6" xfId="0" applyNumberFormat="1" applyFont="1" applyBorder="1" applyAlignment="1">
      <alignment horizontal="left"/>
    </xf>
    <xf numFmtId="0" fontId="21" fillId="0" borderId="0" xfId="0" applyFont="1"/>
    <xf numFmtId="166" fontId="21" fillId="0" borderId="0" xfId="0" applyNumberFormat="1" applyFont="1" applyAlignment="1">
      <alignment horizontal="left"/>
    </xf>
    <xf numFmtId="165" fontId="19" fillId="0" borderId="0" xfId="0" applyNumberFormat="1" applyFont="1"/>
    <xf numFmtId="165" fontId="5" fillId="0" borderId="0" xfId="0" applyNumberFormat="1" applyFont="1" applyAlignment="1">
      <alignment vertical="center"/>
    </xf>
    <xf numFmtId="41" fontId="1" fillId="0" borderId="0" xfId="0" applyNumberFormat="1" applyFont="1"/>
    <xf numFmtId="164" fontId="1" fillId="0" borderId="0" xfId="0" applyNumberFormat="1" applyFont="1"/>
    <xf numFmtId="43" fontId="1" fillId="0" borderId="0" xfId="0" applyNumberFormat="1" applyFont="1"/>
    <xf numFmtId="44" fontId="1" fillId="0" borderId="0" xfId="0" applyNumberFormat="1" applyFont="1"/>
    <xf numFmtId="167" fontId="5" fillId="0" borderId="0" xfId="0" applyNumberFormat="1" applyFont="1"/>
    <xf numFmtId="165" fontId="1" fillId="0" borderId="0" xfId="0" applyNumberFormat="1" applyFont="1"/>
    <xf numFmtId="169" fontId="1" fillId="0" borderId="0" xfId="0" applyNumberFormat="1" applyFont="1"/>
    <xf numFmtId="0" fontId="5" fillId="4" borderId="0" xfId="0" applyFont="1" applyFill="1"/>
    <xf numFmtId="0" fontId="5" fillId="4" borderId="0" xfId="0" applyFont="1" applyFill="1" applyAlignment="1">
      <alignment vertical="top"/>
    </xf>
    <xf numFmtId="164" fontId="5" fillId="4" borderId="0" xfId="0" applyNumberFormat="1" applyFont="1" applyFill="1"/>
    <xf numFmtId="167" fontId="25" fillId="0" borderId="8" xfId="0" applyNumberFormat="1" applyFont="1" applyBorder="1"/>
    <xf numFmtId="164" fontId="0" fillId="0" borderId="0" xfId="1" applyNumberFormat="1" applyFont="1" applyFill="1"/>
    <xf numFmtId="167" fontId="25" fillId="0" borderId="12" xfId="0" applyNumberFormat="1" applyFont="1" applyBorder="1"/>
    <xf numFmtId="2" fontId="27" fillId="0" borderId="0" xfId="0" applyNumberFormat="1" applyFont="1" applyAlignment="1">
      <alignment horizontal="left"/>
    </xf>
    <xf numFmtId="165" fontId="21" fillId="0" borderId="0" xfId="0" applyNumberFormat="1" applyFont="1"/>
    <xf numFmtId="0" fontId="1" fillId="0" borderId="0" xfId="0" applyFont="1" applyAlignment="1">
      <alignment horizontal="left"/>
    </xf>
    <xf numFmtId="16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1"/>
    </xf>
    <xf numFmtId="164" fontId="2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 vertical="center" indent="1"/>
    </xf>
    <xf numFmtId="165" fontId="1" fillId="0" borderId="7" xfId="0" applyNumberFormat="1" applyFont="1" applyBorder="1" applyAlignment="1">
      <alignment vertical="center"/>
    </xf>
    <xf numFmtId="169" fontId="1" fillId="0" borderId="15" xfId="0" applyNumberFormat="1" applyFont="1" applyBorder="1" applyAlignment="1">
      <alignment vertical="center"/>
    </xf>
    <xf numFmtId="169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73" fontId="1" fillId="0" borderId="12" xfId="0" applyNumberFormat="1" applyFont="1" applyBorder="1"/>
    <xf numFmtId="170" fontId="1" fillId="0" borderId="0" xfId="0" applyNumberFormat="1" applyFont="1"/>
    <xf numFmtId="172" fontId="1" fillId="0" borderId="0" xfId="0" applyNumberFormat="1" applyFont="1"/>
    <xf numFmtId="165" fontId="1" fillId="0" borderId="4" xfId="0" applyNumberFormat="1" applyFont="1" applyBorder="1"/>
    <xf numFmtId="41" fontId="2" fillId="0" borderId="0" xfId="0" applyNumberFormat="1" applyFont="1"/>
    <xf numFmtId="44" fontId="21" fillId="0" borderId="14" xfId="0" applyNumberFormat="1" applyFont="1" applyBorder="1" applyAlignment="1">
      <alignment horizontal="centerContinuous"/>
    </xf>
    <xf numFmtId="171" fontId="21" fillId="0" borderId="13" xfId="0" applyNumberFormat="1" applyFont="1" applyBorder="1" applyAlignment="1">
      <alignment horizontal="centerContinuous"/>
    </xf>
    <xf numFmtId="171" fontId="21" fillId="0" borderId="0" xfId="0" applyNumberFormat="1" applyFont="1"/>
    <xf numFmtId="43" fontId="21" fillId="0" borderId="0" xfId="1" applyFont="1" applyFill="1" applyBorder="1" applyAlignment="1"/>
    <xf numFmtId="170" fontId="28" fillId="0" borderId="11" xfId="0" applyNumberFormat="1" applyFont="1" applyBorder="1" applyAlignment="1">
      <alignment horizontal="center"/>
    </xf>
    <xf numFmtId="170" fontId="28" fillId="0" borderId="10" xfId="0" applyNumberFormat="1" applyFont="1" applyBorder="1" applyAlignment="1">
      <alignment horizontal="center"/>
    </xf>
    <xf numFmtId="170" fontId="28" fillId="0" borderId="0" xfId="0" applyNumberFormat="1" applyFont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170" fontId="28" fillId="0" borderId="11" xfId="0" applyNumberFormat="1" applyFont="1" applyBorder="1" applyAlignment="1">
      <alignment horizontal="centerContinuous"/>
    </xf>
    <xf numFmtId="0" fontId="21" fillId="0" borderId="10" xfId="0" applyFont="1" applyBorder="1" applyAlignment="1">
      <alignment horizontal="centerContinuous"/>
    </xf>
    <xf numFmtId="169" fontId="1" fillId="0" borderId="11" xfId="0" applyNumberFormat="1" applyFont="1" applyBorder="1"/>
    <xf numFmtId="169" fontId="1" fillId="0" borderId="10" xfId="0" applyNumberFormat="1" applyFont="1" applyBorder="1"/>
    <xf numFmtId="169" fontId="1" fillId="2" borderId="9" xfId="0" applyNumberFormat="1" applyFont="1" applyFill="1" applyBorder="1"/>
    <xf numFmtId="169" fontId="1" fillId="0" borderId="8" xfId="0" applyNumberFormat="1" applyFont="1" applyBorder="1"/>
    <xf numFmtId="169" fontId="21" fillId="0" borderId="0" xfId="0" applyNumberFormat="1" applyFont="1"/>
    <xf numFmtId="168" fontId="1" fillId="3" borderId="9" xfId="0" applyNumberFormat="1" applyFont="1" applyFill="1" applyBorder="1"/>
    <xf numFmtId="167" fontId="1" fillId="3" borderId="8" xfId="0" applyNumberFormat="1" applyFont="1" applyFill="1" applyBorder="1"/>
    <xf numFmtId="0" fontId="2" fillId="0" borderId="0" xfId="0" applyFont="1" applyAlignment="1">
      <alignment horizontal="center"/>
    </xf>
    <xf numFmtId="0" fontId="29" fillId="0" borderId="0" xfId="0" applyFont="1"/>
    <xf numFmtId="169" fontId="22" fillId="0" borderId="0" xfId="0" applyNumberFormat="1" applyFont="1" applyAlignment="1">
      <alignment horizontal="center"/>
    </xf>
    <xf numFmtId="0" fontId="20" fillId="0" borderId="0" xfId="0" applyFont="1"/>
    <xf numFmtId="0" fontId="20" fillId="0" borderId="12" xfId="0" applyFont="1" applyBorder="1" applyAlignment="1">
      <alignment horizontal="center" wrapText="1"/>
    </xf>
    <xf numFmtId="17" fontId="34" fillId="0" borderId="12" xfId="0" quotePrefix="1" applyNumberFormat="1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7" fontId="25" fillId="0" borderId="12" xfId="0" quotePrefix="1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left" indent="1"/>
    </xf>
    <xf numFmtId="164" fontId="25" fillId="0" borderId="0" xfId="0" applyNumberFormat="1" applyFont="1"/>
    <xf numFmtId="164" fontId="3" fillId="0" borderId="0" xfId="0" applyNumberFormat="1" applyFont="1"/>
    <xf numFmtId="164" fontId="25" fillId="0" borderId="4" xfId="0" applyNumberFormat="1" applyFont="1" applyBorder="1"/>
    <xf numFmtId="164" fontId="25" fillId="0" borderId="12" xfId="0" applyNumberFormat="1" applyFont="1" applyBorder="1"/>
    <xf numFmtId="164" fontId="25" fillId="5" borderId="0" xfId="0" applyNumberFormat="1" applyFont="1" applyFill="1"/>
    <xf numFmtId="3" fontId="19" fillId="0" borderId="0" xfId="0" applyNumberFormat="1" applyFont="1"/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/>
    </xf>
    <xf numFmtId="0" fontId="35" fillId="0" borderId="0" xfId="0" quotePrefix="1" applyFont="1" applyAlignment="1">
      <alignment horizontal="center"/>
    </xf>
    <xf numFmtId="0" fontId="19" fillId="0" borderId="0" xfId="0" quotePrefix="1" applyFont="1" applyAlignment="1">
      <alignment horizontal="left"/>
    </xf>
    <xf numFmtId="0" fontId="19" fillId="0" borderId="0" xfId="0" quotePrefix="1" applyFont="1" applyAlignment="1">
      <alignment horizontal="left" indent="1"/>
    </xf>
    <xf numFmtId="164" fontId="34" fillId="0" borderId="0" xfId="0" applyNumberFormat="1" applyFont="1"/>
    <xf numFmtId="0" fontId="20" fillId="0" borderId="12" xfId="0" applyFont="1" applyBorder="1"/>
    <xf numFmtId="0" fontId="34" fillId="0" borderId="0" xfId="0" applyFont="1" applyAlignment="1">
      <alignment horizontal="right"/>
    </xf>
    <xf numFmtId="164" fontId="30" fillId="0" borderId="0" xfId="0" applyNumberFormat="1" applyFont="1"/>
    <xf numFmtId="0" fontId="34" fillId="0" borderId="0" xfId="0" applyFont="1"/>
    <xf numFmtId="164" fontId="34" fillId="0" borderId="23" xfId="0" applyNumberFormat="1" applyFont="1" applyBorder="1"/>
    <xf numFmtId="0" fontId="3" fillId="0" borderId="0" xfId="0" applyFont="1" applyAlignment="1">
      <alignment horizontal="center"/>
    </xf>
    <xf numFmtId="164" fontId="32" fillId="6" borderId="0" xfId="1" applyNumberFormat="1" applyFont="1" applyFill="1"/>
    <xf numFmtId="164" fontId="3" fillId="6" borderId="0" xfId="1" applyNumberFormat="1" applyFont="1" applyFill="1"/>
    <xf numFmtId="173" fontId="5" fillId="0" borderId="12" xfId="0" applyNumberFormat="1" applyFont="1" applyBorder="1"/>
    <xf numFmtId="0" fontId="36" fillId="0" borderId="0" xfId="0" applyFont="1" applyAlignment="1">
      <alignment horizontal="center"/>
    </xf>
    <xf numFmtId="164" fontId="34" fillId="5" borderId="23" xfId="0" applyNumberFormat="1" applyFont="1" applyFill="1" applyBorder="1"/>
    <xf numFmtId="172" fontId="7" fillId="0" borderId="12" xfId="0" applyNumberFormat="1" applyFont="1" applyBorder="1"/>
    <xf numFmtId="164" fontId="37" fillId="0" borderId="0" xfId="0" applyNumberFormat="1" applyFont="1"/>
    <xf numFmtId="0" fontId="1" fillId="2" borderId="0" xfId="0" applyFont="1" applyFill="1" applyAlignment="1">
      <alignment horizontal="left"/>
    </xf>
    <xf numFmtId="164" fontId="22" fillId="0" borderId="0" xfId="0" applyNumberFormat="1" applyFont="1"/>
    <xf numFmtId="0" fontId="0" fillId="7" borderId="0" xfId="0" applyFill="1"/>
    <xf numFmtId="0" fontId="38" fillId="7" borderId="0" xfId="0" applyFont="1" applyFill="1" applyAlignment="1">
      <alignment horizontal="center"/>
    </xf>
    <xf numFmtId="0" fontId="38" fillId="7" borderId="12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42" fontId="0" fillId="7" borderId="0" xfId="6" applyNumberFormat="1" applyFont="1" applyFill="1"/>
    <xf numFmtId="41" fontId="0" fillId="7" borderId="0" xfId="1" applyNumberFormat="1" applyFont="1" applyFill="1"/>
    <xf numFmtId="41" fontId="0" fillId="7" borderId="4" xfId="1" applyNumberFormat="1" applyFont="1" applyFill="1" applyBorder="1"/>
    <xf numFmtId="3" fontId="40" fillId="0" borderId="0" xfId="0" applyNumberFormat="1" applyFont="1"/>
    <xf numFmtId="42" fontId="0" fillId="7" borderId="23" xfId="6" applyNumberFormat="1" applyFont="1" applyFill="1" applyBorder="1"/>
    <xf numFmtId="0" fontId="0" fillId="7" borderId="0" xfId="0" quotePrefix="1" applyFill="1"/>
    <xf numFmtId="0" fontId="0" fillId="7" borderId="0" xfId="0" applyFill="1" applyAlignment="1">
      <alignment horizontal="left" indent="2"/>
    </xf>
    <xf numFmtId="0" fontId="0" fillId="0" borderId="0" xfId="0" applyAlignment="1">
      <alignment horizontal="left" indent="2"/>
    </xf>
    <xf numFmtId="41" fontId="0" fillId="0" borderId="0" xfId="1" applyNumberFormat="1" applyFont="1" applyFill="1"/>
    <xf numFmtId="41" fontId="0" fillId="0" borderId="0" xfId="1" applyNumberFormat="1" applyFont="1"/>
    <xf numFmtId="41" fontId="0" fillId="0" borderId="0" xfId="0" applyNumberFormat="1"/>
    <xf numFmtId="164" fontId="22" fillId="5" borderId="0" xfId="0" applyNumberFormat="1" applyFont="1" applyFill="1"/>
    <xf numFmtId="164" fontId="7" fillId="5" borderId="0" xfId="1" applyNumberFormat="1" applyFont="1" applyFill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Continuous"/>
    </xf>
    <xf numFmtId="0" fontId="34" fillId="0" borderId="12" xfId="0" applyFont="1" applyBorder="1" applyAlignment="1">
      <alignment horizontal="center"/>
    </xf>
    <xf numFmtId="17" fontId="41" fillId="0" borderId="12" xfId="0" applyNumberFormat="1" applyFont="1" applyBorder="1" applyAlignment="1">
      <alignment horizontal="center"/>
    </xf>
    <xf numFmtId="17" fontId="34" fillId="0" borderId="12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164" fontId="43" fillId="0" borderId="0" xfId="0" applyNumberFormat="1" applyFont="1"/>
    <xf numFmtId="164" fontId="34" fillId="0" borderId="0" xfId="0" applyNumberFormat="1" applyFont="1" applyAlignment="1">
      <alignment horizontal="center"/>
    </xf>
    <xf numFmtId="0" fontId="42" fillId="0" borderId="0" xfId="0" quotePrefix="1" applyFont="1" applyAlignment="1">
      <alignment horizontal="center"/>
    </xf>
    <xf numFmtId="164" fontId="34" fillId="0" borderId="4" xfId="0" applyNumberFormat="1" applyFont="1" applyBorder="1" applyAlignment="1">
      <alignment horizontal="center"/>
    </xf>
    <xf numFmtId="0" fontId="44" fillId="0" borderId="0" xfId="0" applyFont="1" applyAlignment="1">
      <alignment horizontal="center"/>
    </xf>
    <xf numFmtId="0" fontId="3" fillId="0" borderId="0" xfId="0" applyFont="1"/>
    <xf numFmtId="37" fontId="25" fillId="0" borderId="0" xfId="0" applyNumberFormat="1" applyFont="1"/>
    <xf numFmtId="165" fontId="45" fillId="0" borderId="0" xfId="6" applyNumberFormat="1" applyFont="1"/>
    <xf numFmtId="9" fontId="0" fillId="0" borderId="0" xfId="7" applyFont="1"/>
    <xf numFmtId="0" fontId="34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41" fontId="7" fillId="8" borderId="0" xfId="0" applyNumberFormat="1" applyFont="1" applyFill="1"/>
    <xf numFmtId="164" fontId="5" fillId="8" borderId="0" xfId="0" applyNumberFormat="1" applyFont="1" applyFill="1"/>
    <xf numFmtId="164" fontId="34" fillId="8" borderId="23" xfId="0" applyNumberFormat="1" applyFont="1" applyFill="1" applyBorder="1"/>
    <xf numFmtId="0" fontId="46" fillId="9" borderId="24" xfId="8" applyBorder="1"/>
    <xf numFmtId="164" fontId="46" fillId="9" borderId="24" xfId="8" applyNumberFormat="1" applyBorder="1"/>
    <xf numFmtId="5" fontId="0" fillId="0" borderId="0" xfId="0" applyNumberFormat="1"/>
    <xf numFmtId="164" fontId="0" fillId="0" borderId="0" xfId="1" applyNumberFormat="1" applyFont="1"/>
    <xf numFmtId="1" fontId="37" fillId="0" borderId="0" xfId="0" applyNumberFormat="1" applyFont="1" applyAlignment="1">
      <alignment vertical="center"/>
    </xf>
    <xf numFmtId="165" fontId="37" fillId="0" borderId="0" xfId="0" applyNumberFormat="1" applyFont="1" applyAlignment="1">
      <alignment vertical="center"/>
    </xf>
    <xf numFmtId="1" fontId="37" fillId="0" borderId="0" xfId="0" applyNumberFormat="1" applyFont="1"/>
    <xf numFmtId="0" fontId="47" fillId="7" borderId="0" xfId="0" applyFont="1" applyFill="1"/>
    <xf numFmtId="42" fontId="47" fillId="7" borderId="25" xfId="6" applyNumberFormat="1" applyFont="1" applyFill="1" applyBorder="1"/>
    <xf numFmtId="41" fontId="47" fillId="7" borderId="25" xfId="1" applyNumberFormat="1" applyFont="1" applyFill="1" applyBorder="1"/>
    <xf numFmtId="42" fontId="47" fillId="7" borderId="0" xfId="6" applyNumberFormat="1" applyFont="1" applyFill="1" applyBorder="1"/>
    <xf numFmtId="0" fontId="48" fillId="0" borderId="0" xfId="0" applyFont="1"/>
    <xf numFmtId="0" fontId="49" fillId="0" borderId="26" xfId="0" applyFont="1" applyBorder="1" applyAlignment="1">
      <alignment horizontal="centerContinuous"/>
    </xf>
    <xf numFmtId="0" fontId="49" fillId="0" borderId="27" xfId="0" applyFont="1" applyBorder="1" applyAlignment="1">
      <alignment horizontal="centerContinuous"/>
    </xf>
    <xf numFmtId="0" fontId="49" fillId="0" borderId="28" xfId="0" applyFont="1" applyBorder="1" applyAlignment="1">
      <alignment horizontal="centerContinuous"/>
    </xf>
    <xf numFmtId="0" fontId="50" fillId="0" borderId="0" xfId="0" applyFont="1" applyAlignment="1">
      <alignment horizontal="centerContinuous"/>
    </xf>
    <xf numFmtId="0" fontId="48" fillId="0" borderId="0" xfId="0" applyFont="1" applyAlignment="1">
      <alignment horizontal="centerContinuous"/>
    </xf>
    <xf numFmtId="0" fontId="51" fillId="0" borderId="0" xfId="0" applyFont="1" applyAlignment="1">
      <alignment horizontal="centerContinuous"/>
    </xf>
    <xf numFmtId="0" fontId="51" fillId="0" borderId="0" xfId="0" applyFont="1"/>
    <xf numFmtId="0" fontId="50" fillId="0" borderId="0" xfId="0" applyFont="1" applyAlignment="1">
      <alignment horizontal="center"/>
    </xf>
    <xf numFmtId="0" fontId="50" fillId="0" borderId="12" xfId="0" applyFont="1" applyBorder="1" applyAlignment="1">
      <alignment horizontal="center"/>
    </xf>
    <xf numFmtId="0" fontId="48" fillId="0" borderId="12" xfId="0" applyFont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66" fontId="52" fillId="0" borderId="0" xfId="0" applyNumberFormat="1" applyFont="1"/>
    <xf numFmtId="166" fontId="52" fillId="2" borderId="29" xfId="0" applyNumberFormat="1" applyFont="1" applyFill="1" applyBorder="1"/>
    <xf numFmtId="176" fontId="48" fillId="0" borderId="0" xfId="0" applyNumberFormat="1" applyFont="1"/>
    <xf numFmtId="166" fontId="52" fillId="0" borderId="12" xfId="0" applyNumberFormat="1" applyFont="1" applyBorder="1"/>
    <xf numFmtId="9" fontId="48" fillId="0" borderId="0" xfId="0" applyNumberFormat="1" applyFont="1"/>
    <xf numFmtId="166" fontId="52" fillId="0" borderId="23" xfId="0" applyNumberFormat="1" applyFont="1" applyBorder="1" applyProtection="1">
      <protection locked="0"/>
    </xf>
    <xf numFmtId="5" fontId="0" fillId="7" borderId="0" xfId="6" applyNumberFormat="1" applyFont="1" applyFill="1"/>
    <xf numFmtId="5" fontId="0" fillId="7" borderId="0" xfId="1" applyNumberFormat="1" applyFont="1" applyFill="1"/>
    <xf numFmtId="5" fontId="47" fillId="7" borderId="25" xfId="1" applyNumberFormat="1" applyFont="1" applyFill="1" applyBorder="1"/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wrapText="1"/>
    </xf>
  </cellXfs>
  <cellStyles count="9">
    <cellStyle name="Accent2" xfId="8" builtinId="33"/>
    <cellStyle name="Comma" xfId="1" builtinId="3"/>
    <cellStyle name="Comma 2" xfId="4" xr:uid="{00000000-0005-0000-0000-000002000000}"/>
    <cellStyle name="Currency" xfId="6" builtinId="4"/>
    <cellStyle name="Currency 2" xfId="5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Percent" xfId="7" builtinId="5"/>
  </cellStyles>
  <dxfs count="0"/>
  <tableStyles count="0" defaultTableStyle="TableStyleMedium2" defaultPivotStyle="PivotStyleLight16"/>
  <colors>
    <mruColors>
      <color rgb="FF00FF00"/>
      <color rgb="FFFF99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K26"/>
  <sheetViews>
    <sheetView tabSelected="1" zoomScale="85" zoomScaleNormal="85" workbookViewId="0">
      <pane xSplit="3" ySplit="12" topLeftCell="F16" activePane="bottomRight" state="frozen"/>
      <selection activeCell="G28" sqref="G28"/>
      <selection pane="topRight" activeCell="G28" sqref="G28"/>
      <selection pane="bottomLeft" activeCell="G28" sqref="G28"/>
      <selection pane="bottomRight" activeCell="G2" sqref="G2"/>
    </sheetView>
  </sheetViews>
  <sheetFormatPr defaultRowHeight="14.25" x14ac:dyDescent="0.2"/>
  <cols>
    <col min="1" max="1" width="5.7109375" style="15" customWidth="1"/>
    <col min="2" max="2" width="47.28515625" style="15" bestFit="1" customWidth="1"/>
    <col min="3" max="3" width="1.7109375" style="15" customWidth="1"/>
    <col min="4" max="4" width="18.5703125" style="15" bestFit="1" customWidth="1"/>
    <col min="5" max="5" width="1.7109375" style="15" customWidth="1"/>
    <col min="6" max="6" width="16.140625" style="15" customWidth="1"/>
    <col min="7" max="7" width="17.5703125" style="15" bestFit="1" customWidth="1"/>
    <col min="8" max="8" width="15.140625" style="1" bestFit="1" customWidth="1"/>
    <col min="9" max="9" width="9" style="1" customWidth="1"/>
    <col min="10" max="16384" width="9.140625" style="1"/>
  </cols>
  <sheetData>
    <row r="1" spans="1:11" x14ac:dyDescent="0.2">
      <c r="A1" s="53"/>
      <c r="B1" s="54"/>
      <c r="C1" s="55"/>
      <c r="D1" s="55"/>
      <c r="E1" s="55"/>
      <c r="F1" s="55"/>
      <c r="G1" s="55"/>
    </row>
    <row r="2" spans="1:11" x14ac:dyDescent="0.2">
      <c r="A2" s="56"/>
      <c r="B2" s="119"/>
      <c r="C2" s="57"/>
      <c r="D2" s="57"/>
      <c r="E2" s="57"/>
      <c r="F2" s="57"/>
      <c r="G2" s="58" t="s">
        <v>244</v>
      </c>
    </row>
    <row r="3" spans="1:11" x14ac:dyDescent="0.2">
      <c r="A3" s="56"/>
      <c r="B3" s="59"/>
      <c r="C3" s="57"/>
      <c r="D3" s="57"/>
      <c r="E3" s="57"/>
      <c r="F3" s="57"/>
      <c r="G3" s="58" t="s">
        <v>93</v>
      </c>
    </row>
    <row r="4" spans="1:11" x14ac:dyDescent="0.2">
      <c r="A4" s="56"/>
      <c r="B4" s="59"/>
      <c r="C4" s="57"/>
      <c r="D4" s="57"/>
      <c r="E4" s="57"/>
      <c r="F4" s="57"/>
      <c r="G4" s="57"/>
    </row>
    <row r="5" spans="1:11" x14ac:dyDescent="0.2">
      <c r="A5" s="60"/>
      <c r="B5" s="61" t="s">
        <v>65</v>
      </c>
    </row>
    <row r="6" spans="1:11" x14ac:dyDescent="0.2">
      <c r="A6" s="60"/>
      <c r="B6" s="61" t="s">
        <v>66</v>
      </c>
    </row>
    <row r="7" spans="1:11" x14ac:dyDescent="0.2">
      <c r="A7" s="60"/>
      <c r="B7" s="62" t="s">
        <v>101</v>
      </c>
    </row>
    <row r="8" spans="1:11" x14ac:dyDescent="0.2">
      <c r="A8" s="60"/>
      <c r="B8" s="63"/>
      <c r="F8" s="188" t="s">
        <v>177</v>
      </c>
    </row>
    <row r="9" spans="1:11" x14ac:dyDescent="0.2">
      <c r="A9" s="60"/>
      <c r="B9" s="64"/>
    </row>
    <row r="10" spans="1:11" x14ac:dyDescent="0.2">
      <c r="A10" s="60"/>
      <c r="B10" s="64"/>
      <c r="D10" s="65" t="s">
        <v>198</v>
      </c>
      <c r="F10" s="65" t="s">
        <v>102</v>
      </c>
      <c r="G10" s="66" t="s">
        <v>67</v>
      </c>
    </row>
    <row r="11" spans="1:11" x14ac:dyDescent="0.2">
      <c r="A11" s="67"/>
      <c r="B11" s="68" t="s">
        <v>68</v>
      </c>
      <c r="D11" s="69" t="str">
        <f>+F11</f>
        <v>Jul '22 ~ Jun '23</v>
      </c>
      <c r="F11" s="69" t="s">
        <v>103</v>
      </c>
      <c r="G11" s="66" t="s">
        <v>69</v>
      </c>
    </row>
    <row r="12" spans="1:11" x14ac:dyDescent="0.2">
      <c r="A12" s="70" t="s">
        <v>62</v>
      </c>
      <c r="B12" s="71" t="s">
        <v>70</v>
      </c>
      <c r="C12" s="72"/>
      <c r="D12" s="73" t="s">
        <v>104</v>
      </c>
      <c r="E12" s="74"/>
      <c r="F12" s="73" t="s">
        <v>221</v>
      </c>
      <c r="G12" s="74" t="s">
        <v>71</v>
      </c>
    </row>
    <row r="13" spans="1:11" x14ac:dyDescent="0.2">
      <c r="A13" s="60"/>
    </row>
    <row r="14" spans="1:11" x14ac:dyDescent="0.2">
      <c r="A14" s="75">
        <f>ROW()</f>
        <v>14</v>
      </c>
      <c r="B14" s="76" t="s">
        <v>72</v>
      </c>
    </row>
    <row r="15" spans="1:11" x14ac:dyDescent="0.2">
      <c r="A15" s="75">
        <f>ROW()</f>
        <v>15</v>
      </c>
      <c r="C15" s="78">
        <f>Deficiency!G26</f>
        <v>736022019.31518006</v>
      </c>
      <c r="D15" s="77"/>
    </row>
    <row r="16" spans="1:11" x14ac:dyDescent="0.2">
      <c r="A16" s="75">
        <f>ROW()</f>
        <v>16</v>
      </c>
      <c r="B16" s="15" t="s">
        <v>73</v>
      </c>
      <c r="D16" s="78">
        <f>+'Exhibit A-1 2026'!G39</f>
        <v>1909311777.8601418</v>
      </c>
      <c r="F16" s="78">
        <f>+'Exhibit A-1 24GRC'!O38</f>
        <v>1216666818.8133357</v>
      </c>
      <c r="G16" s="78">
        <f>+D16-F16</f>
        <v>692644959.0468061</v>
      </c>
      <c r="I16" s="237">
        <f>'Exhibit A-1 2026'!G39-D16</f>
        <v>0</v>
      </c>
      <c r="J16" s="237">
        <f>'Exhibit A-1 24GRC'!O38-F16</f>
        <v>0</v>
      </c>
      <c r="K16" s="236" t="s">
        <v>224</v>
      </c>
    </row>
    <row r="17" spans="1:8" x14ac:dyDescent="0.2">
      <c r="A17" s="75">
        <f>ROW()</f>
        <v>17</v>
      </c>
      <c r="B17" s="15" t="s">
        <v>74</v>
      </c>
      <c r="D17" s="190">
        <f>'24 GRC Conversion Factor'!E18</f>
        <v>0.95002900000000001</v>
      </c>
      <c r="F17" s="190">
        <f>+'Exhibit A-1 24GRC'!C39</f>
        <v>0.95002900000000001</v>
      </c>
      <c r="G17" s="79"/>
    </row>
    <row r="18" spans="1:8" x14ac:dyDescent="0.2">
      <c r="A18" s="75">
        <f>ROW()</f>
        <v>18</v>
      </c>
      <c r="G18" s="78"/>
    </row>
    <row r="19" spans="1:8" x14ac:dyDescent="0.2">
      <c r="A19" s="75">
        <f>ROW()</f>
        <v>19</v>
      </c>
      <c r="B19" s="15" t="s">
        <v>75</v>
      </c>
      <c r="D19" s="80">
        <f>+ROUND(D16/D17,0)</f>
        <v>2009740521</v>
      </c>
      <c r="F19" s="80">
        <f>+ROUND(F16/F17,0)</f>
        <v>1280662821</v>
      </c>
      <c r="H19" s="82" t="s">
        <v>1</v>
      </c>
    </row>
    <row r="20" spans="1:8" x14ac:dyDescent="0.2">
      <c r="A20" s="75">
        <f>ROW()</f>
        <v>20</v>
      </c>
      <c r="B20" s="15" t="s">
        <v>89</v>
      </c>
      <c r="D20" s="228">
        <f>'F25 Forecased Delivered Load'!N30/1000</f>
        <v>21389149.380000003</v>
      </c>
      <c r="F20" s="210">
        <f>'F24 Delivered Load by Sched'!F129/1000</f>
        <v>21505839.323800672</v>
      </c>
      <c r="G20" s="82"/>
      <c r="H20" s="82" t="s">
        <v>1</v>
      </c>
    </row>
    <row r="21" spans="1:8" x14ac:dyDescent="0.2">
      <c r="A21" s="75">
        <f>ROW()</f>
        <v>21</v>
      </c>
      <c r="D21" s="81"/>
      <c r="F21" s="81"/>
      <c r="G21" s="82"/>
    </row>
    <row r="22" spans="1:8" x14ac:dyDescent="0.2">
      <c r="A22" s="75">
        <f>ROW()</f>
        <v>22</v>
      </c>
      <c r="B22" s="102" t="str">
        <f>"Total Variable Costs per MWh (Line "&amp;A19&amp;" / Line "&amp;A20&amp;")"</f>
        <v>Total Variable Costs per MWh (Line 19 / Line 20)</v>
      </c>
      <c r="D22" s="9">
        <f>ROUND(+D19/D20,3)</f>
        <v>93.960999999999999</v>
      </c>
      <c r="E22" s="81"/>
      <c r="F22" s="9">
        <f>ROUND(+F19/F20,3)</f>
        <v>59.55</v>
      </c>
      <c r="G22" s="9">
        <f>ROUND(D22-F22,3)</f>
        <v>34.411000000000001</v>
      </c>
    </row>
    <row r="23" spans="1:8" x14ac:dyDescent="0.2">
      <c r="A23" s="75">
        <f>ROW()</f>
        <v>23</v>
      </c>
      <c r="C23" s="86" t="s">
        <v>76</v>
      </c>
      <c r="D23" s="87">
        <f>(+'Exhibit A-1 2026'!D49-D22)+(('Exhibit A-1 2026'!C42-Deficiency!D20)*Deficiency!D22/'Exhibit A-1 2026'!C42)</f>
        <v>1.529227352500051E-3</v>
      </c>
      <c r="E23" s="81"/>
      <c r="F23" s="87">
        <f>(+'Exhibit A-1 24GRC'!L48-F22)+(('Exhibit A-1 24GRC'!K41-F20)*Deficiency!F22/'Exhibit A-1 24GRC'!K41)</f>
        <v>-1.4246973390648066E-3</v>
      </c>
      <c r="G23" s="9"/>
    </row>
    <row r="24" spans="1:8" x14ac:dyDescent="0.2">
      <c r="A24" s="75">
        <f>ROW()</f>
        <v>24</v>
      </c>
      <c r="B24" s="83" t="s">
        <v>91</v>
      </c>
      <c r="F24" s="84"/>
      <c r="G24" s="80">
        <f>+D20</f>
        <v>21389149.380000003</v>
      </c>
      <c r="H24" s="102"/>
    </row>
    <row r="25" spans="1:8" x14ac:dyDescent="0.2">
      <c r="A25" s="75">
        <f>ROW()</f>
        <v>25</v>
      </c>
      <c r="B25" s="83"/>
      <c r="F25" s="81"/>
      <c r="G25" s="80"/>
      <c r="H25" s="102"/>
    </row>
    <row r="26" spans="1:8" x14ac:dyDescent="0.2">
      <c r="A26" s="75">
        <f>ROW()</f>
        <v>26</v>
      </c>
      <c r="B26" s="83" t="s">
        <v>92</v>
      </c>
      <c r="D26" s="81"/>
      <c r="F26" s="81"/>
      <c r="G26" s="85">
        <f>+G22*G24</f>
        <v>736022019.31518006</v>
      </c>
      <c r="H26" s="120"/>
    </row>
  </sheetData>
  <pageMargins left="0.7" right="0.7" top="0.75" bottom="0.75" header="0.3" footer="0.3"/>
  <pageSetup orientation="portrait" horizontalDpi="90" verticalDpi="9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3:J33"/>
  <sheetViews>
    <sheetView workbookViewId="0">
      <selection activeCell="E19" sqref="E19"/>
    </sheetView>
  </sheetViews>
  <sheetFormatPr defaultRowHeight="15" x14ac:dyDescent="0.25"/>
  <cols>
    <col min="1" max="2" width="4" customWidth="1"/>
    <col min="3" max="3" width="78.85546875" customWidth="1"/>
    <col min="4" max="4" width="17.28515625" bestFit="1" customWidth="1"/>
    <col min="5" max="6" width="15.28515625" bestFit="1" customWidth="1"/>
    <col min="8" max="8" width="11" bestFit="1" customWidth="1"/>
    <col min="9" max="9" width="12" bestFit="1" customWidth="1"/>
    <col min="10" max="10" width="11.140625" bestFit="1" customWidth="1"/>
  </cols>
  <sheetData>
    <row r="3" spans="1:10" x14ac:dyDescent="0.25">
      <c r="A3" s="194"/>
      <c r="B3" s="194"/>
      <c r="C3" s="194"/>
      <c r="D3" s="194"/>
      <c r="E3" s="194"/>
      <c r="F3" s="194"/>
      <c r="G3" s="194"/>
    </row>
    <row r="4" spans="1:10" x14ac:dyDescent="0.25">
      <c r="A4" s="194"/>
      <c r="B4" s="194"/>
      <c r="C4" s="194"/>
      <c r="D4" s="195">
        <v>2026</v>
      </c>
      <c r="E4" s="195">
        <v>2025</v>
      </c>
      <c r="F4" s="194"/>
      <c r="G4" s="194"/>
    </row>
    <row r="5" spans="1:10" x14ac:dyDescent="0.25">
      <c r="A5" s="194"/>
      <c r="B5" s="196" t="s">
        <v>178</v>
      </c>
      <c r="C5" s="196" t="s">
        <v>179</v>
      </c>
      <c r="D5" s="196" t="s">
        <v>180</v>
      </c>
      <c r="E5" s="196" t="s">
        <v>181</v>
      </c>
      <c r="F5" s="196" t="s">
        <v>176</v>
      </c>
      <c r="G5" s="195"/>
    </row>
    <row r="6" spans="1:10" x14ac:dyDescent="0.25">
      <c r="A6" s="194"/>
      <c r="B6" s="194"/>
      <c r="C6" s="194"/>
      <c r="D6" s="197" t="s">
        <v>182</v>
      </c>
      <c r="E6" s="197" t="s">
        <v>183</v>
      </c>
      <c r="F6" s="197" t="s">
        <v>184</v>
      </c>
      <c r="G6" s="194"/>
    </row>
    <row r="7" spans="1:10" x14ac:dyDescent="0.25">
      <c r="A7" s="194"/>
      <c r="B7" s="194">
        <v>1</v>
      </c>
      <c r="C7" s="194" t="s">
        <v>191</v>
      </c>
      <c r="D7" s="261">
        <v>1695686875.9612539</v>
      </c>
      <c r="E7" s="261">
        <v>1221761493.2079592</v>
      </c>
      <c r="F7" s="198">
        <f>D7-E7</f>
        <v>473925382.75329471</v>
      </c>
      <c r="G7" s="194"/>
      <c r="H7" s="201">
        <v>0</v>
      </c>
      <c r="I7" s="201">
        <v>0</v>
      </c>
    </row>
    <row r="8" spans="1:10" x14ac:dyDescent="0.25">
      <c r="A8" s="194"/>
      <c r="B8" s="194">
        <v>2</v>
      </c>
      <c r="C8" s="194" t="s">
        <v>226</v>
      </c>
      <c r="D8" s="262">
        <v>235338707.66571519</v>
      </c>
      <c r="E8" s="199"/>
      <c r="F8" s="199">
        <f t="shared" ref="F8:F15" si="0">D8-E8</f>
        <v>235338707.66571519</v>
      </c>
      <c r="G8" s="194"/>
      <c r="H8" s="201">
        <v>0</v>
      </c>
      <c r="I8" s="201"/>
      <c r="J8" s="201"/>
    </row>
    <row r="9" spans="1:10" x14ac:dyDescent="0.25">
      <c r="A9" s="194"/>
      <c r="B9" s="194">
        <v>3</v>
      </c>
      <c r="C9" s="194" t="s">
        <v>185</v>
      </c>
      <c r="D9" s="199">
        <f>'Exhibit A-1 2026'!G16</f>
        <v>0</v>
      </c>
      <c r="E9" s="199">
        <f>'Exhibit A-1 24GRC'!G16</f>
        <v>3232440</v>
      </c>
      <c r="F9" s="199">
        <f t="shared" si="0"/>
        <v>-3232440</v>
      </c>
      <c r="G9" s="194"/>
      <c r="H9" s="201"/>
      <c r="I9" s="201"/>
      <c r="J9" s="201"/>
    </row>
    <row r="10" spans="1:10" x14ac:dyDescent="0.25">
      <c r="A10" s="194"/>
      <c r="B10" s="194">
        <v>4</v>
      </c>
      <c r="C10" s="194" t="s">
        <v>194</v>
      </c>
      <c r="D10" s="199">
        <f>'Exhibit A-1 2026'!G15</f>
        <v>1498806.9128211141</v>
      </c>
      <c r="E10" s="199">
        <f>'Exhibit A-1 24GRC'!G15</f>
        <v>887435.09292334819</v>
      </c>
      <c r="F10" s="199">
        <f t="shared" si="0"/>
        <v>611371.81989776588</v>
      </c>
      <c r="G10" s="194"/>
      <c r="H10" s="201"/>
      <c r="I10" s="201"/>
      <c r="J10" s="201"/>
    </row>
    <row r="11" spans="1:10" x14ac:dyDescent="0.25">
      <c r="A11" s="194"/>
      <c r="B11" s="194">
        <v>5</v>
      </c>
      <c r="C11" s="194" t="s">
        <v>186</v>
      </c>
      <c r="D11" s="199">
        <v>-23662411.399589054</v>
      </c>
      <c r="E11" s="199">
        <v>-22547353.272656847</v>
      </c>
      <c r="F11" s="199">
        <f t="shared" si="0"/>
        <v>-1115058.1269322075</v>
      </c>
      <c r="G11" s="194"/>
      <c r="H11" s="201"/>
      <c r="I11" s="201"/>
      <c r="J11" s="201"/>
    </row>
    <row r="12" spans="1:10" x14ac:dyDescent="0.25">
      <c r="A12" s="194"/>
      <c r="B12" s="194">
        <v>6</v>
      </c>
      <c r="C12" s="194" t="s">
        <v>187</v>
      </c>
      <c r="D12" s="199">
        <f>'Exhibit A-1 2026'!G27</f>
        <v>449798.71994081687</v>
      </c>
      <c r="E12" s="199">
        <f>'Exhibit A-1 24GRC'!G27</f>
        <v>439744.27648</v>
      </c>
      <c r="F12" s="199">
        <f t="shared" si="0"/>
        <v>10054.443460816867</v>
      </c>
      <c r="G12" s="194"/>
      <c r="H12" s="201"/>
      <c r="I12" s="201"/>
      <c r="J12" s="201"/>
    </row>
    <row r="13" spans="1:10" ht="17.25" x14ac:dyDescent="0.25">
      <c r="A13" s="194"/>
      <c r="B13" s="194">
        <v>7</v>
      </c>
      <c r="C13" s="194" t="s">
        <v>192</v>
      </c>
      <c r="D13" s="199"/>
      <c r="E13" s="199">
        <f>'Exhibit A-1 24GRC'!O38-'Exhibit A-1 24GRC'!G38</f>
        <v>12893059.508629799</v>
      </c>
      <c r="F13" s="199">
        <f t="shared" si="0"/>
        <v>-12893059.508629799</v>
      </c>
      <c r="G13" s="194"/>
      <c r="H13" s="201"/>
      <c r="I13" s="201"/>
      <c r="J13" s="201"/>
    </row>
    <row r="14" spans="1:10" x14ac:dyDescent="0.25">
      <c r="A14" s="194"/>
      <c r="B14" s="194">
        <v>8</v>
      </c>
      <c r="C14" s="194" t="s">
        <v>188</v>
      </c>
      <c r="D14" s="200">
        <f>SUM(D7:D13)</f>
        <v>1909311777.860142</v>
      </c>
      <c r="E14" s="200">
        <f>SUM(E7:E13)</f>
        <v>1216666818.8133354</v>
      </c>
      <c r="F14" s="200">
        <f>SUM(F7:F13)</f>
        <v>692644959.04680645</v>
      </c>
      <c r="G14" s="194"/>
      <c r="H14" s="201">
        <f>Deficiency!D16-D14</f>
        <v>0</v>
      </c>
      <c r="I14" s="201">
        <f>Deficiency!F16-E14</f>
        <v>0</v>
      </c>
      <c r="J14" s="201">
        <f>Deficiency!G16-F14</f>
        <v>0</v>
      </c>
    </row>
    <row r="15" spans="1:10" x14ac:dyDescent="0.25">
      <c r="A15" s="194"/>
      <c r="B15" s="194">
        <v>9</v>
      </c>
      <c r="C15" s="194" t="s">
        <v>189</v>
      </c>
      <c r="D15" s="199">
        <f>D14/Deficiency!D17-D14</f>
        <v>100428743.59777355</v>
      </c>
      <c r="E15" s="199">
        <f>'Exhibit A-1 24GRC'!O38/'Exhibit A-1 24GRC'!O39-'Exhibit A-1 24GRC'!O38</f>
        <v>63996001.80933547</v>
      </c>
      <c r="F15" s="199">
        <f t="shared" si="0"/>
        <v>36432741.788438082</v>
      </c>
      <c r="G15" s="194"/>
      <c r="H15" s="201"/>
      <c r="I15" s="201"/>
      <c r="J15" s="201"/>
    </row>
    <row r="16" spans="1:10" x14ac:dyDescent="0.25">
      <c r="A16" s="194"/>
      <c r="B16" s="194">
        <v>10</v>
      </c>
      <c r="C16" s="194" t="s">
        <v>190</v>
      </c>
      <c r="D16" s="200">
        <f>SUM(D14:D15)</f>
        <v>2009740521.4579155</v>
      </c>
      <c r="E16" s="200">
        <f t="shared" ref="E16:F16" si="1">SUM(E14:E15)</f>
        <v>1280662820.6226709</v>
      </c>
      <c r="F16" s="200">
        <f t="shared" si="1"/>
        <v>729077700.83524454</v>
      </c>
      <c r="G16" s="194"/>
      <c r="H16" s="201"/>
      <c r="I16" s="201"/>
      <c r="J16" s="201"/>
    </row>
    <row r="17" spans="1:10" x14ac:dyDescent="0.25">
      <c r="A17" s="194"/>
      <c r="B17" s="194">
        <v>11</v>
      </c>
      <c r="C17" s="194" t="s">
        <v>225</v>
      </c>
      <c r="D17" s="199">
        <f>Deficiency!G26-Deficiency!G16-F15</f>
        <v>6944318.4799358845</v>
      </c>
      <c r="E17" s="199"/>
      <c r="F17" s="199">
        <f>SUM(D17:E17)</f>
        <v>6944318.4799358845</v>
      </c>
      <c r="G17" s="194"/>
      <c r="H17" s="201"/>
      <c r="I17" s="201"/>
      <c r="J17" s="201"/>
    </row>
    <row r="18" spans="1:10" ht="15.75" thickBot="1" x14ac:dyDescent="0.3">
      <c r="A18" s="194"/>
      <c r="B18" s="194">
        <v>12</v>
      </c>
      <c r="C18" s="194" t="s">
        <v>223</v>
      </c>
      <c r="D18" s="202">
        <f>SUM(D16:D17)</f>
        <v>2016684839.9378514</v>
      </c>
      <c r="E18" s="202">
        <f>SUM(E16:E17)</f>
        <v>1280662820.6226709</v>
      </c>
      <c r="F18" s="202">
        <f>SUM(F16:F17)</f>
        <v>736022019.31518042</v>
      </c>
      <c r="G18" s="194"/>
      <c r="H18" s="201"/>
      <c r="I18" s="201"/>
      <c r="J18" s="201"/>
    </row>
    <row r="19" spans="1:10" ht="15.75" thickTop="1" x14ac:dyDescent="0.25">
      <c r="A19" s="194"/>
      <c r="B19" s="194">
        <v>13</v>
      </c>
      <c r="C19" s="238" t="s">
        <v>227</v>
      </c>
      <c r="D19" s="239"/>
      <c r="E19" s="263">
        <v>457320669.97075897</v>
      </c>
      <c r="F19" s="240">
        <f t="shared" ref="F19" si="2">D19-E19</f>
        <v>-457320669.97075897</v>
      </c>
      <c r="G19" s="194"/>
      <c r="H19" s="201"/>
      <c r="I19" s="201"/>
      <c r="J19" s="201"/>
    </row>
    <row r="20" spans="1:10" x14ac:dyDescent="0.25">
      <c r="A20" s="194"/>
      <c r="B20" s="194">
        <v>14</v>
      </c>
      <c r="C20" s="238" t="s">
        <v>228</v>
      </c>
      <c r="D20" s="241">
        <f t="shared" ref="D20:E20" si="3">D18+D19</f>
        <v>2016684839.9378514</v>
      </c>
      <c r="E20" s="241">
        <f t="shared" si="3"/>
        <v>1737983490.5934298</v>
      </c>
      <c r="F20" s="241">
        <f>F18+F19</f>
        <v>278701349.34442145</v>
      </c>
      <c r="G20" s="194"/>
      <c r="H20" s="201">
        <v>0</v>
      </c>
      <c r="I20" s="201"/>
      <c r="J20" s="201"/>
    </row>
    <row r="21" spans="1:10" x14ac:dyDescent="0.25">
      <c r="A21" s="194"/>
      <c r="B21" s="194">
        <v>15</v>
      </c>
      <c r="C21" s="194"/>
      <c r="D21" s="199"/>
      <c r="E21" s="199"/>
      <c r="F21" s="199"/>
      <c r="G21" s="194"/>
      <c r="H21" s="201"/>
      <c r="I21" s="201"/>
      <c r="J21" s="201"/>
    </row>
    <row r="22" spans="1:10" ht="17.25" x14ac:dyDescent="0.25">
      <c r="A22" s="194"/>
      <c r="B22" s="194">
        <v>14</v>
      </c>
      <c r="C22" s="203" t="s">
        <v>197</v>
      </c>
      <c r="D22" s="199"/>
      <c r="E22" s="199"/>
      <c r="F22" s="199"/>
      <c r="G22" s="194"/>
      <c r="H22" s="201"/>
      <c r="I22" s="201"/>
      <c r="J22" s="201"/>
    </row>
    <row r="23" spans="1:10" x14ac:dyDescent="0.25">
      <c r="A23" s="194"/>
      <c r="B23" s="194">
        <v>15</v>
      </c>
      <c r="C23" s="204" t="s">
        <v>193</v>
      </c>
      <c r="D23" s="199"/>
      <c r="E23" s="199"/>
      <c r="F23" s="199"/>
      <c r="G23" s="194"/>
      <c r="H23" s="201"/>
      <c r="I23" s="201"/>
      <c r="J23" s="201"/>
    </row>
    <row r="24" spans="1:10" x14ac:dyDescent="0.25">
      <c r="A24" s="194"/>
      <c r="B24" s="194"/>
      <c r="C24" s="204"/>
      <c r="D24" s="199"/>
      <c r="E24" s="199"/>
      <c r="F24" s="199"/>
      <c r="G24" s="194"/>
      <c r="H24" s="201"/>
      <c r="I24" s="201"/>
      <c r="J24" s="201"/>
    </row>
    <row r="25" spans="1:10" x14ac:dyDescent="0.25">
      <c r="C25" s="205"/>
      <c r="D25" s="206"/>
      <c r="E25" s="206"/>
      <c r="F25" s="206"/>
      <c r="H25" s="201"/>
      <c r="I25" s="201"/>
      <c r="J25" s="201"/>
    </row>
    <row r="26" spans="1:10" x14ac:dyDescent="0.25">
      <c r="C26" t="s">
        <v>76</v>
      </c>
      <c r="D26" s="201">
        <f>'Exhibit A-1 2026'!G41-D16</f>
        <v>0</v>
      </c>
      <c r="E26" s="201">
        <f>'Exhibit A-1 24GRC'!O40-E16</f>
        <v>0</v>
      </c>
      <c r="F26" s="201">
        <f>Deficiency!G26-F18</f>
        <v>0</v>
      </c>
      <c r="H26" s="201"/>
      <c r="I26" s="201"/>
      <c r="J26" s="201"/>
    </row>
    <row r="27" spans="1:10" x14ac:dyDescent="0.25">
      <c r="D27" s="207"/>
      <c r="E27" s="207"/>
      <c r="F27" s="207"/>
      <c r="H27" s="201"/>
      <c r="I27" s="201"/>
      <c r="J27" s="201"/>
    </row>
    <row r="28" spans="1:10" x14ac:dyDescent="0.25">
      <c r="C28" s="64" t="s">
        <v>243</v>
      </c>
      <c r="D28" s="207"/>
      <c r="E28" s="207"/>
      <c r="F28" s="207"/>
      <c r="H28" s="201"/>
      <c r="I28" s="201"/>
      <c r="J28" s="201"/>
    </row>
    <row r="29" spans="1:10" x14ac:dyDescent="0.25">
      <c r="D29" s="207"/>
      <c r="E29" s="207"/>
      <c r="F29" s="207"/>
    </row>
    <row r="30" spans="1:10" x14ac:dyDescent="0.25">
      <c r="D30" s="207"/>
      <c r="E30" s="207"/>
      <c r="F30" s="207"/>
    </row>
    <row r="31" spans="1:10" x14ac:dyDescent="0.25">
      <c r="D31" s="233"/>
      <c r="E31" s="208"/>
    </row>
    <row r="32" spans="1:10" x14ac:dyDescent="0.25">
      <c r="D32" s="234"/>
    </row>
    <row r="33" spans="4:4" x14ac:dyDescent="0.25">
      <c r="D33" s="233"/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AE150"/>
  <sheetViews>
    <sheetView zoomScale="75" zoomScaleNormal="75" workbookViewId="0">
      <pane xSplit="2" ySplit="12" topLeftCell="C13" activePane="bottomRight" state="frozen"/>
      <selection activeCell="G28" sqref="G28"/>
      <selection pane="topRight" activeCell="G28" sqref="G28"/>
      <selection pane="bottomLeft" activeCell="G28" sqref="G28"/>
      <selection pane="bottomRight" activeCell="C19" sqref="C19"/>
    </sheetView>
  </sheetViews>
  <sheetFormatPr defaultColWidth="9.140625" defaultRowHeight="15" x14ac:dyDescent="0.25"/>
  <cols>
    <col min="1" max="1" width="7.42578125" style="1" customWidth="1"/>
    <col min="2" max="2" width="47.85546875" style="1" customWidth="1"/>
    <col min="3" max="3" width="18.5703125" style="1" bestFit="1" customWidth="1"/>
    <col min="4" max="4" width="16.140625" style="1" bestFit="1" customWidth="1"/>
    <col min="5" max="5" width="9.42578125" style="1" bestFit="1" customWidth="1"/>
    <col min="6" max="7" width="17.28515625" style="1" bestFit="1" customWidth="1"/>
    <col min="8" max="24" width="17.28515625" style="1" customWidth="1"/>
    <col min="25" max="25" width="9.140625" style="1" customWidth="1"/>
    <col min="26" max="26" width="12.85546875" bestFit="1" customWidth="1"/>
    <col min="27" max="27" width="12.85546875" customWidth="1"/>
    <col min="29" max="29" width="15.42578125" customWidth="1"/>
    <col min="30" max="30" width="13.42578125" bestFit="1" customWidth="1"/>
    <col min="31" max="31" width="16" bestFit="1" customWidth="1"/>
    <col min="32" max="16384" width="9.140625" style="1"/>
  </cols>
  <sheetData>
    <row r="1" spans="1:31" ht="20.25" x14ac:dyDescent="0.3">
      <c r="A1" s="52" t="s">
        <v>64</v>
      </c>
      <c r="B1" s="51"/>
      <c r="C1" s="51"/>
      <c r="D1" s="51"/>
      <c r="E1" s="50"/>
      <c r="F1" s="50"/>
      <c r="G1" s="50"/>
      <c r="Z1" s="1"/>
      <c r="AA1" s="1"/>
      <c r="AB1" s="1"/>
      <c r="AC1" s="1"/>
      <c r="AD1" s="1"/>
      <c r="AE1" s="1"/>
    </row>
    <row r="2" spans="1:31" ht="20.25" x14ac:dyDescent="0.3">
      <c r="A2" s="52" t="s">
        <v>106</v>
      </c>
      <c r="B2" s="51"/>
      <c r="C2" s="51"/>
      <c r="D2" s="51"/>
      <c r="E2" s="50"/>
      <c r="F2" s="50"/>
      <c r="G2" s="50"/>
      <c r="Z2" s="1"/>
      <c r="AA2" s="1"/>
      <c r="AB2" s="1"/>
      <c r="AC2" s="1"/>
      <c r="AD2" s="1"/>
      <c r="AE2" s="1"/>
    </row>
    <row r="3" spans="1:31" ht="20.25" x14ac:dyDescent="0.3">
      <c r="A3" s="52" t="s">
        <v>107</v>
      </c>
      <c r="B3" s="51"/>
      <c r="C3" s="51"/>
      <c r="D3" s="51"/>
      <c r="E3" s="50"/>
      <c r="F3" s="50"/>
      <c r="G3" s="50"/>
      <c r="Z3" s="1"/>
      <c r="AA3" s="1"/>
      <c r="AB3" s="1"/>
      <c r="AC3" s="1"/>
      <c r="AD3" s="1"/>
      <c r="AE3" s="1"/>
    </row>
    <row r="4" spans="1:31" x14ac:dyDescent="0.25">
      <c r="A4" s="3"/>
    </row>
    <row r="5" spans="1:31" x14ac:dyDescent="0.25">
      <c r="A5" s="3" t="s">
        <v>62</v>
      </c>
      <c r="C5" s="48" t="s">
        <v>105</v>
      </c>
    </row>
    <row r="6" spans="1:31" x14ac:dyDescent="0.25">
      <c r="A6" s="3">
        <v>3</v>
      </c>
      <c r="B6" s="6" t="s">
        <v>61</v>
      </c>
      <c r="C6" s="40">
        <f>+'Exhibit A-1 24GRC'!K6</f>
        <v>82502918.798069403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31" x14ac:dyDescent="0.25">
      <c r="A7" s="3">
        <v>4</v>
      </c>
      <c r="B7" s="6" t="s">
        <v>60</v>
      </c>
      <c r="C7" s="24">
        <f>+'Exhibit A-1 24GRC'!K7</f>
        <v>63899761.656341851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31" x14ac:dyDescent="0.25">
      <c r="A8" s="3">
        <v>5</v>
      </c>
      <c r="B8" s="6" t="s">
        <v>59</v>
      </c>
      <c r="C8" s="24">
        <f>+'Exhibit A-1 24GRC'!K8</f>
        <v>1612344362.1200352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31" x14ac:dyDescent="0.25">
      <c r="A9" s="3">
        <f>+A8+1</f>
        <v>6</v>
      </c>
      <c r="B9" s="6" t="s">
        <v>58</v>
      </c>
      <c r="C9" s="26">
        <f>SUM(C6:C8)</f>
        <v>1758747042.5744464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31" x14ac:dyDescent="0.25">
      <c r="A10" s="3">
        <f>+A9+1</f>
        <v>7</v>
      </c>
      <c r="B10" s="39" t="s">
        <v>57</v>
      </c>
      <c r="C10" s="45">
        <f>+'Exhibit A-1 24GRC'!K10</f>
        <v>7.0800000000000002E-2</v>
      </c>
      <c r="D10" s="47"/>
      <c r="E10" s="47"/>
      <c r="F10" s="42" t="s">
        <v>16</v>
      </c>
      <c r="G10" s="42" t="s">
        <v>56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31" x14ac:dyDescent="0.25">
      <c r="A11" s="3">
        <f>+A10+1</f>
        <v>8</v>
      </c>
      <c r="B11" s="39"/>
      <c r="C11" s="45"/>
      <c r="D11" s="42" t="s">
        <v>55</v>
      </c>
      <c r="E11" s="42"/>
      <c r="F11" s="42" t="s">
        <v>54</v>
      </c>
      <c r="G11" s="42" t="s">
        <v>54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31" x14ac:dyDescent="0.25">
      <c r="A12" s="3">
        <f>+A11+1</f>
        <v>9</v>
      </c>
      <c r="B12" s="46"/>
      <c r="C12" s="45"/>
      <c r="D12" s="44" t="s">
        <v>53</v>
      </c>
      <c r="E12" s="44"/>
      <c r="F12" s="43" t="s">
        <v>52</v>
      </c>
      <c r="G12" s="43" t="s">
        <v>51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spans="1:31" x14ac:dyDescent="0.25">
      <c r="A13" s="3" t="s">
        <v>50</v>
      </c>
      <c r="B13" s="39"/>
      <c r="C13" s="42" t="s">
        <v>49</v>
      </c>
      <c r="D13" s="41" t="s">
        <v>48</v>
      </c>
      <c r="E13" s="41" t="s">
        <v>47</v>
      </c>
      <c r="F13" s="41" t="s">
        <v>46</v>
      </c>
      <c r="G13" s="41" t="s">
        <v>45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spans="1:31" x14ac:dyDescent="0.25">
      <c r="A14" s="3">
        <v>10</v>
      </c>
      <c r="B14" s="39" t="s">
        <v>44</v>
      </c>
      <c r="C14" s="40">
        <f>(C6*C$10/0.79)</f>
        <v>7393932.4694978651</v>
      </c>
      <c r="D14" s="10">
        <f t="shared" ref="D14:D24" si="0">ROUND(C14/C$42,3)</f>
        <v>0.35799999999999998</v>
      </c>
      <c r="E14" s="35" t="s">
        <v>14</v>
      </c>
      <c r="F14" s="40">
        <f>+C14</f>
        <v>7393932.4694978651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31" x14ac:dyDescent="0.25">
      <c r="A15" s="3" t="s">
        <v>43</v>
      </c>
      <c r="B15" s="192" t="s">
        <v>196</v>
      </c>
      <c r="C15" s="115">
        <v>1498806.9128211141</v>
      </c>
      <c r="D15" s="10">
        <f t="shared" si="0"/>
        <v>7.2999999999999995E-2</v>
      </c>
      <c r="E15" s="35" t="s">
        <v>20</v>
      </c>
      <c r="F15" s="25"/>
      <c r="G15" s="115">
        <f>+C15</f>
        <v>1498806.9128211141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31" x14ac:dyDescent="0.25">
      <c r="A16" s="3" t="s">
        <v>97</v>
      </c>
      <c r="B16" s="121" t="s">
        <v>42</v>
      </c>
      <c r="C16" s="25">
        <f>+'Exhibit A-1 24GRC'!K16</f>
        <v>0</v>
      </c>
      <c r="D16" s="10">
        <f t="shared" si="0"/>
        <v>0</v>
      </c>
      <c r="E16" s="35" t="s">
        <v>20</v>
      </c>
      <c r="F16" s="25"/>
      <c r="G16" s="25">
        <f>+C16</f>
        <v>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x14ac:dyDescent="0.25">
      <c r="A17" s="3">
        <v>11</v>
      </c>
      <c r="B17" s="6" t="s">
        <v>41</v>
      </c>
      <c r="C17" s="25">
        <f>(C7*C$10/0.79)</f>
        <v>5726712.8167962059</v>
      </c>
      <c r="D17" s="10">
        <f t="shared" si="0"/>
        <v>0.27700000000000002</v>
      </c>
      <c r="E17" s="35" t="s">
        <v>14</v>
      </c>
      <c r="F17" s="25">
        <f>+C17</f>
        <v>5726712.8167962059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x14ac:dyDescent="0.25">
      <c r="A18" s="3">
        <v>12</v>
      </c>
      <c r="B18" s="6" t="s">
        <v>40</v>
      </c>
      <c r="C18" s="25">
        <f>(C8*C$10/0.79)</f>
        <v>144498709.92164367</v>
      </c>
      <c r="D18" s="10">
        <f t="shared" si="0"/>
        <v>7.0010000000000003</v>
      </c>
      <c r="E18" s="35" t="s">
        <v>14</v>
      </c>
      <c r="F18" s="25">
        <f>+C18</f>
        <v>144498709.92164367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x14ac:dyDescent="0.25">
      <c r="A19" s="3">
        <v>13</v>
      </c>
      <c r="B19" s="113" t="s">
        <v>39</v>
      </c>
      <c r="C19" s="115">
        <v>0</v>
      </c>
      <c r="D19" s="10">
        <f t="shared" si="0"/>
        <v>0</v>
      </c>
      <c r="E19" s="35" t="s">
        <v>20</v>
      </c>
      <c r="F19" s="25"/>
      <c r="G19" s="115">
        <f>+C19</f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 x14ac:dyDescent="0.25">
      <c r="A20" s="3">
        <v>14</v>
      </c>
      <c r="B20" s="113" t="s">
        <v>38</v>
      </c>
      <c r="C20" s="115">
        <v>1424544353.6571124</v>
      </c>
      <c r="D20" s="10">
        <f t="shared" si="0"/>
        <v>69.016999999999996</v>
      </c>
      <c r="E20" s="35" t="s">
        <v>20</v>
      </c>
      <c r="F20" s="25"/>
      <c r="G20" s="115">
        <f>+C20</f>
        <v>1424544353.6571124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x14ac:dyDescent="0.25">
      <c r="A21" s="3" t="s">
        <v>87</v>
      </c>
      <c r="B21" s="113" t="s">
        <v>88</v>
      </c>
      <c r="C21" s="115">
        <v>19082769.33966374</v>
      </c>
      <c r="D21" s="10">
        <f t="shared" si="0"/>
        <v>0.92500000000000004</v>
      </c>
      <c r="E21" s="35" t="s">
        <v>20</v>
      </c>
      <c r="F21" s="25"/>
      <c r="G21" s="115">
        <f>+C21</f>
        <v>19082769.33966374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x14ac:dyDescent="0.25">
      <c r="A22" s="3">
        <v>15</v>
      </c>
      <c r="B22" s="6" t="s">
        <v>37</v>
      </c>
      <c r="C22" s="25">
        <f>+'Exhibit A-1 24GRC'!K22</f>
        <v>20714453.103091098</v>
      </c>
      <c r="D22" s="10">
        <f t="shared" si="0"/>
        <v>1.004</v>
      </c>
      <c r="E22" s="35" t="s">
        <v>14</v>
      </c>
      <c r="F22" s="25">
        <f>+C22</f>
        <v>20714453.103091098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x14ac:dyDescent="0.25">
      <c r="A23" s="3" t="s">
        <v>36</v>
      </c>
      <c r="B23" s="37" t="s">
        <v>35</v>
      </c>
      <c r="C23" s="25">
        <f>+'Exhibit A-1 24GRC'!K23</f>
        <v>12872066.247673385</v>
      </c>
      <c r="D23" s="10">
        <f t="shared" si="0"/>
        <v>0.624</v>
      </c>
      <c r="E23" s="35" t="s">
        <v>14</v>
      </c>
      <c r="F23" s="25">
        <f>+C23</f>
        <v>12872066.247673385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spans="1:24" x14ac:dyDescent="0.25">
      <c r="A24" s="3" t="s">
        <v>33</v>
      </c>
      <c r="B24" s="37" t="s">
        <v>34</v>
      </c>
      <c r="C24" s="25">
        <f>+'Exhibit A-1 24GRC'!K24</f>
        <v>5221602</v>
      </c>
      <c r="D24" s="10">
        <f t="shared" si="0"/>
        <v>0.253</v>
      </c>
      <c r="E24" s="35" t="s">
        <v>14</v>
      </c>
      <c r="F24" s="25">
        <f>+C24</f>
        <v>5221602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1:24" x14ac:dyDescent="0.25">
      <c r="A25" s="3" t="s">
        <v>32</v>
      </c>
      <c r="B25" s="37" t="s">
        <v>31</v>
      </c>
      <c r="C25" s="38" t="s">
        <v>30</v>
      </c>
      <c r="D25" s="38" t="s">
        <v>30</v>
      </c>
      <c r="E25" s="35" t="s">
        <v>20</v>
      </c>
      <c r="F25" s="25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x14ac:dyDescent="0.25">
      <c r="A26" s="3" t="s">
        <v>29</v>
      </c>
      <c r="B26" s="37" t="s">
        <v>28</v>
      </c>
      <c r="C26" s="25">
        <f>+'Exhibit A-1 24GRC'!K26</f>
        <v>2861756.4166225726</v>
      </c>
      <c r="D26" s="10">
        <f t="shared" ref="D26:D38" si="1">ROUND(C26/C$42,3)</f>
        <v>0.13900000000000001</v>
      </c>
      <c r="E26" s="35" t="s">
        <v>14</v>
      </c>
      <c r="F26" s="25">
        <f>+C26</f>
        <v>2861756.4166225726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spans="1:24" x14ac:dyDescent="0.25">
      <c r="A27" s="3" t="s">
        <v>27</v>
      </c>
      <c r="B27" s="113" t="s">
        <v>26</v>
      </c>
      <c r="C27" s="115">
        <v>449798.71994081687</v>
      </c>
      <c r="D27" s="10">
        <f t="shared" si="1"/>
        <v>2.1999999999999999E-2</v>
      </c>
      <c r="E27" s="35" t="s">
        <v>20</v>
      </c>
      <c r="F27" s="25"/>
      <c r="G27" s="115">
        <f>+C27</f>
        <v>449798.71994081687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 x14ac:dyDescent="0.25">
      <c r="A28" s="3">
        <v>16</v>
      </c>
      <c r="B28" s="113" t="s">
        <v>25</v>
      </c>
      <c r="C28" s="115">
        <v>316564372.60764647</v>
      </c>
      <c r="D28" s="10">
        <f t="shared" si="1"/>
        <v>15.337</v>
      </c>
      <c r="E28" s="35" t="s">
        <v>20</v>
      </c>
      <c r="F28" s="25"/>
      <c r="G28" s="115">
        <f>+C28</f>
        <v>316564372.60764647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 x14ac:dyDescent="0.25">
      <c r="A29" s="3">
        <v>17</v>
      </c>
      <c r="B29" s="113" t="s">
        <v>24</v>
      </c>
      <c r="C29" s="115">
        <v>229979690.28594294</v>
      </c>
      <c r="D29" s="10">
        <f t="shared" si="1"/>
        <v>11.141999999999999</v>
      </c>
      <c r="E29" s="35" t="s">
        <v>20</v>
      </c>
      <c r="F29" s="25"/>
      <c r="G29" s="115">
        <f>+C29</f>
        <v>229979690.28594294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4" x14ac:dyDescent="0.25">
      <c r="A30" s="3">
        <v>18</v>
      </c>
      <c r="B30" s="192" t="s">
        <v>195</v>
      </c>
      <c r="C30" s="115">
        <v>235338707.66571519</v>
      </c>
      <c r="D30" s="10">
        <f t="shared" si="1"/>
        <v>11.401999999999999</v>
      </c>
      <c r="E30" s="35" t="s">
        <v>20</v>
      </c>
      <c r="F30" s="25"/>
      <c r="G30" s="115">
        <f>+C30</f>
        <v>235338707.66571519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4" x14ac:dyDescent="0.25">
      <c r="A31" s="3">
        <v>19</v>
      </c>
      <c r="B31" s="6" t="s">
        <v>23</v>
      </c>
      <c r="C31" s="25">
        <f>+'Exhibit A-1 24GRC'!K30</f>
        <v>-7271660.1227595787</v>
      </c>
      <c r="D31" s="10">
        <f t="shared" si="1"/>
        <v>-0.35199999999999998</v>
      </c>
      <c r="E31" s="35" t="s">
        <v>14</v>
      </c>
      <c r="F31" s="25">
        <f>+C31</f>
        <v>-7271660.1227595787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x14ac:dyDescent="0.25">
      <c r="A32" s="3">
        <v>20</v>
      </c>
      <c r="B32" s="6" t="s">
        <v>22</v>
      </c>
      <c r="C32" s="25">
        <f>+'Exhibit A-1 24GRC'!K31</f>
        <v>123362347.73966144</v>
      </c>
      <c r="D32" s="10">
        <f t="shared" si="1"/>
        <v>5.9770000000000003</v>
      </c>
      <c r="E32" s="35" t="s">
        <v>14</v>
      </c>
      <c r="F32" s="25">
        <f>+C32</f>
        <v>123362347.73966144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spans="1:25" x14ac:dyDescent="0.25">
      <c r="A33" s="3">
        <v>21</v>
      </c>
      <c r="B33" s="113" t="s">
        <v>0</v>
      </c>
      <c r="C33" s="115">
        <v>-250631528</v>
      </c>
      <c r="D33" s="10">
        <f t="shared" si="1"/>
        <v>-12.143000000000001</v>
      </c>
      <c r="E33" s="35" t="s">
        <v>20</v>
      </c>
      <c r="F33" s="25"/>
      <c r="G33" s="115">
        <f>+C33</f>
        <v>-250631528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spans="1:25" x14ac:dyDescent="0.25">
      <c r="A34" s="3">
        <v>22</v>
      </c>
      <c r="B34" s="114" t="s">
        <v>21</v>
      </c>
      <c r="C34" s="115">
        <v>-67515193.328701034</v>
      </c>
      <c r="D34" s="10">
        <f t="shared" si="1"/>
        <v>-3.2709999999999999</v>
      </c>
      <c r="E34" s="35" t="s">
        <v>20</v>
      </c>
      <c r="F34" s="25"/>
      <c r="G34" s="115">
        <f>+C34</f>
        <v>-67515193.328701034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spans="1:25" x14ac:dyDescent="0.25">
      <c r="A35" s="3">
        <v>23</v>
      </c>
      <c r="B35" s="6" t="s">
        <v>19</v>
      </c>
      <c r="C35" s="25">
        <f>+'Exhibit A-1 24GRC'!K34</f>
        <v>808855.6905042415</v>
      </c>
      <c r="D35" s="10">
        <f t="shared" si="1"/>
        <v>3.9E-2</v>
      </c>
      <c r="E35" s="35" t="s">
        <v>14</v>
      </c>
      <c r="F35" s="25">
        <f>+C35</f>
        <v>808855.6905042415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spans="1:25" x14ac:dyDescent="0.25">
      <c r="A36" s="3">
        <v>24</v>
      </c>
      <c r="B36" s="36" t="s">
        <v>18</v>
      </c>
      <c r="C36" s="25">
        <f>+'Exhibit A-1 24GRC'!K35</f>
        <v>177283878.27162561</v>
      </c>
      <c r="D36" s="10">
        <f t="shared" si="1"/>
        <v>8.5890000000000004</v>
      </c>
      <c r="E36" s="35" t="s">
        <v>14</v>
      </c>
      <c r="F36" s="25">
        <f>+C36</f>
        <v>177283878.27162561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spans="1:25" x14ac:dyDescent="0.25">
      <c r="A37" s="3">
        <v>25</v>
      </c>
      <c r="B37" s="36" t="s">
        <v>17</v>
      </c>
      <c r="C37" s="25">
        <f>+'Exhibit A-1 24GRC'!K36</f>
        <v>3361570.6731019998</v>
      </c>
      <c r="D37" s="10">
        <f t="shared" si="1"/>
        <v>0.16300000000000001</v>
      </c>
      <c r="E37" s="35" t="s">
        <v>14</v>
      </c>
      <c r="F37" s="25">
        <f>+C37</f>
        <v>3361570.6731019998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spans="1:25" x14ac:dyDescent="0.25">
      <c r="A38" s="3">
        <v>26</v>
      </c>
      <c r="B38" s="36" t="s">
        <v>15</v>
      </c>
      <c r="C38" s="25">
        <f>+'Exhibit A-1 24GRC'!K37</f>
        <v>1119004.74</v>
      </c>
      <c r="D38" s="10">
        <f t="shared" si="1"/>
        <v>5.3999999999999999E-2</v>
      </c>
      <c r="E38" s="35" t="s">
        <v>14</v>
      </c>
      <c r="F38" s="25">
        <f>+C38</f>
        <v>1119004.74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spans="1:25" ht="15.75" thickBot="1" x14ac:dyDescent="0.3">
      <c r="A39" s="3">
        <v>27</v>
      </c>
      <c r="B39" s="34" t="s">
        <v>13</v>
      </c>
      <c r="C39" s="33">
        <f>SUM(C14:C38)</f>
        <v>2407265007.8275995</v>
      </c>
      <c r="D39" s="32">
        <f>SUM(D14:D38)</f>
        <v>116.63</v>
      </c>
      <c r="E39" s="31"/>
      <c r="F39" s="30">
        <f>SUM(F14:F38)</f>
        <v>497953229.96745861</v>
      </c>
      <c r="G39" s="30">
        <f>SUM(G14:G38)</f>
        <v>1909311777.8601418</v>
      </c>
      <c r="H39" s="235">
        <f>Explain!D14-'Exhibit A-1 2026'!G39</f>
        <v>0</v>
      </c>
      <c r="I39" s="236" t="s">
        <v>222</v>
      </c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4">
        <f>SUM(F39:G39)-C39</f>
        <v>0</v>
      </c>
    </row>
    <row r="40" spans="1:25" x14ac:dyDescent="0.25">
      <c r="A40" s="3">
        <v>28</v>
      </c>
      <c r="B40" s="6" t="s">
        <v>12</v>
      </c>
      <c r="C40" s="187">
        <f>'Exhibit A-1 24GRC'!K39</f>
        <v>0.95002900000000001</v>
      </c>
      <c r="D40" s="27"/>
      <c r="E40" s="29"/>
      <c r="F40" s="28">
        <f>+C40</f>
        <v>0.95002900000000001</v>
      </c>
      <c r="G40" s="28">
        <f>+C40</f>
        <v>0.95002900000000001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5" x14ac:dyDescent="0.25">
      <c r="A41" s="3">
        <v>29</v>
      </c>
      <c r="B41" s="6" t="s">
        <v>11</v>
      </c>
      <c r="C41" s="26">
        <f>+C39/C40</f>
        <v>2533885815.9357233</v>
      </c>
      <c r="D41" s="27"/>
      <c r="E41" s="25"/>
      <c r="F41" s="26">
        <f>+F39/F40</f>
        <v>524145294.47780919</v>
      </c>
      <c r="G41" s="26">
        <f>+G39/G40</f>
        <v>2009740521.4579153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104">
        <f>SUM(F41:G41)-C41</f>
        <v>0</v>
      </c>
    </row>
    <row r="42" spans="1:25" x14ac:dyDescent="0.25">
      <c r="A42" s="3">
        <v>30</v>
      </c>
      <c r="B42" s="6" t="s">
        <v>90</v>
      </c>
      <c r="C42" s="229">
        <f>'F25 Forecased Delivered Load'!N28/1000</f>
        <v>20640622.667135004</v>
      </c>
      <c r="D42" s="191">
        <f>+'Exhibit A-1 24GRC'!C41-C42</f>
        <v>-103276.00134859979</v>
      </c>
      <c r="E42" s="25"/>
      <c r="F42" s="2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5" x14ac:dyDescent="0.25">
      <c r="A43" s="3">
        <v>31</v>
      </c>
      <c r="B43" s="15"/>
      <c r="C43" s="20" t="s">
        <v>10</v>
      </c>
      <c r="D43" s="22"/>
      <c r="E43" s="21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5" x14ac:dyDescent="0.25">
      <c r="A44" s="3">
        <v>32</v>
      </c>
      <c r="B44" s="15"/>
      <c r="C44" s="19" t="s">
        <v>9</v>
      </c>
      <c r="D44" s="18" t="s">
        <v>8</v>
      </c>
      <c r="E44" s="12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5" x14ac:dyDescent="0.25">
      <c r="A45" s="3">
        <v>33</v>
      </c>
      <c r="B45" s="15"/>
      <c r="C45" s="17" t="s">
        <v>7</v>
      </c>
      <c r="D45" s="16" t="s">
        <v>7</v>
      </c>
      <c r="E45" s="12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5" x14ac:dyDescent="0.25">
      <c r="A46" s="3">
        <v>34</v>
      </c>
      <c r="B46" s="15"/>
      <c r="C46" s="14" t="s">
        <v>6</v>
      </c>
      <c r="D46" s="13"/>
      <c r="E46" s="12"/>
      <c r="F46" s="117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5" x14ac:dyDescent="0.25">
      <c r="A47" s="3">
        <v>35</v>
      </c>
      <c r="B47" s="6" t="s">
        <v>3</v>
      </c>
      <c r="C47" s="8">
        <f>D39</f>
        <v>116.63</v>
      </c>
      <c r="D47" s="149">
        <f>C47/C$40</f>
        <v>122.76467349944053</v>
      </c>
      <c r="E47" s="12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5" x14ac:dyDescent="0.25">
      <c r="A48" s="3">
        <v>36</v>
      </c>
      <c r="B48" s="6" t="s">
        <v>5</v>
      </c>
      <c r="C48" s="8">
        <f>ROUND(SUM(D14,D17:D18,D22:D24,D26,D31:D32,D35:D38),3)</f>
        <v>24.126000000000001</v>
      </c>
      <c r="D48" s="149">
        <f>ROUND(C48/C$40,3)</f>
        <v>25.395</v>
      </c>
      <c r="E48" s="12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5" x14ac:dyDescent="0.25">
      <c r="A49" s="3">
        <v>37</v>
      </c>
      <c r="B49" s="6" t="s">
        <v>4</v>
      </c>
      <c r="C49" s="11">
        <f>ROUND(SUM(D15:D16,D19:D21,D25,D27:D30,D33:D34),3)</f>
        <v>92.504000000000005</v>
      </c>
      <c r="D49" s="151">
        <f>ROUND(C49/C$40,3)</f>
        <v>97.37</v>
      </c>
      <c r="E49" s="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5" x14ac:dyDescent="0.25">
      <c r="A50" s="3">
        <v>38</v>
      </c>
      <c r="B50" s="6" t="s">
        <v>3</v>
      </c>
      <c r="C50" s="8">
        <f>SUM(C48:C49)</f>
        <v>116.63000000000001</v>
      </c>
      <c r="D50" s="7">
        <f>SUM(D48:D49)</f>
        <v>122.765</v>
      </c>
      <c r="E50" s="9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5" x14ac:dyDescent="0.25">
      <c r="A51" s="3"/>
      <c r="B51" s="6"/>
      <c r="C51" s="118">
        <f>+C50-C47</f>
        <v>0</v>
      </c>
      <c r="D51" s="116">
        <f>+D50-D47</f>
        <v>3.265005594670356E-4</v>
      </c>
      <c r="E51" s="5" t="s">
        <v>2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5" x14ac:dyDescent="0.25">
      <c r="A52" s="3"/>
      <c r="B52" s="4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5" x14ac:dyDescent="0.25">
      <c r="A53" s="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5" ht="15.75" thickBot="1" x14ac:dyDescent="0.3">
      <c r="A54" s="3"/>
      <c r="B54" s="103"/>
      <c r="C54" s="102"/>
      <c r="D54" s="95" t="s">
        <v>84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5" x14ac:dyDescent="0.25">
      <c r="A55" s="3"/>
      <c r="B55" s="101" t="s">
        <v>83</v>
      </c>
      <c r="C55" s="100" t="s">
        <v>82</v>
      </c>
      <c r="D55" s="99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5" x14ac:dyDescent="0.25">
      <c r="A56" s="3"/>
      <c r="B56" s="98" t="s">
        <v>81</v>
      </c>
      <c r="C56" s="97">
        <v>407.3</v>
      </c>
      <c r="D56" s="96">
        <f>+'Exhibit A-1 24GRC'!L53</f>
        <v>0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5" x14ac:dyDescent="0.25">
      <c r="A57" s="3"/>
      <c r="B57" s="93" t="s">
        <v>80</v>
      </c>
      <c r="C57" s="95">
        <v>407.3</v>
      </c>
      <c r="D57" s="94">
        <f>+'Exhibit A-1 24GRC'!L54</f>
        <v>0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5" x14ac:dyDescent="0.25">
      <c r="A58" s="3"/>
      <c r="B58" s="93" t="s">
        <v>79</v>
      </c>
      <c r="C58" s="95">
        <v>407.3</v>
      </c>
      <c r="D58" s="94">
        <f>+'Exhibit A-1 24GRC'!L55</f>
        <v>0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5" ht="15.75" thickBot="1" x14ac:dyDescent="0.3">
      <c r="A59" s="3"/>
      <c r="B59" s="93" t="s">
        <v>78</v>
      </c>
      <c r="C59" s="92"/>
      <c r="D59" s="91">
        <f>SUM(D56:D58)</f>
        <v>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5" ht="16.5" thickTop="1" thickBot="1" x14ac:dyDescent="0.3">
      <c r="A60" s="3"/>
      <c r="B60" s="90"/>
      <c r="C60" s="89" t="s">
        <v>77</v>
      </c>
      <c r="D60" s="88">
        <f>+C38-D59</f>
        <v>1119004.74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5" x14ac:dyDescent="0.25">
      <c r="A61" s="3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5" x14ac:dyDescent="0.25">
      <c r="A62" s="3"/>
      <c r="B62"/>
      <c r="C62"/>
      <c r="D62"/>
    </row>
    <row r="63" spans="1:25" x14ac:dyDescent="0.25">
      <c r="A63" s="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x14ac:dyDescent="0.25">
      <c r="A64" s="3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5">
      <c r="A65" s="3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5">
      <c r="A66" s="3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5">
      <c r="A67" s="3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25">
      <c r="A68" s="3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25">
      <c r="A69" s="3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25">
      <c r="A70" s="3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x14ac:dyDescent="0.25">
      <c r="A71" s="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25">
      <c r="A72" s="3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x14ac:dyDescent="0.25">
      <c r="A73" s="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x14ac:dyDescent="0.25">
      <c r="A74" s="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x14ac:dyDescent="0.25">
      <c r="A75" s="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25">
      <c r="A76" s="3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25">
      <c r="A77" s="3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x14ac:dyDescent="0.25">
      <c r="A78" s="3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x14ac:dyDescent="0.25">
      <c r="A79" s="3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x14ac:dyDescent="0.25">
      <c r="A80" s="3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x14ac:dyDescent="0.25">
      <c r="A81" s="3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x14ac:dyDescent="0.25">
      <c r="A82" s="3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x14ac:dyDescent="0.25">
      <c r="A83" s="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x14ac:dyDescent="0.25">
      <c r="A84" s="3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x14ac:dyDescent="0.25">
      <c r="A85" s="3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x14ac:dyDescent="0.25">
      <c r="A86" s="3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x14ac:dyDescent="0.25">
      <c r="A87" s="3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x14ac:dyDescent="0.25">
      <c r="A88" s="3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x14ac:dyDescent="0.25">
      <c r="A89" s="3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x14ac:dyDescent="0.25">
      <c r="A90" s="3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x14ac:dyDescent="0.25">
      <c r="A91" s="3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x14ac:dyDescent="0.25">
      <c r="A92" s="3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x14ac:dyDescent="0.25">
      <c r="A93" s="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x14ac:dyDescent="0.25">
      <c r="A94" s="3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x14ac:dyDescent="0.25">
      <c r="A95" s="3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x14ac:dyDescent="0.25">
      <c r="A96" s="3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x14ac:dyDescent="0.25">
      <c r="A97" s="3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x14ac:dyDescent="0.25">
      <c r="A98" s="3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x14ac:dyDescent="0.25">
      <c r="A99" s="3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x14ac:dyDescent="0.25">
      <c r="A100" s="3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x14ac:dyDescent="0.25">
      <c r="A101" s="3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x14ac:dyDescent="0.25">
      <c r="A102" s="3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x14ac:dyDescent="0.25">
      <c r="A103" s="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x14ac:dyDescent="0.25">
      <c r="A104" s="3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x14ac:dyDescent="0.25">
      <c r="A105" s="3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x14ac:dyDescent="0.25">
      <c r="A106" s="3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x14ac:dyDescent="0.25">
      <c r="A107" s="3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x14ac:dyDescent="0.25">
      <c r="A108" s="3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x14ac:dyDescent="0.25">
      <c r="A109" s="3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x14ac:dyDescent="0.25">
      <c r="A110" s="3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x14ac:dyDescent="0.25">
      <c r="A111" s="3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x14ac:dyDescent="0.25">
      <c r="A112" s="3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x14ac:dyDescent="0.25">
      <c r="A113" s="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x14ac:dyDescent="0.25">
      <c r="A114" s="3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x14ac:dyDescent="0.25">
      <c r="A115" s="3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x14ac:dyDescent="0.25">
      <c r="A116" s="3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x14ac:dyDescent="0.25">
      <c r="A117" s="3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x14ac:dyDescent="0.25">
      <c r="A118" s="3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x14ac:dyDescent="0.25">
      <c r="A119" s="3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x14ac:dyDescent="0.25">
      <c r="A120" s="3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x14ac:dyDescent="0.25">
      <c r="A121" s="3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2:25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2:25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2:25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2:25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2:25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2:25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2:25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2:25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2:25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2:25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2:25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2:25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2:25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2:25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2:25" x14ac:dyDescent="0.25">
      <c r="B143" s="2"/>
      <c r="C143" s="2"/>
    </row>
    <row r="144" spans="2:25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</sheetData>
  <pageMargins left="0.7" right="0.7" top="0.75" bottom="0.75" header="0.3" footer="0.3"/>
  <pageSetup scale="17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</sheetPr>
  <dimension ref="A1:O31"/>
  <sheetViews>
    <sheetView workbookViewId="0">
      <pane xSplit="1" ySplit="5" topLeftCell="B6" activePane="bottomRight" state="frozen"/>
      <selection activeCell="N30" sqref="N30"/>
      <selection pane="topRight" activeCell="N30" sqref="N30"/>
      <selection pane="bottomLeft" activeCell="N30" sqref="N30"/>
      <selection pane="bottomRight" activeCell="B6" sqref="B6"/>
    </sheetView>
  </sheetViews>
  <sheetFormatPr defaultRowHeight="15" x14ac:dyDescent="0.25"/>
  <cols>
    <col min="1" max="1" width="25.85546875" customWidth="1"/>
    <col min="2" max="12" width="12" bestFit="1" customWidth="1"/>
    <col min="13" max="13" width="14.28515625" customWidth="1"/>
    <col min="14" max="14" width="12.85546875" style="227" bestFit="1" customWidth="1"/>
  </cols>
  <sheetData>
    <row r="1" spans="1:14" s="165" customFormat="1" ht="15.75" customHeight="1" x14ac:dyDescent="0.2">
      <c r="A1" s="211" t="s">
        <v>65</v>
      </c>
      <c r="B1" s="182"/>
      <c r="N1" s="211"/>
    </row>
    <row r="2" spans="1:14" s="165" customFormat="1" ht="11.25" x14ac:dyDescent="0.2">
      <c r="A2" s="211" t="s">
        <v>199</v>
      </c>
      <c r="B2" s="212"/>
      <c r="N2" s="211"/>
    </row>
    <row r="3" spans="1:14" s="165" customFormat="1" ht="11.25" x14ac:dyDescent="0.2">
      <c r="A3" s="182" t="s">
        <v>200</v>
      </c>
      <c r="B3" s="212"/>
      <c r="N3" s="211"/>
    </row>
    <row r="4" spans="1:14" s="182" customFormat="1" ht="11.25" x14ac:dyDescent="0.2">
      <c r="A4" s="182" t="s">
        <v>201</v>
      </c>
      <c r="B4" s="211"/>
      <c r="N4" s="211"/>
    </row>
    <row r="5" spans="1:14" s="182" customFormat="1" ht="11.25" x14ac:dyDescent="0.2">
      <c r="A5" s="213" t="s">
        <v>202</v>
      </c>
      <c r="B5" s="214">
        <v>46023</v>
      </c>
      <c r="C5" s="215">
        <f t="shared" ref="C5:M5" si="0">EDATE(B5,1)</f>
        <v>46054</v>
      </c>
      <c r="D5" s="215">
        <f t="shared" si="0"/>
        <v>46082</v>
      </c>
      <c r="E5" s="215">
        <f t="shared" si="0"/>
        <v>46113</v>
      </c>
      <c r="F5" s="215">
        <f t="shared" si="0"/>
        <v>46143</v>
      </c>
      <c r="G5" s="215">
        <f t="shared" si="0"/>
        <v>46174</v>
      </c>
      <c r="H5" s="215">
        <f t="shared" si="0"/>
        <v>46204</v>
      </c>
      <c r="I5" s="215">
        <f t="shared" si="0"/>
        <v>46235</v>
      </c>
      <c r="J5" s="215">
        <f t="shared" si="0"/>
        <v>46266</v>
      </c>
      <c r="K5" s="215">
        <f t="shared" si="0"/>
        <v>46296</v>
      </c>
      <c r="L5" s="215">
        <f t="shared" si="0"/>
        <v>46327</v>
      </c>
      <c r="M5" s="215">
        <f t="shared" si="0"/>
        <v>46357</v>
      </c>
      <c r="N5" s="211" t="s">
        <v>203</v>
      </c>
    </row>
    <row r="6" spans="1:14" s="165" customFormat="1" ht="11.25" x14ac:dyDescent="0.2">
      <c r="A6" s="216" t="s">
        <v>120</v>
      </c>
      <c r="B6" s="217">
        <v>1284507260</v>
      </c>
      <c r="C6" s="217">
        <v>1097396640</v>
      </c>
      <c r="D6" s="217">
        <v>1087345220</v>
      </c>
      <c r="E6" s="217">
        <v>882939900</v>
      </c>
      <c r="F6" s="217">
        <v>771970990</v>
      </c>
      <c r="G6" s="217">
        <v>735137850</v>
      </c>
      <c r="H6" s="217">
        <v>835268580</v>
      </c>
      <c r="I6" s="217">
        <v>839412240</v>
      </c>
      <c r="J6" s="217">
        <v>732642810</v>
      </c>
      <c r="K6" s="217">
        <v>867522870</v>
      </c>
      <c r="L6" s="217">
        <v>1072508330</v>
      </c>
      <c r="M6" s="217">
        <v>1311029630</v>
      </c>
      <c r="N6" s="218">
        <f>SUM(B6:M6)</f>
        <v>11517682320</v>
      </c>
    </row>
    <row r="7" spans="1:14" s="165" customFormat="1" ht="11.25" x14ac:dyDescent="0.2">
      <c r="A7" s="216" t="s">
        <v>204</v>
      </c>
      <c r="B7" s="217">
        <v>270150</v>
      </c>
      <c r="C7" s="217">
        <v>233940</v>
      </c>
      <c r="D7" s="217">
        <v>219990</v>
      </c>
      <c r="E7" s="217">
        <v>193100</v>
      </c>
      <c r="F7" s="217">
        <v>181470</v>
      </c>
      <c r="G7" s="217">
        <v>189130</v>
      </c>
      <c r="H7" s="217">
        <v>221160</v>
      </c>
      <c r="I7" s="217">
        <v>246060</v>
      </c>
      <c r="J7" s="217">
        <v>228500</v>
      </c>
      <c r="K7" s="217">
        <v>180700</v>
      </c>
      <c r="L7" s="217">
        <v>209840</v>
      </c>
      <c r="M7" s="217">
        <v>234790</v>
      </c>
      <c r="N7" s="218">
        <f t="shared" ref="N7:N21" si="1">SUM(B7:M7)</f>
        <v>2608830</v>
      </c>
    </row>
    <row r="8" spans="1:14" s="165" customFormat="1" ht="11.25" x14ac:dyDescent="0.2">
      <c r="A8" s="219" t="s">
        <v>128</v>
      </c>
      <c r="B8" s="217">
        <v>258651341</v>
      </c>
      <c r="C8" s="217">
        <v>226491102</v>
      </c>
      <c r="D8" s="217">
        <v>245140055</v>
      </c>
      <c r="E8" s="217">
        <v>211097010</v>
      </c>
      <c r="F8" s="217">
        <v>205372816</v>
      </c>
      <c r="G8" s="217">
        <v>199998420</v>
      </c>
      <c r="H8" s="217">
        <v>223032041</v>
      </c>
      <c r="I8" s="217">
        <v>223394409</v>
      </c>
      <c r="J8" s="217">
        <v>201248194</v>
      </c>
      <c r="K8" s="217">
        <v>209370529</v>
      </c>
      <c r="L8" s="217">
        <v>225942953</v>
      </c>
      <c r="M8" s="217">
        <v>261524604</v>
      </c>
      <c r="N8" s="218">
        <f t="shared" si="1"/>
        <v>2691263474</v>
      </c>
    </row>
    <row r="9" spans="1:14" s="165" customFormat="1" ht="11.25" x14ac:dyDescent="0.2">
      <c r="A9" s="219" t="s">
        <v>205</v>
      </c>
      <c r="B9" s="217">
        <v>269128634</v>
      </c>
      <c r="C9" s="217">
        <v>238126236</v>
      </c>
      <c r="D9" s="217">
        <v>258557938</v>
      </c>
      <c r="E9" s="217">
        <v>229020965</v>
      </c>
      <c r="F9" s="217">
        <v>230087014</v>
      </c>
      <c r="G9" s="217">
        <v>230277080</v>
      </c>
      <c r="H9" s="217">
        <v>255525549</v>
      </c>
      <c r="I9" s="217">
        <v>255652117</v>
      </c>
      <c r="J9" s="217">
        <v>230813096</v>
      </c>
      <c r="K9" s="217">
        <v>241061711</v>
      </c>
      <c r="L9" s="217">
        <v>248251836</v>
      </c>
      <c r="M9" s="217">
        <v>274971209</v>
      </c>
      <c r="N9" s="218">
        <f t="shared" si="1"/>
        <v>2961473385</v>
      </c>
    </row>
    <row r="10" spans="1:14" s="165" customFormat="1" ht="11.25" x14ac:dyDescent="0.2">
      <c r="A10" s="219" t="s">
        <v>140</v>
      </c>
      <c r="B10" s="217">
        <v>167608468</v>
      </c>
      <c r="C10" s="217">
        <v>151453258</v>
      </c>
      <c r="D10" s="217">
        <v>165273042</v>
      </c>
      <c r="E10" s="217">
        <v>157104462</v>
      </c>
      <c r="F10" s="217">
        <v>161145800</v>
      </c>
      <c r="G10" s="217">
        <v>162752099</v>
      </c>
      <c r="H10" s="217">
        <v>183489632</v>
      </c>
      <c r="I10" s="217">
        <v>186705058</v>
      </c>
      <c r="J10" s="217">
        <v>163558437</v>
      </c>
      <c r="K10" s="217">
        <v>166738944</v>
      </c>
      <c r="L10" s="217">
        <v>168126722</v>
      </c>
      <c r="M10" s="217">
        <v>174819691</v>
      </c>
      <c r="N10" s="218">
        <f t="shared" si="1"/>
        <v>2008775613</v>
      </c>
    </row>
    <row r="11" spans="1:14" s="165" customFormat="1" ht="11.25" x14ac:dyDescent="0.2">
      <c r="A11" s="216">
        <v>29</v>
      </c>
      <c r="B11" s="217">
        <v>293440</v>
      </c>
      <c r="C11" s="217">
        <v>248280</v>
      </c>
      <c r="D11" s="217">
        <v>276900</v>
      </c>
      <c r="E11" s="217">
        <v>292940</v>
      </c>
      <c r="F11" s="217">
        <v>708630</v>
      </c>
      <c r="G11" s="217">
        <v>1438340</v>
      </c>
      <c r="H11" s="217">
        <v>2652990</v>
      </c>
      <c r="I11" s="217">
        <v>3833990</v>
      </c>
      <c r="J11" s="217">
        <v>2639830</v>
      </c>
      <c r="K11" s="217">
        <v>1154200</v>
      </c>
      <c r="L11" s="217">
        <v>349140</v>
      </c>
      <c r="M11" s="217">
        <v>279010</v>
      </c>
      <c r="N11" s="218">
        <f t="shared" si="1"/>
        <v>14167690</v>
      </c>
    </row>
    <row r="12" spans="1:14" s="165" customFormat="1" ht="11.25" x14ac:dyDescent="0.2">
      <c r="A12" s="216" t="s">
        <v>149</v>
      </c>
      <c r="B12" s="217">
        <v>117335640</v>
      </c>
      <c r="C12" s="217">
        <v>106117500</v>
      </c>
      <c r="D12" s="217">
        <v>117227930</v>
      </c>
      <c r="E12" s="217">
        <v>110950370</v>
      </c>
      <c r="F12" s="217">
        <v>110942960</v>
      </c>
      <c r="G12" s="217">
        <v>114161660</v>
      </c>
      <c r="H12" s="217">
        <v>122415230</v>
      </c>
      <c r="I12" s="217">
        <v>121507050</v>
      </c>
      <c r="J12" s="217">
        <v>110206010</v>
      </c>
      <c r="K12" s="217">
        <v>111732670</v>
      </c>
      <c r="L12" s="217">
        <v>110651280</v>
      </c>
      <c r="M12" s="217">
        <v>115051690</v>
      </c>
      <c r="N12" s="218">
        <f t="shared" si="1"/>
        <v>1368299990</v>
      </c>
    </row>
    <row r="13" spans="1:14" s="165" customFormat="1" ht="11.25" x14ac:dyDescent="0.2">
      <c r="A13" s="216">
        <v>35</v>
      </c>
      <c r="B13" s="217">
        <v>0</v>
      </c>
      <c r="C13" s="217">
        <v>0</v>
      </c>
      <c r="D13" s="217">
        <v>0</v>
      </c>
      <c r="E13" s="217">
        <v>0</v>
      </c>
      <c r="F13" s="217">
        <v>286750</v>
      </c>
      <c r="G13" s="217">
        <v>832570</v>
      </c>
      <c r="H13" s="217">
        <v>869720</v>
      </c>
      <c r="I13" s="217">
        <v>1526260</v>
      </c>
      <c r="J13" s="217">
        <v>1261990</v>
      </c>
      <c r="K13" s="217">
        <v>1179020</v>
      </c>
      <c r="L13" s="217">
        <v>409530</v>
      </c>
      <c r="M13" s="217">
        <v>0</v>
      </c>
      <c r="N13" s="218">
        <f t="shared" si="1"/>
        <v>6365840</v>
      </c>
    </row>
    <row r="14" spans="1:14" s="165" customFormat="1" ht="11.25" x14ac:dyDescent="0.2">
      <c r="A14" s="216">
        <v>43</v>
      </c>
      <c r="B14" s="217">
        <v>13183970</v>
      </c>
      <c r="C14" s="217">
        <v>12171860</v>
      </c>
      <c r="D14" s="217">
        <v>13062920</v>
      </c>
      <c r="E14" s="217">
        <v>9845910</v>
      </c>
      <c r="F14" s="217">
        <v>8400430</v>
      </c>
      <c r="G14" s="217">
        <v>7081670</v>
      </c>
      <c r="H14" s="217">
        <v>5789710</v>
      </c>
      <c r="I14" s="217">
        <v>4853540</v>
      </c>
      <c r="J14" s="217">
        <v>5305210</v>
      </c>
      <c r="K14" s="217">
        <v>7458010</v>
      </c>
      <c r="L14" s="217">
        <v>9878560</v>
      </c>
      <c r="M14" s="217">
        <v>12963480</v>
      </c>
      <c r="N14" s="218">
        <f t="shared" si="1"/>
        <v>109995270</v>
      </c>
    </row>
    <row r="15" spans="1:14" s="165" customFormat="1" ht="11.25" x14ac:dyDescent="0.2">
      <c r="A15" s="216">
        <v>46</v>
      </c>
      <c r="B15" s="217">
        <v>6933380</v>
      </c>
      <c r="C15" s="217">
        <v>6933170</v>
      </c>
      <c r="D15" s="217">
        <v>7782990</v>
      </c>
      <c r="E15" s="217">
        <v>6598970</v>
      </c>
      <c r="F15" s="217">
        <v>8424980</v>
      </c>
      <c r="G15" s="217">
        <v>7848110</v>
      </c>
      <c r="H15" s="217">
        <v>9793170</v>
      </c>
      <c r="I15" s="217">
        <v>9162660</v>
      </c>
      <c r="J15" s="217">
        <v>8400050</v>
      </c>
      <c r="K15" s="217">
        <v>8310400</v>
      </c>
      <c r="L15" s="217">
        <v>6950020</v>
      </c>
      <c r="M15" s="217">
        <v>7479460</v>
      </c>
      <c r="N15" s="218">
        <f t="shared" si="1"/>
        <v>94617360</v>
      </c>
    </row>
    <row r="16" spans="1:14" s="165" customFormat="1" ht="11.25" x14ac:dyDescent="0.2">
      <c r="A16" s="216">
        <v>49</v>
      </c>
      <c r="B16" s="217">
        <v>46645760</v>
      </c>
      <c r="C16" s="217">
        <v>42567180</v>
      </c>
      <c r="D16" s="217">
        <v>45529070</v>
      </c>
      <c r="E16" s="217">
        <v>44965160</v>
      </c>
      <c r="F16" s="217">
        <v>44769900</v>
      </c>
      <c r="G16" s="217">
        <v>44347480</v>
      </c>
      <c r="H16" s="217">
        <v>46223510</v>
      </c>
      <c r="I16" s="217">
        <v>46288620</v>
      </c>
      <c r="J16" s="217">
        <v>44219890</v>
      </c>
      <c r="K16" s="217">
        <v>44672510</v>
      </c>
      <c r="L16" s="217">
        <v>43213370</v>
      </c>
      <c r="M16" s="217">
        <v>43768160</v>
      </c>
      <c r="N16" s="218">
        <f t="shared" si="1"/>
        <v>537210610</v>
      </c>
    </row>
    <row r="17" spans="1:15" s="165" customFormat="1" ht="11.25" x14ac:dyDescent="0.2">
      <c r="A17" s="216" t="s">
        <v>206</v>
      </c>
      <c r="B17" s="217">
        <v>31998015</v>
      </c>
      <c r="C17" s="217">
        <v>28602821</v>
      </c>
      <c r="D17" s="217">
        <v>28607908</v>
      </c>
      <c r="E17" s="217">
        <v>26437821</v>
      </c>
      <c r="F17" s="217">
        <v>26414608</v>
      </c>
      <c r="G17" s="217">
        <v>25301832</v>
      </c>
      <c r="H17" s="217">
        <v>27608832</v>
      </c>
      <c r="I17" s="217">
        <v>27339243</v>
      </c>
      <c r="J17" s="217">
        <v>26067688</v>
      </c>
      <c r="K17" s="217">
        <v>27067223</v>
      </c>
      <c r="L17" s="217">
        <v>25952654</v>
      </c>
      <c r="M17" s="217">
        <v>28600731</v>
      </c>
      <c r="N17" s="218">
        <f t="shared" si="1"/>
        <v>329999376</v>
      </c>
    </row>
    <row r="18" spans="1:15" s="165" customFormat="1" ht="11.25" x14ac:dyDescent="0.2">
      <c r="A18" s="216" t="s">
        <v>207</v>
      </c>
      <c r="B18" s="217">
        <v>5434800</v>
      </c>
      <c r="C18" s="217">
        <v>4815730</v>
      </c>
      <c r="D18" s="217">
        <v>5917010</v>
      </c>
      <c r="E18" s="217">
        <v>5511630</v>
      </c>
      <c r="F18" s="217">
        <v>5475510</v>
      </c>
      <c r="G18" s="217">
        <v>4834870</v>
      </c>
      <c r="H18" s="217">
        <v>5694880</v>
      </c>
      <c r="I18" s="217">
        <v>5357580</v>
      </c>
      <c r="J18" s="217">
        <v>5366640</v>
      </c>
      <c r="K18" s="217">
        <v>5949170</v>
      </c>
      <c r="L18" s="217">
        <v>5000920</v>
      </c>
      <c r="M18" s="217">
        <v>5347960</v>
      </c>
      <c r="N18" s="218">
        <f t="shared" si="1"/>
        <v>64706700</v>
      </c>
    </row>
    <row r="19" spans="1:15" s="165" customFormat="1" ht="11.25" x14ac:dyDescent="0.2">
      <c r="A19" s="216" t="s">
        <v>208</v>
      </c>
      <c r="B19" s="217">
        <v>170440450</v>
      </c>
      <c r="C19" s="217">
        <v>153956550</v>
      </c>
      <c r="D19" s="217">
        <v>165730660</v>
      </c>
      <c r="E19" s="217">
        <v>150001680</v>
      </c>
      <c r="F19" s="217">
        <v>156161880</v>
      </c>
      <c r="G19" s="217">
        <v>169091200</v>
      </c>
      <c r="H19" s="217">
        <v>176232740</v>
      </c>
      <c r="I19" s="217">
        <v>177455930</v>
      </c>
      <c r="J19" s="217">
        <v>166803820</v>
      </c>
      <c r="K19" s="217">
        <v>167435270</v>
      </c>
      <c r="L19" s="217">
        <v>164163150</v>
      </c>
      <c r="M19" s="217">
        <v>168189850</v>
      </c>
      <c r="N19" s="218">
        <f t="shared" si="1"/>
        <v>1985663180</v>
      </c>
    </row>
    <row r="20" spans="1:15" s="165" customFormat="1" ht="11.25" x14ac:dyDescent="0.2">
      <c r="A20" s="216" t="s">
        <v>209</v>
      </c>
      <c r="B20" s="217">
        <v>436156</v>
      </c>
      <c r="C20" s="217">
        <v>278444</v>
      </c>
      <c r="D20" s="217">
        <v>300625</v>
      </c>
      <c r="E20" s="217">
        <v>323313</v>
      </c>
      <c r="F20" s="217">
        <v>366211</v>
      </c>
      <c r="G20" s="217">
        <v>378621</v>
      </c>
      <c r="H20" s="217">
        <v>424899</v>
      </c>
      <c r="I20" s="217">
        <v>445266</v>
      </c>
      <c r="J20" s="217">
        <v>395613</v>
      </c>
      <c r="K20" s="217">
        <v>480036</v>
      </c>
      <c r="L20" s="217">
        <v>467459</v>
      </c>
      <c r="M20" s="217">
        <v>591465</v>
      </c>
      <c r="N20" s="218">
        <f t="shared" si="1"/>
        <v>4888108</v>
      </c>
    </row>
    <row r="21" spans="1:15" s="165" customFormat="1" ht="11.25" x14ac:dyDescent="0.2">
      <c r="A21" s="216" t="s">
        <v>210</v>
      </c>
      <c r="B21" s="217">
        <v>976640</v>
      </c>
      <c r="C21" s="217">
        <v>873330</v>
      </c>
      <c r="D21" s="217">
        <v>839730</v>
      </c>
      <c r="E21" s="217">
        <v>620110</v>
      </c>
      <c r="F21" s="217">
        <v>453010</v>
      </c>
      <c r="G21" s="217">
        <v>332380</v>
      </c>
      <c r="H21" s="217">
        <v>245380</v>
      </c>
      <c r="I21" s="217">
        <v>365680</v>
      </c>
      <c r="J21" s="217">
        <v>273550</v>
      </c>
      <c r="K21" s="217">
        <v>461680</v>
      </c>
      <c r="L21" s="217">
        <v>725140</v>
      </c>
      <c r="M21" s="217">
        <v>927560</v>
      </c>
      <c r="N21" s="218">
        <f t="shared" si="1"/>
        <v>7094190</v>
      </c>
    </row>
    <row r="22" spans="1:15" s="165" customFormat="1" ht="11.25" x14ac:dyDescent="0.2">
      <c r="A22" s="165" t="s">
        <v>211</v>
      </c>
      <c r="B22" s="169">
        <f t="shared" ref="B22:N22" si="2">SUM(B6:B21)</f>
        <v>2373844104</v>
      </c>
      <c r="C22" s="169">
        <f t="shared" si="2"/>
        <v>2070266041</v>
      </c>
      <c r="D22" s="169">
        <f t="shared" si="2"/>
        <v>2141811988</v>
      </c>
      <c r="E22" s="169">
        <f t="shared" si="2"/>
        <v>1835903341</v>
      </c>
      <c r="F22" s="169">
        <f t="shared" si="2"/>
        <v>1731162959</v>
      </c>
      <c r="G22" s="169">
        <f t="shared" si="2"/>
        <v>1704003312</v>
      </c>
      <c r="H22" s="169">
        <f t="shared" si="2"/>
        <v>1895488023</v>
      </c>
      <c r="I22" s="169">
        <f t="shared" si="2"/>
        <v>1903545703</v>
      </c>
      <c r="J22" s="169">
        <f t="shared" si="2"/>
        <v>1699431328</v>
      </c>
      <c r="K22" s="169">
        <f t="shared" si="2"/>
        <v>1860774943</v>
      </c>
      <c r="L22" s="169">
        <f t="shared" si="2"/>
        <v>2082800904</v>
      </c>
      <c r="M22" s="169">
        <f t="shared" si="2"/>
        <v>2405779290</v>
      </c>
      <c r="N22" s="220">
        <f t="shared" si="2"/>
        <v>23704811936</v>
      </c>
    </row>
    <row r="23" spans="1:15" s="222" customFormat="1" ht="11.25" x14ac:dyDescent="0.2">
      <c r="A23" s="184" t="s">
        <v>174</v>
      </c>
      <c r="B23" s="168">
        <v>0.60799980163574219</v>
      </c>
      <c r="C23" s="168">
        <v>2.9997825622558594E-3</v>
      </c>
      <c r="D23" s="168">
        <v>0.36899971961975098</v>
      </c>
      <c r="E23" s="168">
        <v>0.3469998836517334</v>
      </c>
      <c r="F23" s="168">
        <v>-0.70199990272521973</v>
      </c>
      <c r="G23" s="168">
        <v>-0.25200009346008301</v>
      </c>
      <c r="H23" s="168">
        <v>-1.372999906539917</v>
      </c>
      <c r="I23" s="168">
        <v>-0.31599998474121094</v>
      </c>
      <c r="J23" s="168">
        <v>0.12800002098083496</v>
      </c>
      <c r="K23" s="168">
        <v>-0.1809999942779541</v>
      </c>
      <c r="L23" s="168">
        <v>5.1000356674194336E-2</v>
      </c>
      <c r="M23" s="168">
        <v>1.2200002670288086</v>
      </c>
      <c r="N23" s="221"/>
    </row>
    <row r="24" spans="1:15" s="165" customFormat="1" ht="11.25" x14ac:dyDescent="0.2">
      <c r="N24" s="211"/>
    </row>
    <row r="25" spans="1:15" s="165" customFormat="1" ht="11.25" x14ac:dyDescent="0.2">
      <c r="A25" s="182"/>
      <c r="B25" s="223"/>
      <c r="L25" s="180"/>
      <c r="M25" s="180" t="s">
        <v>212</v>
      </c>
      <c r="N25" s="224">
        <v>748526712.86500001</v>
      </c>
    </row>
    <row r="26" spans="1:15" x14ac:dyDescent="0.25">
      <c r="L26" s="180"/>
      <c r="M26" s="180" t="s">
        <v>213</v>
      </c>
      <c r="N26" s="178">
        <f>N17</f>
        <v>329999376</v>
      </c>
      <c r="O26" s="165"/>
    </row>
    <row r="27" spans="1:15" x14ac:dyDescent="0.25">
      <c r="A27" s="225"/>
      <c r="L27" s="180"/>
      <c r="M27" s="180" t="s">
        <v>214</v>
      </c>
      <c r="N27" s="178">
        <f>N19</f>
        <v>1985663180</v>
      </c>
      <c r="O27" s="165"/>
    </row>
    <row r="28" spans="1:15" ht="15.75" thickBot="1" x14ac:dyDescent="0.3">
      <c r="L28" s="180"/>
      <c r="M28" s="180" t="s">
        <v>215</v>
      </c>
      <c r="N28" s="230">
        <f>N22-SUM(N25:N27)</f>
        <v>20640622667.135002</v>
      </c>
      <c r="O28" s="226" t="s">
        <v>216</v>
      </c>
    </row>
    <row r="29" spans="1:15" ht="15.75" thickTop="1" x14ac:dyDescent="0.25">
      <c r="L29" s="182"/>
      <c r="M29" s="180"/>
      <c r="N29" s="165"/>
      <c r="O29" s="226"/>
    </row>
    <row r="30" spans="1:15" ht="15.75" thickBot="1" x14ac:dyDescent="0.3">
      <c r="L30" s="180"/>
      <c r="M30" s="180" t="s">
        <v>217</v>
      </c>
      <c r="N30" s="230">
        <f>N28+N25</f>
        <v>21389149380.000004</v>
      </c>
      <c r="O30" s="226" t="s">
        <v>218</v>
      </c>
    </row>
    <row r="31" spans="1:15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"/>
  <sheetViews>
    <sheetView workbookViewId="0">
      <selection sqref="A1:Q1"/>
    </sheetView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D152"/>
  <sheetViews>
    <sheetView topLeftCell="A6" zoomScale="70" zoomScaleNormal="70" workbookViewId="0">
      <selection activeCell="O38" sqref="O38"/>
    </sheetView>
  </sheetViews>
  <sheetFormatPr defaultColWidth="9.28515625" defaultRowHeight="15" x14ac:dyDescent="0.25"/>
  <cols>
    <col min="1" max="1" width="7.42578125" style="1" customWidth="1"/>
    <col min="2" max="2" width="43.7109375" style="1" customWidth="1"/>
    <col min="3" max="3" width="18.7109375" style="1" bestFit="1" customWidth="1"/>
    <col min="4" max="4" width="17.28515625" style="1" customWidth="1"/>
    <col min="5" max="5" width="19" style="1" bestFit="1" customWidth="1"/>
    <col min="6" max="6" width="16.28515625" style="1" bestFit="1" customWidth="1"/>
    <col min="7" max="7" width="18" style="1" bestFit="1" customWidth="1"/>
    <col min="8" max="8" width="10.7109375" style="1" bestFit="1" customWidth="1"/>
    <col min="9" max="9" width="5.5703125" style="1" customWidth="1"/>
    <col min="10" max="10" width="43.7109375" style="1" customWidth="1"/>
    <col min="11" max="11" width="18.7109375" style="1" bestFit="1" customWidth="1"/>
    <col min="12" max="12" width="16.85546875" style="1" bestFit="1" customWidth="1"/>
    <col min="13" max="13" width="19" style="1" bestFit="1" customWidth="1"/>
    <col min="14" max="14" width="16.28515625" style="1" bestFit="1" customWidth="1"/>
    <col min="15" max="15" width="18" style="1" bestFit="1" customWidth="1"/>
    <col min="16" max="16" width="13.7109375" style="1" bestFit="1" customWidth="1"/>
    <col min="17" max="17" width="16" bestFit="1" customWidth="1"/>
    <col min="18" max="18" width="17.28515625" bestFit="1" customWidth="1"/>
    <col min="19" max="19" width="14.28515625" bestFit="1" customWidth="1"/>
    <col min="20" max="20" width="7.7109375" bestFit="1" customWidth="1"/>
    <col min="21" max="21" width="15.5703125" bestFit="1" customWidth="1"/>
    <col min="22" max="22" width="17.28515625" bestFit="1" customWidth="1"/>
    <col min="31" max="16384" width="9.28515625" style="1"/>
  </cols>
  <sheetData>
    <row r="1" spans="1:15" ht="20.25" x14ac:dyDescent="0.3">
      <c r="A1" s="52" t="s">
        <v>64</v>
      </c>
      <c r="B1" s="51"/>
      <c r="C1" s="51"/>
      <c r="D1" s="51"/>
      <c r="E1" s="50"/>
      <c r="F1" s="50"/>
      <c r="G1" s="50"/>
      <c r="I1" s="52" t="s">
        <v>64</v>
      </c>
      <c r="J1" s="51"/>
      <c r="K1" s="51"/>
      <c r="L1" s="51"/>
      <c r="M1" s="50"/>
      <c r="N1" s="50"/>
      <c r="O1" s="50"/>
    </row>
    <row r="2" spans="1:15" ht="20.25" x14ac:dyDescent="0.3">
      <c r="A2" s="52" t="s">
        <v>94</v>
      </c>
      <c r="B2" s="51"/>
      <c r="C2" s="51"/>
      <c r="D2" s="51"/>
      <c r="E2" s="50"/>
      <c r="F2" s="50"/>
      <c r="G2" s="50"/>
      <c r="I2" s="52" t="s">
        <v>95</v>
      </c>
      <c r="J2" s="51"/>
      <c r="K2" s="51"/>
      <c r="L2" s="51"/>
      <c r="M2" s="50"/>
      <c r="N2" s="50"/>
      <c r="O2" s="50"/>
    </row>
    <row r="3" spans="1:15" ht="13.9" customHeight="1" x14ac:dyDescent="0.3">
      <c r="A3" s="49"/>
      <c r="I3" s="49"/>
    </row>
    <row r="4" spans="1:15" x14ac:dyDescent="0.25">
      <c r="A4" s="231" t="s">
        <v>220</v>
      </c>
      <c r="B4" s="231"/>
      <c r="C4" s="231"/>
      <c r="D4" s="232"/>
      <c r="E4" s="232"/>
      <c r="F4" s="231"/>
      <c r="G4" s="231"/>
      <c r="H4" s="231"/>
      <c r="I4" s="231"/>
      <c r="J4" s="231"/>
    </row>
    <row r="5" spans="1:15" x14ac:dyDescent="0.25">
      <c r="A5" s="3" t="s">
        <v>62</v>
      </c>
      <c r="C5" s="48" t="s">
        <v>63</v>
      </c>
      <c r="I5" s="3" t="s">
        <v>62</v>
      </c>
      <c r="K5" s="48" t="s">
        <v>86</v>
      </c>
    </row>
    <row r="6" spans="1:15" x14ac:dyDescent="0.25">
      <c r="A6" s="3">
        <v>3</v>
      </c>
      <c r="B6" s="6" t="s">
        <v>61</v>
      </c>
      <c r="C6" s="40">
        <v>95697187.891483918</v>
      </c>
      <c r="D6" s="6"/>
      <c r="E6" s="6"/>
      <c r="F6" s="6"/>
      <c r="G6" s="6"/>
      <c r="I6" s="3">
        <v>3</v>
      </c>
      <c r="J6" s="6" t="s">
        <v>61</v>
      </c>
      <c r="K6" s="40">
        <v>82502918.798069403</v>
      </c>
      <c r="L6" s="6"/>
      <c r="M6" s="6"/>
      <c r="N6" s="6"/>
      <c r="O6" s="6"/>
    </row>
    <row r="7" spans="1:15" x14ac:dyDescent="0.25">
      <c r="A7" s="3">
        <v>4</v>
      </c>
      <c r="B7" s="6" t="s">
        <v>60</v>
      </c>
      <c r="C7" s="24">
        <v>66912595.119443916</v>
      </c>
      <c r="D7" s="6"/>
      <c r="E7" s="6"/>
      <c r="F7" s="6"/>
      <c r="G7" s="6"/>
      <c r="I7" s="3">
        <v>4</v>
      </c>
      <c r="J7" s="6" t="s">
        <v>60</v>
      </c>
      <c r="K7" s="24">
        <v>63899761.656341851</v>
      </c>
      <c r="L7" s="6"/>
      <c r="M7" s="6"/>
      <c r="N7" s="6"/>
      <c r="O7" s="6"/>
    </row>
    <row r="8" spans="1:15" x14ac:dyDescent="0.25">
      <c r="A8" s="3">
        <v>5</v>
      </c>
      <c r="B8" s="6" t="s">
        <v>59</v>
      </c>
      <c r="C8" s="24">
        <v>1372497740.1639166</v>
      </c>
      <c r="D8" s="6"/>
      <c r="E8" s="6"/>
      <c r="F8" s="6"/>
      <c r="G8" s="6"/>
      <c r="I8" s="3">
        <v>5</v>
      </c>
      <c r="J8" s="6" t="s">
        <v>59</v>
      </c>
      <c r="K8" s="24">
        <v>1612344362.1200352</v>
      </c>
      <c r="L8" s="6"/>
      <c r="M8" s="6"/>
      <c r="N8" s="6"/>
      <c r="O8" s="6"/>
    </row>
    <row r="9" spans="1:15" x14ac:dyDescent="0.25">
      <c r="A9" s="3">
        <f>+A8+1</f>
        <v>6</v>
      </c>
      <c r="B9" s="6" t="s">
        <v>58</v>
      </c>
      <c r="C9" s="26">
        <f>SUM(C6:C8)</f>
        <v>1535107523.1748445</v>
      </c>
      <c r="D9" s="6"/>
      <c r="E9" s="6"/>
      <c r="F9" s="6"/>
      <c r="G9" s="6"/>
      <c r="I9" s="3">
        <f>+I8+1</f>
        <v>6</v>
      </c>
      <c r="J9" s="6" t="s">
        <v>58</v>
      </c>
      <c r="K9" s="26">
        <f>SUM(K6:K8)</f>
        <v>1758747042.5744464</v>
      </c>
      <c r="L9" s="6"/>
      <c r="M9" s="6"/>
      <c r="N9" s="6"/>
      <c r="O9" s="6"/>
    </row>
    <row r="10" spans="1:15" x14ac:dyDescent="0.25">
      <c r="A10" s="3">
        <f>+A9+1</f>
        <v>7</v>
      </c>
      <c r="B10" s="39" t="s">
        <v>57</v>
      </c>
      <c r="C10" s="45">
        <v>6.9500000000000006E-2</v>
      </c>
      <c r="D10" s="47"/>
      <c r="E10" s="47"/>
      <c r="F10" s="42" t="s">
        <v>16</v>
      </c>
      <c r="G10" s="42" t="s">
        <v>56</v>
      </c>
      <c r="I10" s="3">
        <f>+I9+1</f>
        <v>7</v>
      </c>
      <c r="J10" s="39" t="s">
        <v>57</v>
      </c>
      <c r="K10" s="45">
        <v>7.0800000000000002E-2</v>
      </c>
      <c r="L10" s="47"/>
      <c r="M10" s="47"/>
      <c r="N10" s="42" t="s">
        <v>16</v>
      </c>
      <c r="O10" s="42" t="s">
        <v>56</v>
      </c>
    </row>
    <row r="11" spans="1:15" x14ac:dyDescent="0.25">
      <c r="A11" s="3">
        <f>+A10+1</f>
        <v>8</v>
      </c>
      <c r="B11" s="39"/>
      <c r="C11" s="45"/>
      <c r="D11" s="42" t="s">
        <v>55</v>
      </c>
      <c r="E11" s="42"/>
      <c r="F11" s="42" t="s">
        <v>54</v>
      </c>
      <c r="G11" s="42" t="s">
        <v>54</v>
      </c>
      <c r="I11" s="3">
        <f>+I10+1</f>
        <v>8</v>
      </c>
      <c r="J11" s="39"/>
      <c r="K11" s="45"/>
      <c r="L11" s="42" t="s">
        <v>55</v>
      </c>
      <c r="M11" s="42"/>
      <c r="N11" s="42" t="s">
        <v>54</v>
      </c>
      <c r="O11" s="42" t="s">
        <v>54</v>
      </c>
    </row>
    <row r="12" spans="1:15" x14ac:dyDescent="0.25">
      <c r="A12" s="3">
        <f>+A11+1</f>
        <v>9</v>
      </c>
      <c r="B12" s="46"/>
      <c r="C12" s="45"/>
      <c r="D12" s="44" t="s">
        <v>53</v>
      </c>
      <c r="E12" s="44"/>
      <c r="F12" s="43" t="s">
        <v>52</v>
      </c>
      <c r="G12" s="43" t="s">
        <v>51</v>
      </c>
      <c r="I12" s="3">
        <f>+I11+1</f>
        <v>9</v>
      </c>
      <c r="J12" s="46"/>
      <c r="K12" s="45"/>
      <c r="L12" s="44" t="s">
        <v>53</v>
      </c>
      <c r="M12" s="44"/>
      <c r="N12" s="43" t="s">
        <v>52</v>
      </c>
      <c r="O12" s="43" t="s">
        <v>51</v>
      </c>
    </row>
    <row r="13" spans="1:15" x14ac:dyDescent="0.25">
      <c r="A13" s="3" t="s">
        <v>50</v>
      </c>
      <c r="B13" s="39"/>
      <c r="C13" s="42" t="s">
        <v>49</v>
      </c>
      <c r="D13" s="41" t="s">
        <v>48</v>
      </c>
      <c r="E13" s="41" t="s">
        <v>47</v>
      </c>
      <c r="F13" s="41" t="s">
        <v>46</v>
      </c>
      <c r="G13" s="41" t="s">
        <v>45</v>
      </c>
      <c r="I13" s="3" t="s">
        <v>50</v>
      </c>
      <c r="J13" s="39"/>
      <c r="K13" s="42" t="s">
        <v>49</v>
      </c>
      <c r="L13" s="41" t="s">
        <v>48</v>
      </c>
      <c r="M13" s="41" t="s">
        <v>47</v>
      </c>
      <c r="N13" s="41" t="s">
        <v>46</v>
      </c>
      <c r="O13" s="41" t="s">
        <v>45</v>
      </c>
    </row>
    <row r="14" spans="1:15" x14ac:dyDescent="0.25">
      <c r="A14" s="3">
        <v>10</v>
      </c>
      <c r="B14" s="121" t="s">
        <v>44</v>
      </c>
      <c r="C14" s="111">
        <f>(C6*C$10/0.79)</f>
        <v>8418929.8208330795</v>
      </c>
      <c r="D14" s="112">
        <f t="shared" ref="D14:D24" si="0">ROUND(C14/C$41,3)</f>
        <v>0.41</v>
      </c>
      <c r="E14" s="122" t="s">
        <v>14</v>
      </c>
      <c r="F14" s="111">
        <f>+C14</f>
        <v>8418929.8208330795</v>
      </c>
      <c r="G14" s="111"/>
      <c r="I14" s="3">
        <v>10</v>
      </c>
      <c r="J14" s="121" t="s">
        <v>44</v>
      </c>
      <c r="K14" s="111">
        <f>(K6*K$10/0.79)</f>
        <v>7393932.4694978651</v>
      </c>
      <c r="L14" s="112">
        <f t="shared" ref="L14:L24" si="1">ROUND(K14/K$41,3)</f>
        <v>0.35599999999999998</v>
      </c>
      <c r="M14" s="122" t="s">
        <v>14</v>
      </c>
      <c r="N14" s="111">
        <f>+K14</f>
        <v>7393932.4694978651</v>
      </c>
      <c r="O14" s="111"/>
    </row>
    <row r="15" spans="1:15" x14ac:dyDescent="0.25">
      <c r="A15" s="3" t="s">
        <v>43</v>
      </c>
      <c r="B15" s="121" t="s">
        <v>96</v>
      </c>
      <c r="C15" s="107">
        <v>887435.09292334819</v>
      </c>
      <c r="D15" s="112">
        <f t="shared" si="0"/>
        <v>4.2999999999999997E-2</v>
      </c>
      <c r="E15" s="122" t="s">
        <v>20</v>
      </c>
      <c r="F15" s="111"/>
      <c r="G15" s="107">
        <f>+C15</f>
        <v>887435.09292334819</v>
      </c>
      <c r="I15" s="3" t="s">
        <v>43</v>
      </c>
      <c r="J15" s="121" t="s">
        <v>96</v>
      </c>
      <c r="K15" s="107">
        <v>917344.71337650809</v>
      </c>
      <c r="L15" s="112">
        <f t="shared" si="1"/>
        <v>4.3999999999999997E-2</v>
      </c>
      <c r="M15" s="157" t="s">
        <v>20</v>
      </c>
      <c r="N15" s="111"/>
      <c r="O15" s="107">
        <f>+K15</f>
        <v>917344.71337650809</v>
      </c>
    </row>
    <row r="16" spans="1:15" x14ac:dyDescent="0.25">
      <c r="A16" s="3" t="s">
        <v>97</v>
      </c>
      <c r="B16" s="121" t="s">
        <v>42</v>
      </c>
      <c r="C16" s="107">
        <v>3232440</v>
      </c>
      <c r="D16" s="112">
        <f t="shared" si="0"/>
        <v>0.157</v>
      </c>
      <c r="E16" s="122" t="s">
        <v>20</v>
      </c>
      <c r="F16" s="107"/>
      <c r="G16" s="107">
        <f>+C16</f>
        <v>3232440</v>
      </c>
      <c r="I16" s="3" t="s">
        <v>97</v>
      </c>
      <c r="J16" s="121" t="s">
        <v>42</v>
      </c>
      <c r="K16" s="107">
        <v>0</v>
      </c>
      <c r="L16" s="112">
        <f t="shared" si="1"/>
        <v>0</v>
      </c>
      <c r="M16" s="157" t="s">
        <v>20</v>
      </c>
      <c r="N16" s="107"/>
      <c r="O16" s="107">
        <f>+K16</f>
        <v>0</v>
      </c>
    </row>
    <row r="17" spans="1:16" x14ac:dyDescent="0.25">
      <c r="A17" s="3">
        <v>11</v>
      </c>
      <c r="B17" s="1" t="s">
        <v>41</v>
      </c>
      <c r="C17" s="107">
        <f>(C7*C$10/0.79)</f>
        <v>5886614.3807612052</v>
      </c>
      <c r="D17" s="112">
        <f t="shared" si="0"/>
        <v>0.28699999999999998</v>
      </c>
      <c r="E17" s="122" t="s">
        <v>14</v>
      </c>
      <c r="F17" s="107">
        <f>+C17</f>
        <v>5886614.3807612052</v>
      </c>
      <c r="G17" s="107"/>
      <c r="I17" s="3">
        <v>11</v>
      </c>
      <c r="J17" s="1" t="s">
        <v>41</v>
      </c>
      <c r="K17" s="107">
        <f>(K7*K$10/0.79)</f>
        <v>5726712.8167962059</v>
      </c>
      <c r="L17" s="112">
        <f t="shared" si="1"/>
        <v>0.27600000000000002</v>
      </c>
      <c r="M17" s="122" t="s">
        <v>14</v>
      </c>
      <c r="N17" s="107">
        <f>+K17</f>
        <v>5726712.8167962059</v>
      </c>
      <c r="O17" s="107"/>
      <c r="P17"/>
    </row>
    <row r="18" spans="1:16" x14ac:dyDescent="0.25">
      <c r="A18" s="3">
        <v>12</v>
      </c>
      <c r="B18" s="1" t="s">
        <v>40</v>
      </c>
      <c r="C18" s="107">
        <f>(C8*C$10/0.79)</f>
        <v>120745054.35619266</v>
      </c>
      <c r="D18" s="112">
        <f t="shared" si="0"/>
        <v>5.8789999999999996</v>
      </c>
      <c r="E18" s="122" t="s">
        <v>14</v>
      </c>
      <c r="F18" s="107">
        <f>+C18</f>
        <v>120745054.35619266</v>
      </c>
      <c r="G18" s="107"/>
      <c r="I18" s="3">
        <v>12</v>
      </c>
      <c r="J18" s="1" t="s">
        <v>40</v>
      </c>
      <c r="K18" s="107">
        <f>(K8*K$10/0.79)</f>
        <v>144498709.92164367</v>
      </c>
      <c r="L18" s="112">
        <f t="shared" si="1"/>
        <v>6.9610000000000003</v>
      </c>
      <c r="M18" s="122" t="s">
        <v>14</v>
      </c>
      <c r="N18" s="107">
        <f>+K18</f>
        <v>144498709.92164367</v>
      </c>
      <c r="O18" s="107"/>
      <c r="P18"/>
    </row>
    <row r="19" spans="1:16" x14ac:dyDescent="0.25">
      <c r="A19" s="3">
        <v>13</v>
      </c>
      <c r="B19" s="1" t="s">
        <v>39</v>
      </c>
      <c r="C19" s="107">
        <v>54423071.549999997</v>
      </c>
      <c r="D19" s="112">
        <f t="shared" si="0"/>
        <v>2.65</v>
      </c>
      <c r="E19" s="122" t="s">
        <v>20</v>
      </c>
      <c r="F19" s="107"/>
      <c r="G19" s="107">
        <f>+C19</f>
        <v>54423071.549999997</v>
      </c>
      <c r="I19" s="3">
        <v>13</v>
      </c>
      <c r="J19" s="1" t="s">
        <v>39</v>
      </c>
      <c r="K19" s="107">
        <v>0</v>
      </c>
      <c r="L19" s="112">
        <f t="shared" si="1"/>
        <v>0</v>
      </c>
      <c r="M19" s="157" t="s">
        <v>20</v>
      </c>
      <c r="N19" s="107"/>
      <c r="O19" s="107">
        <f>+K19</f>
        <v>0</v>
      </c>
      <c r="P19"/>
    </row>
    <row r="20" spans="1:16" x14ac:dyDescent="0.25">
      <c r="A20" s="3">
        <v>14</v>
      </c>
      <c r="B20" s="1" t="s">
        <v>38</v>
      </c>
      <c r="C20" s="107">
        <v>1080835994.0826092</v>
      </c>
      <c r="D20" s="112">
        <f t="shared" si="0"/>
        <v>52.628</v>
      </c>
      <c r="E20" s="122" t="s">
        <v>20</v>
      </c>
      <c r="F20" s="107"/>
      <c r="G20" s="107">
        <f>+C20</f>
        <v>1080835994.0826092</v>
      </c>
      <c r="I20" s="3">
        <v>14</v>
      </c>
      <c r="J20" s="1" t="s">
        <v>38</v>
      </c>
      <c r="K20" s="107">
        <v>900508396.13767576</v>
      </c>
      <c r="L20" s="112">
        <f t="shared" si="1"/>
        <v>43.383000000000003</v>
      </c>
      <c r="M20" s="157" t="s">
        <v>20</v>
      </c>
      <c r="N20" s="107"/>
      <c r="O20" s="107">
        <f>+K20</f>
        <v>900508396.13767576</v>
      </c>
      <c r="P20"/>
    </row>
    <row r="21" spans="1:16" x14ac:dyDescent="0.25">
      <c r="A21" s="3" t="s">
        <v>87</v>
      </c>
      <c r="B21" s="1" t="s">
        <v>98</v>
      </c>
      <c r="C21" s="107">
        <v>16618234.449275365</v>
      </c>
      <c r="D21" s="112">
        <f t="shared" si="0"/>
        <v>0.80900000000000005</v>
      </c>
      <c r="E21" s="122" t="s">
        <v>20</v>
      </c>
      <c r="F21" s="107"/>
      <c r="G21" s="107">
        <f>+C21</f>
        <v>16618234.449275365</v>
      </c>
      <c r="I21" s="3" t="s">
        <v>87</v>
      </c>
      <c r="J21" s="1" t="s">
        <v>98</v>
      </c>
      <c r="K21" s="107">
        <v>17082769.34</v>
      </c>
      <c r="L21" s="112">
        <f t="shared" si="1"/>
        <v>0.82299999999999995</v>
      </c>
      <c r="M21" s="157" t="s">
        <v>20</v>
      </c>
      <c r="N21" s="107"/>
      <c r="O21" s="107">
        <f>+K21</f>
        <v>17082769.34</v>
      </c>
      <c r="P21"/>
    </row>
    <row r="22" spans="1:16" x14ac:dyDescent="0.25">
      <c r="A22" s="3">
        <v>15</v>
      </c>
      <c r="B22" s="1" t="s">
        <v>37</v>
      </c>
      <c r="C22" s="107">
        <v>19751769.41673927</v>
      </c>
      <c r="D22" s="112">
        <f t="shared" si="0"/>
        <v>0.96199999999999997</v>
      </c>
      <c r="E22" s="122" t="s">
        <v>14</v>
      </c>
      <c r="F22" s="107">
        <f>+C22</f>
        <v>19751769.41673927</v>
      </c>
      <c r="G22" s="107"/>
      <c r="I22" s="3">
        <v>15</v>
      </c>
      <c r="J22" s="1" t="s">
        <v>37</v>
      </c>
      <c r="K22" s="107">
        <v>20714453.103091098</v>
      </c>
      <c r="L22" s="112">
        <f t="shared" si="1"/>
        <v>0.998</v>
      </c>
      <c r="M22" s="122" t="s">
        <v>14</v>
      </c>
      <c r="N22" s="107">
        <f>+K22</f>
        <v>20714453.103091098</v>
      </c>
      <c r="O22" s="107"/>
      <c r="P22"/>
    </row>
    <row r="23" spans="1:16" x14ac:dyDescent="0.25">
      <c r="A23" s="3" t="s">
        <v>36</v>
      </c>
      <c r="B23" s="123" t="s">
        <v>35</v>
      </c>
      <c r="C23" s="107">
        <v>12407910.187644865</v>
      </c>
      <c r="D23" s="112">
        <f t="shared" si="0"/>
        <v>0.60399999999999998</v>
      </c>
      <c r="E23" s="122" t="s">
        <v>14</v>
      </c>
      <c r="F23" s="107">
        <f>+C23</f>
        <v>12407910.187644865</v>
      </c>
      <c r="G23" s="107"/>
      <c r="I23" s="3" t="s">
        <v>36</v>
      </c>
      <c r="J23" s="123" t="s">
        <v>35</v>
      </c>
      <c r="K23" s="107">
        <v>12872066.247673385</v>
      </c>
      <c r="L23" s="112">
        <f t="shared" si="1"/>
        <v>0.62</v>
      </c>
      <c r="M23" s="122" t="s">
        <v>14</v>
      </c>
      <c r="N23" s="107">
        <f>+K23</f>
        <v>12872066.247673385</v>
      </c>
      <c r="O23" s="107"/>
      <c r="P23"/>
    </row>
    <row r="24" spans="1:16" x14ac:dyDescent="0.25">
      <c r="A24" s="3" t="s">
        <v>33</v>
      </c>
      <c r="B24" s="123" t="s">
        <v>34</v>
      </c>
      <c r="C24" s="107">
        <v>5221602</v>
      </c>
      <c r="D24" s="112">
        <f t="shared" si="0"/>
        <v>0.254</v>
      </c>
      <c r="E24" s="122" t="s">
        <v>14</v>
      </c>
      <c r="F24" s="107">
        <f>+C24</f>
        <v>5221602</v>
      </c>
      <c r="G24" s="107"/>
      <c r="I24" s="3" t="s">
        <v>33</v>
      </c>
      <c r="J24" s="123" t="s">
        <v>85</v>
      </c>
      <c r="K24" s="107">
        <v>5221602</v>
      </c>
      <c r="L24" s="112">
        <f t="shared" si="1"/>
        <v>0.252</v>
      </c>
      <c r="M24" s="122" t="s">
        <v>14</v>
      </c>
      <c r="N24" s="107">
        <f>+K24</f>
        <v>5221602</v>
      </c>
      <c r="O24" s="107"/>
      <c r="P24"/>
    </row>
    <row r="25" spans="1:16" x14ac:dyDescent="0.25">
      <c r="A25" s="3" t="s">
        <v>32</v>
      </c>
      <c r="B25" s="123" t="s">
        <v>31</v>
      </c>
      <c r="C25" s="124" t="s">
        <v>30</v>
      </c>
      <c r="D25" s="124" t="s">
        <v>30</v>
      </c>
      <c r="E25" s="122" t="s">
        <v>20</v>
      </c>
      <c r="F25" s="107"/>
      <c r="G25" s="124"/>
      <c r="I25" s="3" t="s">
        <v>32</v>
      </c>
      <c r="J25" s="123" t="s">
        <v>31</v>
      </c>
      <c r="K25" s="124" t="s">
        <v>30</v>
      </c>
      <c r="L25" s="124" t="s">
        <v>30</v>
      </c>
      <c r="M25" s="157" t="s">
        <v>20</v>
      </c>
      <c r="N25" s="107"/>
      <c r="O25" s="124"/>
      <c r="P25"/>
    </row>
    <row r="26" spans="1:16" x14ac:dyDescent="0.25">
      <c r="A26" s="3" t="s">
        <v>29</v>
      </c>
      <c r="B26" s="123" t="s">
        <v>28</v>
      </c>
      <c r="C26" s="107">
        <v>2756202.3308025673</v>
      </c>
      <c r="D26" s="112">
        <f t="shared" ref="D26:D37" si="2">ROUND(C26/C$41,3)</f>
        <v>0.13400000000000001</v>
      </c>
      <c r="E26" s="122" t="s">
        <v>14</v>
      </c>
      <c r="F26" s="107">
        <f>+C26</f>
        <v>2756202.3308025673</v>
      </c>
      <c r="G26" s="107"/>
      <c r="I26" s="3" t="s">
        <v>29</v>
      </c>
      <c r="J26" s="123" t="s">
        <v>28</v>
      </c>
      <c r="K26" s="107">
        <v>2861756.4166225726</v>
      </c>
      <c r="L26" s="112">
        <f t="shared" ref="L26:L37" si="3">ROUND(K26/K$41,3)</f>
        <v>0.13800000000000001</v>
      </c>
      <c r="M26" s="122" t="s">
        <v>14</v>
      </c>
      <c r="N26" s="107">
        <f>+K26</f>
        <v>2861756.4166225726</v>
      </c>
      <c r="O26" s="107"/>
      <c r="P26"/>
    </row>
    <row r="27" spans="1:16" x14ac:dyDescent="0.25">
      <c r="A27" s="3" t="s">
        <v>27</v>
      </c>
      <c r="B27" s="123" t="s">
        <v>26</v>
      </c>
      <c r="C27" s="107">
        <v>439744.27648</v>
      </c>
      <c r="D27" s="112">
        <f t="shared" si="2"/>
        <v>2.1000000000000001E-2</v>
      </c>
      <c r="E27" s="122" t="s">
        <v>20</v>
      </c>
      <c r="F27" s="107"/>
      <c r="G27" s="107">
        <f>+C27</f>
        <v>439744.27648</v>
      </c>
      <c r="I27" s="3" t="s">
        <v>27</v>
      </c>
      <c r="J27" s="123" t="s">
        <v>26</v>
      </c>
      <c r="K27" s="107">
        <v>450298.13911552</v>
      </c>
      <c r="L27" s="112">
        <f t="shared" si="3"/>
        <v>2.1999999999999999E-2</v>
      </c>
      <c r="M27" s="157" t="s">
        <v>20</v>
      </c>
      <c r="N27" s="107"/>
      <c r="O27" s="107">
        <f>+K27</f>
        <v>450298.13911552</v>
      </c>
      <c r="P27" s="107"/>
    </row>
    <row r="28" spans="1:16" x14ac:dyDescent="0.25">
      <c r="A28" s="3">
        <v>16</v>
      </c>
      <c r="B28" s="1" t="s">
        <v>25</v>
      </c>
      <c r="C28" s="107">
        <v>487447391.50158143</v>
      </c>
      <c r="D28" s="112">
        <f t="shared" si="2"/>
        <v>23.734999999999999</v>
      </c>
      <c r="E28" s="122" t="s">
        <v>20</v>
      </c>
      <c r="F28" s="107"/>
      <c r="G28" s="107">
        <f>+C28</f>
        <v>487447391.50158143</v>
      </c>
      <c r="I28" s="3">
        <v>16</v>
      </c>
      <c r="J28" s="1" t="s">
        <v>25</v>
      </c>
      <c r="K28" s="107">
        <v>528008359.88284308</v>
      </c>
      <c r="L28" s="112">
        <f t="shared" si="3"/>
        <v>25.437000000000001</v>
      </c>
      <c r="M28" s="157" t="s">
        <v>20</v>
      </c>
      <c r="N28" s="107"/>
      <c r="O28" s="107">
        <f>+K28</f>
        <v>528008359.88284308</v>
      </c>
      <c r="P28" s="107"/>
    </row>
    <row r="29" spans="1:16" x14ac:dyDescent="0.25">
      <c r="A29" s="3">
        <v>17</v>
      </c>
      <c r="B29" s="1" t="s">
        <v>24</v>
      </c>
      <c r="C29" s="107">
        <v>169429069.24047399</v>
      </c>
      <c r="D29" s="112">
        <f t="shared" si="2"/>
        <v>8.25</v>
      </c>
      <c r="E29" s="122" t="s">
        <v>20</v>
      </c>
      <c r="F29" s="107"/>
      <c r="G29" s="107">
        <f>+C29</f>
        <v>169429069.24047399</v>
      </c>
      <c r="I29" s="3">
        <v>17</v>
      </c>
      <c r="J29" s="1" t="s">
        <v>24</v>
      </c>
      <c r="K29" s="107">
        <v>181359997.36124259</v>
      </c>
      <c r="L29" s="112">
        <f t="shared" si="3"/>
        <v>8.7370000000000001</v>
      </c>
      <c r="M29" s="157" t="s">
        <v>20</v>
      </c>
      <c r="N29" s="107"/>
      <c r="O29" s="107">
        <f>+K29</f>
        <v>181359997.36124259</v>
      </c>
      <c r="P29" s="107"/>
    </row>
    <row r="30" spans="1:16" x14ac:dyDescent="0.25">
      <c r="A30" s="3">
        <v>18</v>
      </c>
      <c r="B30" s="1" t="s">
        <v>23</v>
      </c>
      <c r="C30" s="107">
        <v>-7026150.775141296</v>
      </c>
      <c r="D30" s="112">
        <f t="shared" si="2"/>
        <v>-0.34200000000000003</v>
      </c>
      <c r="E30" s="122" t="s">
        <v>14</v>
      </c>
      <c r="F30" s="107">
        <f>+C30</f>
        <v>-7026150.775141296</v>
      </c>
      <c r="G30" s="107"/>
      <c r="I30" s="3">
        <v>18</v>
      </c>
      <c r="J30" s="1" t="s">
        <v>23</v>
      </c>
      <c r="K30" s="107">
        <v>-7271660.1227595787</v>
      </c>
      <c r="L30" s="112">
        <f t="shared" si="3"/>
        <v>-0.35</v>
      </c>
      <c r="M30" s="122" t="s">
        <v>14</v>
      </c>
      <c r="N30" s="107">
        <f>+K30</f>
        <v>-7271660.1227595787</v>
      </c>
      <c r="O30" s="107"/>
      <c r="P30" s="107"/>
    </row>
    <row r="31" spans="1:16" x14ac:dyDescent="0.25">
      <c r="A31" s="3">
        <v>19</v>
      </c>
      <c r="B31" s="1" t="s">
        <v>22</v>
      </c>
      <c r="C31" s="107">
        <v>113560880.2750183</v>
      </c>
      <c r="D31" s="112">
        <f t="shared" si="2"/>
        <v>5.5289999999999999</v>
      </c>
      <c r="E31" s="122" t="s">
        <v>14</v>
      </c>
      <c r="F31" s="107">
        <f>+C31</f>
        <v>113560880.2750183</v>
      </c>
      <c r="G31" s="107"/>
      <c r="I31" s="3">
        <v>19</v>
      </c>
      <c r="J31" s="1" t="s">
        <v>22</v>
      </c>
      <c r="K31" s="107">
        <v>123362347.73966144</v>
      </c>
      <c r="L31" s="112">
        <f t="shared" si="3"/>
        <v>5.9429999999999996</v>
      </c>
      <c r="M31" s="122" t="s">
        <v>14</v>
      </c>
      <c r="N31" s="107">
        <f>+K31</f>
        <v>123362347.73966144</v>
      </c>
      <c r="O31" s="107"/>
      <c r="P31" s="107"/>
    </row>
    <row r="32" spans="1:16" x14ac:dyDescent="0.25">
      <c r="A32" s="3">
        <v>20</v>
      </c>
      <c r="B32" s="1" t="s">
        <v>0</v>
      </c>
      <c r="C32" s="107">
        <v>-491570737.79743654</v>
      </c>
      <c r="D32" s="112">
        <f t="shared" si="2"/>
        <v>-23.934999999999999</v>
      </c>
      <c r="E32" s="122" t="s">
        <v>20</v>
      </c>
      <c r="F32" s="107"/>
      <c r="G32" s="107">
        <f>+C32</f>
        <v>-491570737.79743654</v>
      </c>
      <c r="I32" s="3">
        <v>20</v>
      </c>
      <c r="J32" s="1" t="s">
        <v>0</v>
      </c>
      <c r="K32" s="107">
        <v>-294017488.67691326</v>
      </c>
      <c r="L32" s="112">
        <f t="shared" si="3"/>
        <v>-14.164999999999999</v>
      </c>
      <c r="M32" s="157" t="s">
        <v>20</v>
      </c>
      <c r="N32" s="107"/>
      <c r="O32" s="107">
        <f>+K32</f>
        <v>-294017488.67691326</v>
      </c>
      <c r="P32" s="107"/>
    </row>
    <row r="33" spans="1:16" x14ac:dyDescent="0.25">
      <c r="A33" s="3">
        <v>21</v>
      </c>
      <c r="B33" s="125" t="s">
        <v>21</v>
      </c>
      <c r="C33" s="107">
        <v>-117968883.09120078</v>
      </c>
      <c r="D33" s="112">
        <f t="shared" si="2"/>
        <v>-5.7439999999999998</v>
      </c>
      <c r="E33" s="122" t="s">
        <v>20</v>
      </c>
      <c r="F33" s="107"/>
      <c r="G33" s="107">
        <f>+C33</f>
        <v>-117968883.09120078</v>
      </c>
      <c r="I33" s="3">
        <v>21</v>
      </c>
      <c r="J33" s="125" t="s">
        <v>21</v>
      </c>
      <c r="K33" s="107">
        <v>-117642858.0840046</v>
      </c>
      <c r="L33" s="112">
        <f t="shared" si="3"/>
        <v>-5.6680000000000001</v>
      </c>
      <c r="M33" s="157" t="s">
        <v>20</v>
      </c>
      <c r="N33" s="107"/>
      <c r="O33" s="107">
        <f>+K33</f>
        <v>-117642858.0840046</v>
      </c>
      <c r="P33" s="107"/>
    </row>
    <row r="34" spans="1:16" x14ac:dyDescent="0.25">
      <c r="A34" s="3">
        <v>22</v>
      </c>
      <c r="B34" s="1" t="s">
        <v>19</v>
      </c>
      <c r="C34" s="107">
        <v>802102.21480808011</v>
      </c>
      <c r="D34" s="112">
        <f t="shared" si="2"/>
        <v>3.9E-2</v>
      </c>
      <c r="E34" s="122" t="s">
        <v>14</v>
      </c>
      <c r="F34" s="107">
        <f>+C34</f>
        <v>802102.21480808011</v>
      </c>
      <c r="G34" s="107"/>
      <c r="I34" s="3">
        <v>22</v>
      </c>
      <c r="J34" s="1" t="s">
        <v>19</v>
      </c>
      <c r="K34" s="107">
        <v>808855.6905042415</v>
      </c>
      <c r="L34" s="112">
        <f t="shared" si="3"/>
        <v>3.9E-2</v>
      </c>
      <c r="M34" s="122" t="s">
        <v>14</v>
      </c>
      <c r="N34" s="107">
        <f>+K34</f>
        <v>808855.6905042415</v>
      </c>
      <c r="O34" s="107"/>
      <c r="P34" s="107"/>
    </row>
    <row r="35" spans="1:16" x14ac:dyDescent="0.25">
      <c r="A35" s="3">
        <v>23</v>
      </c>
      <c r="B35" s="126" t="s">
        <v>18</v>
      </c>
      <c r="C35" s="107">
        <v>147487493.49768963</v>
      </c>
      <c r="D35" s="112">
        <f t="shared" si="2"/>
        <v>7.181</v>
      </c>
      <c r="E35" s="122" t="s">
        <v>14</v>
      </c>
      <c r="F35" s="107">
        <f>+C35</f>
        <v>147487493.49768963</v>
      </c>
      <c r="G35" s="107"/>
      <c r="I35" s="3">
        <v>23</v>
      </c>
      <c r="J35" s="126" t="s">
        <v>18</v>
      </c>
      <c r="K35" s="107">
        <v>177283878.27162561</v>
      </c>
      <c r="L35" s="112">
        <f t="shared" si="3"/>
        <v>8.5410000000000004</v>
      </c>
      <c r="M35" s="122" t="s">
        <v>14</v>
      </c>
      <c r="N35" s="107">
        <f>+K35</f>
        <v>177283878.27162561</v>
      </c>
      <c r="O35" s="107"/>
      <c r="P35" s="107"/>
    </row>
    <row r="36" spans="1:16" x14ac:dyDescent="0.25">
      <c r="A36" s="3">
        <v>24</v>
      </c>
      <c r="B36" s="126" t="s">
        <v>17</v>
      </c>
      <c r="C36" s="107">
        <v>3361570.6731019998</v>
      </c>
      <c r="D36" s="112">
        <f t="shared" si="2"/>
        <v>0.16400000000000001</v>
      </c>
      <c r="E36" s="122" t="s">
        <v>14</v>
      </c>
      <c r="F36" s="107">
        <f>+C36</f>
        <v>3361570.6731019998</v>
      </c>
      <c r="G36" s="107"/>
      <c r="I36" s="3">
        <v>24</v>
      </c>
      <c r="J36" s="126" t="s">
        <v>17</v>
      </c>
      <c r="K36" s="107">
        <v>3361570.6731019998</v>
      </c>
      <c r="L36" s="112">
        <f t="shared" si="3"/>
        <v>0.16200000000000001</v>
      </c>
      <c r="M36" s="122" t="s">
        <v>14</v>
      </c>
      <c r="N36" s="107">
        <f>+K36</f>
        <v>3361570.6731019998</v>
      </c>
      <c r="O36" s="107"/>
      <c r="P36" s="107"/>
    </row>
    <row r="37" spans="1:16" x14ac:dyDescent="0.25">
      <c r="A37" s="3">
        <v>25</v>
      </c>
      <c r="B37" s="126" t="s">
        <v>15</v>
      </c>
      <c r="C37" s="107">
        <v>1674028.115022307</v>
      </c>
      <c r="D37" s="112">
        <f t="shared" si="2"/>
        <v>8.2000000000000003E-2</v>
      </c>
      <c r="E37" s="122" t="s">
        <v>14</v>
      </c>
      <c r="F37" s="107">
        <f>+C37</f>
        <v>1674028.115022307</v>
      </c>
      <c r="G37" s="107"/>
      <c r="I37" s="3">
        <v>25</v>
      </c>
      <c r="J37" s="126" t="s">
        <v>15</v>
      </c>
      <c r="K37" s="107">
        <v>1119004.74</v>
      </c>
      <c r="L37" s="112">
        <f t="shared" si="3"/>
        <v>5.3999999999999999E-2</v>
      </c>
      <c r="M37" s="122" t="s">
        <v>14</v>
      </c>
      <c r="N37" s="107">
        <f>+K37</f>
        <v>1119004.74</v>
      </c>
      <c r="O37" s="107"/>
      <c r="P37" s="107"/>
    </row>
    <row r="38" spans="1:16" ht="15.75" thickBot="1" x14ac:dyDescent="0.3">
      <c r="A38" s="3">
        <v>27</v>
      </c>
      <c r="B38" s="127" t="s">
        <v>13</v>
      </c>
      <c r="C38" s="128">
        <f>SUM(C14:C37)</f>
        <v>1638821765.7981787</v>
      </c>
      <c r="D38" s="129">
        <f>SUM(D14:D37)</f>
        <v>79.796999999999997</v>
      </c>
      <c r="E38" s="130"/>
      <c r="F38" s="131">
        <f>SUM(F14:F37)</f>
        <v>435048006.4934727</v>
      </c>
      <c r="G38" s="131">
        <f>SUM(G14:G37)</f>
        <v>1203773759.3047059</v>
      </c>
      <c r="H38" s="104"/>
      <c r="I38" s="3">
        <v>27</v>
      </c>
      <c r="J38" s="127" t="s">
        <v>13</v>
      </c>
      <c r="K38" s="128">
        <f>SUM(K14:K37)</f>
        <v>1714620048.7807937</v>
      </c>
      <c r="L38" s="129">
        <f>SUM(L14:L37)</f>
        <v>82.602999999999994</v>
      </c>
      <c r="M38" s="130"/>
      <c r="N38" s="131">
        <f>SUM(N14:N37)</f>
        <v>497953229.96745861</v>
      </c>
      <c r="O38" s="131">
        <f>SUM(O14:O37)</f>
        <v>1216666818.8133357</v>
      </c>
      <c r="P38" s="104"/>
    </row>
    <row r="39" spans="1:16" x14ac:dyDescent="0.25">
      <c r="A39" s="3">
        <v>28</v>
      </c>
      <c r="B39" s="1" t="s">
        <v>12</v>
      </c>
      <c r="C39" s="132">
        <v>0.95002900000000001</v>
      </c>
      <c r="D39"/>
      <c r="E39" s="133"/>
      <c r="F39" s="134">
        <f>+C39</f>
        <v>0.95002900000000001</v>
      </c>
      <c r="G39" s="134">
        <f>+C39</f>
        <v>0.95002900000000001</v>
      </c>
      <c r="I39" s="3">
        <v>28</v>
      </c>
      <c r="J39" s="1" t="s">
        <v>12</v>
      </c>
      <c r="K39" s="132">
        <f>+C39</f>
        <v>0.95002900000000001</v>
      </c>
      <c r="L39"/>
      <c r="M39" s="133"/>
      <c r="N39" s="134">
        <f>+K39</f>
        <v>0.95002900000000001</v>
      </c>
      <c r="O39" s="134">
        <f>+K39</f>
        <v>0.95002900000000001</v>
      </c>
    </row>
    <row r="40" spans="1:16" x14ac:dyDescent="0.25">
      <c r="A40" s="3">
        <v>29</v>
      </c>
      <c r="B40" s="1" t="s">
        <v>11</v>
      </c>
      <c r="C40" s="135">
        <f>+C38/C39</f>
        <v>1725022884.3521395</v>
      </c>
      <c r="D40"/>
      <c r="E40" s="107"/>
      <c r="F40" s="135">
        <f>+F38/F39</f>
        <v>457931291.03792906</v>
      </c>
      <c r="G40" s="135">
        <f>+G38/G39</f>
        <v>1267091593.3142102</v>
      </c>
      <c r="H40" s="104"/>
      <c r="I40" s="3">
        <v>29</v>
      </c>
      <c r="J40" s="1" t="s">
        <v>11</v>
      </c>
      <c r="K40" s="135">
        <f>+K38/K39</f>
        <v>1804808115.1004796</v>
      </c>
      <c r="L40"/>
      <c r="M40" s="107"/>
      <c r="N40" s="135">
        <f>+N38/N39</f>
        <v>524145294.47780919</v>
      </c>
      <c r="O40" s="135">
        <f>+O38/O39</f>
        <v>1280662820.6226711</v>
      </c>
      <c r="P40" s="104"/>
    </row>
    <row r="41" spans="1:16" x14ac:dyDescent="0.25">
      <c r="A41" s="3">
        <v>30</v>
      </c>
      <c r="B41" s="1" t="s">
        <v>99</v>
      </c>
      <c r="C41" s="193">
        <v>20537346.665786404</v>
      </c>
      <c r="D41" s="107"/>
      <c r="E41" s="108"/>
      <c r="F41" s="106"/>
      <c r="G41" s="136"/>
      <c r="I41" s="3">
        <v>30</v>
      </c>
      <c r="J41" s="1" t="s">
        <v>99</v>
      </c>
      <c r="K41" s="209">
        <f>'F24 Delivered Load by Sched'!F127/1000</f>
        <v>20757312.610935669</v>
      </c>
      <c r="L41" s="107"/>
      <c r="M41" s="108"/>
      <c r="N41" s="106"/>
      <c r="O41" s="136"/>
    </row>
    <row r="42" spans="1:16" x14ac:dyDescent="0.25">
      <c r="A42" s="3">
        <v>31</v>
      </c>
      <c r="B42" s="102"/>
      <c r="C42" s="137" t="s">
        <v>10</v>
      </c>
      <c r="D42" s="138"/>
      <c r="E42" s="139"/>
      <c r="F42"/>
      <c r="G42"/>
      <c r="I42" s="3">
        <v>31</v>
      </c>
      <c r="J42" s="102"/>
      <c r="K42" s="137" t="s">
        <v>10</v>
      </c>
      <c r="L42" s="138"/>
      <c r="M42" s="140"/>
      <c r="N42"/>
      <c r="O42"/>
    </row>
    <row r="43" spans="1:16" x14ac:dyDescent="0.25">
      <c r="A43" s="3">
        <v>32</v>
      </c>
      <c r="B43" s="102"/>
      <c r="C43" s="141" t="s">
        <v>9</v>
      </c>
      <c r="D43" s="142" t="s">
        <v>8</v>
      </c>
      <c r="E43" s="143"/>
      <c r="F43"/>
      <c r="G43"/>
      <c r="I43" s="3">
        <v>32</v>
      </c>
      <c r="J43" s="102"/>
      <c r="K43" s="141" t="s">
        <v>9</v>
      </c>
      <c r="L43" s="142" t="s">
        <v>8</v>
      </c>
      <c r="M43" s="143"/>
      <c r="N43"/>
      <c r="O43"/>
    </row>
    <row r="44" spans="1:16" x14ac:dyDescent="0.25">
      <c r="A44" s="3">
        <v>33</v>
      </c>
      <c r="B44" s="102"/>
      <c r="C44" s="144" t="s">
        <v>7</v>
      </c>
      <c r="D44" s="145" t="s">
        <v>7</v>
      </c>
      <c r="E44" s="143"/>
      <c r="F44"/>
      <c r="G44"/>
      <c r="I44" s="3">
        <v>33</v>
      </c>
      <c r="J44" s="102"/>
      <c r="K44" s="144" t="s">
        <v>7</v>
      </c>
      <c r="L44" s="145" t="s">
        <v>7</v>
      </c>
      <c r="M44" s="143"/>
      <c r="N44"/>
      <c r="O44"/>
    </row>
    <row r="45" spans="1:16" x14ac:dyDescent="0.25">
      <c r="A45" s="3">
        <v>34</v>
      </c>
      <c r="B45" s="102"/>
      <c r="C45" s="146" t="s">
        <v>6</v>
      </c>
      <c r="D45" s="147"/>
      <c r="E45" s="143"/>
      <c r="F45"/>
      <c r="G45"/>
      <c r="I45" s="3">
        <v>34</v>
      </c>
      <c r="J45" s="102"/>
      <c r="K45" s="146" t="s">
        <v>6</v>
      </c>
      <c r="L45" s="147"/>
      <c r="M45" s="143"/>
      <c r="N45"/>
      <c r="O45"/>
    </row>
    <row r="46" spans="1:16" x14ac:dyDescent="0.25">
      <c r="A46" s="3">
        <v>35</v>
      </c>
      <c r="B46" s="1" t="s">
        <v>3</v>
      </c>
      <c r="C46" s="148">
        <f>D38</f>
        <v>79.796999999999997</v>
      </c>
      <c r="D46" s="149">
        <f>C46/C$39</f>
        <v>83.994278069406292</v>
      </c>
      <c r="E46" s="143"/>
      <c r="F46"/>
      <c r="G46"/>
      <c r="I46" s="3">
        <v>35</v>
      </c>
      <c r="J46" s="1" t="s">
        <v>3</v>
      </c>
      <c r="K46" s="148">
        <f>L38</f>
        <v>82.602999999999994</v>
      </c>
      <c r="L46" s="149">
        <f>K46/K$39</f>
        <v>86.947872117587977</v>
      </c>
      <c r="M46" s="143"/>
      <c r="N46"/>
      <c r="O46"/>
    </row>
    <row r="47" spans="1:16" x14ac:dyDescent="0.25">
      <c r="A47" s="3">
        <v>36</v>
      </c>
      <c r="B47" s="1" t="s">
        <v>5</v>
      </c>
      <c r="C47" s="148">
        <f>ROUND(SUM(D14,D17:D18,D22:D24,D26,D30:D31,D34:D37),3)</f>
        <v>21.183</v>
      </c>
      <c r="D47" s="149">
        <f>ROUND(C47/C$39,3)</f>
        <v>22.297000000000001</v>
      </c>
      <c r="E47" s="143"/>
      <c r="F47"/>
      <c r="G47"/>
      <c r="I47" s="3">
        <v>36</v>
      </c>
      <c r="J47" s="1" t="s">
        <v>5</v>
      </c>
      <c r="K47" s="148">
        <f>ROUND(SUM(L14,L17:L18,L22:L24,L26,L30:L31,L34:L37),3)</f>
        <v>23.99</v>
      </c>
      <c r="L47" s="149">
        <f>ROUND(K47/K$39,3)</f>
        <v>25.251999999999999</v>
      </c>
      <c r="M47" s="143"/>
      <c r="N47"/>
      <c r="O47"/>
    </row>
    <row r="48" spans="1:16" x14ac:dyDescent="0.25">
      <c r="A48" s="3">
        <v>37</v>
      </c>
      <c r="B48" s="1" t="s">
        <v>4</v>
      </c>
      <c r="C48" s="150">
        <f>ROUND(SUM(D15,D16,D19:D21,D25,D27:D29,D32:D33),3)</f>
        <v>58.613999999999997</v>
      </c>
      <c r="D48" s="151">
        <f>ROUND(C48/C$39,3)</f>
        <v>61.697000000000003</v>
      </c>
      <c r="E48" s="152"/>
      <c r="F48"/>
      <c r="G48"/>
      <c r="I48" s="3">
        <v>37</v>
      </c>
      <c r="J48" s="1" t="s">
        <v>4</v>
      </c>
      <c r="K48" s="150">
        <f>ROUND(SUM(L15,L16,L19:L21,L25,L27:L29,L32:L33),3)</f>
        <v>58.613</v>
      </c>
      <c r="L48" s="151">
        <f>ROUND(K48/K$39,3)</f>
        <v>61.695999999999998</v>
      </c>
      <c r="M48" s="152"/>
      <c r="N48"/>
      <c r="O48"/>
    </row>
    <row r="49" spans="1:17" x14ac:dyDescent="0.25">
      <c r="A49" s="3">
        <v>38</v>
      </c>
      <c r="B49" s="1" t="s">
        <v>3</v>
      </c>
      <c r="C49" s="148">
        <f>SUM(C47:C48)</f>
        <v>79.796999999999997</v>
      </c>
      <c r="D49" s="149">
        <f>SUM(D47:D48)</f>
        <v>83.994</v>
      </c>
      <c r="E49" s="152"/>
      <c r="F49"/>
      <c r="G49"/>
      <c r="I49" s="3">
        <v>38</v>
      </c>
      <c r="J49" s="1" t="s">
        <v>3</v>
      </c>
      <c r="K49" s="148">
        <f>SUM(K47:K48)</f>
        <v>82.602999999999994</v>
      </c>
      <c r="L49" s="149">
        <f>SUM(L47:L48)</f>
        <v>86.947999999999993</v>
      </c>
      <c r="M49" s="152"/>
      <c r="N49"/>
      <c r="O49"/>
    </row>
    <row r="50" spans="1:17" x14ac:dyDescent="0.25">
      <c r="A50" s="3">
        <v>39</v>
      </c>
      <c r="C50" s="153">
        <f>+C49-C46</f>
        <v>0</v>
      </c>
      <c r="D50" s="154">
        <f>+D49-D46</f>
        <v>-2.7806940629204746E-4</v>
      </c>
      <c r="E50" s="155" t="s">
        <v>2</v>
      </c>
      <c r="F50"/>
      <c r="G50"/>
      <c r="I50" s="3"/>
      <c r="K50" s="153">
        <f>+K49-K46</f>
        <v>0</v>
      </c>
      <c r="L50" s="154">
        <f>+L49-L46</f>
        <v>1.2788241201633355E-4</v>
      </c>
      <c r="M50" s="155" t="s">
        <v>2</v>
      </c>
      <c r="N50"/>
      <c r="O50"/>
    </row>
    <row r="51" spans="1:17" x14ac:dyDescent="0.25">
      <c r="A51" s="3">
        <v>40</v>
      </c>
      <c r="B51" s="4"/>
      <c r="E51"/>
      <c r="F51"/>
      <c r="G51"/>
      <c r="I51" s="3"/>
      <c r="J51" s="4"/>
      <c r="L51" s="110"/>
      <c r="M51"/>
      <c r="N51"/>
      <c r="O51"/>
    </row>
    <row r="52" spans="1:17" ht="15.75" x14ac:dyDescent="0.25">
      <c r="A52" s="3">
        <v>41</v>
      </c>
      <c r="E52"/>
      <c r="F52"/>
      <c r="G52"/>
      <c r="I52" s="156" t="s">
        <v>100</v>
      </c>
      <c r="K52" s="109"/>
      <c r="L52" s="108"/>
      <c r="M52"/>
      <c r="N52"/>
      <c r="O52"/>
    </row>
    <row r="53" spans="1:17" x14ac:dyDescent="0.25">
      <c r="A53" s="3"/>
      <c r="Q53" s="1"/>
    </row>
    <row r="54" spans="1:17" x14ac:dyDescent="0.25">
      <c r="A54" s="3"/>
      <c r="Q54" s="1"/>
    </row>
    <row r="55" spans="1:17" x14ac:dyDescent="0.25">
      <c r="A55" s="3"/>
      <c r="Q55" s="1"/>
    </row>
    <row r="56" spans="1:17" x14ac:dyDescent="0.25">
      <c r="A56" s="3"/>
      <c r="Q56" s="1"/>
    </row>
    <row r="57" spans="1:17" x14ac:dyDescent="0.25">
      <c r="A57" s="3"/>
      <c r="Q57" s="1"/>
    </row>
    <row r="58" spans="1:17" x14ac:dyDescent="0.25">
      <c r="A58" s="3"/>
      <c r="Q58" s="1"/>
    </row>
    <row r="59" spans="1:17" x14ac:dyDescent="0.25">
      <c r="A59" s="3"/>
      <c r="Q59" s="1"/>
    </row>
    <row r="60" spans="1:17" x14ac:dyDescent="0.25">
      <c r="A60" s="3"/>
      <c r="Q60" s="1"/>
    </row>
    <row r="61" spans="1:17" x14ac:dyDescent="0.25">
      <c r="A61" s="3"/>
      <c r="Q61" s="1"/>
    </row>
    <row r="62" spans="1:17" x14ac:dyDescent="0.25">
      <c r="A62" s="3"/>
      <c r="Q62" s="1"/>
    </row>
    <row r="63" spans="1:17" x14ac:dyDescent="0.25">
      <c r="A63" s="3"/>
      <c r="Q63" s="1"/>
    </row>
    <row r="64" spans="1:17" x14ac:dyDescent="0.25">
      <c r="A64" s="3"/>
      <c r="Q64" s="1"/>
    </row>
    <row r="65" spans="1:17" x14ac:dyDescent="0.25">
      <c r="A65" s="3"/>
      <c r="Q65" s="1"/>
    </row>
    <row r="66" spans="1:17" x14ac:dyDescent="0.25">
      <c r="A66" s="3"/>
      <c r="Q66" s="1"/>
    </row>
    <row r="67" spans="1:17" x14ac:dyDescent="0.25">
      <c r="A67" s="3"/>
      <c r="Q67" s="1"/>
    </row>
    <row r="68" spans="1:17" x14ac:dyDescent="0.25">
      <c r="A68" s="3"/>
      <c r="Q68" s="1"/>
    </row>
    <row r="69" spans="1:17" x14ac:dyDescent="0.25">
      <c r="A69" s="3"/>
      <c r="Q69" s="1"/>
    </row>
    <row r="70" spans="1:17" x14ac:dyDescent="0.25">
      <c r="A70" s="3"/>
      <c r="Q70" s="1"/>
    </row>
    <row r="71" spans="1:17" x14ac:dyDescent="0.25">
      <c r="A71" s="3"/>
      <c r="Q71" s="1"/>
    </row>
    <row r="72" spans="1:17" x14ac:dyDescent="0.25">
      <c r="A72" s="3"/>
      <c r="Q72" s="1"/>
    </row>
    <row r="73" spans="1:17" x14ac:dyDescent="0.25">
      <c r="A73" s="3"/>
      <c r="Q73" s="1"/>
    </row>
    <row r="74" spans="1:17" x14ac:dyDescent="0.25">
      <c r="A74" s="3"/>
      <c r="Q74" s="1"/>
    </row>
    <row r="75" spans="1:17" x14ac:dyDescent="0.25">
      <c r="A75" s="3"/>
      <c r="Q75" s="1"/>
    </row>
    <row r="76" spans="1:17" x14ac:dyDescent="0.25">
      <c r="A76" s="3"/>
      <c r="Q76" s="1"/>
    </row>
    <row r="77" spans="1:17" x14ac:dyDescent="0.25">
      <c r="A77" s="3"/>
      <c r="Q77" s="1"/>
    </row>
    <row r="78" spans="1:17" x14ac:dyDescent="0.25">
      <c r="A78" s="3"/>
      <c r="Q78" s="1"/>
    </row>
    <row r="79" spans="1:17" x14ac:dyDescent="0.25">
      <c r="A79" s="3"/>
      <c r="Q79" s="1"/>
    </row>
    <row r="80" spans="1:17" x14ac:dyDescent="0.25">
      <c r="A80" s="3"/>
      <c r="Q80" s="1"/>
    </row>
    <row r="81" spans="1:17" x14ac:dyDescent="0.25">
      <c r="A81" s="3"/>
      <c r="Q81" s="1"/>
    </row>
    <row r="82" spans="1:17" x14ac:dyDescent="0.25">
      <c r="A82" s="3"/>
      <c r="Q82" s="1"/>
    </row>
    <row r="83" spans="1:17" x14ac:dyDescent="0.25">
      <c r="A83" s="3"/>
      <c r="Q83" s="1"/>
    </row>
    <row r="84" spans="1:17" x14ac:dyDescent="0.25">
      <c r="A84" s="3"/>
      <c r="Q84" s="1"/>
    </row>
    <row r="85" spans="1:17" x14ac:dyDescent="0.25">
      <c r="A85" s="3"/>
      <c r="Q85" s="1"/>
    </row>
    <row r="86" spans="1:17" x14ac:dyDescent="0.25">
      <c r="A86" s="3"/>
      <c r="Q86" s="1"/>
    </row>
    <row r="87" spans="1:17" x14ac:dyDescent="0.25">
      <c r="A87" s="3"/>
      <c r="Q87" s="1"/>
    </row>
    <row r="88" spans="1:17" x14ac:dyDescent="0.25">
      <c r="A88" s="3"/>
      <c r="Q88" s="1"/>
    </row>
    <row r="89" spans="1:17" x14ac:dyDescent="0.25">
      <c r="A89" s="3"/>
      <c r="Q89" s="1"/>
    </row>
    <row r="90" spans="1:17" x14ac:dyDescent="0.25">
      <c r="A90" s="3"/>
      <c r="Q90" s="1"/>
    </row>
    <row r="91" spans="1:17" x14ac:dyDescent="0.25">
      <c r="A91" s="3"/>
      <c r="Q91" s="1"/>
    </row>
    <row r="92" spans="1:17" x14ac:dyDescent="0.25">
      <c r="A92" s="3"/>
      <c r="Q92" s="1"/>
    </row>
    <row r="93" spans="1:17" x14ac:dyDescent="0.25">
      <c r="A93" s="3"/>
      <c r="Q93" s="1"/>
    </row>
    <row r="94" spans="1:17" x14ac:dyDescent="0.25">
      <c r="A94" s="3"/>
      <c r="Q94" s="1"/>
    </row>
    <row r="95" spans="1:17" x14ac:dyDescent="0.25">
      <c r="A95" s="3"/>
      <c r="Q95" s="1"/>
    </row>
    <row r="96" spans="1:17" x14ac:dyDescent="0.25">
      <c r="A96" s="3"/>
      <c r="Q96" s="1"/>
    </row>
    <row r="97" spans="1:17" x14ac:dyDescent="0.25">
      <c r="A97" s="3"/>
      <c r="Q97" s="1"/>
    </row>
    <row r="98" spans="1:17" x14ac:dyDescent="0.25">
      <c r="A98" s="3"/>
      <c r="Q98" s="1"/>
    </row>
    <row r="99" spans="1:17" x14ac:dyDescent="0.25">
      <c r="A99" s="3"/>
      <c r="Q99" s="1"/>
    </row>
    <row r="100" spans="1:17" x14ac:dyDescent="0.25">
      <c r="A100" s="3"/>
      <c r="Q100" s="1"/>
    </row>
    <row r="101" spans="1:17" x14ac:dyDescent="0.25">
      <c r="A101" s="3"/>
      <c r="Q101" s="1"/>
    </row>
    <row r="102" spans="1:17" x14ac:dyDescent="0.25">
      <c r="A102" s="3"/>
      <c r="Q102" s="1"/>
    </row>
    <row r="103" spans="1:17" x14ac:dyDescent="0.25">
      <c r="A103" s="3"/>
      <c r="Q103" s="1"/>
    </row>
    <row r="104" spans="1:17" x14ac:dyDescent="0.25">
      <c r="A104" s="3"/>
      <c r="Q104" s="1"/>
    </row>
    <row r="105" spans="1:17" x14ac:dyDescent="0.25">
      <c r="A105" s="3"/>
      <c r="Q105" s="1"/>
    </row>
    <row r="106" spans="1:17" x14ac:dyDescent="0.25">
      <c r="A106" s="3"/>
      <c r="Q106" s="1"/>
    </row>
    <row r="107" spans="1:17" x14ac:dyDescent="0.25">
      <c r="A107" s="3"/>
      <c r="Q107" s="1"/>
    </row>
    <row r="108" spans="1:17" x14ac:dyDescent="0.25">
      <c r="A108" s="3"/>
      <c r="Q108" s="1"/>
    </row>
    <row r="109" spans="1:17" x14ac:dyDescent="0.25">
      <c r="A109" s="3"/>
      <c r="Q109" s="1"/>
    </row>
    <row r="110" spans="1:17" x14ac:dyDescent="0.25">
      <c r="A110" s="3"/>
      <c r="Q110" s="1"/>
    </row>
    <row r="111" spans="1:17" x14ac:dyDescent="0.25">
      <c r="A111" s="3"/>
      <c r="Q111" s="1"/>
    </row>
    <row r="112" spans="1:17" x14ac:dyDescent="0.25">
      <c r="A112" s="3"/>
      <c r="Q112" s="1"/>
    </row>
    <row r="113" spans="1:17" x14ac:dyDescent="0.25">
      <c r="A113" s="3"/>
      <c r="Q113" s="1"/>
    </row>
    <row r="114" spans="1:17" x14ac:dyDescent="0.25">
      <c r="A114" s="3"/>
      <c r="Q114" s="1"/>
    </row>
    <row r="115" spans="1:17" x14ac:dyDescent="0.25">
      <c r="A115" s="3"/>
      <c r="Q115" s="1"/>
    </row>
    <row r="116" spans="1:17" x14ac:dyDescent="0.25">
      <c r="A116" s="3"/>
      <c r="Q116" s="1"/>
    </row>
    <row r="117" spans="1:17" x14ac:dyDescent="0.25">
      <c r="A117" s="3"/>
      <c r="Q117" s="1"/>
    </row>
    <row r="118" spans="1:17" x14ac:dyDescent="0.25">
      <c r="A118" s="3"/>
      <c r="Q118" s="1"/>
    </row>
    <row r="119" spans="1:17" x14ac:dyDescent="0.25">
      <c r="A119" s="3"/>
      <c r="Q119" s="1"/>
    </row>
    <row r="120" spans="1:17" x14ac:dyDescent="0.25">
      <c r="A120" s="3"/>
      <c r="Q120" s="1"/>
    </row>
    <row r="121" spans="1:17" x14ac:dyDescent="0.25">
      <c r="A121" s="3"/>
      <c r="Q121" s="1"/>
    </row>
    <row r="122" spans="1:17" x14ac:dyDescent="0.25">
      <c r="A122" s="3"/>
      <c r="Q122" s="1"/>
    </row>
    <row r="123" spans="1:17" x14ac:dyDescent="0.25">
      <c r="A123" s="3"/>
      <c r="Q123" s="1"/>
    </row>
    <row r="124" spans="1:17" x14ac:dyDescent="0.25">
      <c r="Q124" s="1"/>
    </row>
    <row r="125" spans="1:17" x14ac:dyDescent="0.25">
      <c r="Q125" s="1"/>
    </row>
    <row r="126" spans="1:17" x14ac:dyDescent="0.25">
      <c r="Q126" s="1"/>
    </row>
    <row r="127" spans="1:17" x14ac:dyDescent="0.25">
      <c r="Q127" s="1"/>
    </row>
    <row r="128" spans="1:17" x14ac:dyDescent="0.25">
      <c r="Q128" s="1"/>
    </row>
    <row r="129" spans="17:17" x14ac:dyDescent="0.25">
      <c r="Q129" s="1"/>
    </row>
    <row r="130" spans="17:17" x14ac:dyDescent="0.25">
      <c r="Q130" s="1"/>
    </row>
    <row r="131" spans="17:17" x14ac:dyDescent="0.25">
      <c r="Q131" s="1"/>
    </row>
    <row r="132" spans="17:17" x14ac:dyDescent="0.25">
      <c r="Q132" s="1"/>
    </row>
    <row r="133" spans="17:17" x14ac:dyDescent="0.25">
      <c r="Q133" s="1"/>
    </row>
    <row r="134" spans="17:17" x14ac:dyDescent="0.25">
      <c r="Q134" s="1"/>
    </row>
    <row r="135" spans="17:17" x14ac:dyDescent="0.25">
      <c r="Q135" s="1"/>
    </row>
    <row r="136" spans="17:17" x14ac:dyDescent="0.25">
      <c r="Q136" s="1"/>
    </row>
    <row r="137" spans="17:17" x14ac:dyDescent="0.25">
      <c r="Q137" s="1"/>
    </row>
    <row r="138" spans="17:17" x14ac:dyDescent="0.25">
      <c r="Q138" s="1"/>
    </row>
    <row r="139" spans="17:17" x14ac:dyDescent="0.25">
      <c r="Q139" s="1"/>
    </row>
    <row r="140" spans="17:17" x14ac:dyDescent="0.25">
      <c r="Q140" s="1"/>
    </row>
    <row r="141" spans="17:17" x14ac:dyDescent="0.25">
      <c r="Q141" s="1"/>
    </row>
    <row r="142" spans="17:17" x14ac:dyDescent="0.25">
      <c r="Q142" s="1"/>
    </row>
    <row r="143" spans="17:17" x14ac:dyDescent="0.25">
      <c r="Q143" s="1"/>
    </row>
    <row r="144" spans="17:17" x14ac:dyDescent="0.25">
      <c r="Q144" s="1"/>
    </row>
    <row r="145" spans="2:17" x14ac:dyDescent="0.25">
      <c r="Q145" s="1"/>
    </row>
    <row r="146" spans="2:17" x14ac:dyDescent="0.25">
      <c r="Q146" s="1"/>
    </row>
    <row r="147" spans="2:17" x14ac:dyDescent="0.25">
      <c r="Q147" s="1"/>
    </row>
    <row r="148" spans="2:17" x14ac:dyDescent="0.25">
      <c r="Q148" s="1"/>
    </row>
    <row r="149" spans="2:17" x14ac:dyDescent="0.25">
      <c r="Q149" s="1"/>
    </row>
    <row r="150" spans="2:17" x14ac:dyDescent="0.25">
      <c r="Q150" s="1"/>
    </row>
    <row r="151" spans="2:17" x14ac:dyDescent="0.25">
      <c r="Q151" s="1"/>
    </row>
    <row r="152" spans="2:17" x14ac:dyDescent="0.25">
      <c r="B152" s="2"/>
      <c r="C152" s="2"/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L140"/>
  <sheetViews>
    <sheetView workbookViewId="0">
      <pane ySplit="6" topLeftCell="A104" activePane="bottomLeft" state="frozen"/>
      <selection activeCell="N30" sqref="N30"/>
      <selection pane="bottomLeft" activeCell="N30" sqref="N30"/>
    </sheetView>
  </sheetViews>
  <sheetFormatPr defaultColWidth="9.140625" defaultRowHeight="11.25" x14ac:dyDescent="0.2"/>
  <cols>
    <col min="1" max="1" width="6.140625" style="92" customWidth="1"/>
    <col min="2" max="2" width="16.85546875" style="92" customWidth="1"/>
    <col min="3" max="3" width="51" style="92" customWidth="1"/>
    <col min="4" max="4" width="13" style="92" bestFit="1" customWidth="1"/>
    <col min="5" max="6" width="13.5703125" style="165" bestFit="1" customWidth="1"/>
    <col min="7" max="7" width="13.85546875" style="92" bestFit="1" customWidth="1"/>
    <col min="8" max="8" width="12.7109375" style="92" bestFit="1" customWidth="1"/>
    <col min="9" max="9" width="10.7109375" style="92" bestFit="1" customWidth="1"/>
    <col min="10" max="16384" width="9.140625" style="92"/>
  </cols>
  <sheetData>
    <row r="1" spans="1:12" s="158" customFormat="1" ht="15" x14ac:dyDescent="0.25">
      <c r="A1" s="264" t="s">
        <v>65</v>
      </c>
      <c r="B1" s="264"/>
      <c r="C1" s="264"/>
      <c r="D1" s="265"/>
      <c r="E1" s="265"/>
      <c r="F1" s="265"/>
    </row>
    <row r="2" spans="1:12" s="158" customFormat="1" ht="15" customHeight="1" x14ac:dyDescent="0.25">
      <c r="A2" s="264" t="s">
        <v>241</v>
      </c>
      <c r="B2" s="264"/>
      <c r="C2" s="264"/>
      <c r="D2" s="265"/>
      <c r="E2" s="265"/>
      <c r="F2" s="265"/>
    </row>
    <row r="3" spans="1:12" s="158" customFormat="1" ht="15" customHeight="1" x14ac:dyDescent="0.25">
      <c r="A3" s="264" t="s">
        <v>242</v>
      </c>
      <c r="B3" s="264"/>
      <c r="C3" s="264"/>
      <c r="D3" s="265"/>
      <c r="E3" s="265"/>
      <c r="F3" s="265"/>
    </row>
    <row r="4" spans="1:12" s="158" customFormat="1" ht="15" x14ac:dyDescent="0.25">
      <c r="A4" s="266" t="s">
        <v>108</v>
      </c>
      <c r="B4" s="266"/>
      <c r="C4" s="266"/>
      <c r="D4" s="267"/>
      <c r="E4" s="267"/>
      <c r="F4" s="267"/>
    </row>
    <row r="5" spans="1:12" s="158" customFormat="1" ht="22.5" x14ac:dyDescent="0.2">
      <c r="A5" s="159" t="s">
        <v>109</v>
      </c>
      <c r="B5" s="159" t="s">
        <v>110</v>
      </c>
      <c r="C5" s="159" t="s">
        <v>111</v>
      </c>
      <c r="D5" s="160" t="s">
        <v>112</v>
      </c>
      <c r="E5" s="160" t="s">
        <v>113</v>
      </c>
      <c r="F5" s="160" t="s">
        <v>114</v>
      </c>
    </row>
    <row r="6" spans="1:12" s="163" customFormat="1" x14ac:dyDescent="0.2">
      <c r="A6" s="159"/>
      <c r="B6" s="161" t="s">
        <v>115</v>
      </c>
      <c r="C6" s="161" t="s">
        <v>116</v>
      </c>
      <c r="D6" s="162" t="s">
        <v>117</v>
      </c>
      <c r="E6" s="162" t="s">
        <v>118</v>
      </c>
      <c r="F6" s="162" t="s">
        <v>119</v>
      </c>
    </row>
    <row r="7" spans="1:12" x14ac:dyDescent="0.2">
      <c r="A7" s="95">
        <v>1</v>
      </c>
      <c r="B7" s="164" t="s">
        <v>120</v>
      </c>
      <c r="C7" s="92" t="s">
        <v>121</v>
      </c>
    </row>
    <row r="8" spans="1:12" x14ac:dyDescent="0.2">
      <c r="A8" s="95">
        <f>+A7+1</f>
        <v>2</v>
      </c>
      <c r="B8" s="95" t="str">
        <f>+B7</f>
        <v>7 (307) (317) (327)</v>
      </c>
      <c r="C8" s="166" t="s">
        <v>122</v>
      </c>
      <c r="D8" s="167">
        <v>13263685</v>
      </c>
      <c r="E8" s="167">
        <v>13402924</v>
      </c>
      <c r="F8" s="167">
        <v>13545540</v>
      </c>
      <c r="G8" s="168"/>
      <c r="H8" s="168"/>
      <c r="I8" s="168"/>
    </row>
    <row r="9" spans="1:12" x14ac:dyDescent="0.2">
      <c r="A9" s="95">
        <f t="shared" ref="A9:A72" si="0">+A8+1</f>
        <v>3</v>
      </c>
      <c r="B9" s="95" t="str">
        <f t="shared" ref="B9:B23" si="1">+B8</f>
        <v>7 (307) (317) (327)</v>
      </c>
      <c r="C9" s="166" t="s">
        <v>123</v>
      </c>
      <c r="D9" s="167">
        <v>4593</v>
      </c>
      <c r="E9" s="167">
        <v>4641</v>
      </c>
      <c r="F9" s="167">
        <v>4692</v>
      </c>
      <c r="G9" s="168"/>
      <c r="H9" s="168"/>
      <c r="I9" s="168"/>
    </row>
    <row r="10" spans="1:12" x14ac:dyDescent="0.2">
      <c r="A10" s="95">
        <f t="shared" si="0"/>
        <v>4</v>
      </c>
      <c r="B10" s="95" t="str">
        <f t="shared" si="1"/>
        <v>7 (307) (317) (327)</v>
      </c>
      <c r="C10" s="92" t="s">
        <v>124</v>
      </c>
      <c r="D10" s="169">
        <f t="shared" ref="D10:E10" si="2">SUM(D8:D9)</f>
        <v>13268278</v>
      </c>
      <c r="E10" s="169">
        <f t="shared" si="2"/>
        <v>13407565</v>
      </c>
      <c r="F10" s="169">
        <f t="shared" ref="F10" si="3">SUM(F8:F9)</f>
        <v>13550232</v>
      </c>
      <c r="G10" s="168"/>
      <c r="H10" s="168"/>
      <c r="I10" s="168"/>
    </row>
    <row r="11" spans="1:12" x14ac:dyDescent="0.2">
      <c r="A11" s="95">
        <f t="shared" si="0"/>
        <v>5</v>
      </c>
      <c r="B11" s="95" t="str">
        <f t="shared" si="1"/>
        <v>7 (307) (317) (327)</v>
      </c>
      <c r="C11" s="92" t="s">
        <v>125</v>
      </c>
      <c r="D11" s="165"/>
      <c r="G11" s="168"/>
      <c r="H11" s="168"/>
      <c r="I11" s="168"/>
    </row>
    <row r="12" spans="1:12" x14ac:dyDescent="0.2">
      <c r="A12" s="95">
        <f t="shared" si="0"/>
        <v>6</v>
      </c>
      <c r="B12" s="95" t="str">
        <f t="shared" si="1"/>
        <v>7 (307) (317) (327)</v>
      </c>
      <c r="C12" s="166" t="s">
        <v>126</v>
      </c>
      <c r="D12" s="167">
        <v>6321240660.9757509</v>
      </c>
      <c r="E12" s="167">
        <v>6356287865.579875</v>
      </c>
      <c r="F12" s="167">
        <v>6454126299.9336367</v>
      </c>
      <c r="G12" s="168"/>
      <c r="H12" s="168"/>
      <c r="I12" s="168"/>
    </row>
    <row r="13" spans="1:12" x14ac:dyDescent="0.2">
      <c r="A13" s="95">
        <f t="shared" si="0"/>
        <v>7</v>
      </c>
      <c r="B13" s="95" t="str">
        <f t="shared" si="1"/>
        <v>7 (307) (317) (327)</v>
      </c>
      <c r="C13" s="166" t="s">
        <v>127</v>
      </c>
      <c r="D13" s="170">
        <v>4909996504.0679207</v>
      </c>
      <c r="E13" s="170">
        <v>4921917985.8154898</v>
      </c>
      <c r="F13" s="170">
        <v>4993522939.7803335</v>
      </c>
      <c r="G13" s="168"/>
      <c r="H13" s="168"/>
      <c r="I13" s="168"/>
    </row>
    <row r="14" spans="1:12" x14ac:dyDescent="0.2">
      <c r="A14" s="95">
        <f t="shared" si="0"/>
        <v>8</v>
      </c>
      <c r="B14" s="95" t="str">
        <f t="shared" si="1"/>
        <v>7 (307) (317) (327)</v>
      </c>
      <c r="C14" s="92" t="s">
        <v>124</v>
      </c>
      <c r="D14" s="171">
        <f t="shared" ref="D14:E14" si="4">SUM(D12:D13)</f>
        <v>11231237165.043671</v>
      </c>
      <c r="E14" s="167">
        <f t="shared" si="4"/>
        <v>11278205851.395365</v>
      </c>
      <c r="F14" s="167">
        <f t="shared" ref="F14" si="5">SUM(F12:F13)</f>
        <v>11447649239.71397</v>
      </c>
      <c r="G14" s="168"/>
      <c r="H14" s="168"/>
      <c r="I14" s="168"/>
      <c r="K14" s="172"/>
      <c r="L14" s="172"/>
    </row>
    <row r="15" spans="1:12" x14ac:dyDescent="0.2">
      <c r="A15" s="95">
        <f t="shared" si="0"/>
        <v>9</v>
      </c>
      <c r="B15" s="95"/>
      <c r="D15" s="165"/>
      <c r="G15" s="168"/>
      <c r="H15" s="168"/>
      <c r="I15" s="168"/>
    </row>
    <row r="16" spans="1:12" x14ac:dyDescent="0.2">
      <c r="A16" s="95">
        <f t="shared" si="0"/>
        <v>10</v>
      </c>
      <c r="B16" s="164" t="s">
        <v>128</v>
      </c>
      <c r="C16" s="92" t="s">
        <v>121</v>
      </c>
      <c r="D16" s="165"/>
      <c r="G16" s="168"/>
      <c r="H16" s="168"/>
      <c r="I16" s="168"/>
    </row>
    <row r="17" spans="1:9" x14ac:dyDescent="0.2">
      <c r="A17" s="95">
        <f t="shared" si="0"/>
        <v>11</v>
      </c>
      <c r="B17" s="95" t="str">
        <f t="shared" si="1"/>
        <v>08 (24) (324)</v>
      </c>
      <c r="C17" s="166" t="s">
        <v>122</v>
      </c>
      <c r="D17" s="167">
        <v>1151329</v>
      </c>
      <c r="E17" s="167">
        <v>1164314</v>
      </c>
      <c r="F17" s="167">
        <v>1177319</v>
      </c>
      <c r="G17" s="168"/>
      <c r="H17" s="168"/>
      <c r="I17" s="168"/>
    </row>
    <row r="18" spans="1:9" x14ac:dyDescent="0.2">
      <c r="A18" s="95">
        <f t="shared" si="0"/>
        <v>12</v>
      </c>
      <c r="B18" s="95" t="str">
        <f t="shared" si="1"/>
        <v>08 (24) (324)</v>
      </c>
      <c r="C18" s="166" t="s">
        <v>123</v>
      </c>
      <c r="D18" s="170">
        <v>489481</v>
      </c>
      <c r="E18" s="170">
        <v>495002</v>
      </c>
      <c r="F18" s="170">
        <v>500533</v>
      </c>
      <c r="G18" s="168"/>
      <c r="H18" s="168"/>
      <c r="I18" s="168"/>
    </row>
    <row r="19" spans="1:9" x14ac:dyDescent="0.2">
      <c r="A19" s="95">
        <f t="shared" si="0"/>
        <v>13</v>
      </c>
      <c r="B19" s="95" t="str">
        <f t="shared" si="1"/>
        <v>08 (24) (324)</v>
      </c>
      <c r="C19" s="173" t="s">
        <v>124</v>
      </c>
      <c r="D19" s="167">
        <f t="shared" ref="D19:E19" si="6">SUM(D17:D18)</f>
        <v>1640810</v>
      </c>
      <c r="E19" s="167">
        <f t="shared" si="6"/>
        <v>1659316</v>
      </c>
      <c r="F19" s="167">
        <f t="shared" ref="F19" si="7">SUM(F17:F18)</f>
        <v>1677852</v>
      </c>
      <c r="G19" s="168"/>
      <c r="H19" s="168"/>
      <c r="I19" s="168"/>
    </row>
    <row r="20" spans="1:9" x14ac:dyDescent="0.2">
      <c r="A20" s="95">
        <f t="shared" si="0"/>
        <v>14</v>
      </c>
      <c r="B20" s="95" t="str">
        <f t="shared" si="1"/>
        <v>08 (24) (324)</v>
      </c>
      <c r="C20" s="92" t="s">
        <v>125</v>
      </c>
      <c r="D20" s="165"/>
      <c r="G20" s="168"/>
      <c r="H20" s="168"/>
      <c r="I20" s="168"/>
    </row>
    <row r="21" spans="1:9" x14ac:dyDescent="0.2">
      <c r="A21" s="95">
        <f t="shared" si="0"/>
        <v>15</v>
      </c>
      <c r="B21" s="95" t="str">
        <f t="shared" si="1"/>
        <v>08 (24) (324)</v>
      </c>
      <c r="C21" s="166" t="s">
        <v>129</v>
      </c>
      <c r="D21" s="167">
        <v>1460297153.0742698</v>
      </c>
      <c r="E21" s="167">
        <v>1457771579.8610439</v>
      </c>
      <c r="F21" s="167">
        <v>1466038232.8208413</v>
      </c>
      <c r="G21" s="168"/>
      <c r="H21" s="168"/>
      <c r="I21" s="168"/>
    </row>
    <row r="22" spans="1:9" x14ac:dyDescent="0.2">
      <c r="A22" s="95">
        <f t="shared" si="0"/>
        <v>16</v>
      </c>
      <c r="B22" s="95" t="str">
        <f t="shared" si="1"/>
        <v>08 (24) (324)</v>
      </c>
      <c r="C22" s="166" t="s">
        <v>130</v>
      </c>
      <c r="D22" s="170">
        <v>1302066623.949465</v>
      </c>
      <c r="E22" s="170">
        <v>1304864386.3086548</v>
      </c>
      <c r="F22" s="170">
        <v>1308929189.4485493</v>
      </c>
      <c r="G22" s="168"/>
      <c r="H22" s="168"/>
      <c r="I22" s="168"/>
    </row>
    <row r="23" spans="1:9" x14ac:dyDescent="0.2">
      <c r="A23" s="95">
        <f t="shared" si="0"/>
        <v>17</v>
      </c>
      <c r="B23" s="95" t="str">
        <f t="shared" si="1"/>
        <v>08 (24) (324)</v>
      </c>
      <c r="C23" s="173" t="s">
        <v>124</v>
      </c>
      <c r="D23" s="167">
        <f t="shared" ref="D23:E23" si="8">SUM(D21:D22)</f>
        <v>2762363777.023735</v>
      </c>
      <c r="E23" s="167">
        <f t="shared" si="8"/>
        <v>2762635966.1696987</v>
      </c>
      <c r="F23" s="167">
        <f t="shared" ref="F23" si="9">SUM(F21:F22)</f>
        <v>2774967422.2693906</v>
      </c>
      <c r="G23" s="168"/>
      <c r="H23" s="168"/>
      <c r="I23" s="168"/>
    </row>
    <row r="24" spans="1:9" x14ac:dyDescent="0.2">
      <c r="A24" s="95">
        <f t="shared" si="0"/>
        <v>18</v>
      </c>
      <c r="B24" s="95"/>
      <c r="D24" s="167"/>
      <c r="E24" s="167"/>
      <c r="F24" s="167"/>
      <c r="G24" s="168"/>
      <c r="H24" s="168"/>
      <c r="I24" s="168"/>
    </row>
    <row r="25" spans="1:9" x14ac:dyDescent="0.2">
      <c r="A25" s="95">
        <f t="shared" si="0"/>
        <v>19</v>
      </c>
      <c r="B25" s="164" t="s">
        <v>131</v>
      </c>
      <c r="C25" s="92" t="s">
        <v>121</v>
      </c>
      <c r="D25" s="167">
        <v>102023.00668226161</v>
      </c>
      <c r="E25" s="167">
        <v>104091.5758044844</v>
      </c>
      <c r="F25" s="167">
        <v>106231.43807201592</v>
      </c>
      <c r="G25" s="168"/>
      <c r="H25" s="168"/>
      <c r="I25" s="168"/>
    </row>
    <row r="26" spans="1:9" x14ac:dyDescent="0.2">
      <c r="A26" s="95">
        <f t="shared" si="0"/>
        <v>20</v>
      </c>
      <c r="B26" s="95" t="str">
        <f t="shared" ref="B26:B36" si="10">+B25</f>
        <v>7A (11) (25)</v>
      </c>
      <c r="C26" s="174" t="s">
        <v>132</v>
      </c>
      <c r="D26" s="167"/>
      <c r="E26" s="167"/>
      <c r="F26" s="167"/>
      <c r="G26" s="168"/>
      <c r="H26" s="168"/>
      <c r="I26" s="168"/>
    </row>
    <row r="27" spans="1:9" x14ac:dyDescent="0.2">
      <c r="A27" s="95">
        <f t="shared" si="0"/>
        <v>21</v>
      </c>
      <c r="B27" s="95" t="str">
        <f t="shared" si="10"/>
        <v>7A (11) (25)</v>
      </c>
      <c r="C27" s="166" t="s">
        <v>133</v>
      </c>
      <c r="D27" s="167">
        <v>766624578.86426282</v>
      </c>
      <c r="E27" s="167">
        <v>764890777.36825001</v>
      </c>
      <c r="F27" s="167">
        <v>768227524.74642587</v>
      </c>
      <c r="G27" s="168"/>
      <c r="H27" s="168"/>
      <c r="I27" s="168"/>
    </row>
    <row r="28" spans="1:9" x14ac:dyDescent="0.2">
      <c r="A28" s="95">
        <f t="shared" si="0"/>
        <v>22</v>
      </c>
      <c r="B28" s="95" t="str">
        <f t="shared" si="10"/>
        <v>7A (11) (25)</v>
      </c>
      <c r="C28" s="166" t="s">
        <v>134</v>
      </c>
      <c r="D28" s="167">
        <v>745747639.12890828</v>
      </c>
      <c r="E28" s="167">
        <v>746887576.95007479</v>
      </c>
      <c r="F28" s="167">
        <v>747812352.02207935</v>
      </c>
      <c r="G28" s="168"/>
      <c r="H28" s="168"/>
      <c r="I28" s="168"/>
    </row>
    <row r="29" spans="1:9" x14ac:dyDescent="0.2">
      <c r="A29" s="95">
        <f t="shared" si="0"/>
        <v>23</v>
      </c>
      <c r="B29" s="95" t="str">
        <f t="shared" si="10"/>
        <v>7A (11) (25)</v>
      </c>
      <c r="C29" s="166" t="s">
        <v>135</v>
      </c>
      <c r="D29" s="170">
        <v>1448918114.0832531</v>
      </c>
      <c r="E29" s="170">
        <v>1448423920.4871457</v>
      </c>
      <c r="F29" s="170">
        <v>1452680297.8689337</v>
      </c>
      <c r="G29" s="168"/>
      <c r="H29" s="168"/>
      <c r="I29" s="168"/>
    </row>
    <row r="30" spans="1:9" x14ac:dyDescent="0.2">
      <c r="A30" s="95">
        <f t="shared" si="0"/>
        <v>24</v>
      </c>
      <c r="B30" s="95" t="str">
        <f t="shared" si="10"/>
        <v>7A (11) (25)</v>
      </c>
      <c r="C30" s="173" t="s">
        <v>124</v>
      </c>
      <c r="D30" s="167">
        <f t="shared" ref="D30:E30" si="11">SUM(D27:D29)</f>
        <v>2961290332.0764246</v>
      </c>
      <c r="E30" s="167">
        <f t="shared" si="11"/>
        <v>2960202274.8054705</v>
      </c>
      <c r="F30" s="167">
        <f t="shared" ref="F30" si="12">SUM(F27:F29)</f>
        <v>2968720174.6374388</v>
      </c>
      <c r="G30" s="168"/>
      <c r="H30" s="168"/>
      <c r="I30" s="168"/>
    </row>
    <row r="31" spans="1:9" x14ac:dyDescent="0.2">
      <c r="A31" s="95">
        <f t="shared" si="0"/>
        <v>25</v>
      </c>
      <c r="B31" s="95" t="str">
        <f t="shared" si="10"/>
        <v>7A (11) (25)</v>
      </c>
      <c r="C31" s="174" t="s">
        <v>136</v>
      </c>
      <c r="D31" s="165"/>
      <c r="G31" s="168"/>
      <c r="H31" s="168"/>
      <c r="I31" s="168"/>
    </row>
    <row r="32" spans="1:9" x14ac:dyDescent="0.2">
      <c r="A32" s="95">
        <f t="shared" si="0"/>
        <v>26</v>
      </c>
      <c r="B32" s="95" t="str">
        <f t="shared" si="10"/>
        <v>7A (11) (25)</v>
      </c>
      <c r="C32" s="166" t="s">
        <v>137</v>
      </c>
      <c r="D32" s="167">
        <v>2293917.3864670363</v>
      </c>
      <c r="E32" s="167">
        <v>2288723.4046284151</v>
      </c>
      <c r="F32" s="167">
        <v>2283097.2984594069</v>
      </c>
      <c r="G32" s="168"/>
      <c r="H32" s="168"/>
      <c r="I32" s="168"/>
    </row>
    <row r="33" spans="1:9" x14ac:dyDescent="0.2">
      <c r="A33" s="95">
        <f t="shared" si="0"/>
        <v>27</v>
      </c>
      <c r="B33" s="95" t="str">
        <f t="shared" si="10"/>
        <v>7A (11) (25)</v>
      </c>
      <c r="C33" s="166" t="s">
        <v>138</v>
      </c>
      <c r="D33" s="170">
        <v>2225365.355921248</v>
      </c>
      <c r="E33" s="170">
        <v>2229163.6026629228</v>
      </c>
      <c r="F33" s="170">
        <v>2232411.6467305804</v>
      </c>
      <c r="G33" s="168"/>
      <c r="H33" s="168"/>
      <c r="I33" s="168"/>
    </row>
    <row r="34" spans="1:9" x14ac:dyDescent="0.2">
      <c r="A34" s="95">
        <f t="shared" si="0"/>
        <v>28</v>
      </c>
      <c r="B34" s="95" t="str">
        <f t="shared" si="10"/>
        <v>7A (11) (25)</v>
      </c>
      <c r="C34" s="173" t="s">
        <v>124</v>
      </c>
      <c r="D34" s="167">
        <f t="shared" ref="D34:E34" si="13">SUM(D31:D33)</f>
        <v>4519282.7423882838</v>
      </c>
      <c r="E34" s="167">
        <f t="shared" si="13"/>
        <v>4517887.0072913375</v>
      </c>
      <c r="F34" s="167">
        <f t="shared" ref="F34" si="14">SUM(F31:F33)</f>
        <v>4515508.9451899873</v>
      </c>
      <c r="G34" s="168"/>
      <c r="H34" s="168"/>
      <c r="I34" s="168"/>
    </row>
    <row r="35" spans="1:9" x14ac:dyDescent="0.2">
      <c r="A35" s="95">
        <f t="shared" si="0"/>
        <v>29</v>
      </c>
      <c r="B35" s="95" t="str">
        <f t="shared" si="10"/>
        <v>7A (11) (25)</v>
      </c>
      <c r="C35" s="173"/>
      <c r="D35" s="167"/>
      <c r="E35" s="167"/>
      <c r="F35" s="167"/>
      <c r="G35" s="168"/>
      <c r="H35" s="168"/>
      <c r="I35" s="168"/>
    </row>
    <row r="36" spans="1:9" x14ac:dyDescent="0.2">
      <c r="A36" s="95">
        <f t="shared" si="0"/>
        <v>30</v>
      </c>
      <c r="B36" s="95" t="str">
        <f t="shared" si="10"/>
        <v>7A (11) (25)</v>
      </c>
      <c r="C36" s="92" t="s">
        <v>139</v>
      </c>
      <c r="D36" s="167">
        <v>571270142.97074676</v>
      </c>
      <c r="E36" s="167">
        <v>571159840.78918433</v>
      </c>
      <c r="F36" s="167">
        <v>572748098.34600949</v>
      </c>
      <c r="G36" s="168"/>
      <c r="H36" s="168"/>
      <c r="I36" s="168"/>
    </row>
    <row r="37" spans="1:9" x14ac:dyDescent="0.2">
      <c r="A37" s="95">
        <f t="shared" si="0"/>
        <v>31</v>
      </c>
      <c r="B37" s="95"/>
      <c r="D37" s="167"/>
      <c r="E37" s="167"/>
      <c r="F37" s="167"/>
      <c r="G37" s="168"/>
      <c r="H37" s="168"/>
      <c r="I37" s="168"/>
    </row>
    <row r="38" spans="1:9" x14ac:dyDescent="0.2">
      <c r="A38" s="95">
        <f t="shared" si="0"/>
        <v>32</v>
      </c>
      <c r="B38" s="175" t="s">
        <v>140</v>
      </c>
      <c r="C38" s="92" t="s">
        <v>121</v>
      </c>
      <c r="D38" s="167">
        <v>11547.299341989652</v>
      </c>
      <c r="E38" s="167">
        <v>12861.276368251491</v>
      </c>
      <c r="F38" s="167">
        <v>14944.963680562336</v>
      </c>
      <c r="G38" s="168"/>
      <c r="H38" s="168"/>
      <c r="I38" s="168"/>
    </row>
    <row r="39" spans="1:9" x14ac:dyDescent="0.2">
      <c r="A39" s="95">
        <f t="shared" si="0"/>
        <v>33</v>
      </c>
      <c r="B39" s="95" t="str">
        <f t="shared" ref="B39:B46" si="15">+B38</f>
        <v>12 (26) (26P)</v>
      </c>
      <c r="C39" s="176" t="s">
        <v>125</v>
      </c>
      <c r="D39" s="165"/>
      <c r="G39" s="168"/>
      <c r="H39" s="168"/>
      <c r="I39" s="168"/>
    </row>
    <row r="40" spans="1:9" x14ac:dyDescent="0.2">
      <c r="A40" s="95">
        <f t="shared" si="0"/>
        <v>34</v>
      </c>
      <c r="B40" s="95" t="str">
        <f t="shared" si="15"/>
        <v>12 (26) (26P)</v>
      </c>
      <c r="C40" s="166" t="s">
        <v>141</v>
      </c>
      <c r="D40" s="167">
        <v>1964892733.640949</v>
      </c>
      <c r="E40" s="167">
        <v>2013891730.8000479</v>
      </c>
      <c r="F40" s="167">
        <v>2056791563.2414525</v>
      </c>
      <c r="G40" s="168"/>
      <c r="H40" s="168"/>
      <c r="I40" s="168"/>
    </row>
    <row r="41" spans="1:9" x14ac:dyDescent="0.2">
      <c r="A41" s="95">
        <f t="shared" si="0"/>
        <v>35</v>
      </c>
      <c r="B41" s="95" t="str">
        <f t="shared" si="15"/>
        <v>12 (26) (26P)</v>
      </c>
      <c r="C41" s="92" t="s">
        <v>136</v>
      </c>
      <c r="D41" s="167"/>
      <c r="E41" s="167"/>
      <c r="F41" s="167"/>
      <c r="G41" s="168"/>
      <c r="H41" s="168"/>
      <c r="I41" s="168"/>
    </row>
    <row r="42" spans="1:9" x14ac:dyDescent="0.2">
      <c r="A42" s="95">
        <f t="shared" si="0"/>
        <v>36</v>
      </c>
      <c r="B42" s="95" t="str">
        <f t="shared" si="15"/>
        <v>12 (26) (26P)</v>
      </c>
      <c r="C42" s="166" t="s">
        <v>142</v>
      </c>
      <c r="D42" s="167">
        <v>2357507.8100074083</v>
      </c>
      <c r="E42" s="167">
        <v>2414267.6430118596</v>
      </c>
      <c r="F42" s="167">
        <v>2456617.8720574384</v>
      </c>
      <c r="G42" s="168"/>
      <c r="H42" s="168"/>
      <c r="I42" s="168"/>
    </row>
    <row r="43" spans="1:9" x14ac:dyDescent="0.2">
      <c r="A43" s="95">
        <f t="shared" si="0"/>
        <v>37</v>
      </c>
      <c r="B43" s="95" t="str">
        <f t="shared" si="15"/>
        <v>12 (26) (26P)</v>
      </c>
      <c r="C43" s="166" t="s">
        <v>143</v>
      </c>
      <c r="D43" s="170">
        <v>2467966.2238312466</v>
      </c>
      <c r="E43" s="170">
        <v>2530005.6436722665</v>
      </c>
      <c r="F43" s="170">
        <v>2575513.408438711</v>
      </c>
      <c r="G43" s="168"/>
      <c r="H43" s="168"/>
      <c r="I43" s="168"/>
    </row>
    <row r="44" spans="1:9" x14ac:dyDescent="0.2">
      <c r="A44" s="95">
        <f t="shared" si="0"/>
        <v>38</v>
      </c>
      <c r="B44" s="95" t="str">
        <f t="shared" si="15"/>
        <v>12 (26) (26P)</v>
      </c>
      <c r="C44" s="173" t="s">
        <v>124</v>
      </c>
      <c r="D44" s="167">
        <f t="shared" ref="D44:E44" si="16">SUM(D42:D43)</f>
        <v>4825474.0338386549</v>
      </c>
      <c r="E44" s="167">
        <f t="shared" si="16"/>
        <v>4944273.2866841257</v>
      </c>
      <c r="F44" s="167">
        <f t="shared" ref="F44" si="17">SUM(F42:F43)</f>
        <v>5032131.2804961493</v>
      </c>
      <c r="G44" s="168"/>
      <c r="H44" s="168"/>
      <c r="I44" s="168"/>
    </row>
    <row r="45" spans="1:9" x14ac:dyDescent="0.2">
      <c r="A45" s="95">
        <f t="shared" si="0"/>
        <v>39</v>
      </c>
      <c r="B45" s="95" t="str">
        <f t="shared" si="15"/>
        <v>12 (26) (26P)</v>
      </c>
      <c r="C45" s="173"/>
      <c r="D45" s="167"/>
      <c r="E45" s="167"/>
      <c r="F45" s="167"/>
      <c r="G45" s="168"/>
      <c r="H45" s="168"/>
      <c r="I45" s="168"/>
    </row>
    <row r="46" spans="1:9" x14ac:dyDescent="0.2">
      <c r="A46" s="95">
        <f t="shared" si="0"/>
        <v>40</v>
      </c>
      <c r="B46" s="95" t="str">
        <f t="shared" si="15"/>
        <v>12 (26) (26P)</v>
      </c>
      <c r="C46" s="92" t="s">
        <v>139</v>
      </c>
      <c r="D46" s="167">
        <v>782774872.44704843</v>
      </c>
      <c r="E46" s="167">
        <v>802364288.31393385</v>
      </c>
      <c r="F46" s="167">
        <v>818168341.90876627</v>
      </c>
      <c r="G46" s="168"/>
      <c r="H46" s="168"/>
      <c r="I46" s="168"/>
    </row>
    <row r="47" spans="1:9" x14ac:dyDescent="0.2">
      <c r="A47" s="95">
        <f t="shared" si="0"/>
        <v>41</v>
      </c>
      <c r="B47" s="95"/>
      <c r="D47" s="167"/>
      <c r="E47" s="167"/>
      <c r="F47" s="167"/>
      <c r="G47" s="168"/>
      <c r="H47" s="168"/>
      <c r="I47" s="168"/>
    </row>
    <row r="48" spans="1:9" x14ac:dyDescent="0.2">
      <c r="A48" s="95">
        <f t="shared" si="0"/>
        <v>42</v>
      </c>
      <c r="B48" s="164" t="s">
        <v>144</v>
      </c>
      <c r="C48" s="92" t="s">
        <v>121</v>
      </c>
      <c r="D48" s="167"/>
      <c r="E48" s="167"/>
      <c r="F48" s="167"/>
      <c r="G48" s="168"/>
      <c r="H48" s="168"/>
      <c r="I48" s="168"/>
    </row>
    <row r="49" spans="1:9" x14ac:dyDescent="0.2">
      <c r="A49" s="95">
        <f t="shared" si="0"/>
        <v>43</v>
      </c>
      <c r="B49" s="95" t="str">
        <f>+B48</f>
        <v>29</v>
      </c>
      <c r="C49" s="92" t="s">
        <v>145</v>
      </c>
      <c r="D49" s="167">
        <v>2368</v>
      </c>
      <c r="E49" s="167">
        <v>2371</v>
      </c>
      <c r="F49" s="167">
        <v>2374</v>
      </c>
      <c r="G49" s="168"/>
      <c r="H49" s="168"/>
      <c r="I49" s="168"/>
    </row>
    <row r="50" spans="1:9" x14ac:dyDescent="0.2">
      <c r="A50" s="95">
        <f t="shared" si="0"/>
        <v>44</v>
      </c>
      <c r="B50" s="95" t="str">
        <f t="shared" ref="B50:B73" si="18">+B49</f>
        <v>29</v>
      </c>
      <c r="C50" s="92" t="s">
        <v>146</v>
      </c>
      <c r="D50" s="170">
        <v>5547</v>
      </c>
      <c r="E50" s="170">
        <v>5554</v>
      </c>
      <c r="F50" s="170">
        <v>5560</v>
      </c>
      <c r="G50" s="168"/>
      <c r="H50" s="168"/>
      <c r="I50" s="168"/>
    </row>
    <row r="51" spans="1:9" x14ac:dyDescent="0.2">
      <c r="A51" s="95">
        <f t="shared" si="0"/>
        <v>45</v>
      </c>
      <c r="B51" s="95" t="str">
        <f t="shared" si="18"/>
        <v>29</v>
      </c>
      <c r="C51" s="173" t="s">
        <v>124</v>
      </c>
      <c r="D51" s="167">
        <f t="shared" ref="D51:E51" si="19">SUM(D49:D50)</f>
        <v>7915</v>
      </c>
      <c r="E51" s="167">
        <f t="shared" si="19"/>
        <v>7925</v>
      </c>
      <c r="F51" s="167">
        <f t="shared" ref="F51" si="20">SUM(F49:F50)</f>
        <v>7934</v>
      </c>
      <c r="G51" s="168"/>
      <c r="H51" s="168"/>
      <c r="I51" s="168"/>
    </row>
    <row r="52" spans="1:9" x14ac:dyDescent="0.2">
      <c r="A52" s="95">
        <f t="shared" si="0"/>
        <v>46</v>
      </c>
      <c r="B52" s="95" t="str">
        <f t="shared" si="18"/>
        <v>29</v>
      </c>
      <c r="C52" s="92" t="s">
        <v>132</v>
      </c>
      <c r="D52" s="165"/>
      <c r="G52" s="168"/>
      <c r="H52" s="168"/>
      <c r="I52" s="168"/>
    </row>
    <row r="53" spans="1:9" x14ac:dyDescent="0.2">
      <c r="A53" s="95">
        <f t="shared" si="0"/>
        <v>47</v>
      </c>
      <c r="B53" s="95" t="str">
        <f t="shared" si="18"/>
        <v>29</v>
      </c>
      <c r="C53" s="166" t="s">
        <v>133</v>
      </c>
      <c r="D53" s="167">
        <v>2686706.4463339304</v>
      </c>
      <c r="E53" s="167">
        <v>2661144.0277310261</v>
      </c>
      <c r="F53" s="167">
        <v>2648258.454874211</v>
      </c>
      <c r="G53" s="168"/>
      <c r="H53" s="168"/>
      <c r="I53" s="168"/>
    </row>
    <row r="54" spans="1:9" x14ac:dyDescent="0.2">
      <c r="A54" s="95">
        <f t="shared" si="0"/>
        <v>48</v>
      </c>
      <c r="B54" s="95" t="str">
        <f t="shared" si="18"/>
        <v>29</v>
      </c>
      <c r="C54" s="166" t="s">
        <v>147</v>
      </c>
      <c r="D54" s="167">
        <v>117198.04358245608</v>
      </c>
      <c r="E54" s="167">
        <v>116141.4176140801</v>
      </c>
      <c r="F54" s="167">
        <v>115560.92791562511</v>
      </c>
      <c r="G54" s="168"/>
      <c r="H54" s="168"/>
      <c r="I54" s="168"/>
    </row>
    <row r="55" spans="1:9" x14ac:dyDescent="0.2">
      <c r="A55" s="95">
        <f t="shared" si="0"/>
        <v>49</v>
      </c>
      <c r="B55" s="95" t="str">
        <f t="shared" si="18"/>
        <v>29</v>
      </c>
      <c r="C55" s="166" t="s">
        <v>134</v>
      </c>
      <c r="D55" s="167">
        <v>11545112.246951696</v>
      </c>
      <c r="E55" s="167">
        <v>11466316.070467897</v>
      </c>
      <c r="F55" s="167">
        <v>11396563.38221856</v>
      </c>
      <c r="G55" s="168"/>
      <c r="H55" s="168"/>
      <c r="I55" s="168"/>
    </row>
    <row r="56" spans="1:9" x14ac:dyDescent="0.2">
      <c r="A56" s="95">
        <f t="shared" si="0"/>
        <v>50</v>
      </c>
      <c r="B56" s="95" t="str">
        <f t="shared" si="18"/>
        <v>29</v>
      </c>
      <c r="C56" s="166" t="s">
        <v>148</v>
      </c>
      <c r="D56" s="170">
        <v>691557.10961973132</v>
      </c>
      <c r="E56" s="170">
        <v>686458.11507446249</v>
      </c>
      <c r="F56" s="170">
        <v>682643.59650109964</v>
      </c>
      <c r="G56" s="168"/>
      <c r="H56" s="168"/>
      <c r="I56" s="168"/>
    </row>
    <row r="57" spans="1:9" x14ac:dyDescent="0.2">
      <c r="A57" s="95">
        <f t="shared" si="0"/>
        <v>51</v>
      </c>
      <c r="B57" s="95" t="str">
        <f t="shared" si="18"/>
        <v>29</v>
      </c>
      <c r="C57" s="173" t="s">
        <v>124</v>
      </c>
      <c r="D57" s="167">
        <f t="shared" ref="D57:E57" si="21">SUM(D53:D56)</f>
        <v>15040573.846487813</v>
      </c>
      <c r="E57" s="167">
        <f t="shared" si="21"/>
        <v>14930059.630887466</v>
      </c>
      <c r="F57" s="167">
        <f t="shared" ref="F57" si="22">SUM(F53:F56)</f>
        <v>14843026.361509496</v>
      </c>
      <c r="G57" s="168"/>
      <c r="H57" s="168"/>
      <c r="I57" s="168"/>
    </row>
    <row r="58" spans="1:9" x14ac:dyDescent="0.2">
      <c r="A58" s="95">
        <f t="shared" si="0"/>
        <v>52</v>
      </c>
      <c r="B58" s="95" t="str">
        <f t="shared" si="18"/>
        <v>29</v>
      </c>
      <c r="C58" s="92" t="s">
        <v>136</v>
      </c>
      <c r="D58" s="167"/>
      <c r="E58" s="167"/>
      <c r="F58" s="167"/>
      <c r="G58" s="168"/>
      <c r="H58" s="168"/>
      <c r="I58" s="168"/>
    </row>
    <row r="59" spans="1:9" x14ac:dyDescent="0.2">
      <c r="A59" s="95">
        <f t="shared" si="0"/>
        <v>53</v>
      </c>
      <c r="B59" s="95" t="str">
        <f t="shared" si="18"/>
        <v>29</v>
      </c>
      <c r="C59" s="166" t="s">
        <v>137</v>
      </c>
      <c r="D59" s="167">
        <v>1930.0063459782345</v>
      </c>
      <c r="E59" s="167">
        <v>1907.5395419748068</v>
      </c>
      <c r="F59" s="167">
        <v>1887.5913638261097</v>
      </c>
      <c r="G59" s="168"/>
      <c r="H59" s="168"/>
      <c r="I59" s="168"/>
    </row>
    <row r="60" spans="1:9" x14ac:dyDescent="0.2">
      <c r="A60" s="95">
        <f t="shared" si="0"/>
        <v>54</v>
      </c>
      <c r="B60" s="95" t="str">
        <f t="shared" si="18"/>
        <v>29</v>
      </c>
      <c r="C60" s="166" t="s">
        <v>138</v>
      </c>
      <c r="D60" s="170">
        <v>4478.2077617852719</v>
      </c>
      <c r="E60" s="170">
        <v>4451.6088366532149</v>
      </c>
      <c r="F60" s="170">
        <v>4425.0311555397293</v>
      </c>
      <c r="G60" s="168"/>
      <c r="H60" s="168"/>
      <c r="I60" s="168"/>
    </row>
    <row r="61" spans="1:9" x14ac:dyDescent="0.2">
      <c r="A61" s="95">
        <f t="shared" si="0"/>
        <v>55</v>
      </c>
      <c r="B61" s="95" t="str">
        <f t="shared" si="18"/>
        <v>29</v>
      </c>
      <c r="C61" s="173" t="s">
        <v>124</v>
      </c>
      <c r="D61" s="167">
        <f t="shared" ref="D61:E61" si="23">SUM(D59:D60)</f>
        <v>6408.214107763506</v>
      </c>
      <c r="E61" s="167">
        <f t="shared" si="23"/>
        <v>6359.1483786280214</v>
      </c>
      <c r="F61" s="167">
        <f t="shared" ref="F61" si="24">SUM(F59:F60)</f>
        <v>6312.6225193658393</v>
      </c>
      <c r="G61" s="168"/>
      <c r="H61" s="168"/>
      <c r="I61" s="168"/>
    </row>
    <row r="62" spans="1:9" x14ac:dyDescent="0.2">
      <c r="A62" s="95">
        <f t="shared" si="0"/>
        <v>56</v>
      </c>
      <c r="B62" s="95" t="str">
        <f t="shared" si="18"/>
        <v>29</v>
      </c>
      <c r="C62" s="173"/>
      <c r="D62" s="167"/>
      <c r="E62" s="167"/>
      <c r="F62" s="167"/>
      <c r="G62" s="168"/>
      <c r="H62" s="168"/>
      <c r="I62" s="168"/>
    </row>
    <row r="63" spans="1:9" x14ac:dyDescent="0.2">
      <c r="A63" s="95">
        <f t="shared" si="0"/>
        <v>57</v>
      </c>
      <c r="B63" s="95" t="str">
        <f t="shared" si="18"/>
        <v>29</v>
      </c>
      <c r="C63" s="92" t="s">
        <v>139</v>
      </c>
      <c r="D63" s="167">
        <v>370907.4209584801</v>
      </c>
      <c r="E63" s="167">
        <v>367759.22697090555</v>
      </c>
      <c r="F63" s="167">
        <v>365655.5514869201</v>
      </c>
      <c r="G63" s="168"/>
      <c r="H63" s="168"/>
      <c r="I63" s="168"/>
    </row>
    <row r="64" spans="1:9" x14ac:dyDescent="0.2">
      <c r="A64" s="95">
        <f t="shared" si="0"/>
        <v>58</v>
      </c>
      <c r="B64" s="95"/>
      <c r="D64" s="167"/>
      <c r="E64" s="167"/>
      <c r="F64" s="167"/>
      <c r="G64" s="168"/>
      <c r="H64" s="168"/>
      <c r="I64" s="168"/>
    </row>
    <row r="65" spans="1:9" x14ac:dyDescent="0.2">
      <c r="A65" s="95">
        <f t="shared" si="0"/>
        <v>59</v>
      </c>
      <c r="B65" s="164" t="s">
        <v>149</v>
      </c>
      <c r="C65" s="92" t="s">
        <v>121</v>
      </c>
      <c r="D65" s="167">
        <v>6202.4442010950715</v>
      </c>
      <c r="E65" s="167">
        <v>6204.1686709805881</v>
      </c>
      <c r="F65" s="167">
        <v>6205.388909905425</v>
      </c>
      <c r="G65" s="168"/>
      <c r="H65" s="168"/>
      <c r="I65" s="168"/>
    </row>
    <row r="66" spans="1:9" x14ac:dyDescent="0.2">
      <c r="A66" s="95">
        <f t="shared" si="0"/>
        <v>60</v>
      </c>
      <c r="B66" s="95" t="str">
        <f t="shared" si="18"/>
        <v>10 (31)</v>
      </c>
      <c r="C66" s="176" t="s">
        <v>125</v>
      </c>
      <c r="D66" s="165"/>
      <c r="G66" s="168"/>
      <c r="H66" s="168"/>
      <c r="I66" s="168"/>
    </row>
    <row r="67" spans="1:9" x14ac:dyDescent="0.2">
      <c r="A67" s="95">
        <f t="shared" si="0"/>
        <v>61</v>
      </c>
      <c r="B67" s="95" t="str">
        <f t="shared" si="18"/>
        <v>10 (31)</v>
      </c>
      <c r="C67" s="166" t="s">
        <v>141</v>
      </c>
      <c r="D67" s="167">
        <v>1420672283.0757728</v>
      </c>
      <c r="E67" s="167">
        <v>1423586019.4788036</v>
      </c>
      <c r="F67" s="167">
        <v>1411297972.0883911</v>
      </c>
      <c r="G67" s="168"/>
      <c r="H67" s="168"/>
      <c r="I67" s="168"/>
    </row>
    <row r="68" spans="1:9" x14ac:dyDescent="0.2">
      <c r="A68" s="95">
        <f t="shared" si="0"/>
        <v>62</v>
      </c>
      <c r="B68" s="95" t="str">
        <f t="shared" si="18"/>
        <v>10 (31)</v>
      </c>
      <c r="C68" s="92" t="s">
        <v>136</v>
      </c>
      <c r="D68" s="167"/>
      <c r="E68" s="167"/>
      <c r="F68" s="167"/>
      <c r="G68" s="168"/>
      <c r="H68" s="168"/>
      <c r="I68" s="168"/>
    </row>
    <row r="69" spans="1:9" x14ac:dyDescent="0.2">
      <c r="A69" s="95">
        <f t="shared" si="0"/>
        <v>63</v>
      </c>
      <c r="B69" s="95" t="str">
        <f t="shared" si="18"/>
        <v>10 (31)</v>
      </c>
      <c r="C69" s="166" t="s">
        <v>142</v>
      </c>
      <c r="D69" s="167">
        <v>1651837.5070190891</v>
      </c>
      <c r="E69" s="167">
        <v>1651193.2087693459</v>
      </c>
      <c r="F69" s="167">
        <v>1628246.7702424303</v>
      </c>
      <c r="G69" s="168"/>
      <c r="H69" s="168"/>
      <c r="I69" s="168"/>
    </row>
    <row r="70" spans="1:9" x14ac:dyDescent="0.2">
      <c r="A70" s="95">
        <f t="shared" si="0"/>
        <v>64</v>
      </c>
      <c r="B70" s="95" t="str">
        <f t="shared" si="18"/>
        <v>10 (31)</v>
      </c>
      <c r="C70" s="166" t="s">
        <v>143</v>
      </c>
      <c r="D70" s="170">
        <v>1724722.6429112144</v>
      </c>
      <c r="E70" s="170">
        <v>1732799.8620059723</v>
      </c>
      <c r="F70" s="170">
        <v>1716510.700624756</v>
      </c>
      <c r="G70" s="168"/>
      <c r="H70" s="168"/>
      <c r="I70" s="168"/>
    </row>
    <row r="71" spans="1:9" x14ac:dyDescent="0.2">
      <c r="A71" s="95">
        <f t="shared" si="0"/>
        <v>65</v>
      </c>
      <c r="B71" s="95" t="str">
        <f t="shared" si="18"/>
        <v>10 (31)</v>
      </c>
      <c r="C71" s="173" t="s">
        <v>124</v>
      </c>
      <c r="D71" s="167">
        <f t="shared" ref="D71:E71" si="25">SUM(D69:D70)</f>
        <v>3376560.1499303035</v>
      </c>
      <c r="E71" s="167">
        <f t="shared" si="25"/>
        <v>3383993.070775318</v>
      </c>
      <c r="F71" s="167">
        <f t="shared" ref="F71" si="26">SUM(F69:F70)</f>
        <v>3344757.4708671863</v>
      </c>
      <c r="G71" s="168"/>
      <c r="H71" s="168"/>
      <c r="I71" s="168"/>
    </row>
    <row r="72" spans="1:9" x14ac:dyDescent="0.2">
      <c r="A72" s="95">
        <f t="shared" si="0"/>
        <v>66</v>
      </c>
      <c r="B72" s="95" t="str">
        <f t="shared" si="18"/>
        <v>10 (31)</v>
      </c>
      <c r="C72" s="173"/>
      <c r="D72" s="167"/>
      <c r="E72" s="167"/>
      <c r="F72" s="167"/>
      <c r="G72" s="168"/>
      <c r="H72" s="168"/>
      <c r="I72" s="168"/>
    </row>
    <row r="73" spans="1:9" x14ac:dyDescent="0.2">
      <c r="A73" s="95">
        <f t="shared" ref="A73:A131" si="27">+A72+1</f>
        <v>67</v>
      </c>
      <c r="B73" s="95" t="str">
        <f t="shared" si="18"/>
        <v>10 (31)</v>
      </c>
      <c r="C73" s="92" t="s">
        <v>139</v>
      </c>
      <c r="D73" s="167">
        <v>673245068.02675438</v>
      </c>
      <c r="E73" s="167">
        <v>674772184.38809776</v>
      </c>
      <c r="F73" s="167">
        <v>668722379.85534632</v>
      </c>
      <c r="G73" s="168"/>
      <c r="H73" s="168"/>
      <c r="I73" s="168"/>
    </row>
    <row r="74" spans="1:9" x14ac:dyDescent="0.2">
      <c r="A74" s="95">
        <f t="shared" si="27"/>
        <v>68</v>
      </c>
      <c r="D74" s="167"/>
      <c r="E74" s="167"/>
      <c r="F74" s="167"/>
      <c r="G74" s="168"/>
      <c r="H74" s="168"/>
      <c r="I74" s="168"/>
    </row>
    <row r="75" spans="1:9" x14ac:dyDescent="0.2">
      <c r="A75" s="95">
        <f t="shared" si="27"/>
        <v>69</v>
      </c>
      <c r="B75" s="164" t="s">
        <v>150</v>
      </c>
      <c r="C75" s="92" t="s">
        <v>121</v>
      </c>
      <c r="D75" s="167">
        <v>15.333333333333336</v>
      </c>
      <c r="E75" s="167">
        <v>15.333333333333336</v>
      </c>
      <c r="F75" s="167">
        <v>15.333333333333336</v>
      </c>
      <c r="G75" s="168"/>
      <c r="H75" s="168"/>
      <c r="I75" s="168"/>
    </row>
    <row r="76" spans="1:9" x14ac:dyDescent="0.2">
      <c r="A76" s="95">
        <f t="shared" si="27"/>
        <v>70</v>
      </c>
      <c r="B76" s="95" t="str">
        <f t="shared" ref="B76:B82" si="28">+B75</f>
        <v>35</v>
      </c>
      <c r="C76" s="176" t="s">
        <v>125</v>
      </c>
      <c r="D76" s="165"/>
      <c r="G76" s="168"/>
      <c r="H76" s="168"/>
      <c r="I76" s="168"/>
    </row>
    <row r="77" spans="1:9" x14ac:dyDescent="0.2">
      <c r="A77" s="95">
        <f t="shared" si="27"/>
        <v>71</v>
      </c>
      <c r="B77" s="95" t="str">
        <f t="shared" si="28"/>
        <v>35</v>
      </c>
      <c r="C77" s="166" t="s">
        <v>141</v>
      </c>
      <c r="D77" s="167">
        <v>4440266.6219169199</v>
      </c>
      <c r="E77" s="167">
        <v>4407260.1568774413</v>
      </c>
      <c r="F77" s="167">
        <v>4380281.1514552524</v>
      </c>
      <c r="G77" s="168"/>
      <c r="H77" s="168"/>
      <c r="I77" s="168"/>
    </row>
    <row r="78" spans="1:9" x14ac:dyDescent="0.2">
      <c r="A78" s="95">
        <f t="shared" si="27"/>
        <v>72</v>
      </c>
      <c r="B78" s="95" t="str">
        <f t="shared" si="28"/>
        <v>35</v>
      </c>
      <c r="C78" s="92" t="s">
        <v>136</v>
      </c>
      <c r="D78" s="167"/>
      <c r="E78" s="167"/>
      <c r="F78" s="167"/>
      <c r="G78" s="168"/>
      <c r="H78" s="168"/>
      <c r="I78" s="168"/>
    </row>
    <row r="79" spans="1:9" x14ac:dyDescent="0.2">
      <c r="A79" s="95">
        <f t="shared" si="27"/>
        <v>73</v>
      </c>
      <c r="B79" s="95" t="str">
        <f t="shared" si="28"/>
        <v>35</v>
      </c>
      <c r="C79" s="166" t="s">
        <v>142</v>
      </c>
      <c r="D79" s="167">
        <v>2151.6789229381457</v>
      </c>
      <c r="E79" s="167">
        <v>2128.9361059551925</v>
      </c>
      <c r="F79" s="167">
        <v>2115.8748434374315</v>
      </c>
      <c r="G79" s="168"/>
      <c r="H79" s="168"/>
      <c r="I79" s="168"/>
    </row>
    <row r="80" spans="1:9" x14ac:dyDescent="0.2">
      <c r="A80" s="95">
        <f t="shared" si="27"/>
        <v>74</v>
      </c>
      <c r="B80" s="95" t="str">
        <f t="shared" si="28"/>
        <v>35</v>
      </c>
      <c r="C80" s="166" t="s">
        <v>143</v>
      </c>
      <c r="D80" s="170">
        <v>6104.6412664599275</v>
      </c>
      <c r="E80" s="170">
        <v>6067.4318320259426</v>
      </c>
      <c r="F80" s="170">
        <v>6030.4348333722037</v>
      </c>
      <c r="G80" s="168"/>
      <c r="H80" s="168"/>
      <c r="I80" s="168"/>
    </row>
    <row r="81" spans="1:9" x14ac:dyDescent="0.2">
      <c r="A81" s="95">
        <f t="shared" si="27"/>
        <v>75</v>
      </c>
      <c r="B81" s="95" t="str">
        <f t="shared" si="28"/>
        <v>35</v>
      </c>
      <c r="C81" s="173" t="s">
        <v>124</v>
      </c>
      <c r="D81" s="167">
        <f t="shared" ref="D81:E81" si="29">SUM(D79:D80)</f>
        <v>8256.3201893980731</v>
      </c>
      <c r="E81" s="167">
        <f t="shared" si="29"/>
        <v>8196.3679379811347</v>
      </c>
      <c r="F81" s="167">
        <f t="shared" ref="F81" si="30">SUM(F79:F80)</f>
        <v>8146.3096768096348</v>
      </c>
      <c r="G81" s="168"/>
      <c r="H81" s="168"/>
      <c r="I81" s="168"/>
    </row>
    <row r="82" spans="1:9" x14ac:dyDescent="0.2">
      <c r="A82" s="95">
        <f t="shared" si="27"/>
        <v>76</v>
      </c>
      <c r="B82" s="95" t="str">
        <f t="shared" si="28"/>
        <v>35</v>
      </c>
      <c r="C82" s="173"/>
      <c r="D82" s="167"/>
      <c r="E82" s="167"/>
      <c r="F82" s="167"/>
      <c r="G82" s="168"/>
      <c r="H82" s="168"/>
      <c r="I82" s="168"/>
    </row>
    <row r="83" spans="1:9" x14ac:dyDescent="0.2">
      <c r="A83" s="95">
        <f t="shared" si="27"/>
        <v>77</v>
      </c>
      <c r="B83" s="95" t="str">
        <f>+B81</f>
        <v>35</v>
      </c>
      <c r="C83" s="92" t="s">
        <v>139</v>
      </c>
      <c r="D83" s="167">
        <v>2395004.219576173</v>
      </c>
      <c r="E83" s="167">
        <v>2377596.2053471482</v>
      </c>
      <c r="F83" s="167">
        <v>2362758.1274313945</v>
      </c>
      <c r="G83" s="168"/>
      <c r="H83" s="168"/>
      <c r="I83" s="168"/>
    </row>
    <row r="84" spans="1:9" x14ac:dyDescent="0.2">
      <c r="A84" s="95">
        <f t="shared" si="27"/>
        <v>78</v>
      </c>
      <c r="D84" s="167"/>
      <c r="E84" s="167"/>
      <c r="F84" s="167"/>
      <c r="G84" s="168"/>
      <c r="H84" s="168"/>
      <c r="I84" s="168"/>
    </row>
    <row r="85" spans="1:9" x14ac:dyDescent="0.2">
      <c r="A85" s="95">
        <f t="shared" si="27"/>
        <v>79</v>
      </c>
      <c r="B85" s="164" t="s">
        <v>151</v>
      </c>
      <c r="C85" s="92" t="s">
        <v>121</v>
      </c>
      <c r="D85" s="167">
        <v>1731.6422254503198</v>
      </c>
      <c r="E85" s="167">
        <v>1722.2989947704825</v>
      </c>
      <c r="F85" s="167">
        <v>1712.9557640906451</v>
      </c>
      <c r="G85" s="168"/>
      <c r="H85" s="168"/>
      <c r="I85" s="168"/>
    </row>
    <row r="86" spans="1:9" x14ac:dyDescent="0.2">
      <c r="A86" s="95">
        <f t="shared" si="27"/>
        <v>80</v>
      </c>
      <c r="B86" s="95" t="str">
        <f t="shared" ref="B86:B91" si="31">+B85</f>
        <v>43</v>
      </c>
      <c r="C86" s="176" t="s">
        <v>125</v>
      </c>
      <c r="D86" s="165"/>
      <c r="G86" s="168"/>
      <c r="H86" s="168"/>
      <c r="I86" s="168"/>
    </row>
    <row r="87" spans="1:9" x14ac:dyDescent="0.2">
      <c r="A87" s="95">
        <f t="shared" si="27"/>
        <v>81</v>
      </c>
      <c r="B87" s="95" t="str">
        <f t="shared" si="31"/>
        <v>43</v>
      </c>
      <c r="C87" s="166" t="s">
        <v>141</v>
      </c>
      <c r="D87" s="167">
        <v>123233807.4336848</v>
      </c>
      <c r="E87" s="167">
        <v>122267424.6450724</v>
      </c>
      <c r="F87" s="167">
        <v>121633779.10385114</v>
      </c>
      <c r="G87" s="168"/>
      <c r="H87" s="168"/>
      <c r="I87" s="168"/>
    </row>
    <row r="88" spans="1:9" x14ac:dyDescent="0.2">
      <c r="A88" s="95">
        <f t="shared" si="27"/>
        <v>82</v>
      </c>
      <c r="B88" s="95" t="str">
        <f t="shared" si="31"/>
        <v>43</v>
      </c>
      <c r="C88" s="92" t="s">
        <v>136</v>
      </c>
      <c r="D88" s="167"/>
      <c r="E88" s="167"/>
      <c r="F88" s="167"/>
      <c r="G88" s="168"/>
      <c r="H88" s="168"/>
      <c r="I88" s="168"/>
    </row>
    <row r="89" spans="1:9" x14ac:dyDescent="0.2">
      <c r="A89" s="95">
        <f t="shared" si="27"/>
        <v>83</v>
      </c>
      <c r="B89" s="95" t="str">
        <f t="shared" si="31"/>
        <v>43</v>
      </c>
      <c r="C89" s="177" t="s">
        <v>152</v>
      </c>
      <c r="D89" s="167">
        <v>583433.70822105429</v>
      </c>
      <c r="E89" s="167">
        <v>579230.53698067076</v>
      </c>
      <c r="F89" s="167">
        <v>573967.09159726952</v>
      </c>
      <c r="G89" s="168"/>
      <c r="H89" s="168"/>
      <c r="I89" s="168"/>
    </row>
    <row r="90" spans="1:9" x14ac:dyDescent="0.2">
      <c r="A90" s="95">
        <f t="shared" si="27"/>
        <v>84</v>
      </c>
      <c r="B90" s="95" t="str">
        <f t="shared" si="31"/>
        <v>43</v>
      </c>
      <c r="C90" s="177"/>
      <c r="D90" s="167"/>
      <c r="E90" s="167"/>
      <c r="F90" s="167"/>
      <c r="G90" s="168"/>
      <c r="H90" s="168"/>
      <c r="I90" s="168"/>
    </row>
    <row r="91" spans="1:9" x14ac:dyDescent="0.2">
      <c r="A91" s="95">
        <f t="shared" si="27"/>
        <v>85</v>
      </c>
      <c r="B91" s="95" t="str">
        <f t="shared" si="31"/>
        <v>43</v>
      </c>
      <c r="C91" s="92" t="s">
        <v>139</v>
      </c>
      <c r="D91" s="167">
        <v>43351806.187073618</v>
      </c>
      <c r="E91" s="167">
        <v>43019225.850606829</v>
      </c>
      <c r="F91" s="167">
        <v>42788268.319944575</v>
      </c>
      <c r="G91" s="168"/>
      <c r="H91" s="168"/>
      <c r="I91" s="168"/>
    </row>
    <row r="92" spans="1:9" x14ac:dyDescent="0.2">
      <c r="A92" s="95">
        <f t="shared" si="27"/>
        <v>86</v>
      </c>
      <c r="D92" s="167"/>
      <c r="E92" s="167"/>
      <c r="F92" s="167"/>
      <c r="G92" s="168"/>
      <c r="H92" s="168"/>
      <c r="I92" s="168"/>
    </row>
    <row r="93" spans="1:9" x14ac:dyDescent="0.2">
      <c r="A93" s="95">
        <f t="shared" si="27"/>
        <v>87</v>
      </c>
      <c r="B93" s="164" t="s">
        <v>153</v>
      </c>
      <c r="C93" s="176" t="s">
        <v>125</v>
      </c>
      <c r="D93" s="165"/>
      <c r="G93" s="168"/>
      <c r="H93" s="168"/>
      <c r="I93" s="168"/>
    </row>
    <row r="94" spans="1:9" x14ac:dyDescent="0.2">
      <c r="A94" s="95">
        <f t="shared" si="27"/>
        <v>88</v>
      </c>
      <c r="B94" s="95" t="str">
        <f t="shared" ref="B94:B96" si="32">+B93</f>
        <v>46</v>
      </c>
      <c r="C94" s="166" t="s">
        <v>141</v>
      </c>
      <c r="D94" s="167">
        <v>97204322.458226442</v>
      </c>
      <c r="E94" s="167">
        <v>96933187.043131709</v>
      </c>
      <c r="F94" s="167">
        <v>96918964.527943105</v>
      </c>
      <c r="G94" s="168"/>
      <c r="H94" s="168"/>
      <c r="I94" s="168"/>
    </row>
    <row r="95" spans="1:9" x14ac:dyDescent="0.2">
      <c r="A95" s="95">
        <f t="shared" si="27"/>
        <v>89</v>
      </c>
      <c r="B95" s="95" t="str">
        <f t="shared" si="32"/>
        <v>46</v>
      </c>
      <c r="C95" s="92" t="s">
        <v>136</v>
      </c>
      <c r="D95" s="167"/>
      <c r="E95" s="167"/>
      <c r="F95" s="167"/>
      <c r="G95" s="168"/>
      <c r="H95" s="168"/>
      <c r="I95" s="168"/>
    </row>
    <row r="96" spans="1:9" x14ac:dyDescent="0.2">
      <c r="A96" s="95">
        <f t="shared" si="27"/>
        <v>90</v>
      </c>
      <c r="B96" s="95" t="str">
        <f t="shared" si="32"/>
        <v>46</v>
      </c>
      <c r="C96" s="177" t="s">
        <v>154</v>
      </c>
      <c r="D96" s="167">
        <v>456104.64445935236</v>
      </c>
      <c r="E96" s="167">
        <v>454913.76433003857</v>
      </c>
      <c r="F96" s="167">
        <v>453901.97661419428</v>
      </c>
      <c r="G96" s="168"/>
      <c r="H96" s="168"/>
      <c r="I96" s="168"/>
    </row>
    <row r="97" spans="1:9" x14ac:dyDescent="0.2">
      <c r="A97" s="95">
        <f t="shared" si="27"/>
        <v>91</v>
      </c>
      <c r="D97" s="167"/>
      <c r="E97" s="167"/>
      <c r="F97" s="167"/>
      <c r="G97" s="168"/>
      <c r="H97" s="168"/>
      <c r="I97" s="168"/>
    </row>
    <row r="98" spans="1:9" x14ac:dyDescent="0.2">
      <c r="A98" s="95">
        <f t="shared" si="27"/>
        <v>92</v>
      </c>
      <c r="B98" s="164" t="s">
        <v>155</v>
      </c>
      <c r="C98" s="176" t="s">
        <v>125</v>
      </c>
      <c r="D98" s="165"/>
      <c r="G98" s="168"/>
      <c r="H98" s="168"/>
      <c r="I98" s="168"/>
    </row>
    <row r="99" spans="1:9" x14ac:dyDescent="0.2">
      <c r="A99" s="95">
        <f t="shared" si="27"/>
        <v>93</v>
      </c>
      <c r="B99" s="95" t="str">
        <f t="shared" ref="B99:B101" si="33">+B98</f>
        <v>49</v>
      </c>
      <c r="C99" s="166" t="s">
        <v>141</v>
      </c>
      <c r="D99" s="167">
        <v>536308452.81444013</v>
      </c>
      <c r="E99" s="167">
        <v>534843226.30681556</v>
      </c>
      <c r="F99" s="167">
        <v>534899242.67952603</v>
      </c>
      <c r="G99" s="168"/>
      <c r="H99" s="168"/>
      <c r="I99" s="168"/>
    </row>
    <row r="100" spans="1:9" x14ac:dyDescent="0.2">
      <c r="A100" s="95">
        <f t="shared" si="27"/>
        <v>94</v>
      </c>
      <c r="B100" s="95" t="str">
        <f t="shared" si="33"/>
        <v>49</v>
      </c>
      <c r="C100" s="92" t="s">
        <v>136</v>
      </c>
      <c r="D100" s="167"/>
      <c r="E100" s="167"/>
      <c r="F100" s="167"/>
      <c r="G100" s="168"/>
      <c r="H100" s="168"/>
      <c r="I100" s="168"/>
    </row>
    <row r="101" spans="1:9" x14ac:dyDescent="0.2">
      <c r="A101" s="95">
        <f t="shared" si="27"/>
        <v>95</v>
      </c>
      <c r="B101" s="95" t="str">
        <f t="shared" si="33"/>
        <v>49</v>
      </c>
      <c r="C101" s="177" t="s">
        <v>154</v>
      </c>
      <c r="D101" s="167">
        <v>1328551.630561125</v>
      </c>
      <c r="E101" s="167">
        <v>1325042.9814690738</v>
      </c>
      <c r="F101" s="167">
        <v>1321250.3262371249</v>
      </c>
      <c r="G101" s="168"/>
      <c r="H101" s="168"/>
      <c r="I101" s="168"/>
    </row>
    <row r="102" spans="1:9" x14ac:dyDescent="0.2">
      <c r="A102" s="95">
        <f t="shared" si="27"/>
        <v>96</v>
      </c>
      <c r="D102" s="167"/>
      <c r="E102" s="167"/>
      <c r="F102" s="167"/>
      <c r="G102" s="168"/>
      <c r="H102" s="168"/>
      <c r="I102" s="168"/>
    </row>
    <row r="103" spans="1:9" x14ac:dyDescent="0.2">
      <c r="A103" s="95">
        <f t="shared" si="27"/>
        <v>97</v>
      </c>
      <c r="B103" s="164" t="s">
        <v>156</v>
      </c>
      <c r="C103" s="176" t="s">
        <v>125</v>
      </c>
      <c r="D103" s="165"/>
      <c r="G103" s="168"/>
      <c r="H103" s="168"/>
      <c r="I103" s="168"/>
    </row>
    <row r="104" spans="1:9" x14ac:dyDescent="0.2">
      <c r="A104" s="95">
        <f t="shared" si="27"/>
        <v>98</v>
      </c>
      <c r="B104" s="95" t="str">
        <f t="shared" ref="B104:B108" si="34">+B103</f>
        <v>Firm Resale</v>
      </c>
      <c r="C104" s="166" t="s">
        <v>141</v>
      </c>
      <c r="D104" s="167">
        <v>6782580.058544145</v>
      </c>
      <c r="E104" s="167">
        <v>6714960.2368700616</v>
      </c>
      <c r="F104" s="167">
        <v>6710049.8818741431</v>
      </c>
      <c r="G104" s="168"/>
      <c r="H104" s="168"/>
      <c r="I104" s="168"/>
    </row>
    <row r="105" spans="1:9" x14ac:dyDescent="0.2">
      <c r="A105" s="95">
        <f t="shared" si="27"/>
        <v>99</v>
      </c>
      <c r="B105" s="95" t="str">
        <f t="shared" si="34"/>
        <v>Firm Resale</v>
      </c>
      <c r="C105" s="92" t="s">
        <v>136</v>
      </c>
      <c r="D105" s="167"/>
      <c r="E105" s="167"/>
      <c r="F105" s="167"/>
      <c r="G105" s="168"/>
      <c r="H105" s="168"/>
      <c r="I105" s="168"/>
    </row>
    <row r="106" spans="1:9" x14ac:dyDescent="0.2">
      <c r="A106" s="95">
        <f t="shared" si="27"/>
        <v>100</v>
      </c>
      <c r="B106" s="95" t="str">
        <f t="shared" si="34"/>
        <v>Firm Resale</v>
      </c>
      <c r="C106" s="177" t="s">
        <v>152</v>
      </c>
      <c r="D106" s="167">
        <v>13521.918615215367</v>
      </c>
      <c r="E106" s="167">
        <v>13394.355918136085</v>
      </c>
      <c r="F106" s="167">
        <v>13319.835934941628</v>
      </c>
      <c r="G106" s="168"/>
      <c r="H106" s="168"/>
      <c r="I106" s="168"/>
    </row>
    <row r="107" spans="1:9" x14ac:dyDescent="0.2">
      <c r="A107" s="95">
        <f t="shared" si="27"/>
        <v>101</v>
      </c>
      <c r="B107" s="95" t="str">
        <f t="shared" si="34"/>
        <v>Firm Resale</v>
      </c>
      <c r="C107" s="177"/>
      <c r="D107" s="167"/>
      <c r="E107" s="167"/>
      <c r="F107" s="167"/>
      <c r="G107" s="168"/>
      <c r="H107" s="168"/>
      <c r="I107" s="168"/>
    </row>
    <row r="108" spans="1:9" x14ac:dyDescent="0.2">
      <c r="A108" s="95">
        <f t="shared" si="27"/>
        <v>102</v>
      </c>
      <c r="B108" s="95" t="str">
        <f t="shared" si="34"/>
        <v>Firm Resale</v>
      </c>
      <c r="C108" s="92" t="s">
        <v>139</v>
      </c>
      <c r="D108" s="167">
        <v>1742289.2720894238</v>
      </c>
      <c r="E108" s="167">
        <v>1725954.2492423062</v>
      </c>
      <c r="F108" s="167">
        <v>1723920.2776531272</v>
      </c>
      <c r="G108" s="168"/>
      <c r="H108" s="168"/>
      <c r="I108" s="168"/>
    </row>
    <row r="109" spans="1:9" x14ac:dyDescent="0.2">
      <c r="A109" s="95">
        <f t="shared" si="27"/>
        <v>103</v>
      </c>
      <c r="D109" s="167"/>
      <c r="E109" s="167"/>
      <c r="F109" s="167"/>
      <c r="G109" s="168"/>
      <c r="H109" s="168"/>
      <c r="I109" s="168"/>
    </row>
    <row r="110" spans="1:9" x14ac:dyDescent="0.2">
      <c r="A110" s="95">
        <f t="shared" si="27"/>
        <v>104</v>
      </c>
      <c r="B110" s="164" t="s">
        <v>157</v>
      </c>
      <c r="C110" s="92" t="s">
        <v>158</v>
      </c>
      <c r="D110" s="167">
        <v>240</v>
      </c>
      <c r="E110" s="167">
        <v>240</v>
      </c>
      <c r="F110" s="167">
        <v>240</v>
      </c>
      <c r="G110" s="168"/>
      <c r="H110" s="168"/>
      <c r="I110" s="168"/>
    </row>
    <row r="111" spans="1:9" x14ac:dyDescent="0.2">
      <c r="A111" s="95">
        <f t="shared" si="27"/>
        <v>105</v>
      </c>
      <c r="B111" s="95" t="str">
        <f>+B110</f>
        <v>449/459</v>
      </c>
      <c r="C111" s="92" t="s">
        <v>159</v>
      </c>
      <c r="D111" s="167">
        <v>1974226062.8649659</v>
      </c>
      <c r="E111" s="167">
        <v>1967511960.3194919</v>
      </c>
      <c r="F111" s="167">
        <v>1964993565.6779518</v>
      </c>
      <c r="G111" s="168"/>
      <c r="H111" s="168"/>
      <c r="I111" s="168"/>
    </row>
    <row r="112" spans="1:9" x14ac:dyDescent="0.2">
      <c r="A112" s="95">
        <f t="shared" si="27"/>
        <v>106</v>
      </c>
      <c r="D112" s="167"/>
      <c r="E112" s="167"/>
      <c r="F112" s="167"/>
      <c r="G112" s="168"/>
      <c r="H112" s="168"/>
      <c r="I112" s="168"/>
    </row>
    <row r="113" spans="1:11" x14ac:dyDescent="0.2">
      <c r="A113" s="95">
        <f t="shared" si="27"/>
        <v>107</v>
      </c>
      <c r="B113" s="164" t="s">
        <v>160</v>
      </c>
      <c r="C113" s="92" t="s">
        <v>158</v>
      </c>
      <c r="D113" s="167">
        <v>1090.9765698219305</v>
      </c>
      <c r="E113" s="167">
        <v>1090.9765698219305</v>
      </c>
      <c r="F113" s="167">
        <v>1090.9765698219305</v>
      </c>
      <c r="G113" s="168"/>
      <c r="H113" s="168"/>
      <c r="I113" s="168"/>
    </row>
    <row r="114" spans="1:11" x14ac:dyDescent="0.2">
      <c r="A114" s="95">
        <f t="shared" si="27"/>
        <v>108</v>
      </c>
      <c r="B114" s="95" t="str">
        <f>+B113</f>
        <v>Special Contract</v>
      </c>
      <c r="C114" s="92" t="s">
        <v>159</v>
      </c>
      <c r="D114" s="167">
        <v>304641655.46200001</v>
      </c>
      <c r="E114" s="167">
        <v>304773055.46200001</v>
      </c>
      <c r="F114" s="167">
        <v>304773055.46200001</v>
      </c>
      <c r="G114" s="168"/>
      <c r="H114" s="168"/>
      <c r="I114" s="168"/>
    </row>
    <row r="115" spans="1:11" x14ac:dyDescent="0.2">
      <c r="A115" s="95">
        <f t="shared" si="27"/>
        <v>109</v>
      </c>
      <c r="B115" s="95" t="str">
        <f>+B114</f>
        <v>Special Contract</v>
      </c>
      <c r="C115" s="92" t="s">
        <v>161</v>
      </c>
      <c r="D115" s="167">
        <v>723020.96316947986</v>
      </c>
      <c r="E115" s="167">
        <v>698637.83258738962</v>
      </c>
      <c r="F115" s="167">
        <v>774721.53188225022</v>
      </c>
      <c r="G115" s="168"/>
      <c r="H115" s="168"/>
      <c r="I115" s="168"/>
    </row>
    <row r="116" spans="1:11" x14ac:dyDescent="0.2">
      <c r="A116" s="95">
        <f t="shared" si="27"/>
        <v>110</v>
      </c>
      <c r="B116" s="95"/>
      <c r="D116" s="167"/>
      <c r="E116" s="167"/>
      <c r="F116" s="167"/>
      <c r="G116" s="168"/>
      <c r="H116" s="168"/>
      <c r="I116" s="168"/>
    </row>
    <row r="117" spans="1:11" x14ac:dyDescent="0.2">
      <c r="A117" s="95">
        <f t="shared" si="27"/>
        <v>111</v>
      </c>
      <c r="B117" s="164" t="s">
        <v>162</v>
      </c>
      <c r="C117" s="92" t="s">
        <v>159</v>
      </c>
      <c r="D117" s="167">
        <v>67490752.881634608</v>
      </c>
      <c r="E117" s="167">
        <v>67255417.982360825</v>
      </c>
      <c r="F117" s="167">
        <v>67027608.143863305</v>
      </c>
      <c r="G117" s="168"/>
      <c r="H117" s="168"/>
      <c r="I117" s="168"/>
    </row>
    <row r="118" spans="1:11" x14ac:dyDescent="0.2">
      <c r="A118" s="95">
        <f t="shared" si="27"/>
        <v>112</v>
      </c>
      <c r="D118" s="167"/>
      <c r="E118" s="167"/>
      <c r="F118" s="167"/>
      <c r="G118" s="168"/>
      <c r="H118" s="168"/>
      <c r="I118" s="168"/>
    </row>
    <row r="119" spans="1:11" x14ac:dyDescent="0.2">
      <c r="A119" s="95">
        <f t="shared" si="27"/>
        <v>113</v>
      </c>
      <c r="D119" s="167"/>
      <c r="E119" s="167"/>
      <c r="F119" s="167"/>
      <c r="G119" s="168"/>
      <c r="H119" s="168"/>
      <c r="I119" s="168"/>
    </row>
    <row r="120" spans="1:11" x14ac:dyDescent="0.2">
      <c r="A120" s="95">
        <f t="shared" si="27"/>
        <v>114</v>
      </c>
      <c r="C120" s="158" t="s">
        <v>163</v>
      </c>
      <c r="D120" s="178">
        <f>SUM(D14,D23,D30,D40,D57,D67,D77,D87,D94,D99,D104,D111,D114,D117)</f>
        <v>23469824765.302456</v>
      </c>
      <c r="E120" s="178">
        <f>SUM(E14,E23,E30,E40,E57,E67,E77,E87,E94,E99,E104,E111,E114,E117)</f>
        <v>23558158394.432896</v>
      </c>
      <c r="F120" s="178">
        <f>SUM(F14,F23,F30,F40,F57,F67,F77,F87,F94,F99,F104,F111,F114,F117)</f>
        <v>23775605944.94062</v>
      </c>
      <c r="G120" s="168"/>
      <c r="H120" s="168"/>
      <c r="I120" s="168"/>
    </row>
    <row r="121" spans="1:11" x14ac:dyDescent="0.2">
      <c r="A121" s="95">
        <f t="shared" si="27"/>
        <v>115</v>
      </c>
      <c r="C121" s="158" t="s">
        <v>164</v>
      </c>
      <c r="D121" s="178">
        <f>SUM(D34,D44,D61,D71,D81,D89,D96,D101,D106,D115)</f>
        <v>15840614.325480627</v>
      </c>
      <c r="E121" s="178">
        <f>SUM(E34,E44,E61,E71,E81,E89,E96,E101,E106,E115)</f>
        <v>15931928.352352697</v>
      </c>
      <c r="F121" s="178">
        <f>SUM(F34,F44,F61,F71,F81,F89,F96,F101,F106,F115)</f>
        <v>16044017.39101528</v>
      </c>
      <c r="G121" s="168"/>
      <c r="H121" s="168"/>
      <c r="I121" s="168"/>
    </row>
    <row r="122" spans="1:11" x14ac:dyDescent="0.2">
      <c r="A122" s="95">
        <f t="shared" si="27"/>
        <v>116</v>
      </c>
      <c r="E122" s="167"/>
      <c r="F122" s="167"/>
    </row>
    <row r="123" spans="1:11" x14ac:dyDescent="0.2">
      <c r="A123" s="95">
        <f t="shared" si="27"/>
        <v>117</v>
      </c>
      <c r="B123" s="179" t="s">
        <v>165</v>
      </c>
      <c r="C123" s="179"/>
    </row>
    <row r="124" spans="1:11" x14ac:dyDescent="0.2">
      <c r="A124" s="95">
        <f t="shared" si="27"/>
        <v>118</v>
      </c>
      <c r="C124" s="180" t="s">
        <v>166</v>
      </c>
      <c r="D124" s="181">
        <v>748526712.86500001</v>
      </c>
      <c r="E124" s="178">
        <f>D124</f>
        <v>748526712.86500001</v>
      </c>
      <c r="F124" s="178">
        <f>E124</f>
        <v>748526712.86500001</v>
      </c>
      <c r="G124" s="165"/>
      <c r="H124" s="165"/>
      <c r="I124" s="165"/>
      <c r="J124" s="165"/>
      <c r="K124" s="165"/>
    </row>
    <row r="125" spans="1:11" x14ac:dyDescent="0.2">
      <c r="A125" s="95">
        <f t="shared" si="27"/>
        <v>119</v>
      </c>
      <c r="B125" s="182"/>
      <c r="C125" s="180" t="s">
        <v>167</v>
      </c>
      <c r="D125" s="178">
        <f>D114</f>
        <v>304641655.46200001</v>
      </c>
      <c r="E125" s="178">
        <f>E114</f>
        <v>304773055.46200001</v>
      </c>
      <c r="F125" s="178">
        <f>F114</f>
        <v>304773055.46200001</v>
      </c>
      <c r="G125" s="165"/>
      <c r="H125" s="165"/>
      <c r="I125" s="165"/>
      <c r="J125" s="165"/>
      <c r="K125" s="165"/>
    </row>
    <row r="126" spans="1:11" x14ac:dyDescent="0.2">
      <c r="A126" s="95">
        <f t="shared" si="27"/>
        <v>120</v>
      </c>
      <c r="B126" s="182"/>
      <c r="C126" s="180" t="s">
        <v>168</v>
      </c>
      <c r="D126" s="178">
        <f>D111</f>
        <v>1974226062.8649659</v>
      </c>
      <c r="E126" s="178">
        <f>E111</f>
        <v>1967511960.3194919</v>
      </c>
      <c r="F126" s="178">
        <f>F111</f>
        <v>1964993565.6779518</v>
      </c>
      <c r="G126" s="165"/>
      <c r="H126" s="165"/>
      <c r="I126" s="165"/>
      <c r="J126" s="165"/>
      <c r="K126" s="165"/>
    </row>
    <row r="127" spans="1:11" ht="12" thickBot="1" x14ac:dyDescent="0.25">
      <c r="A127" s="95">
        <f t="shared" si="27"/>
        <v>121</v>
      </c>
      <c r="B127" s="182"/>
      <c r="C127" s="180" t="s">
        <v>169</v>
      </c>
      <c r="D127" s="183">
        <f>D120-SUM(D124:D126)</f>
        <v>20442430334.110489</v>
      </c>
      <c r="E127" s="183">
        <f>E120-SUM(E124:E126)</f>
        <v>20537346665.786404</v>
      </c>
      <c r="F127" s="189">
        <f>F120-SUM(F124:F126)</f>
        <v>20757312610.935669</v>
      </c>
      <c r="G127" s="165" t="s">
        <v>170</v>
      </c>
      <c r="H127" s="165"/>
      <c r="I127" s="165"/>
      <c r="J127" s="165"/>
      <c r="K127" s="165"/>
    </row>
    <row r="128" spans="1:11" ht="12" thickTop="1" x14ac:dyDescent="0.2">
      <c r="A128" s="95">
        <f t="shared" si="27"/>
        <v>122</v>
      </c>
      <c r="B128" s="165"/>
      <c r="C128" s="165"/>
      <c r="D128" s="178"/>
      <c r="E128" s="178"/>
      <c r="F128" s="178"/>
      <c r="G128" s="167"/>
      <c r="H128" s="165"/>
      <c r="I128" s="165"/>
      <c r="J128" s="165"/>
      <c r="K128" s="165"/>
    </row>
    <row r="129" spans="1:12" ht="12" thickBot="1" x14ac:dyDescent="0.25">
      <c r="A129" s="95">
        <f t="shared" si="27"/>
        <v>123</v>
      </c>
      <c r="B129" s="165"/>
      <c r="C129" s="180" t="s">
        <v>171</v>
      </c>
      <c r="D129" s="183">
        <f>+D127+D124</f>
        <v>21190957046.975491</v>
      </c>
      <c r="E129" s="183">
        <f t="shared" ref="E129:F129" si="35">+E127+E124</f>
        <v>21285873378.651405</v>
      </c>
      <c r="F129" s="189">
        <f t="shared" si="35"/>
        <v>21505839323.800671</v>
      </c>
      <c r="G129" s="165" t="s">
        <v>172</v>
      </c>
      <c r="H129" s="165"/>
      <c r="I129" s="165"/>
      <c r="J129" s="165"/>
      <c r="K129" s="165"/>
    </row>
    <row r="130" spans="1:12" ht="12.75" thickTop="1" thickBot="1" x14ac:dyDescent="0.25">
      <c r="A130" s="95">
        <f t="shared" si="27"/>
        <v>124</v>
      </c>
      <c r="B130" s="165"/>
      <c r="C130" s="180" t="s">
        <v>173</v>
      </c>
      <c r="D130" s="183">
        <f>+D129+SUM(D125:D126)</f>
        <v>23469824765.302456</v>
      </c>
      <c r="E130" s="183">
        <f t="shared" ref="E130:F130" si="36">+E129+SUM(E125:E126)</f>
        <v>23558158394.432896</v>
      </c>
      <c r="F130" s="183">
        <f t="shared" si="36"/>
        <v>23775605944.94062</v>
      </c>
      <c r="G130" s="165"/>
      <c r="H130" s="165"/>
    </row>
    <row r="131" spans="1:12" ht="12" thickTop="1" x14ac:dyDescent="0.2">
      <c r="A131" s="95">
        <f t="shared" si="27"/>
        <v>125</v>
      </c>
      <c r="C131" s="184" t="s">
        <v>174</v>
      </c>
      <c r="D131" s="168">
        <f>D120-D130</f>
        <v>0</v>
      </c>
      <c r="E131" s="168">
        <f>E120-E130</f>
        <v>0</v>
      </c>
      <c r="F131" s="168">
        <f>F120-F130</f>
        <v>0</v>
      </c>
    </row>
    <row r="132" spans="1:12" x14ac:dyDescent="0.2">
      <c r="E132" s="167"/>
      <c r="F132" s="167"/>
    </row>
    <row r="133" spans="1:12" x14ac:dyDescent="0.2">
      <c r="C133" s="185" t="s">
        <v>175</v>
      </c>
      <c r="D133" s="185">
        <v>23469824765.302456</v>
      </c>
      <c r="E133" s="185">
        <v>23558158394.432896</v>
      </c>
      <c r="F133" s="185">
        <v>23775605944.94062</v>
      </c>
    </row>
    <row r="134" spans="1:12" x14ac:dyDescent="0.2">
      <c r="C134" s="186" t="s">
        <v>176</v>
      </c>
      <c r="D134" s="186">
        <f>D130-D133</f>
        <v>0</v>
      </c>
      <c r="E134" s="186">
        <f t="shared" ref="E134:F134" si="37">E130-E133</f>
        <v>0</v>
      </c>
      <c r="F134" s="186">
        <f t="shared" si="37"/>
        <v>0</v>
      </c>
    </row>
    <row r="135" spans="1:12" x14ac:dyDescent="0.2">
      <c r="E135" s="167"/>
      <c r="F135" s="167"/>
    </row>
    <row r="136" spans="1:12" x14ac:dyDescent="0.2">
      <c r="E136" s="167"/>
      <c r="F136" s="167"/>
    </row>
    <row r="137" spans="1:12" x14ac:dyDescent="0.2">
      <c r="E137" s="167"/>
      <c r="F137" s="167"/>
    </row>
    <row r="138" spans="1:12" ht="15" x14ac:dyDescent="0.25">
      <c r="A138" s="231" t="s">
        <v>219</v>
      </c>
      <c r="B138" s="231"/>
      <c r="C138" s="231"/>
      <c r="D138" s="232"/>
      <c r="E138" s="232"/>
      <c r="F138" s="231"/>
      <c r="G138" s="231"/>
      <c r="H138" s="231"/>
      <c r="I138" s="231"/>
      <c r="J138" s="231"/>
      <c r="K138" s="231"/>
      <c r="L138" s="231"/>
    </row>
    <row r="139" spans="1:12" x14ac:dyDescent="0.2">
      <c r="E139" s="167"/>
      <c r="F139" s="167"/>
    </row>
    <row r="140" spans="1:12" x14ac:dyDescent="0.2">
      <c r="E140" s="167"/>
      <c r="F140" s="16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AC09-E39F-4B49-AD84-00D399440941}">
  <dimension ref="A1:G21"/>
  <sheetViews>
    <sheetView workbookViewId="0">
      <selection activeCell="G27" sqref="G27"/>
    </sheetView>
  </sheetViews>
  <sheetFormatPr defaultRowHeight="15" x14ac:dyDescent="0.25"/>
  <cols>
    <col min="1" max="1" width="5" bestFit="1" customWidth="1"/>
    <col min="2" max="2" width="69.85546875" customWidth="1"/>
  </cols>
  <sheetData>
    <row r="1" spans="1:7" x14ac:dyDescent="0.25">
      <c r="A1" s="242"/>
      <c r="B1" s="242"/>
      <c r="C1" s="243" t="s">
        <v>229</v>
      </c>
      <c r="D1" s="244"/>
      <c r="E1" s="245"/>
      <c r="F1" s="242"/>
      <c r="G1" s="242"/>
    </row>
    <row r="2" spans="1:7" x14ac:dyDescent="0.25">
      <c r="A2" s="246" t="s">
        <v>230</v>
      </c>
      <c r="B2" s="246"/>
      <c r="C2" s="247"/>
      <c r="D2" s="247"/>
      <c r="E2" s="247"/>
      <c r="F2" s="242"/>
      <c r="G2" s="242"/>
    </row>
    <row r="3" spans="1:7" x14ac:dyDescent="0.25">
      <c r="A3" s="246" t="s">
        <v>231</v>
      </c>
      <c r="B3" s="246"/>
      <c r="C3" s="247"/>
      <c r="D3" s="247"/>
      <c r="E3" s="247"/>
      <c r="F3" s="242"/>
      <c r="G3" s="242"/>
    </row>
    <row r="4" spans="1:7" x14ac:dyDescent="0.25">
      <c r="A4" s="246" t="s">
        <v>232</v>
      </c>
      <c r="B4" s="246"/>
      <c r="C4" s="247"/>
      <c r="D4" s="247"/>
      <c r="E4" s="247"/>
      <c r="F4" s="242"/>
      <c r="G4" s="242"/>
    </row>
    <row r="5" spans="1:7" x14ac:dyDescent="0.25">
      <c r="A5" s="246" t="s">
        <v>233</v>
      </c>
      <c r="B5" s="246"/>
      <c r="C5" s="247"/>
      <c r="D5" s="247"/>
      <c r="E5" s="247"/>
      <c r="F5" s="242"/>
      <c r="G5" s="242"/>
    </row>
    <row r="6" spans="1:7" x14ac:dyDescent="0.25">
      <c r="A6" s="248" t="s">
        <v>234</v>
      </c>
      <c r="B6" s="248"/>
      <c r="C6" s="248"/>
      <c r="D6" s="248"/>
      <c r="E6" s="248"/>
      <c r="F6" s="249"/>
      <c r="G6" s="249"/>
    </row>
    <row r="7" spans="1:7" x14ac:dyDescent="0.25">
      <c r="A7" s="247"/>
      <c r="B7" s="247"/>
      <c r="C7" s="247"/>
      <c r="D7" s="247"/>
      <c r="E7" s="247"/>
      <c r="F7" s="242"/>
      <c r="G7" s="242"/>
    </row>
    <row r="8" spans="1:7" x14ac:dyDescent="0.25">
      <c r="A8" s="247"/>
      <c r="B8" s="247"/>
      <c r="C8" s="247"/>
      <c r="D8" s="247"/>
      <c r="E8" s="242"/>
      <c r="F8" s="242"/>
      <c r="G8" s="242"/>
    </row>
    <row r="9" spans="1:7" x14ac:dyDescent="0.25">
      <c r="A9" s="250" t="s">
        <v>235</v>
      </c>
      <c r="B9" s="250"/>
      <c r="C9" s="250"/>
      <c r="D9" s="242"/>
      <c r="E9" s="242"/>
      <c r="F9" s="242"/>
      <c r="G9" s="242"/>
    </row>
    <row r="10" spans="1:7" x14ac:dyDescent="0.25">
      <c r="A10" s="251" t="s">
        <v>236</v>
      </c>
      <c r="B10" s="251" t="s">
        <v>237</v>
      </c>
      <c r="C10" s="251"/>
      <c r="D10" s="252"/>
      <c r="E10" s="252"/>
      <c r="F10" s="242"/>
      <c r="G10" s="242"/>
    </row>
    <row r="11" spans="1:7" x14ac:dyDescent="0.25">
      <c r="A11" s="242"/>
      <c r="B11" s="242"/>
      <c r="C11" s="242"/>
      <c r="D11" s="242"/>
      <c r="E11" s="242"/>
      <c r="F11" s="242"/>
      <c r="G11" s="242"/>
    </row>
    <row r="12" spans="1:7" ht="15.75" thickBot="1" x14ac:dyDescent="0.3">
      <c r="A12" s="253">
        <f>ROW()</f>
        <v>12</v>
      </c>
      <c r="B12" s="254" t="s">
        <v>238</v>
      </c>
      <c r="C12" s="242"/>
      <c r="D12" s="242"/>
      <c r="E12" s="255">
        <v>6.4879999999999998E-3</v>
      </c>
      <c r="F12" s="242"/>
      <c r="G12" s="242"/>
    </row>
    <row r="13" spans="1:7" ht="15.75" thickBot="1" x14ac:dyDescent="0.3">
      <c r="A13" s="253">
        <f t="shared" ref="A13:A20" si="0">A12+1</f>
        <v>13</v>
      </c>
      <c r="B13" s="254" t="s">
        <v>239</v>
      </c>
      <c r="C13" s="242"/>
      <c r="D13" s="242"/>
      <c r="E13" s="256">
        <v>5.0000000000000001E-3</v>
      </c>
      <c r="F13" s="242"/>
      <c r="G13" s="242"/>
    </row>
    <row r="14" spans="1:7" x14ac:dyDescent="0.25">
      <c r="A14" s="253">
        <f t="shared" si="0"/>
        <v>14</v>
      </c>
      <c r="B14" s="254" t="str">
        <f>"STATE UTILITY TAX ( "&amp;E14*100&amp;"% - ( LINE "&amp;A12&amp;" * "&amp;E14*100&amp;"% )  )"</f>
        <v>STATE UTILITY TAX ( 3.8483% - ( LINE 12 * 3.8483% )  )</v>
      </c>
      <c r="C14" s="242"/>
      <c r="D14" s="257">
        <v>3.8733999999999998E-2</v>
      </c>
      <c r="E14" s="258">
        <f>ROUND(D14-(D14*E12),6)</f>
        <v>3.8483000000000003E-2</v>
      </c>
      <c r="F14" s="242"/>
      <c r="G14" s="242"/>
    </row>
    <row r="15" spans="1:7" x14ac:dyDescent="0.25">
      <c r="A15" s="253">
        <f t="shared" si="0"/>
        <v>15</v>
      </c>
      <c r="B15" s="254"/>
      <c r="C15" s="242"/>
      <c r="D15" s="242"/>
      <c r="E15" s="255"/>
      <c r="F15" s="242"/>
      <c r="G15" s="242"/>
    </row>
    <row r="16" spans="1:7" x14ac:dyDescent="0.25">
      <c r="A16" s="253">
        <f t="shared" si="0"/>
        <v>16</v>
      </c>
      <c r="B16" s="254" t="s">
        <v>240</v>
      </c>
      <c r="C16" s="242"/>
      <c r="D16" s="242"/>
      <c r="E16" s="255">
        <f>ROUND(SUM(E12:E14),6)</f>
        <v>4.9971000000000002E-2</v>
      </c>
      <c r="F16" s="242"/>
      <c r="G16" s="242"/>
    </row>
    <row r="17" spans="1:7" x14ac:dyDescent="0.25">
      <c r="A17" s="253">
        <f t="shared" si="0"/>
        <v>17</v>
      </c>
      <c r="B17" s="242"/>
      <c r="C17" s="242"/>
      <c r="D17" s="242"/>
      <c r="E17" s="255"/>
      <c r="F17" s="242"/>
      <c r="G17" s="242"/>
    </row>
    <row r="18" spans="1:7" x14ac:dyDescent="0.25">
      <c r="A18" s="253">
        <f t="shared" si="0"/>
        <v>18</v>
      </c>
      <c r="B18" s="242" t="str">
        <f>"CONVERSION FACTOR EXCLUDING FEDERAL INCOME TAX ( 1 - LINE "&amp;$L$17&amp;" )"</f>
        <v>CONVERSION FACTOR EXCLUDING FEDERAL INCOME TAX ( 1 - LINE  )</v>
      </c>
      <c r="C18" s="242"/>
      <c r="D18" s="242"/>
      <c r="E18" s="255">
        <f>ROUND(1-E16,6)</f>
        <v>0.95002900000000001</v>
      </c>
      <c r="F18" s="242"/>
      <c r="G18" s="242"/>
    </row>
    <row r="19" spans="1:7" x14ac:dyDescent="0.25">
      <c r="A19" s="253">
        <f t="shared" si="0"/>
        <v>19</v>
      </c>
      <c r="B19" s="254" t="e">
        <v>#REF!</v>
      </c>
      <c r="C19" s="242"/>
      <c r="D19" s="259">
        <v>0.21</v>
      </c>
      <c r="E19" s="255">
        <v>0.19950599999999999</v>
      </c>
      <c r="F19" s="242"/>
      <c r="G19" s="242"/>
    </row>
    <row r="20" spans="1:7" ht="15.75" thickBot="1" x14ac:dyDescent="0.3">
      <c r="A20" s="253">
        <f t="shared" si="0"/>
        <v>20</v>
      </c>
      <c r="B20" s="254" t="str">
        <f>"CONVERSION FACTOR INCL FEDERAL INCOME TAX ( LINE "&amp;A18&amp;" - LINE "&amp;A19&amp;" ) "</f>
        <v xml:space="preserve">CONVERSION FACTOR INCL FEDERAL INCOME TAX ( LINE 18 - LINE 19 ) </v>
      </c>
      <c r="C20" s="242"/>
      <c r="D20" s="242"/>
      <c r="E20" s="260">
        <f>ROUND(1-E19-E16,6)</f>
        <v>0.75052300000000005</v>
      </c>
      <c r="F20" s="242"/>
      <c r="G20" s="242"/>
    </row>
    <row r="21" spans="1:7" ht="15.75" thickTop="1" x14ac:dyDescent="0.25">
      <c r="F21" s="242"/>
      <c r="G21" s="2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38E9E564775014CAA0EA3FECB11FE6C" ma:contentTypeVersion="19" ma:contentTypeDescription="" ma:contentTypeScope="" ma:versionID="430919a0790dc34340800aa98d410fe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2025-10-01T07:00:00+00:00</OpenedDate>
    <SignificantOrder xmlns="dc463f71-b30c-4ab2-9473-d307f9d35888">false</SignificantOrder>
    <Date1 xmlns="dc463f71-b30c-4ab2-9473-d307f9d35888">2025-10-01T07:00:00+00:00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250747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4C8DCBF-1453-4EC3-8798-49DCABA64353}"/>
</file>

<file path=customXml/itemProps2.xml><?xml version="1.0" encoding="utf-8"?>
<ds:datastoreItem xmlns:ds="http://schemas.openxmlformats.org/officeDocument/2006/customXml" ds:itemID="{ED6C1444-CB9B-4897-AB0C-8686329BB120}"/>
</file>

<file path=customXml/itemProps3.xml><?xml version="1.0" encoding="utf-8"?>
<ds:datastoreItem xmlns:ds="http://schemas.openxmlformats.org/officeDocument/2006/customXml" ds:itemID="{2D3AEC7C-F2BC-4758-831A-8835CCD89646}"/>
</file>

<file path=customXml/itemProps4.xml><?xml version="1.0" encoding="utf-8"?>
<ds:datastoreItem xmlns:ds="http://schemas.openxmlformats.org/officeDocument/2006/customXml" ds:itemID="{0B2BD1C4-FB5F-499C-8E7F-41D08D4A4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Deficiency</vt:lpstr>
      <vt:lpstr>Explain</vt:lpstr>
      <vt:lpstr>Exhibit A-1 2026</vt:lpstr>
      <vt:lpstr>F25 Forecased Delivered Load</vt:lpstr>
      <vt:lpstr>24GRC=&gt;</vt:lpstr>
      <vt:lpstr>Exhibit A-1 24GRC</vt:lpstr>
      <vt:lpstr>F24 Delivered Load by Sched</vt:lpstr>
      <vt:lpstr>24 GRC Conversion Factor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</dc:creator>
  <cp:lastModifiedBy>DiMaggio, Mary</cp:lastModifiedBy>
  <cp:lastPrinted>2025-09-22T22:47:43Z</cp:lastPrinted>
  <dcterms:created xsi:type="dcterms:W3CDTF">2023-02-08T16:24:15Z</dcterms:created>
  <dcterms:modified xsi:type="dcterms:W3CDTF">2025-10-02T21:38:09Z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2025-05-09T21:30:51Z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f0ed695a-0dba-4ffd-a016-c68f2acf5c3b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ustomUiType">
    <vt:lpwstr>2</vt:lpwstr>
  </property>
  <property fmtid="{D5CDD505-2E9C-101B-9397-08002B2CF9AE}" pid="11" name="ContentTypeId">
    <vt:lpwstr>0x0101006E56B4D1795A2E4DB2F0B01679ED314A00838E9E564775014CAA0EA3FECB11FE6C</vt:lpwstr>
  </property>
  <property fmtid="{D5CDD505-2E9C-101B-9397-08002B2CF9AE}" pid="12" name="_docset_NoMedatataSyncRequired">
    <vt:lpwstr>False</vt:lpwstr>
  </property>
</Properties>
</file>