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.myhrum\Desktop\"/>
    </mc:Choice>
  </mc:AlternateContent>
  <xr:revisionPtr revIDLastSave="0" documentId="13_ncr:1_{34777384-0563-4B2E-9B20-0BE6DF671A06}" xr6:coauthVersionLast="40" xr6:coauthVersionMax="40" xr10:uidLastSave="{00000000-0000-0000-0000-000000000000}"/>
  <bookViews>
    <workbookView xWindow="-120" yWindow="-120" windowWidth="24240" windowHeight="13140" xr2:uid="{E1ECB51D-0D82-447A-9D2D-36EC8BA26883}"/>
  </bookViews>
  <sheets>
    <sheet name="WA Rates" sheetId="7" r:id="rId1"/>
    <sheet name="Core Cost Incurred" sheetId="10" r:id="rId2"/>
    <sheet name="DEFERRALS" sheetId="11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FERCINT13">'[5]FERC Interest Rates'!$A$10:$C$21</definedName>
    <definedName name="FERCINT14">'[5]FERC Interest Rates'!$A$22:$C$33</definedName>
    <definedName name="FERCINT15">'[5]FERC Interest Rates'!$A$34:$C$45</definedName>
    <definedName name="FERCINT16">'[5]FERC Interest Rates'!$A$46:$C$57</definedName>
    <definedName name="FERCINT17">'[5]FERC Interest Rates'!$A$58:$C$69</definedName>
    <definedName name="FERCINT18">'[5]FERC Interest Rates'!$A$70:$C$81</definedName>
    <definedName name="FERCINT19">'[5]FERC Interest Rates'!$A$82:$C$93</definedName>
    <definedName name="_xlnm.Print_Area" localSheetId="1">'Core Cost Incurred'!$B$1:$Z$48</definedName>
    <definedName name="_xlnm.Print_Area" localSheetId="2">DEFERRALS!$B$1:$H$22</definedName>
    <definedName name="_xlnm.Print_Area" localSheetId="0">'WA Rates'!$B$1:$N$50</definedName>
    <definedName name="_xlnm.Print_Titles" localSheetId="1">'Core Cost Incurred'!$B:$F</definedName>
    <definedName name="_xlnm.Print_Titles" localSheetId="0">'WA Rates'!$1:$8</definedName>
  </definedName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1" l="1"/>
  <c r="D8" i="11"/>
  <c r="D9" i="11" s="1"/>
  <c r="E8" i="11"/>
  <c r="E9" i="11"/>
  <c r="F9" i="11"/>
  <c r="E12" i="11"/>
  <c r="F12" i="11"/>
  <c r="E18" i="11"/>
  <c r="F18" i="11"/>
  <c r="G8" i="11" l="1"/>
  <c r="G9" i="11" s="1"/>
  <c r="G12" i="11" s="1"/>
  <c r="D12" i="11"/>
  <c r="D18" i="11" s="1"/>
  <c r="G18" i="11" s="1"/>
  <c r="V71" i="10" l="1"/>
  <c r="S71" i="10"/>
  <c r="T61" i="10"/>
  <c r="S61" i="10"/>
  <c r="Q61" i="10"/>
  <c r="P61" i="10"/>
  <c r="Q60" i="10"/>
  <c r="P60" i="10"/>
  <c r="T59" i="10"/>
  <c r="T62" i="10" s="1"/>
  <c r="S59" i="10"/>
  <c r="Q59" i="10"/>
  <c r="Q62" i="10" s="1"/>
  <c r="P59" i="10"/>
  <c r="AE45" i="10"/>
  <c r="AC43" i="10"/>
  <c r="AB43" i="10"/>
  <c r="Z43" i="10"/>
  <c r="W43" i="10"/>
  <c r="AC42" i="10"/>
  <c r="AC44" i="10" s="1"/>
  <c r="AB42" i="10"/>
  <c r="AB44" i="10" s="1"/>
  <c r="Z42" i="10"/>
  <c r="Z44" i="10" s="1"/>
  <c r="W42" i="10"/>
  <c r="W44" i="10" s="1"/>
  <c r="Q47" i="10" s="1"/>
  <c r="Y40" i="10"/>
  <c r="AC38" i="10"/>
  <c r="AC40" i="10" s="1"/>
  <c r="AB38" i="10"/>
  <c r="AB40" i="10" s="1"/>
  <c r="Z38" i="10"/>
  <c r="Z40" i="10" s="1"/>
  <c r="W38" i="10"/>
  <c r="W40" i="10" s="1"/>
  <c r="T38" i="10"/>
  <c r="Q38" i="10"/>
  <c r="N37" i="10"/>
  <c r="K37" i="10"/>
  <c r="H37" i="10"/>
  <c r="N36" i="10"/>
  <c r="K36" i="10"/>
  <c r="H36" i="10" s="1"/>
  <c r="N35" i="10"/>
  <c r="H35" i="10" s="1"/>
  <c r="K35" i="10"/>
  <c r="N34" i="10"/>
  <c r="K34" i="10"/>
  <c r="H34" i="10" s="1"/>
  <c r="N33" i="10"/>
  <c r="K33" i="10"/>
  <c r="H33" i="10"/>
  <c r="N32" i="10"/>
  <c r="K32" i="10"/>
  <c r="H32" i="10" s="1"/>
  <c r="N31" i="10"/>
  <c r="H31" i="10" s="1"/>
  <c r="K31" i="10"/>
  <c r="N30" i="10"/>
  <c r="K30" i="10"/>
  <c r="H30" i="10" s="1"/>
  <c r="N29" i="10"/>
  <c r="K29" i="10"/>
  <c r="H29" i="10"/>
  <c r="N28" i="10"/>
  <c r="K28" i="10"/>
  <c r="H28" i="10" s="1"/>
  <c r="N27" i="10"/>
  <c r="H27" i="10" s="1"/>
  <c r="K27" i="10"/>
  <c r="N26" i="10"/>
  <c r="K26" i="10"/>
  <c r="H26" i="10" s="1"/>
  <c r="N25" i="10"/>
  <c r="K25" i="10"/>
  <c r="H25" i="10"/>
  <c r="N24" i="10"/>
  <c r="N38" i="10" s="1"/>
  <c r="K24" i="10"/>
  <c r="H24" i="10" s="1"/>
  <c r="AC22" i="10"/>
  <c r="AB22" i="10"/>
  <c r="Z22" i="10"/>
  <c r="W22" i="10"/>
  <c r="T22" i="10"/>
  <c r="T21" i="10"/>
  <c r="Q21" i="10"/>
  <c r="N21" i="10"/>
  <c r="K21" i="10"/>
  <c r="H21" i="10" s="1"/>
  <c r="N20" i="10"/>
  <c r="K20" i="10"/>
  <c r="H20" i="10"/>
  <c r="N19" i="10"/>
  <c r="K19" i="10"/>
  <c r="H19" i="10" s="1"/>
  <c r="N18" i="10"/>
  <c r="H18" i="10" s="1"/>
  <c r="K18" i="10"/>
  <c r="T17" i="10"/>
  <c r="T43" i="10" s="1"/>
  <c r="Q17" i="10"/>
  <c r="Q22" i="10" s="1"/>
  <c r="AC15" i="10"/>
  <c r="AB15" i="10"/>
  <c r="Z15" i="10"/>
  <c r="Y15" i="10"/>
  <c r="W15" i="10"/>
  <c r="V15" i="10"/>
  <c r="V40" i="10" s="1"/>
  <c r="N14" i="10"/>
  <c r="M14" i="10"/>
  <c r="K14" i="10"/>
  <c r="J14" i="10"/>
  <c r="G14" i="10" s="1"/>
  <c r="H14" i="10"/>
  <c r="N13" i="10"/>
  <c r="M13" i="10"/>
  <c r="K13" i="10"/>
  <c r="H13" i="10" s="1"/>
  <c r="J13" i="10"/>
  <c r="G13" i="10"/>
  <c r="N12" i="10"/>
  <c r="M12" i="10"/>
  <c r="K12" i="10"/>
  <c r="J12" i="10"/>
  <c r="G12" i="10" s="1"/>
  <c r="H12" i="10"/>
  <c r="N11" i="10"/>
  <c r="M11" i="10"/>
  <c r="K11" i="10"/>
  <c r="H11" i="10" s="1"/>
  <c r="J11" i="10"/>
  <c r="G11" i="10"/>
  <c r="T10" i="10"/>
  <c r="T42" i="10" s="1"/>
  <c r="T44" i="10" s="1"/>
  <c r="T46" i="10" s="1"/>
  <c r="S10" i="10"/>
  <c r="S15" i="10" s="1"/>
  <c r="S40" i="10" s="1"/>
  <c r="Q10" i="10"/>
  <c r="P10" i="10"/>
  <c r="P15" i="10" s="1"/>
  <c r="P40" i="10" s="1"/>
  <c r="N10" i="10"/>
  <c r="H10" i="10" s="1"/>
  <c r="M10" i="10"/>
  <c r="K10" i="10"/>
  <c r="J10" i="10"/>
  <c r="G10" i="10" s="1"/>
  <c r="N9" i="10"/>
  <c r="K9" i="10"/>
  <c r="H9" i="10"/>
  <c r="Q8" i="10"/>
  <c r="Q42" i="10" s="1"/>
  <c r="N8" i="10"/>
  <c r="N42" i="10" s="1"/>
  <c r="M8" i="10"/>
  <c r="M15" i="10" s="1"/>
  <c r="M40" i="10" s="1"/>
  <c r="K8" i="10"/>
  <c r="H8" i="10" s="1"/>
  <c r="J8" i="10"/>
  <c r="J15" i="10" s="1"/>
  <c r="J40" i="10" s="1"/>
  <c r="G8" i="10"/>
  <c r="Q7" i="10"/>
  <c r="Q43" i="10" s="1"/>
  <c r="N7" i="10"/>
  <c r="N6" i="10"/>
  <c r="N15" i="10" s="1"/>
  <c r="K6" i="10"/>
  <c r="W3" i="10"/>
  <c r="W1" i="10"/>
  <c r="G57" i="7"/>
  <c r="G56" i="7"/>
  <c r="G55" i="7"/>
  <c r="G54" i="7"/>
  <c r="J44" i="7"/>
  <c r="I44" i="7"/>
  <c r="H44" i="7"/>
  <c r="G44" i="7"/>
  <c r="K44" i="7" s="1"/>
  <c r="L42" i="7"/>
  <c r="K42" i="7"/>
  <c r="J42" i="7"/>
  <c r="M42" i="7" s="1"/>
  <c r="I42" i="7"/>
  <c r="H42" i="7"/>
  <c r="K41" i="7"/>
  <c r="J41" i="7"/>
  <c r="M41" i="7" s="1"/>
  <c r="I41" i="7"/>
  <c r="L41" i="7" s="1"/>
  <c r="N41" i="7" s="1"/>
  <c r="H41" i="7"/>
  <c r="M40" i="7"/>
  <c r="J40" i="7"/>
  <c r="I40" i="7"/>
  <c r="L40" i="7" s="1"/>
  <c r="H40" i="7"/>
  <c r="K40" i="7" s="1"/>
  <c r="M39" i="7"/>
  <c r="L39" i="7"/>
  <c r="J39" i="7"/>
  <c r="I39" i="7"/>
  <c r="H39" i="7"/>
  <c r="K39" i="7" s="1"/>
  <c r="N39" i="7" s="1"/>
  <c r="L38" i="7"/>
  <c r="K38" i="7"/>
  <c r="N38" i="7" s="1"/>
  <c r="J38" i="7"/>
  <c r="M38" i="7" s="1"/>
  <c r="I38" i="7"/>
  <c r="H38" i="7"/>
  <c r="K37" i="7"/>
  <c r="J37" i="7"/>
  <c r="M37" i="7" s="1"/>
  <c r="I37" i="7"/>
  <c r="L37" i="7" s="1"/>
  <c r="H37" i="7"/>
  <c r="M35" i="7"/>
  <c r="J35" i="7"/>
  <c r="I35" i="7"/>
  <c r="L35" i="7" s="1"/>
  <c r="H35" i="7"/>
  <c r="K35" i="7" s="1"/>
  <c r="N35" i="7" s="1"/>
  <c r="M34" i="7"/>
  <c r="J34" i="7"/>
  <c r="I34" i="7"/>
  <c r="L34" i="7" s="1"/>
  <c r="H34" i="7"/>
  <c r="K34" i="7" s="1"/>
  <c r="N34" i="7" s="1"/>
  <c r="O34" i="7" s="1"/>
  <c r="M33" i="7"/>
  <c r="L33" i="7"/>
  <c r="J33" i="7"/>
  <c r="H33" i="7"/>
  <c r="K33" i="7" s="1"/>
  <c r="N33" i="7" s="1"/>
  <c r="K31" i="7"/>
  <c r="J31" i="7"/>
  <c r="M31" i="7" s="1"/>
  <c r="I31" i="7"/>
  <c r="L31" i="7" s="1"/>
  <c r="H31" i="7"/>
  <c r="M30" i="7"/>
  <c r="J30" i="7"/>
  <c r="I30" i="7"/>
  <c r="L30" i="7" s="1"/>
  <c r="H30" i="7"/>
  <c r="K30" i="7" s="1"/>
  <c r="N30" i="7" s="1"/>
  <c r="M29" i="7"/>
  <c r="L29" i="7"/>
  <c r="J29" i="7"/>
  <c r="I29" i="7"/>
  <c r="H29" i="7"/>
  <c r="K29" i="7" s="1"/>
  <c r="N29" i="7" s="1"/>
  <c r="L27" i="7"/>
  <c r="K27" i="7"/>
  <c r="J27" i="7"/>
  <c r="M27" i="7" s="1"/>
  <c r="I27" i="7"/>
  <c r="H27" i="7"/>
  <c r="K26" i="7"/>
  <c r="J26" i="7"/>
  <c r="M26" i="7" s="1"/>
  <c r="I26" i="7"/>
  <c r="L26" i="7" s="1"/>
  <c r="N26" i="7" s="1"/>
  <c r="H26" i="7"/>
  <c r="M25" i="7"/>
  <c r="J25" i="7"/>
  <c r="I25" i="7"/>
  <c r="L25" i="7" s="1"/>
  <c r="H25" i="7"/>
  <c r="K25" i="7" s="1"/>
  <c r="M23" i="7"/>
  <c r="L23" i="7"/>
  <c r="J23" i="7"/>
  <c r="I23" i="7"/>
  <c r="H23" i="7"/>
  <c r="K23" i="7" s="1"/>
  <c r="N23" i="7" s="1"/>
  <c r="L22" i="7"/>
  <c r="K22" i="7"/>
  <c r="N22" i="7" s="1"/>
  <c r="J22" i="7"/>
  <c r="M22" i="7" s="1"/>
  <c r="I22" i="7"/>
  <c r="H22" i="7"/>
  <c r="K21" i="7"/>
  <c r="J21" i="7"/>
  <c r="M21" i="7" s="1"/>
  <c r="I21" i="7"/>
  <c r="L21" i="7" s="1"/>
  <c r="H21" i="7"/>
  <c r="M20" i="7"/>
  <c r="J20" i="7"/>
  <c r="I20" i="7"/>
  <c r="L20" i="7" s="1"/>
  <c r="H20" i="7"/>
  <c r="K20" i="7" s="1"/>
  <c r="N20" i="7" s="1"/>
  <c r="U19" i="7"/>
  <c r="R19" i="7"/>
  <c r="K19" i="7"/>
  <c r="J19" i="7"/>
  <c r="M19" i="7" s="1"/>
  <c r="I19" i="7"/>
  <c r="L19" i="7" s="1"/>
  <c r="N19" i="7" s="1"/>
  <c r="H19" i="7"/>
  <c r="U18" i="7"/>
  <c r="L18" i="7"/>
  <c r="K18" i="7"/>
  <c r="J18" i="7"/>
  <c r="M18" i="7" s="1"/>
  <c r="N18" i="7" s="1"/>
  <c r="H18" i="7"/>
  <c r="L16" i="7"/>
  <c r="K16" i="7"/>
  <c r="N16" i="7" s="1"/>
  <c r="J16" i="7"/>
  <c r="I16" i="7"/>
  <c r="H16" i="7"/>
  <c r="U15" i="7"/>
  <c r="R15" i="7"/>
  <c r="L15" i="7"/>
  <c r="K15" i="7"/>
  <c r="N15" i="7" s="1"/>
  <c r="J15" i="7"/>
  <c r="I15" i="7"/>
  <c r="H15" i="7"/>
  <c r="K14" i="7"/>
  <c r="J14" i="7"/>
  <c r="M14" i="7" s="1"/>
  <c r="I14" i="7"/>
  <c r="L14" i="7" s="1"/>
  <c r="H14" i="7"/>
  <c r="L12" i="7"/>
  <c r="J12" i="7"/>
  <c r="I12" i="7"/>
  <c r="H12" i="7"/>
  <c r="K12" i="7" s="1"/>
  <c r="N12" i="7" s="1"/>
  <c r="K11" i="7"/>
  <c r="J11" i="7"/>
  <c r="I11" i="7"/>
  <c r="L11" i="7" s="1"/>
  <c r="H11" i="7"/>
  <c r="M10" i="7"/>
  <c r="L10" i="7"/>
  <c r="J10" i="7"/>
  <c r="H10" i="7"/>
  <c r="K10" i="7" s="1"/>
  <c r="N10" i="7" s="1"/>
  <c r="U9" i="7"/>
  <c r="T9" i="7"/>
  <c r="R9" i="7"/>
  <c r="Q9" i="7"/>
  <c r="M9" i="7"/>
  <c r="L9" i="7"/>
  <c r="K9" i="7"/>
  <c r="N9" i="7" s="1"/>
  <c r="J8" i="7"/>
  <c r="I8" i="7"/>
  <c r="R7" i="7"/>
  <c r="F3" i="7"/>
  <c r="G15" i="10" l="1"/>
  <c r="G40" i="10" s="1"/>
  <c r="Q44" i="10"/>
  <c r="Q46" i="10" s="1"/>
  <c r="Q48" i="10" s="1"/>
  <c r="H38" i="10"/>
  <c r="T47" i="10"/>
  <c r="T48" i="10" s="1"/>
  <c r="AE44" i="10"/>
  <c r="AE46" i="10" s="1"/>
  <c r="Q15" i="10"/>
  <c r="Q40" i="10" s="1"/>
  <c r="K42" i="10"/>
  <c r="H6" i="10"/>
  <c r="K7" i="10"/>
  <c r="T15" i="10"/>
  <c r="T40" i="10" s="1"/>
  <c r="K17" i="10"/>
  <c r="K38" i="10"/>
  <c r="N17" i="10"/>
  <c r="N22" i="10" s="1"/>
  <c r="N40" i="10" s="1"/>
  <c r="N11" i="7"/>
  <c r="L46" i="7"/>
  <c r="N21" i="7"/>
  <c r="N27" i="7"/>
  <c r="N31" i="7"/>
  <c r="N37" i="7"/>
  <c r="N42" i="7"/>
  <c r="N14" i="7"/>
  <c r="N25" i="7"/>
  <c r="N40" i="7"/>
  <c r="G46" i="7"/>
  <c r="G48" i="7" s="1"/>
  <c r="G71" i="7" s="1"/>
  <c r="L44" i="7"/>
  <c r="K46" i="7"/>
  <c r="M44" i="7"/>
  <c r="M46" i="7" s="1"/>
  <c r="M48" i="7" l="1"/>
  <c r="L48" i="7"/>
  <c r="K48" i="7"/>
  <c r="N44" i="7"/>
  <c r="N46" i="7" s="1"/>
  <c r="N48" i="7" s="1"/>
  <c r="K43" i="10"/>
  <c r="H7" i="10"/>
  <c r="K15" i="10"/>
  <c r="N43" i="10"/>
  <c r="N44" i="10" s="1"/>
  <c r="H15" i="10"/>
  <c r="K22" i="10"/>
  <c r="K40" i="10" s="1"/>
  <c r="H17" i="10"/>
  <c r="H22" i="10" s="1"/>
  <c r="H40" i="10" s="1"/>
  <c r="K44" i="10"/>
  <c r="Q47" i="7" l="1"/>
  <c r="K4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EF9AC0B5-81EF-42D2-84B4-87A30B72BDF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9C06702D-7184-4EB7-A8B9-12E89740886A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C3A96DD3-CDBC-4F78-B208-807E9663259E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38925BC8-3A5F-4D89-B5E5-7B1C1CF0F18D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G10" authorId="0" shapeId="0" xr:uid="{42870978-181C-40E4-B11E-CAC50472664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B22EF681-3D88-456D-9A4E-D6592C4D851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G11" authorId="0" shapeId="0" xr:uid="{777F5483-49EC-4DAA-8DFF-D42B4DDC48E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94825B9A-5759-4C15-B23A-5A08F2E5999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D8ADFC48-3999-4947-856A-A5E72CD3EFD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G15" authorId="0" shapeId="0" xr:uid="{46F95D4C-ACC0-487B-B7C0-7C73EC1F9DF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D3A01DE1-8731-40AA-9200-1DF641F5740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991E0757-747B-4A41-B64E-995694E48D6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EDB776BF-560F-4F78-B6B4-DEC2E54E3DD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EE351CA6-1203-4DC6-B618-664C73BDFAC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G21" authorId="0" shapeId="0" xr:uid="{99C544CD-E130-4985-9ABC-0F88C5C3833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2" authorId="0" shapeId="0" xr:uid="{BC00C343-E83A-4699-BA2D-C780E70BDEF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3" authorId="0" shapeId="0" xr:uid="{3ECA9520-D3E3-434E-8D5A-1E83C423DB8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5" authorId="0" shapeId="0" xr:uid="{615779C6-17F7-4FA7-9F60-F0B8556B373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6" authorId="0" shapeId="0" xr:uid="{84E7AD32-A2C9-46C9-ADD4-EE1DDBB1634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9" authorId="0" shapeId="0" xr:uid="{8771C22B-22E6-48E2-B8D0-5780EBBF9B2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0" authorId="0" shapeId="0" xr:uid="{9D805FC1-1695-47A9-83F9-01B6BAD4210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1" authorId="0" shapeId="0" xr:uid="{CC540970-9C3E-4FA6-98AA-E55B28BCA55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3" authorId="0" shapeId="0" xr:uid="{88D1DBF9-3538-4A7F-9D9C-A668EA69E9C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3" authorId="0" shapeId="0" xr:uid="{11607EC3-5C67-4D2F-AA60-F4901CFE05C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4" authorId="0" shapeId="0" xr:uid="{D48C55E4-29B6-4E53-A4B3-F64A3D329A0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5" authorId="0" shapeId="0" xr:uid="{4150D477-D72F-4F65-BB8F-485DF29B584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7" authorId="0" shapeId="0" xr:uid="{CE4128E2-5540-4C86-AF16-A1EC045F6AB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8" authorId="0" shapeId="0" xr:uid="{9D570D40-5085-4D7B-B3E7-51C901750AF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39" authorId="0" shapeId="0" xr:uid="{3336DF25-80C1-4FE0-B2FC-2A3561425DA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0" authorId="0" shapeId="0" xr:uid="{BB1264AB-9807-4F13-8258-E18FFDE3736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G41" authorId="0" shapeId="0" xr:uid="{19DC5EC0-8F2A-4857-A250-486B130D30E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G42" authorId="0" shapeId="0" xr:uid="{5AB25AFC-3BF0-4C4C-8ACD-174799650CE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N46" authorId="2" shapeId="0" xr:uid="{C4640E01-A763-472E-9841-68EB00E56800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8" authorId="3" shapeId="0" xr:uid="{7EB4FE0A-41D1-43E5-BD51-1674C90594B8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E5342B50-B52E-457B-BF6E-EB890C1364C6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FBECAEDD-8BA7-4190-B863-55D865EF0D8E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4" authorId="2" shapeId="0" xr:uid="{FB407D91-7FAB-472E-B5F9-A13050636D1E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4" authorId="2" shapeId="0" xr:uid="{6BDA7DDA-77C0-4F31-9B37-B021A58BA9D7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4" authorId="2" shapeId="0" xr:uid="{16456E7A-D044-4EEB-ADA1-C10E76905D4C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4" authorId="2" shapeId="0" xr:uid="{85F3C26D-69E9-4E96-BE56-1ECFD3786E93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4" authorId="3" shapeId="0" xr:uid="{5A731F30-1111-41F7-BF43-A739F1FC1956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<sst xmlns="http://schemas.openxmlformats.org/spreadsheetml/2006/main" count="691" uniqueCount="199">
  <si>
    <t>Amount</t>
  </si>
  <si>
    <t>State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</si>
  <si>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</si>
  <si>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</si>
  <si>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</si>
  <si>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</si>
  <si>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</si>
  <si>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</si>
  <si>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</si>
  <si>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 xml:space="preserve"> Washington Deferrals</t>
  </si>
  <si>
    <t xml:space="preserve"> Month of</t>
  </si>
  <si>
    <t>Amortization</t>
  </si>
  <si>
    <t>Total</t>
  </si>
  <si>
    <t>Gas Cost Recognized</t>
  </si>
  <si>
    <t>Total Gas Cost Recognized</t>
  </si>
  <si>
    <t>4</t>
  </si>
  <si>
    <t>Actual Gas Cost Incurred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</si>
  <si>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</si>
  <si>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</si>
  <si>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</si>
  <si>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</si>
  <si>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</si>
  <si>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</si>
  <si>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</si>
  <si>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5</t>
  </si>
  <si>
    <t xml:space="preserve"> Assignment of Core Gas Cost To</t>
  </si>
  <si>
    <t xml:space="preserve"> Class &amp; Rate Schedule</t>
  </si>
  <si>
    <t xml:space="preserve"> Blue - 1501A</t>
  </si>
  <si>
    <t xml:space="preserve"> Core Gas Cost</t>
  </si>
  <si>
    <t>Red Cells = Actual Billed Therms 1501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</si>
  <si>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</si>
  <si>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</si>
  <si>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</si>
  <si>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</si>
  <si>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</si>
  <si>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</si>
  <si>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</si>
  <si>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</si>
  <si>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</si>
  <si>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</si>
  <si>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</si>
  <si>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Recongnized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</si>
  <si>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</si>
  <si>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</si>
  <si>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</si>
  <si>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</si>
  <si>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</si>
  <si>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</si>
  <si>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</si>
  <si>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47WA.4002.4800</t>
  </si>
  <si>
    <t>Regular cycle</t>
  </si>
  <si>
    <t>47WA.6011.28040</t>
  </si>
  <si>
    <t>Firm Res - air con</t>
  </si>
  <si>
    <t>541</t>
  </si>
  <si>
    <t>CNGWA 541</t>
  </si>
  <si>
    <t>GC RECOGNIZED RS 15410</t>
  </si>
  <si>
    <t>Firm Residentials</t>
  </si>
  <si>
    <t>503</t>
  </si>
  <si>
    <t>CNGWA 503</t>
  </si>
  <si>
    <t>GC RECOGNIZED RS 15030</t>
  </si>
  <si>
    <t>47WA.4009.4800</t>
  </si>
  <si>
    <t>PM Unbilled - Res</t>
  </si>
  <si>
    <t>CM Unbilled - Res</t>
  </si>
  <si>
    <t>47WA.4002.4810</t>
  </si>
  <si>
    <t>Firm Commercial</t>
  </si>
  <si>
    <t>504</t>
  </si>
  <si>
    <t>CNGWA 504</t>
  </si>
  <si>
    <t>GC RECOGNIZED RS 25040</t>
  </si>
  <si>
    <t>47WA.4009.4810</t>
  </si>
  <si>
    <t>PM Unbilled - Com'l</t>
  </si>
  <si>
    <t>Reg. accrual</t>
  </si>
  <si>
    <t>CM Unbilled - Com'l</t>
  </si>
  <si>
    <t>Firm Com - Lg Vol</t>
  </si>
  <si>
    <t>511</t>
  </si>
  <si>
    <t>CNGWA 511</t>
  </si>
  <si>
    <t>GC RECOGNIZED RS 25110</t>
  </si>
  <si>
    <t>Firm Com - Compressed NG</t>
  </si>
  <si>
    <t>512</t>
  </si>
  <si>
    <t>CNGWA 512</t>
  </si>
  <si>
    <t>GC RECOGNIZED RS 25120</t>
  </si>
  <si>
    <t>Firm Com - air con</t>
  </si>
  <si>
    <t>GC RECOGNIZED RS 25410</t>
  </si>
  <si>
    <t xml:space="preserve">PM Unbilled </t>
  </si>
  <si>
    <t>CNGWA 04LV</t>
  </si>
  <si>
    <t xml:space="preserve">CM Unbilled </t>
  </si>
  <si>
    <t>47WA.4002.4809</t>
  </si>
  <si>
    <t>Firm Ind'l</t>
  </si>
  <si>
    <t>505</t>
  </si>
  <si>
    <t>CNGWA 505</t>
  </si>
  <si>
    <t>GC RECOGNIZED RS 35050</t>
  </si>
  <si>
    <t>Firm Industrial</t>
  </si>
  <si>
    <t>GC RECOGNIZED RS 35110</t>
  </si>
  <si>
    <t>Firm Ind'l - compressed NG</t>
  </si>
  <si>
    <t>GC RECOGNIZED RS 35120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</si>
  <si>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</si>
  <si>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</si>
  <si>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</si>
  <si>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</si>
  <si>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</si>
  <si>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</si>
  <si>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</si>
  <si>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>GC RECOGNIZED RS 55700</t>
  </si>
  <si>
    <t>GC RECOGNIZED RS 45700</t>
  </si>
  <si>
    <t>47WA.4009.4813</t>
  </si>
  <si>
    <t>Interr Industrial</t>
  </si>
  <si>
    <t>CM Unbilled</t>
  </si>
  <si>
    <t>47WA.4002.4813</t>
  </si>
  <si>
    <t>Interr Industrial - Ltd</t>
  </si>
  <si>
    <t>577</t>
  </si>
  <si>
    <t>CNGWA 577</t>
  </si>
  <si>
    <t>GC RECOGNIZED RS 55770</t>
  </si>
  <si>
    <t>Interr Institutional</t>
  </si>
  <si>
    <t>GC RECOGNIZED RS 65700</t>
  </si>
  <si>
    <t>Old Rates</t>
  </si>
  <si>
    <t xml:space="preserve">Total Gas Cost Recognized </t>
  </si>
  <si>
    <t>New Rates</t>
  </si>
  <si>
    <t>Pg 2</t>
  </si>
  <si>
    <t>S003000804009990670001</t>
  </si>
  <si>
    <t>GC RECOGNIZED CORE TOTAL</t>
  </si>
  <si>
    <t>Total WA</t>
  </si>
  <si>
    <t>Pg 8</t>
  </si>
  <si>
    <t>A</t>
  </si>
  <si>
    <t xml:space="preserve"> </t>
  </si>
  <si>
    <t>Pg 3</t>
  </si>
  <si>
    <t>WASHINGTON - New Rates</t>
  </si>
  <si>
    <t>Nov 1 2018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</si>
  <si>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</si>
  <si>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</si>
  <si>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</si>
  <si>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</si>
  <si>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</si>
  <si>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CORE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</si>
  <si>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</si>
  <si>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</si>
  <si>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</si>
  <si>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</si>
  <si>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</si>
  <si>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</si>
  <si>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</si>
  <si>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</si>
  <si>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</si>
  <si>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</si>
  <si>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</si>
  <si>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</si>
  <si>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</si>
  <si>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</si>
  <si>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</si>
  <si>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Delivered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</si>
  <si>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</si>
  <si>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</si>
  <si>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</si>
  <si>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</si>
  <si>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</si>
  <si>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</si>
  <si>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</si>
  <si>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</si>
  <si>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</si>
  <si>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</si>
  <si>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</si>
  <si>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</si>
  <si>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</si>
  <si>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</si>
  <si>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</si>
  <si>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</si>
  <si>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</si>
  <si>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</si>
  <si>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</si>
  <si>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</si>
  <si>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</si>
  <si>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</si>
  <si>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</si>
  <si>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</si>
  <si>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</si>
  <si>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</si>
  <si>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</si>
  <si>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Previous Month Gas Supply Analysis</t>
  </si>
  <si>
    <t>WA &amp; OR</t>
  </si>
  <si>
    <t>JDE Export</t>
  </si>
  <si>
    <t>True-up</t>
  </si>
  <si>
    <t xml:space="preserve">    </t>
  </si>
  <si>
    <t>AU</t>
  </si>
  <si>
    <t>Ledger Type</t>
  </si>
  <si>
    <t>AA</t>
  </si>
  <si>
    <t>Year</t>
  </si>
  <si>
    <t>2019</t>
  </si>
  <si>
    <t>Format</t>
  </si>
  <si>
    <t>per</t>
  </si>
  <si>
    <t>Period</t>
  </si>
  <si>
    <t>2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</si>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</sst>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_(&quot;$&quot;* #,##0.0_);_(&quot;$&quot;* \(#,##0.0\);_(&quot;$&quot;* &quot;-&quot;??_);_(@_)"/>
    <numFmt numFmtId="171" formatCode="_(* #,##0.0000_);_(* \(#,##0.0000\);_(* &quot;-&quot;??_);_(@_)"/>
  </numFmts>
  <fonts count="51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i/>
      <sz val="8"/>
      <color indexed="10"/>
      <name val="Arial"/>
      <family val="2"/>
    </font>
    <font>
      <b/>
      <sz val="12"/>
      <color theme="4" tint="-0.249977111117893"/>
      <name val="Arial"/>
      <family val="2"/>
    </font>
    <font>
      <b/>
      <u/>
      <sz val="9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b/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44" fontId="0" fillId="0" borderId="0" xfId="0" applyNumberFormat="1"/>
    <xf numFmtId="44" fontId="1" fillId="0" borderId="0" xfId="2"/>
    <xf numFmtId="0" fontId="5" fillId="0" borderId="0" xfId="0" applyFont="1"/>
    <xf numFmtId="44" fontId="2" fillId="0" borderId="0" xfId="2" applyFont="1"/>
    <xf numFmtId="165" fontId="1" fillId="0" borderId="0" xfId="1" applyNumberFormat="1"/>
    <xf numFmtId="165" fontId="5" fillId="0" borderId="0" xfId="1" applyNumberFormat="1" applyFont="1"/>
    <xf numFmtId="44" fontId="2" fillId="4" borderId="0" xfId="2" applyFont="1" applyFill="1"/>
    <xf numFmtId="49" fontId="2" fillId="0" borderId="0" xfId="1" applyNumberFormat="1" applyFont="1"/>
    <xf numFmtId="49" fontId="1" fillId="0" borderId="0" xfId="0" applyNumberFormat="1" applyFont="1"/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left"/>
    </xf>
    <xf numFmtId="49" fontId="1" fillId="0" borderId="0" xfId="0" applyNumberFormat="1" applyFont="1"/>
    <xf numFmtId="49" fontId="14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center" vertical="center" wrapText="1"/>
    </xf>
    <xf numFmtId="165" fontId="16" fillId="0" borderId="0" xfId="1" applyNumberFormat="1" applyFont="1" applyAlignment="1">
      <alignment horizontal="left"/>
    </xf>
    <xf numFmtId="165" fontId="17" fillId="0" borderId="0" xfId="1" applyNumberFormat="1" applyFont="1" applyAlignment="1">
      <alignment horizontal="left"/>
    </xf>
    <xf numFmtId="49" fontId="1" fillId="0" borderId="0" xfId="1" applyNumberFormat="1"/>
    <xf numFmtId="0" fontId="1" fillId="5" borderId="0" xfId="0" applyFont="1" applyFill="1"/>
    <xf numFmtId="49" fontId="1" fillId="5" borderId="0" xfId="1" applyNumberFormat="1" applyFill="1"/>
    <xf numFmtId="49" fontId="1" fillId="5" borderId="0" xfId="0" applyNumberFormat="1" applyFont="1" applyFill="1"/>
    <xf numFmtId="165" fontId="1" fillId="5" borderId="0" xfId="1" applyNumberFormat="1" applyFill="1" applyAlignment="1">
      <alignment horizontal="center"/>
    </xf>
    <xf numFmtId="166" fontId="1" fillId="5" borderId="0" xfId="2" applyNumberFormat="1" applyFill="1" applyAlignment="1">
      <alignment horizontal="center"/>
    </xf>
    <xf numFmtId="166" fontId="1" fillId="0" borderId="0" xfId="2" applyNumberFormat="1" applyAlignment="1">
      <alignment horizontal="center"/>
    </xf>
    <xf numFmtId="39" fontId="0" fillId="0" borderId="0" xfId="0" applyNumberFormat="1"/>
    <xf numFmtId="0" fontId="18" fillId="0" borderId="0" xfId="0" applyFont="1" applyAlignment="1">
      <alignment horizontal="center"/>
    </xf>
    <xf numFmtId="49" fontId="4" fillId="5" borderId="0" xfId="0" applyNumberFormat="1" applyFont="1" applyFill="1" applyAlignment="1">
      <alignment horizontal="center"/>
    </xf>
    <xf numFmtId="49" fontId="4" fillId="5" borderId="0" xfId="1" applyNumberFormat="1" applyFont="1" applyFill="1"/>
    <xf numFmtId="49" fontId="4" fillId="5" borderId="0" xfId="0" applyNumberFormat="1" applyFont="1" applyFill="1"/>
    <xf numFmtId="39" fontId="16" fillId="0" borderId="0" xfId="0" applyNumberFormat="1" applyFont="1"/>
    <xf numFmtId="17" fontId="18" fillId="0" borderId="0" xfId="0" applyNumberFormat="1" applyFont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1" xfId="1" applyNumberFormat="1" applyFont="1" applyFill="1" applyBorder="1" applyAlignment="1">
      <alignment horizontal="center"/>
    </xf>
    <xf numFmtId="165" fontId="1" fillId="5" borderId="1" xfId="1" applyNumberFormat="1" applyFill="1" applyBorder="1" applyAlignment="1">
      <alignment horizontal="center"/>
    </xf>
    <xf numFmtId="167" fontId="19" fillId="5" borderId="1" xfId="2" applyNumberFormat="1" applyFont="1" applyFill="1" applyBorder="1" applyAlignment="1">
      <alignment horizontal="center"/>
    </xf>
    <xf numFmtId="166" fontId="1" fillId="5" borderId="1" xfId="2" applyNumberFormat="1" applyFill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49" fontId="1" fillId="0" borderId="0" xfId="0" applyNumberFormat="1" applyFont="1" applyAlignment="1">
      <alignment horizontal="center"/>
    </xf>
    <xf numFmtId="165" fontId="22" fillId="0" borderId="0" xfId="1" applyNumberFormat="1" applyFont="1"/>
    <xf numFmtId="166" fontId="23" fillId="10" borderId="0" xfId="2" applyNumberFormat="1" applyFont="1" applyFill="1"/>
    <xf numFmtId="44" fontId="1" fillId="3" borderId="0" xfId="2" applyFill="1"/>
    <xf numFmtId="44" fontId="1" fillId="0" borderId="0" xfId="0" applyNumberFormat="1" applyFont="1"/>
    <xf numFmtId="166" fontId="23" fillId="11" borderId="0" xfId="2" applyNumberFormat="1" applyFont="1" applyFill="1"/>
    <xf numFmtId="44" fontId="1" fillId="0" borderId="10" xfId="2" applyBorder="1"/>
    <xf numFmtId="44" fontId="16" fillId="0" borderId="0" xfId="0" applyNumberFormat="1" applyFont="1"/>
    <xf numFmtId="44" fontId="4" fillId="0" borderId="0" xfId="0" applyNumberFormat="1" applyFont="1"/>
    <xf numFmtId="165" fontId="24" fillId="0" borderId="0" xfId="1" applyNumberFormat="1" applyFont="1"/>
    <xf numFmtId="165" fontId="25" fillId="12" borderId="0" xfId="1" applyNumberFormat="1" applyFont="1" applyFill="1"/>
    <xf numFmtId="44" fontId="27" fillId="3" borderId="0" xfId="2" applyFont="1" applyFill="1"/>
    <xf numFmtId="44" fontId="27" fillId="0" borderId="0" xfId="2" applyFont="1"/>
    <xf numFmtId="44" fontId="1" fillId="13" borderId="0" xfId="2" applyFill="1"/>
    <xf numFmtId="165" fontId="28" fillId="0" borderId="0" xfId="1" applyNumberFormat="1" applyFont="1"/>
    <xf numFmtId="165" fontId="29" fillId="12" borderId="0" xfId="1" applyNumberFormat="1" applyFont="1" applyFill="1"/>
    <xf numFmtId="165" fontId="18" fillId="0" borderId="0" xfId="1" applyNumberFormat="1" applyFont="1"/>
    <xf numFmtId="165" fontId="26" fillId="0" borderId="0" xfId="1" applyNumberFormat="1" applyFont="1"/>
    <xf numFmtId="166" fontId="19" fillId="11" borderId="0" xfId="2" applyNumberFormat="1" applyFont="1" applyFill="1"/>
    <xf numFmtId="166" fontId="1" fillId="0" borderId="0" xfId="2" applyNumberFormat="1"/>
    <xf numFmtId="165" fontId="30" fillId="12" borderId="0" xfId="1" applyNumberFormat="1" applyFont="1" applyFill="1"/>
    <xf numFmtId="165" fontId="31" fillId="0" borderId="0" xfId="1" applyNumberFormat="1" applyFont="1"/>
    <xf numFmtId="165" fontId="9" fillId="0" borderId="0" xfId="1" applyNumberFormat="1" applyFont="1"/>
    <xf numFmtId="166" fontId="32" fillId="0" borderId="0" xfId="2" applyNumberFormat="1" applyFont="1"/>
    <xf numFmtId="0" fontId="4" fillId="0" borderId="0" xfId="0" applyFont="1" applyAlignment="1">
      <alignment horizontal="left" indent="1"/>
    </xf>
    <xf numFmtId="49" fontId="1" fillId="0" borderId="0" xfId="0" applyNumberFormat="1" applyFont="1" applyAlignment="1">
      <alignment horizontal="right"/>
    </xf>
    <xf numFmtId="49" fontId="4" fillId="0" borderId="0" xfId="0" applyNumberFormat="1" applyFont="1"/>
    <xf numFmtId="165" fontId="2" fillId="0" borderId="0" xfId="1" applyNumberFormat="1" applyFont="1"/>
    <xf numFmtId="165" fontId="8" fillId="0" borderId="0" xfId="1" applyNumberFormat="1" applyFont="1"/>
    <xf numFmtId="44" fontId="4" fillId="6" borderId="0" xfId="0" applyNumberFormat="1" applyFont="1" applyFill="1" applyAlignment="1">
      <alignment horizontal="center"/>
    </xf>
    <xf numFmtId="44" fontId="4" fillId="8" borderId="0" xfId="0" applyNumberFormat="1" applyFont="1" applyFill="1" applyAlignment="1">
      <alignment horizontal="center"/>
    </xf>
    <xf numFmtId="44" fontId="4" fillId="14" borderId="10" xfId="2" applyFont="1" applyFill="1" applyBorder="1"/>
    <xf numFmtId="44" fontId="4" fillId="0" borderId="0" xfId="2" applyFont="1"/>
    <xf numFmtId="44" fontId="4" fillId="3" borderId="0" xfId="2" applyFont="1" applyFill="1"/>
    <xf numFmtId="49" fontId="8" fillId="0" borderId="0" xfId="0" applyNumberFormat="1" applyFont="1"/>
    <xf numFmtId="165" fontId="8" fillId="12" borderId="0" xfId="1" applyNumberFormat="1" applyFont="1" applyFill="1"/>
    <xf numFmtId="168" fontId="1" fillId="0" borderId="0" xfId="2" applyNumberFormat="1"/>
    <xf numFmtId="44" fontId="28" fillId="0" borderId="0" xfId="2" applyFont="1"/>
    <xf numFmtId="165" fontId="3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 vertical="center"/>
    </xf>
    <xf numFmtId="44" fontId="4" fillId="0" borderId="0" xfId="2" applyFont="1" applyAlignment="1">
      <alignment horizontal="left"/>
    </xf>
    <xf numFmtId="166" fontId="1" fillId="0" borderId="0" xfId="2" applyNumberFormat="1" applyAlignment="1">
      <alignment horizontal="left"/>
    </xf>
    <xf numFmtId="43" fontId="1" fillId="0" borderId="0" xfId="1" applyAlignment="1">
      <alignment horizontal="left"/>
    </xf>
    <xf numFmtId="169" fontId="1" fillId="0" borderId="0" xfId="2" applyNumberFormat="1"/>
    <xf numFmtId="43" fontId="4" fillId="0" borderId="0" xfId="1" applyFont="1" applyAlignment="1">
      <alignment horizontal="left"/>
    </xf>
    <xf numFmtId="44" fontId="23" fillId="0" borderId="0" xfId="2" applyFont="1"/>
    <xf numFmtId="43" fontId="1" fillId="0" borderId="0" xfId="1"/>
    <xf numFmtId="44" fontId="1" fillId="0" borderId="11" xfId="2" applyBorder="1"/>
    <xf numFmtId="0" fontId="1" fillId="0" borderId="0" xfId="3"/>
    <xf numFmtId="0" fontId="1" fillId="0" borderId="0" xfId="3" applyAlignment="1">
      <alignment horizontal="center"/>
    </xf>
    <xf numFmtId="0" fontId="1" fillId="0" borderId="1" xfId="3" applyBorder="1" applyAlignment="1">
      <alignment horizontal="center"/>
    </xf>
    <xf numFmtId="44" fontId="1" fillId="0" borderId="0" xfId="3" applyNumberFormat="1"/>
    <xf numFmtId="165" fontId="1" fillId="0" borderId="2" xfId="1" applyNumberFormat="1" applyBorder="1"/>
    <xf numFmtId="44" fontId="1" fillId="0" borderId="2" xfId="2" applyBorder="1"/>
    <xf numFmtId="0" fontId="4" fillId="0" borderId="0" xfId="3" applyFont="1"/>
    <xf numFmtId="165" fontId="26" fillId="12" borderId="0" xfId="1" applyNumberFormat="1" applyFont="1" applyFill="1"/>
    <xf numFmtId="49" fontId="6" fillId="0" borderId="0" xfId="1" applyNumberFormat="1" applyFont="1"/>
    <xf numFmtId="49" fontId="5" fillId="0" borderId="0" xfId="1" applyNumberFormat="1" applyFont="1"/>
    <xf numFmtId="49" fontId="3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left"/>
    </xf>
    <xf numFmtId="43" fontId="5" fillId="0" borderId="0" xfId="1" applyFont="1"/>
    <xf numFmtId="165" fontId="5" fillId="15" borderId="0" xfId="1" applyNumberFormat="1" applyFont="1" applyFill="1"/>
    <xf numFmtId="43" fontId="37" fillId="0" borderId="0" xfId="1" applyFont="1"/>
    <xf numFmtId="165" fontId="34" fillId="0" borderId="0" xfId="1" applyNumberFormat="1" applyFont="1"/>
    <xf numFmtId="43" fontId="34" fillId="0" borderId="0" xfId="1" applyFont="1"/>
    <xf numFmtId="164" fontId="9" fillId="0" borderId="0" xfId="1" applyNumberFormat="1" applyFont="1" applyAlignment="1">
      <alignment horizontal="center"/>
    </xf>
    <xf numFmtId="164" fontId="38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24" fillId="0" borderId="0" xfId="1" applyNumberFormat="1" applyFont="1" applyAlignment="1">
      <alignment horizontal="center"/>
    </xf>
    <xf numFmtId="165" fontId="22" fillId="0" borderId="0" xfId="1" applyNumberFormat="1" applyFont="1" applyAlignment="1">
      <alignment horizontal="center"/>
    </xf>
    <xf numFmtId="49" fontId="8" fillId="0" borderId="0" xfId="1" applyNumberFormat="1" applyFont="1"/>
    <xf numFmtId="165" fontId="1" fillId="15" borderId="0" xfId="1" applyNumberFormat="1" applyFill="1"/>
    <xf numFmtId="164" fontId="9" fillId="0" borderId="0" xfId="1" applyNumberFormat="1" applyFont="1"/>
    <xf numFmtId="165" fontId="36" fillId="0" borderId="0" xfId="1" applyNumberFormat="1" applyFont="1" applyAlignment="1">
      <alignment horizontal="center"/>
    </xf>
    <xf numFmtId="165" fontId="36" fillId="0" borderId="0" xfId="1" applyNumberFormat="1" applyFont="1" applyAlignment="1">
      <alignment horizontal="center"/>
    </xf>
    <xf numFmtId="49" fontId="5" fillId="0" borderId="1" xfId="1" applyNumberFormat="1" applyFont="1" applyBorder="1"/>
    <xf numFmtId="49" fontId="8" fillId="0" borderId="1" xfId="1" applyNumberFormat="1" applyFont="1" applyBorder="1"/>
    <xf numFmtId="165" fontId="2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5" fontId="2" fillId="15" borderId="0" xfId="1" applyNumberFormat="1" applyFont="1" applyFill="1"/>
    <xf numFmtId="165" fontId="8" fillId="0" borderId="1" xfId="1" applyNumberFormat="1" applyFont="1" applyBorder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5" fontId="34" fillId="0" borderId="0" xfId="1" applyNumberFormat="1" applyFont="1" applyAlignment="1">
      <alignment horizontal="center"/>
    </xf>
    <xf numFmtId="49" fontId="4" fillId="5" borderId="1" xfId="1" applyNumberFormat="1" applyFont="1" applyFill="1" applyBorder="1" applyAlignment="1">
      <alignment horizontal="left"/>
    </xf>
    <xf numFmtId="165" fontId="1" fillId="5" borderId="1" xfId="1" applyNumberFormat="1" applyFill="1" applyBorder="1"/>
    <xf numFmtId="165" fontId="21" fillId="5" borderId="2" xfId="1" applyNumberFormat="1" applyFont="1" applyFill="1" applyBorder="1" applyAlignment="1">
      <alignment horizontal="center"/>
    </xf>
    <xf numFmtId="43" fontId="21" fillId="5" borderId="2" xfId="1" applyFont="1" applyFill="1" applyBorder="1" applyAlignment="1">
      <alignment horizontal="center"/>
    </xf>
    <xf numFmtId="165" fontId="21" fillId="5" borderId="1" xfId="1" applyNumberFormat="1" applyFont="1" applyFill="1" applyBorder="1" applyAlignment="1">
      <alignment horizontal="center"/>
    </xf>
    <xf numFmtId="43" fontId="21" fillId="5" borderId="1" xfId="1" applyFont="1" applyFill="1" applyBorder="1" applyAlignment="1">
      <alignment horizontal="center"/>
    </xf>
    <xf numFmtId="165" fontId="33" fillId="5" borderId="1" xfId="1" applyNumberFormat="1" applyFont="1" applyFill="1" applyBorder="1" applyAlignment="1">
      <alignment horizontal="center"/>
    </xf>
    <xf numFmtId="165" fontId="33" fillId="5" borderId="2" xfId="1" applyNumberFormat="1" applyFont="1" applyFill="1" applyBorder="1" applyAlignment="1">
      <alignment horizontal="center"/>
    </xf>
    <xf numFmtId="43" fontId="33" fillId="5" borderId="2" xfId="1" applyFont="1" applyFill="1" applyBorder="1" applyAlignment="1">
      <alignment horizontal="center"/>
    </xf>
    <xf numFmtId="43" fontId="33" fillId="5" borderId="1" xfId="1" applyFont="1" applyFill="1" applyBorder="1" applyAlignment="1">
      <alignment horizontal="center"/>
    </xf>
    <xf numFmtId="165" fontId="39" fillId="5" borderId="1" xfId="1" applyNumberFormat="1" applyFont="1" applyFill="1" applyBorder="1" applyAlignment="1">
      <alignment horizontal="center"/>
    </xf>
    <xf numFmtId="43" fontId="21" fillId="0" borderId="0" xfId="1" applyFont="1" applyAlignment="1">
      <alignment horizontal="center"/>
    </xf>
    <xf numFmtId="49" fontId="1" fillId="16" borderId="0" xfId="1" applyNumberFormat="1" applyFill="1" applyAlignment="1">
      <alignment horizontal="right"/>
    </xf>
    <xf numFmtId="0" fontId="1" fillId="16" borderId="0" xfId="1" applyNumberFormat="1" applyFill="1" applyAlignment="1">
      <alignment horizontal="center"/>
    </xf>
    <xf numFmtId="0" fontId="8" fillId="0" borderId="0" xfId="1" applyNumberFormat="1" applyFont="1" applyAlignment="1">
      <alignment horizontal="center"/>
    </xf>
    <xf numFmtId="165" fontId="32" fillId="0" borderId="0" xfId="1" applyNumberFormat="1" applyFont="1" applyAlignment="1">
      <alignment horizontal="center"/>
    </xf>
    <xf numFmtId="44" fontId="32" fillId="0" borderId="0" xfId="2" applyFont="1"/>
    <xf numFmtId="165" fontId="1" fillId="0" borderId="0" xfId="1" applyNumberFormat="1" applyAlignment="1">
      <alignment horizontal="left" indent="3"/>
    </xf>
    <xf numFmtId="44" fontId="1" fillId="17" borderId="0" xfId="2" applyFill="1"/>
    <xf numFmtId="165" fontId="1" fillId="0" borderId="0" xfId="1" applyNumberFormat="1" applyAlignment="1">
      <alignment horizontal="left"/>
    </xf>
    <xf numFmtId="44" fontId="16" fillId="17" borderId="0" xfId="2" applyFont="1" applyFill="1"/>
    <xf numFmtId="165" fontId="32" fillId="0" borderId="0" xfId="1" applyNumberFormat="1" applyFont="1" applyAlignment="1">
      <alignment horizontal="left"/>
    </xf>
    <xf numFmtId="44" fontId="9" fillId="17" borderId="0" xfId="2" applyFont="1" applyFill="1"/>
    <xf numFmtId="0" fontId="8" fillId="17" borderId="0" xfId="2" applyNumberFormat="1" applyFont="1" applyFill="1" applyAlignment="1">
      <alignment horizontal="center"/>
    </xf>
    <xf numFmtId="165" fontId="32" fillId="0" borderId="0" xfId="1" applyNumberFormat="1" applyFont="1"/>
    <xf numFmtId="44" fontId="1" fillId="18" borderId="0" xfId="2" applyFill="1"/>
    <xf numFmtId="165" fontId="16" fillId="0" borderId="0" xfId="1" applyNumberFormat="1" applyFont="1"/>
    <xf numFmtId="44" fontId="9" fillId="3" borderId="0" xfId="2" applyFont="1" applyFill="1"/>
    <xf numFmtId="165" fontId="40" fillId="0" borderId="0" xfId="1" applyNumberFormat="1" applyFont="1" applyAlignment="1">
      <alignment horizontal="left"/>
    </xf>
    <xf numFmtId="44" fontId="16" fillId="18" borderId="0" xfId="2" applyFont="1" applyFill="1"/>
    <xf numFmtId="165" fontId="40" fillId="0" borderId="0" xfId="1" applyNumberFormat="1" applyFont="1" applyAlignment="1">
      <alignment horizontal="left" indent="1"/>
    </xf>
    <xf numFmtId="44" fontId="35" fillId="19" borderId="0" xfId="2" applyFont="1" applyFill="1"/>
    <xf numFmtId="0" fontId="8" fillId="18" borderId="0" xfId="1" applyNumberFormat="1" applyFont="1" applyFill="1" applyAlignment="1">
      <alignment horizontal="center"/>
    </xf>
    <xf numFmtId="165" fontId="1" fillId="0" borderId="0" xfId="1" applyNumberFormat="1" applyAlignment="1">
      <alignment horizontal="left" indent="4"/>
    </xf>
    <xf numFmtId="44" fontId="9" fillId="18" borderId="0" xfId="2" applyFont="1" applyFill="1"/>
    <xf numFmtId="165" fontId="41" fillId="0" borderId="0" xfId="1" applyNumberFormat="1" applyFont="1" applyAlignment="1">
      <alignment horizontal="left" indent="4"/>
    </xf>
    <xf numFmtId="165" fontId="42" fillId="0" borderId="0" xfId="1" applyNumberFormat="1" applyFont="1" applyAlignment="1">
      <alignment horizontal="left"/>
    </xf>
    <xf numFmtId="43" fontId="5" fillId="15" borderId="0" xfId="1" applyFont="1" applyFill="1"/>
    <xf numFmtId="49" fontId="1" fillId="2" borderId="0" xfId="1" applyNumberFormat="1" applyFill="1" applyAlignment="1">
      <alignment horizontal="right"/>
    </xf>
    <xf numFmtId="0" fontId="1" fillId="2" borderId="0" xfId="1" applyNumberFormat="1" applyFill="1" applyAlignment="1">
      <alignment horizontal="center"/>
    </xf>
    <xf numFmtId="0" fontId="8" fillId="20" borderId="0" xfId="1" applyNumberFormat="1" applyFont="1" applyFill="1" applyAlignment="1">
      <alignment horizontal="center"/>
    </xf>
    <xf numFmtId="165" fontId="1" fillId="20" borderId="0" xfId="1" applyNumberFormat="1" applyFill="1"/>
    <xf numFmtId="44" fontId="16" fillId="20" borderId="0" xfId="2" applyFont="1" applyFill="1"/>
    <xf numFmtId="165" fontId="43" fillId="0" borderId="0" xfId="1" applyNumberFormat="1" applyFont="1"/>
    <xf numFmtId="165" fontId="32" fillId="15" borderId="0" xfId="1" applyNumberFormat="1" applyFont="1" applyFill="1" applyAlignment="1">
      <alignment horizontal="left" vertical="top"/>
    </xf>
    <xf numFmtId="43" fontId="44" fillId="0" borderId="0" xfId="1" applyFont="1"/>
    <xf numFmtId="165" fontId="41" fillId="0" borderId="0" xfId="1" applyNumberFormat="1" applyFont="1" applyAlignment="1">
      <alignment horizontal="left"/>
    </xf>
    <xf numFmtId="165" fontId="44" fillId="0" borderId="0" xfId="1" applyNumberFormat="1" applyFont="1"/>
    <xf numFmtId="165" fontId="1" fillId="0" borderId="1" xfId="1" applyNumberFormat="1" applyBorder="1"/>
    <xf numFmtId="44" fontId="1" fillId="18" borderId="1" xfId="2" applyFill="1" applyBorder="1"/>
    <xf numFmtId="165" fontId="28" fillId="0" borderId="1" xfId="1" applyNumberFormat="1" applyFont="1" applyBorder="1"/>
    <xf numFmtId="44" fontId="28" fillId="18" borderId="0" xfId="2" applyFont="1" applyFill="1"/>
    <xf numFmtId="44" fontId="9" fillId="18" borderId="1" xfId="2" applyFont="1" applyFill="1" applyBorder="1"/>
    <xf numFmtId="49" fontId="1" fillId="16" borderId="0" xfId="1" applyNumberFormat="1" applyFill="1" applyAlignment="1">
      <alignment horizontal="center"/>
    </xf>
    <xf numFmtId="49" fontId="8" fillId="0" borderId="0" xfId="1" applyNumberFormat="1" applyFont="1" applyAlignment="1">
      <alignment horizontal="center"/>
    </xf>
    <xf numFmtId="43" fontId="1" fillId="0" borderId="2" xfId="1" applyBorder="1"/>
    <xf numFmtId="165" fontId="32" fillId="0" borderId="11" xfId="1" applyNumberFormat="1" applyFont="1" applyBorder="1"/>
    <xf numFmtId="44" fontId="32" fillId="0" borderId="11" xfId="2" applyFont="1" applyBorder="1"/>
    <xf numFmtId="165" fontId="1" fillId="0" borderId="11" xfId="1" applyNumberFormat="1" applyBorder="1"/>
    <xf numFmtId="44" fontId="2" fillId="0" borderId="2" xfId="2" applyFont="1" applyBorder="1"/>
    <xf numFmtId="165" fontId="5" fillId="0" borderId="2" xfId="1" applyNumberFormat="1" applyFont="1" applyBorder="1" applyAlignment="1">
      <alignment horizontal="left"/>
    </xf>
    <xf numFmtId="44" fontId="34" fillId="0" borderId="0" xfId="2" applyFont="1"/>
    <xf numFmtId="43" fontId="32" fillId="0" borderId="11" xfId="1" applyFont="1" applyBorder="1"/>
    <xf numFmtId="43" fontId="32" fillId="0" borderId="0" xfId="1" applyFont="1"/>
    <xf numFmtId="165" fontId="32" fillId="0" borderId="0" xfId="1" applyNumberFormat="1" applyFont="1" applyAlignment="1">
      <alignment horizontal="left" indent="4"/>
    </xf>
    <xf numFmtId="165" fontId="32" fillId="0" borderId="0" xfId="1" applyNumberFormat="1" applyFont="1" applyAlignment="1">
      <alignment horizontal="left" indent="3"/>
    </xf>
    <xf numFmtId="44" fontId="5" fillId="0" borderId="0" xfId="2" applyFont="1"/>
    <xf numFmtId="165" fontId="32" fillId="0" borderId="1" xfId="1" applyNumberFormat="1" applyFont="1" applyBorder="1" applyAlignment="1">
      <alignment horizontal="left" indent="3"/>
    </xf>
    <xf numFmtId="44" fontId="1" fillId="17" borderId="1" xfId="2" applyFill="1" applyBorder="1"/>
    <xf numFmtId="165" fontId="1" fillId="0" borderId="0" xfId="1" applyNumberFormat="1" applyAlignment="1">
      <alignment horizontal="center"/>
    </xf>
    <xf numFmtId="165" fontId="1" fillId="0" borderId="1" xfId="1" applyNumberFormat="1" applyBorder="1" applyAlignment="1">
      <alignment horizontal="left" indent="3"/>
    </xf>
    <xf numFmtId="44" fontId="16" fillId="17" borderId="1" xfId="2" applyFont="1" applyFill="1" applyBorder="1"/>
    <xf numFmtId="165" fontId="32" fillId="0" borderId="2" xfId="1" applyNumberFormat="1" applyFont="1" applyBorder="1"/>
    <xf numFmtId="44" fontId="32" fillId="0" borderId="2" xfId="2" applyFont="1" applyBorder="1"/>
    <xf numFmtId="165" fontId="32" fillId="0" borderId="2" xfId="1" applyNumberFormat="1" applyFont="1" applyBorder="1" applyAlignment="1">
      <alignment horizontal="left" indent="3"/>
    </xf>
    <xf numFmtId="165" fontId="1" fillId="0" borderId="11" xfId="1" applyNumberFormat="1" applyBorder="1" applyAlignment="1">
      <alignment horizontal="left" indent="3"/>
    </xf>
    <xf numFmtId="44" fontId="8" fillId="0" borderId="2" xfId="2" applyFont="1" applyBorder="1"/>
    <xf numFmtId="44" fontId="2" fillId="0" borderId="11" xfId="2" applyFont="1" applyBorder="1"/>
    <xf numFmtId="165" fontId="5" fillId="0" borderId="11" xfId="1" applyNumberFormat="1" applyFont="1" applyBorder="1"/>
    <xf numFmtId="165" fontId="32" fillId="0" borderId="11" xfId="1" applyNumberFormat="1" applyFont="1" applyBorder="1" applyAlignment="1">
      <alignment horizontal="left" indent="3"/>
    </xf>
    <xf numFmtId="165" fontId="2" fillId="0" borderId="0" xfId="1" applyNumberFormat="1" applyFont="1" applyAlignment="1">
      <alignment horizontal="left"/>
    </xf>
    <xf numFmtId="165" fontId="8" fillId="0" borderId="0" xfId="1" applyNumberFormat="1" applyFont="1" applyAlignment="1">
      <alignment horizontal="left"/>
    </xf>
    <xf numFmtId="44" fontId="32" fillId="0" borderId="1" xfId="2" applyFont="1" applyBorder="1"/>
    <xf numFmtId="165" fontId="32" fillId="0" borderId="1" xfId="1" applyNumberFormat="1" applyFont="1" applyBorder="1"/>
    <xf numFmtId="165" fontId="4" fillId="0" borderId="0" xfId="1" applyNumberFormat="1" applyFont="1"/>
    <xf numFmtId="165" fontId="4" fillId="0" borderId="0" xfId="1" applyNumberFormat="1" applyFont="1" applyAlignment="1">
      <alignment horizontal="left"/>
    </xf>
    <xf numFmtId="165" fontId="4" fillId="0" borderId="2" xfId="1" applyNumberFormat="1" applyFont="1" applyBorder="1"/>
    <xf numFmtId="165" fontId="5" fillId="0" borderId="0" xfId="1" applyNumberFormat="1" applyFont="1" applyAlignment="1">
      <alignment horizontal="left" indent="1"/>
    </xf>
    <xf numFmtId="43" fontId="5" fillId="0" borderId="2" xfId="1" applyFont="1" applyBorder="1"/>
    <xf numFmtId="43" fontId="32" fillId="0" borderId="2" xfId="1" applyFont="1" applyBorder="1"/>
    <xf numFmtId="44" fontId="4" fillId="0" borderId="2" xfId="2" applyFont="1" applyBorder="1"/>
    <xf numFmtId="165" fontId="5" fillId="0" borderId="2" xfId="1" applyNumberFormat="1" applyFont="1" applyBorder="1"/>
    <xf numFmtId="165" fontId="2" fillId="0" borderId="2" xfId="1" applyNumberFormat="1" applyFont="1" applyBorder="1"/>
    <xf numFmtId="165" fontId="8" fillId="0" borderId="2" xfId="1" applyNumberFormat="1" applyFont="1" applyBorder="1"/>
    <xf numFmtId="165" fontId="5" fillId="0" borderId="2" xfId="1" applyNumberFormat="1" applyFont="1" applyBorder="1" applyAlignment="1">
      <alignment horizontal="right"/>
    </xf>
    <xf numFmtId="43" fontId="5" fillId="0" borderId="11" xfId="1" applyFont="1" applyBorder="1"/>
    <xf numFmtId="165" fontId="4" fillId="0" borderId="0" xfId="1" applyNumberFormat="1" applyFont="1" applyAlignment="1">
      <alignment horizontal="center"/>
    </xf>
    <xf numFmtId="44" fontId="2" fillId="9" borderId="0" xfId="2" applyFont="1" applyFill="1"/>
    <xf numFmtId="165" fontId="32" fillId="15" borderId="0" xfId="1" applyNumberFormat="1" applyFont="1" applyFill="1"/>
    <xf numFmtId="44" fontId="8" fillId="18" borderId="0" xfId="2" applyFont="1" applyFill="1"/>
    <xf numFmtId="44" fontId="2" fillId="18" borderId="0" xfId="2" applyFont="1" applyFill="1"/>
    <xf numFmtId="44" fontId="5" fillId="19" borderId="0" xfId="2" applyFont="1" applyFill="1"/>
    <xf numFmtId="44" fontId="8" fillId="17" borderId="0" xfId="2" applyFont="1" applyFill="1"/>
    <xf numFmtId="44" fontId="2" fillId="17" borderId="0" xfId="2" applyFont="1" applyFill="1"/>
    <xf numFmtId="44" fontId="5" fillId="17" borderId="0" xfId="2" applyFont="1" applyFill="1"/>
    <xf numFmtId="44" fontId="34" fillId="0" borderId="2" xfId="2" applyFont="1" applyBorder="1"/>
    <xf numFmtId="43" fontId="8" fillId="3" borderId="2" xfId="1" applyFont="1" applyFill="1" applyBorder="1"/>
    <xf numFmtId="165" fontId="45" fillId="0" borderId="0" xfId="1" applyNumberFormat="1" applyFont="1"/>
    <xf numFmtId="43" fontId="8" fillId="0" borderId="0" xfId="1" applyFont="1" applyAlignment="1">
      <alignment horizontal="left"/>
    </xf>
    <xf numFmtId="43" fontId="4" fillId="0" borderId="11" xfId="1" applyFont="1" applyBorder="1"/>
    <xf numFmtId="165" fontId="46" fillId="0" borderId="0" xfId="1" applyNumberFormat="1" applyFont="1" applyAlignment="1">
      <alignment horizontal="left" wrapText="1"/>
    </xf>
    <xf numFmtId="43" fontId="5" fillId="0" borderId="0" xfId="1" applyFont="1" applyAlignment="1">
      <alignment horizontal="left"/>
    </xf>
    <xf numFmtId="43" fontId="8" fillId="21" borderId="2" xfId="1" applyFont="1" applyFill="1" applyBorder="1" applyAlignment="1">
      <alignment horizontal="left"/>
    </xf>
    <xf numFmtId="43" fontId="2" fillId="0" borderId="0" xfId="1" applyFont="1" applyAlignment="1">
      <alignment horizontal="left"/>
    </xf>
    <xf numFmtId="49" fontId="2" fillId="15" borderId="0" xfId="0" applyNumberFormat="1" applyFont="1" applyFill="1" applyAlignment="1">
      <alignment horizontal="right"/>
    </xf>
    <xf numFmtId="49" fontId="1" fillId="15" borderId="0" xfId="0" applyNumberFormat="1" applyFont="1" applyFill="1" applyAlignment="1">
      <alignment horizontal="right"/>
    </xf>
    <xf numFmtId="49" fontId="2" fillId="0" borderId="0" xfId="0" applyNumberFormat="1" applyFont="1" applyAlignment="1">
      <alignment horizontal="center"/>
    </xf>
    <xf numFmtId="0" fontId="5" fillId="0" borderId="0" xfId="1" applyNumberFormat="1" applyFont="1"/>
    <xf numFmtId="15" fontId="5" fillId="0" borderId="0" xfId="1" applyNumberFormat="1" applyFont="1"/>
    <xf numFmtId="49" fontId="2" fillId="7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right"/>
    </xf>
    <xf numFmtId="165" fontId="4" fillId="0" borderId="3" xfId="1" applyNumberFormat="1" applyFont="1" applyBorder="1" applyAlignment="1">
      <alignment horizontal="center" vertical="top"/>
    </xf>
    <xf numFmtId="165" fontId="34" fillId="0" borderId="3" xfId="1" applyNumberFormat="1" applyFont="1" applyBorder="1"/>
    <xf numFmtId="43" fontId="8" fillId="0" borderId="0" xfId="1" applyFont="1"/>
    <xf numFmtId="165" fontId="32" fillId="0" borderId="0" xfId="1" applyNumberFormat="1" applyFont="1" applyAlignment="1">
      <alignment horizontal="right"/>
    </xf>
    <xf numFmtId="43" fontId="8" fillId="0" borderId="11" xfId="1" applyFont="1" applyBorder="1" applyAlignment="1">
      <alignment vertical="center"/>
    </xf>
    <xf numFmtId="171" fontId="34" fillId="0" borderId="0" xfId="1" applyNumberFormat="1" applyFont="1"/>
    <xf numFmtId="171" fontId="5" fillId="0" borderId="0" xfId="1" applyNumberFormat="1" applyFont="1"/>
    <xf numFmtId="165" fontId="5" fillId="0" borderId="0" xfId="4" applyNumberFormat="1" applyFont="1"/>
    <xf numFmtId="0" fontId="9" fillId="0" borderId="0" xfId="3" applyFont="1" applyAlignment="1">
      <alignment horizontal="center"/>
    </xf>
    <xf numFmtId="0" fontId="9" fillId="0" borderId="9" xfId="3" applyFont="1" applyBorder="1" applyAlignment="1">
      <alignment horizontal="center"/>
    </xf>
    <xf numFmtId="0" fontId="2" fillId="0" borderId="0" xfId="3" applyFont="1" applyAlignment="1">
      <alignment horizontal="right"/>
    </xf>
    <xf numFmtId="44" fontId="2" fillId="0" borderId="0" xfId="3" applyNumberFormat="1" applyFont="1" applyAlignment="1">
      <alignment horizontal="right"/>
    </xf>
    <xf numFmtId="165" fontId="1" fillId="0" borderId="0" xfId="4" applyNumberFormat="1"/>
    <xf numFmtId="44" fontId="2" fillId="0" borderId="0" xfId="3" applyNumberFormat="1" applyFont="1"/>
    <xf numFmtId="44" fontId="2" fillId="0" borderId="4" xfId="3" applyNumberFormat="1" applyFont="1" applyBorder="1"/>
    <xf numFmtId="0" fontId="2" fillId="0" borderId="0" xfId="3" applyFont="1"/>
    <xf numFmtId="49" fontId="7" fillId="0" borderId="4" xfId="3" applyNumberFormat="1" applyFont="1" applyBorder="1" applyAlignment="1">
      <alignment horizontal="center"/>
    </xf>
    <xf numFmtId="49" fontId="7" fillId="0" borderId="0" xfId="3" applyNumberFormat="1" applyFont="1" applyAlignment="1">
      <alignment horizontal="center"/>
    </xf>
    <xf numFmtId="44" fontId="9" fillId="0" borderId="4" xfId="3" applyNumberFormat="1" applyFont="1" applyBorder="1" applyAlignment="1">
      <alignment horizontal="center"/>
    </xf>
    <xf numFmtId="44" fontId="2" fillId="0" borderId="7" xfId="3" applyNumberFormat="1" applyFont="1" applyBorder="1" applyAlignment="1">
      <alignment horizontal="left"/>
    </xf>
    <xf numFmtId="44" fontId="2" fillId="0" borderId="0" xfId="3" applyNumberFormat="1" applyFont="1" applyAlignment="1">
      <alignment horizontal="center"/>
    </xf>
    <xf numFmtId="0" fontId="2" fillId="0" borderId="4" xfId="3" applyFont="1" applyBorder="1"/>
    <xf numFmtId="0" fontId="2" fillId="0" borderId="7" xfId="3" applyFont="1" applyBorder="1"/>
    <xf numFmtId="44" fontId="8" fillId="0" borderId="2" xfId="3" applyNumberFormat="1" applyFont="1" applyBorder="1"/>
    <xf numFmtId="44" fontId="8" fillId="0" borderId="8" xfId="3" applyNumberFormat="1" applyFont="1" applyBorder="1"/>
    <xf numFmtId="0" fontId="4" fillId="0" borderId="2" xfId="3" applyFont="1" applyBorder="1"/>
    <xf numFmtId="0" fontId="8" fillId="0" borderId="2" xfId="3" applyFont="1" applyBorder="1" applyAlignment="1">
      <alignment horizontal="left" indent="1"/>
    </xf>
    <xf numFmtId="44" fontId="2" fillId="0" borderId="0" xfId="5" applyFont="1"/>
    <xf numFmtId="44" fontId="2" fillId="0" borderId="4" xfId="5" applyFont="1" applyBorder="1"/>
    <xf numFmtId="0" fontId="2" fillId="0" borderId="1" xfId="3" applyFont="1" applyBorder="1"/>
    <xf numFmtId="44" fontId="2" fillId="0" borderId="6" xfId="5" applyFont="1" applyBorder="1"/>
    <xf numFmtId="44" fontId="2" fillId="0" borderId="7" xfId="5" applyFont="1" applyBorder="1"/>
    <xf numFmtId="44" fontId="2" fillId="0" borderId="1" xfId="3" applyNumberFormat="1" applyFont="1" applyBorder="1"/>
    <xf numFmtId="44" fontId="2" fillId="0" borderId="5" xfId="5" applyFont="1" applyBorder="1"/>
    <xf numFmtId="44" fontId="2" fillId="0" borderId="1" xfId="5" applyFont="1" applyBorder="1"/>
    <xf numFmtId="44" fontId="2" fillId="0" borderId="4" xfId="3" applyNumberFormat="1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8" fillId="0" borderId="1" xfId="3" applyFont="1" applyBorder="1"/>
    <xf numFmtId="0" fontId="7" fillId="0" borderId="0" xfId="3" applyFont="1" applyAlignment="1">
      <alignment horizontal="center"/>
    </xf>
    <xf numFmtId="0" fontId="7" fillId="0" borderId="4" xfId="3" applyFont="1" applyBorder="1" applyAlignment="1">
      <alignment horizontal="center"/>
    </xf>
    <xf numFmtId="0" fontId="1" fillId="0" borderId="3" xfId="3" applyBorder="1" applyAlignment="1">
      <alignment horizontal="center"/>
    </xf>
    <xf numFmtId="0" fontId="1" fillId="0" borderId="1" xfId="3" applyBorder="1" applyAlignment="1">
      <alignment horizontal="center"/>
    </xf>
    <xf numFmtId="164" fontId="6" fillId="0" borderId="0" xfId="3" applyNumberFormat="1" applyFont="1"/>
    <xf numFmtId="164" fontId="6" fillId="0" borderId="0" xfId="3" applyNumberFormat="1" applyFont="1" applyAlignment="1">
      <alignment horizontal="left"/>
    </xf>
    <xf numFmtId="0" fontId="6" fillId="0" borderId="0" xfId="3" applyFont="1"/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horizontal="right"/>
    </xf>
  </cellXfs>
  <cellStyles count="6">
    <cellStyle name="Comma" xfId="1" builtinId="3"/>
    <cellStyle name="Comma 3" xfId="4" xr:uid="{C86683BC-680C-46A3-BC42-5956DE3D9D1B}"/>
    <cellStyle name="Currency" xfId="2" builtinId="4"/>
    <cellStyle name="Currency 3" xfId="5" xr:uid="{DFC2BC24-52D8-4557-BD48-540F7AC43BD9}"/>
    <cellStyle name="Normal" xfId="0" builtinId="0"/>
    <cellStyle name="Normal 3" xfId="3" xr:uid="{FCDBB55A-2A02-4590-9C27-C31D2D6C05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%202019\02-2019\Core%20GC%20Allocations%2002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rah.volk/Application%20Data/Microsoft/Excel/11-2010%20Core%20Billed%20The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GASCOST\Gas%20Cost%20CY2019\Gas%20Supply%20Analysis\1-2019%20Gas%20Supply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Global%20Software%20SSJDE/Spreadsheet%20Server%20for%20JDE/GSI_SSJDE.xla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%202019\02-2019\WA\UG-180788%20CNGC%20Monthly%20PGA%20Rpt%20February%202019,%203.26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WA Deferrals"/>
      <sheetName val="OR Deferrals"/>
      <sheetName val="WA Rates Old Rates"/>
      <sheetName val="OR Rates 2015"/>
      <sheetName val="OR Deferrals Incl true-up 2"/>
      <sheetName val="WA Rates"/>
      <sheetName val="OR Rates Old Rates"/>
      <sheetName val="OR Rates"/>
      <sheetName val="Core Cost Incurre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>
            <v>43521</v>
          </cell>
        </row>
        <row r="42">
          <cell r="K42">
            <v>34911960.75</v>
          </cell>
        </row>
        <row r="43">
          <cell r="K43">
            <v>3669044.7399999998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Gas - Accrual"/>
      <sheetName val="Core Gas - Actual"/>
      <sheetName val="Core Gas - True-Up"/>
      <sheetName val="Demand Charges"/>
      <sheetName val="Supplier Invoices"/>
    </sheetNames>
    <sheetDataSet>
      <sheetData sheetId="0"/>
      <sheetData sheetId="1"/>
      <sheetData sheetId="2"/>
      <sheetData sheetId="3"/>
      <sheetData sheetId="4">
        <row r="65">
          <cell r="Q65">
            <v>-202770.50079999995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SI_SSJDE"/>
    </sheetNames>
    <definedNames>
      <definedName name="SSGXA4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6"/>
      <sheetName val="DEFERRALS"/>
      <sheetName val="RA 1860.20479"/>
      <sheetName val="RA 1823.47020430"/>
      <sheetName val="RA 1823.47020431"/>
      <sheetName val="RA 1823.47020444"/>
      <sheetName val="RA 1823.47020449"/>
      <sheetName val="RA 1862.20477"/>
      <sheetName val="RA 1823.47020478"/>
      <sheetName val="RA 1860.20481"/>
      <sheetName val="FERC Interest Rates"/>
      <sheetName val="Therm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  <row r="82">
          <cell r="A82">
            <v>43496</v>
          </cell>
          <cell r="B82">
            <v>5.1799999999999999E-2</v>
          </cell>
          <cell r="C82">
            <v>31</v>
          </cell>
        </row>
        <row r="83">
          <cell r="A83">
            <v>43524</v>
          </cell>
          <cell r="B83">
            <v>5.1799999999999999E-2</v>
          </cell>
          <cell r="C83">
            <v>28</v>
          </cell>
        </row>
        <row r="84">
          <cell r="A84">
            <v>43555</v>
          </cell>
          <cell r="B84">
            <v>5.1799999999999999E-2</v>
          </cell>
          <cell r="C84">
            <v>31</v>
          </cell>
        </row>
        <row r="85">
          <cell r="A85">
            <v>43585</v>
          </cell>
          <cell r="B85">
            <v>5.1799999999999999E-2</v>
          </cell>
          <cell r="C85">
            <v>30</v>
          </cell>
        </row>
        <row r="86">
          <cell r="A86">
            <v>43616</v>
          </cell>
          <cell r="B86">
            <v>5.1799999999999999E-2</v>
          </cell>
          <cell r="C86">
            <v>31</v>
          </cell>
        </row>
        <row r="87">
          <cell r="A87">
            <v>43646</v>
          </cell>
          <cell r="B87">
            <v>5.1799999999999999E-2</v>
          </cell>
          <cell r="C87">
            <v>30</v>
          </cell>
        </row>
        <row r="88">
          <cell r="A88">
            <v>43677</v>
          </cell>
          <cell r="B88">
            <v>5.1799999999999999E-2</v>
          </cell>
          <cell r="C88">
            <v>31</v>
          </cell>
        </row>
        <row r="89">
          <cell r="A89">
            <v>43708</v>
          </cell>
          <cell r="B89">
            <v>5.1799999999999999E-2</v>
          </cell>
          <cell r="C89">
            <v>31</v>
          </cell>
        </row>
        <row r="90">
          <cell r="A90">
            <v>43738</v>
          </cell>
          <cell r="B90">
            <v>5.1799999999999999E-2</v>
          </cell>
          <cell r="C90">
            <v>30</v>
          </cell>
        </row>
        <row r="91">
          <cell r="A91">
            <v>43769</v>
          </cell>
          <cell r="B91">
            <v>5.1799999999999999E-2</v>
          </cell>
          <cell r="C91">
            <v>31</v>
          </cell>
        </row>
        <row r="92">
          <cell r="A92">
            <v>43799</v>
          </cell>
          <cell r="B92">
            <v>5.1799999999999999E-2</v>
          </cell>
          <cell r="C92">
            <v>30</v>
          </cell>
        </row>
        <row r="93">
          <cell r="A93">
            <v>43830</v>
          </cell>
          <cell r="B93">
            <v>5.1799999999999999E-2</v>
          </cell>
          <cell r="C93">
            <v>31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5DAD4-F1A8-4E85-A504-66D563A0D30D}">
  <dimension ref="B1:AK110"/>
  <sheetViews>
    <sheetView showGridLines="0" tabSelected="1" zoomScaleNormal="100" workbookViewId="0">
      <selection activeCell="G41" sqref="G41"/>
    </sheetView>
  </sheetViews>
  <sheetFormatPr defaultRowHeight="12.75" x14ac:dyDescent="0.2"/>
  <cols>
    <col min="1" max="1" width="1.7109375" customWidth="1"/>
    <col min="2" max="2" width="21.7109375" style="3" customWidth="1"/>
    <col min="3" max="3" width="26.140625" style="22" customWidth="1"/>
    <col min="4" max="4" width="3.5703125" style="12" hidden="1" customWidth="1"/>
    <col min="5" max="5" width="4" style="12" bestFit="1" customWidth="1"/>
    <col min="6" max="6" width="13.7109375" style="12" customWidth="1"/>
    <col min="7" max="7" width="15" style="59" bestFit="1" customWidth="1"/>
    <col min="8" max="8" width="12.140625" style="64" customWidth="1"/>
    <col min="9" max="9" width="11.85546875" style="64" bestFit="1" customWidth="1"/>
    <col min="10" max="10" width="14" style="64" bestFit="1" customWidth="1"/>
    <col min="11" max="12" width="16.140625" style="64" bestFit="1" customWidth="1"/>
    <col min="13" max="13" width="14.5703125" style="64" bestFit="1" customWidth="1"/>
    <col min="14" max="14" width="16.85546875" style="64" bestFit="1" customWidth="1"/>
    <col min="15" max="15" width="16.85546875" style="64" customWidth="1"/>
    <col min="16" max="16" width="1.7109375" customWidth="1"/>
    <col min="17" max="17" width="16.42578125" bestFit="1" customWidth="1"/>
    <col min="18" max="18" width="14.7109375" bestFit="1" customWidth="1"/>
    <col min="19" max="19" width="9.7109375" customWidth="1"/>
    <col min="20" max="20" width="13.85546875" bestFit="1" customWidth="1"/>
    <col min="21" max="21" width="12.85546875" bestFit="1" customWidth="1"/>
    <col min="22" max="28" width="9.7109375" customWidth="1"/>
    <col min="29" max="29" width="25.28515625" customWidth="1"/>
    <col min="30" max="30" width="19.28515625" bestFit="1" customWidth="1"/>
    <col min="31" max="31" width="11.42578125" bestFit="1" customWidth="1"/>
    <col min="32" max="32" width="17" bestFit="1" customWidth="1"/>
    <col min="33" max="33" width="14.7109375" customWidth="1"/>
    <col min="35" max="35" width="17" bestFit="1" customWidth="1"/>
    <col min="36" max="36" width="13.85546875" bestFit="1" customWidth="1"/>
    <col min="37" max="37" width="31.7109375" customWidth="1"/>
  </cols>
  <sheetData>
    <row r="1" spans="2:37" ht="14.25" customHeight="1" x14ac:dyDescent="0.2">
      <c r="B1" s="3" t="s">
        <v>25</v>
      </c>
      <c r="C1" s="11"/>
      <c r="E1" s="13" t="s">
        <v>124</v>
      </c>
      <c r="F1" s="13"/>
      <c r="G1" s="13"/>
      <c r="H1" s="13"/>
      <c r="I1" s="13"/>
      <c r="J1" s="13"/>
      <c r="K1" s="13"/>
      <c r="L1" s="14"/>
      <c r="M1" s="14"/>
      <c r="N1" s="14"/>
      <c r="O1" s="14"/>
      <c r="P1" s="14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spans="2:37" ht="14.25" customHeight="1" x14ac:dyDescent="0.25">
      <c r="B2" s="3" t="s">
        <v>26</v>
      </c>
      <c r="C2" s="11"/>
      <c r="D2" s="15"/>
      <c r="E2" s="13"/>
      <c r="F2" s="13"/>
      <c r="G2" s="13"/>
      <c r="H2" s="13"/>
      <c r="I2" s="13"/>
      <c r="J2" s="13"/>
      <c r="K2" s="13"/>
      <c r="L2" s="16" t="s">
        <v>27</v>
      </c>
      <c r="M2" s="16"/>
      <c r="N2" s="16"/>
      <c r="O2" s="16"/>
      <c r="P2" s="16"/>
    </row>
    <row r="3" spans="2:37" ht="14.25" customHeight="1" x14ac:dyDescent="0.25">
      <c r="B3" s="17" t="s">
        <v>28</v>
      </c>
      <c r="C3" s="17"/>
      <c r="D3" s="15"/>
      <c r="E3" s="18"/>
      <c r="F3" s="19">
        <f>'Core Cost Incurred'!B2</f>
        <v>43521</v>
      </c>
      <c r="G3" s="19"/>
      <c r="H3" s="19"/>
      <c r="I3" s="19"/>
      <c r="J3" s="19"/>
      <c r="K3" s="19"/>
      <c r="L3" s="20" t="s">
        <v>29</v>
      </c>
      <c r="M3" s="20"/>
      <c r="N3" s="20"/>
      <c r="O3" s="20"/>
      <c r="P3" s="20"/>
    </row>
    <row r="4" spans="2:37" ht="14.25" customHeight="1" x14ac:dyDescent="0.25">
      <c r="B4" s="17" t="s">
        <v>30</v>
      </c>
      <c r="C4" s="17"/>
      <c r="D4" s="15"/>
      <c r="E4" s="18"/>
      <c r="F4" s="19"/>
      <c r="G4" s="19"/>
      <c r="H4" s="19"/>
      <c r="I4" s="19"/>
      <c r="J4" s="19"/>
      <c r="K4" s="19"/>
      <c r="L4" s="21" t="s">
        <v>31</v>
      </c>
      <c r="M4" s="21"/>
      <c r="N4" s="21"/>
      <c r="O4" s="21"/>
      <c r="P4" s="21"/>
    </row>
    <row r="5" spans="2:37" ht="14.25" customHeight="1" x14ac:dyDescent="0.2">
      <c r="D5" s="15"/>
      <c r="E5" s="18"/>
      <c r="F5" s="18"/>
      <c r="G5" s="18"/>
      <c r="H5" s="18"/>
      <c r="I5" s="18"/>
      <c r="J5" s="18"/>
      <c r="K5" s="18"/>
      <c r="L5" s="14"/>
      <c r="M5" s="14"/>
      <c r="N5" s="14"/>
      <c r="O5" s="14"/>
      <c r="P5" s="14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spans="2:37" ht="15" x14ac:dyDescent="0.25">
      <c r="B6" s="23"/>
      <c r="C6" s="24"/>
      <c r="D6" s="25"/>
      <c r="E6" s="25"/>
      <c r="F6" s="25"/>
      <c r="G6" s="26" t="s">
        <v>32</v>
      </c>
      <c r="H6" s="27" t="s">
        <v>3</v>
      </c>
      <c r="I6" s="27" t="s">
        <v>6</v>
      </c>
      <c r="J6" s="27" t="s">
        <v>33</v>
      </c>
      <c r="K6" s="27" t="s">
        <v>3</v>
      </c>
      <c r="L6" s="27" t="s">
        <v>6</v>
      </c>
      <c r="M6" s="27"/>
      <c r="N6" s="27" t="s">
        <v>12</v>
      </c>
      <c r="O6" s="28"/>
      <c r="Q6" s="29"/>
      <c r="R6" s="34">
        <v>200294.94</v>
      </c>
      <c r="S6" s="29"/>
      <c r="T6" s="29"/>
      <c r="U6" s="34">
        <v>140046.39000000001</v>
      </c>
      <c r="V6" s="29"/>
      <c r="W6" s="29"/>
      <c r="X6" s="29"/>
      <c r="Y6" s="29"/>
      <c r="Z6" s="29"/>
      <c r="AA6" s="29"/>
      <c r="AB6" s="29"/>
      <c r="AC6" s="30"/>
    </row>
    <row r="7" spans="2:37" ht="15" x14ac:dyDescent="0.25">
      <c r="B7" s="31"/>
      <c r="C7" s="32"/>
      <c r="D7" s="33"/>
      <c r="E7" s="33"/>
      <c r="F7" s="31" t="s">
        <v>34</v>
      </c>
      <c r="G7" s="26" t="s">
        <v>35</v>
      </c>
      <c r="H7" s="27" t="s">
        <v>36</v>
      </c>
      <c r="I7" s="27" t="s">
        <v>36</v>
      </c>
      <c r="J7" s="27" t="s">
        <v>11</v>
      </c>
      <c r="K7" s="27" t="s">
        <v>37</v>
      </c>
      <c r="L7" s="27" t="s">
        <v>37</v>
      </c>
      <c r="M7" s="27" t="s">
        <v>33</v>
      </c>
      <c r="N7" s="27" t="s">
        <v>33</v>
      </c>
      <c r="O7" s="28"/>
      <c r="Q7" s="34">
        <v>11214374</v>
      </c>
      <c r="R7" s="34">
        <f>2345597.06+78799.97+56688.77</f>
        <v>2481085.8000000003</v>
      </c>
      <c r="S7" s="29"/>
      <c r="T7" s="34">
        <v>2845776</v>
      </c>
      <c r="U7" s="34">
        <v>459339.89</v>
      </c>
      <c r="V7" s="29"/>
      <c r="W7" s="29"/>
      <c r="X7" s="29"/>
      <c r="Y7" s="29"/>
      <c r="Z7" s="29"/>
      <c r="AA7" s="29"/>
      <c r="AB7" s="29"/>
      <c r="AC7" s="35"/>
      <c r="AD7" s="2"/>
    </row>
    <row r="8" spans="2:37" s="43" customFormat="1" x14ac:dyDescent="0.2">
      <c r="B8" s="36"/>
      <c r="C8" s="37"/>
      <c r="D8" s="36" t="s">
        <v>38</v>
      </c>
      <c r="E8" s="36" t="s">
        <v>39</v>
      </c>
      <c r="F8" s="36" t="s">
        <v>39</v>
      </c>
      <c r="G8" s="38" t="s">
        <v>40</v>
      </c>
      <c r="H8" s="39" t="s">
        <v>125</v>
      </c>
      <c r="I8" s="39" t="str">
        <f>+H8</f>
        <v>Nov 1 2018</v>
      </c>
      <c r="J8" s="39" t="str">
        <f>I8</f>
        <v>Nov 1 2018</v>
      </c>
      <c r="K8" s="40" t="s">
        <v>41</v>
      </c>
      <c r="L8" s="40" t="s">
        <v>41</v>
      </c>
      <c r="M8" s="40" t="s">
        <v>11</v>
      </c>
      <c r="N8" s="40" t="s">
        <v>41</v>
      </c>
      <c r="O8" s="28"/>
      <c r="P8"/>
      <c r="V8" s="29"/>
      <c r="W8" s="29"/>
      <c r="X8" s="29"/>
      <c r="Y8" s="29"/>
      <c r="Z8" s="29"/>
      <c r="AA8" s="29"/>
      <c r="AB8" s="29"/>
      <c r="AC8" s="41"/>
      <c r="AD8" s="2" t="s">
        <v>42</v>
      </c>
      <c r="AE8" s="2" t="s">
        <v>43</v>
      </c>
      <c r="AF8" s="2" t="s">
        <v>44</v>
      </c>
      <c r="AG8" s="42" t="s">
        <v>0</v>
      </c>
      <c r="AH8" s="2" t="s">
        <v>45</v>
      </c>
      <c r="AI8" s="2" t="s">
        <v>46</v>
      </c>
      <c r="AJ8" s="2" t="s">
        <v>47</v>
      </c>
      <c r="AK8" s="2" t="s">
        <v>48</v>
      </c>
    </row>
    <row r="9" spans="2:37" ht="15.75" x14ac:dyDescent="0.25">
      <c r="B9" s="44" t="s">
        <v>49</v>
      </c>
      <c r="C9" s="22" t="s">
        <v>52</v>
      </c>
      <c r="D9" s="45">
        <v>1</v>
      </c>
      <c r="E9" s="12" t="s">
        <v>53</v>
      </c>
      <c r="F9" s="12" t="s">
        <v>54</v>
      </c>
      <c r="G9" s="46">
        <v>0</v>
      </c>
      <c r="H9" s="47">
        <v>0.2424</v>
      </c>
      <c r="I9" s="47">
        <v>0.1736</v>
      </c>
      <c r="J9" s="47">
        <v>7.4000000000000003E-3</v>
      </c>
      <c r="K9" s="5">
        <f>ROUND(H9*G9,2)</f>
        <v>0</v>
      </c>
      <c r="L9" s="5">
        <f>ROUND(G9*I9,2)</f>
        <v>0</v>
      </c>
      <c r="M9" s="51">
        <f>ROUND(G9*J9,2)</f>
        <v>0</v>
      </c>
      <c r="N9" s="5">
        <f>SUM(K9:M9)</f>
        <v>0</v>
      </c>
      <c r="O9" s="5"/>
      <c r="Q9" s="52">
        <f>+-1529533-194708</f>
        <v>-1724241</v>
      </c>
      <c r="R9" s="52">
        <f>+-304369.99-70364.48</f>
        <v>-374734.47</v>
      </c>
      <c r="S9" s="49"/>
      <c r="T9" s="53">
        <f>+-505447-64182</f>
        <v>-569629</v>
      </c>
      <c r="U9" s="53">
        <f>+-100581.61-23194.4</f>
        <v>-123776.01000000001</v>
      </c>
      <c r="V9" s="49"/>
      <c r="W9" s="49"/>
      <c r="X9" s="49"/>
      <c r="Y9" s="49"/>
      <c r="Z9" s="49"/>
      <c r="AA9" s="49"/>
      <c r="AB9" s="49"/>
      <c r="AC9" s="29"/>
      <c r="AD9" t="s">
        <v>51</v>
      </c>
      <c r="AG9" s="29">
        <v>0</v>
      </c>
      <c r="AK9" t="s">
        <v>55</v>
      </c>
    </row>
    <row r="10" spans="2:37" ht="15.75" x14ac:dyDescent="0.25">
      <c r="B10" s="44" t="s">
        <v>49</v>
      </c>
      <c r="C10" s="22" t="s">
        <v>56</v>
      </c>
      <c r="D10" s="45">
        <v>1</v>
      </c>
      <c r="E10" s="12" t="s">
        <v>57</v>
      </c>
      <c r="F10" s="12" t="s">
        <v>58</v>
      </c>
      <c r="G10" s="54">
        <v>20826493</v>
      </c>
      <c r="H10" s="50">
        <f>$H$9</f>
        <v>0.2424</v>
      </c>
      <c r="I10" s="47">
        <v>0.17624999999999999</v>
      </c>
      <c r="J10" s="50">
        <f>+$J$9</f>
        <v>7.4000000000000003E-3</v>
      </c>
      <c r="K10" s="5">
        <f>ROUND(H10*G10,2)</f>
        <v>5048341.9000000004</v>
      </c>
      <c r="L10" s="5">
        <f>ROUND(G10*I10,2)</f>
        <v>3670669.39</v>
      </c>
      <c r="M10" s="51">
        <f>ROUND(G10*J10,2)</f>
        <v>154116.04999999999</v>
      </c>
      <c r="N10" s="48">
        <f>SUM(K10:M10)</f>
        <v>8873127.3400000017</v>
      </c>
      <c r="O10" s="5"/>
      <c r="Q10" s="53"/>
      <c r="R10" s="53"/>
      <c r="S10" s="53"/>
      <c r="T10" s="53"/>
      <c r="U10" s="53"/>
      <c r="V10" s="49"/>
      <c r="W10" s="49"/>
      <c r="X10" s="49"/>
      <c r="Y10" s="49"/>
      <c r="Z10" s="49"/>
      <c r="AA10" s="49"/>
      <c r="AB10" s="49"/>
      <c r="AC10" s="29"/>
      <c r="AD10" t="s">
        <v>51</v>
      </c>
      <c r="AG10" s="29">
        <v>0</v>
      </c>
      <c r="AK10" t="s">
        <v>59</v>
      </c>
    </row>
    <row r="11" spans="2:37" ht="15.75" x14ac:dyDescent="0.25">
      <c r="B11" s="44" t="s">
        <v>60</v>
      </c>
      <c r="C11" s="22" t="s">
        <v>61</v>
      </c>
      <c r="D11" s="45">
        <v>1</v>
      </c>
      <c r="E11" s="12" t="s">
        <v>57</v>
      </c>
      <c r="F11" s="12" t="s">
        <v>58</v>
      </c>
      <c r="G11" s="55">
        <v>-13677389</v>
      </c>
      <c r="H11" s="50">
        <f>$H$9</f>
        <v>0.2424</v>
      </c>
      <c r="I11" s="50">
        <f>$I$10</f>
        <v>0.17624999999999999</v>
      </c>
      <c r="J11" s="50">
        <f>+$J$9</f>
        <v>7.4000000000000003E-3</v>
      </c>
      <c r="K11" s="5">
        <f>ROUND(H11*G11,2)</f>
        <v>-3315399.09</v>
      </c>
      <c r="L11" s="5">
        <f>ROUND(G11*I11,2)</f>
        <v>-2410639.81</v>
      </c>
      <c r="M11" s="51"/>
      <c r="N11" s="48">
        <f>SUM(K11:M11)</f>
        <v>-5726038.9000000004</v>
      </c>
      <c r="O11" s="5"/>
      <c r="Q11" s="53"/>
      <c r="R11" s="53"/>
      <c r="S11" s="53"/>
      <c r="T11" s="53"/>
      <c r="U11" s="53"/>
      <c r="V11" s="49"/>
      <c r="W11" s="49"/>
      <c r="X11" s="49"/>
      <c r="Y11" s="49"/>
      <c r="Z11" s="49"/>
      <c r="AA11" s="49"/>
      <c r="AB11" s="49"/>
      <c r="AC11" s="29"/>
      <c r="AD11" t="s">
        <v>51</v>
      </c>
      <c r="AG11" s="29">
        <v>0</v>
      </c>
      <c r="AK11" t="s">
        <v>59</v>
      </c>
    </row>
    <row r="12" spans="2:37" ht="15.75" x14ac:dyDescent="0.25">
      <c r="B12" s="44" t="s">
        <v>60</v>
      </c>
      <c r="C12" s="22" t="s">
        <v>62</v>
      </c>
      <c r="D12" s="45">
        <v>1</v>
      </c>
      <c r="E12" s="12" t="s">
        <v>57</v>
      </c>
      <c r="F12" s="12" t="s">
        <v>58</v>
      </c>
      <c r="G12" s="55">
        <v>17127329</v>
      </c>
      <c r="H12" s="50">
        <f>$H$9</f>
        <v>0.2424</v>
      </c>
      <c r="I12" s="50">
        <f>$I$10</f>
        <v>0.17624999999999999</v>
      </c>
      <c r="J12" s="50">
        <f>+$J$9</f>
        <v>7.4000000000000003E-3</v>
      </c>
      <c r="K12" s="5">
        <f>ROUND(H12*G12,2)</f>
        <v>4151664.55</v>
      </c>
      <c r="L12" s="5">
        <f>ROUND(G12*I12,2)</f>
        <v>3018691.74</v>
      </c>
      <c r="M12" s="51"/>
      <c r="N12" s="48">
        <f>SUM(K12:M12)</f>
        <v>7170356.29</v>
      </c>
      <c r="O12" s="5"/>
      <c r="Q12" s="53"/>
      <c r="R12" s="53"/>
      <c r="S12" s="53"/>
      <c r="T12" s="53"/>
      <c r="U12" s="53"/>
      <c r="V12" s="49"/>
      <c r="W12" s="49"/>
      <c r="X12" s="49"/>
      <c r="Y12" s="49"/>
      <c r="Z12" s="49"/>
      <c r="AA12" s="49"/>
      <c r="AB12" s="49"/>
      <c r="AC12" s="29"/>
      <c r="AD12" t="s">
        <v>51</v>
      </c>
      <c r="AG12" s="29">
        <v>0</v>
      </c>
      <c r="AK12" t="s">
        <v>59</v>
      </c>
    </row>
    <row r="13" spans="2:37" ht="12.2" customHeight="1" x14ac:dyDescent="0.2">
      <c r="B13" s="44"/>
      <c r="D13" s="45"/>
      <c r="G13" s="46"/>
      <c r="H13" s="50"/>
      <c r="I13" s="50"/>
      <c r="J13" s="50"/>
      <c r="K13" s="5"/>
      <c r="L13" s="5"/>
      <c r="M13" s="51"/>
      <c r="N13" s="5"/>
      <c r="O13" s="5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29"/>
      <c r="AG13" s="29"/>
    </row>
    <row r="14" spans="2:37" ht="15.75" x14ac:dyDescent="0.25">
      <c r="B14" s="44" t="s">
        <v>63</v>
      </c>
      <c r="C14" s="22" t="s">
        <v>64</v>
      </c>
      <c r="D14" s="45">
        <v>2</v>
      </c>
      <c r="E14" s="12" t="s">
        <v>65</v>
      </c>
      <c r="F14" s="12" t="s">
        <v>66</v>
      </c>
      <c r="G14" s="54">
        <v>13988227</v>
      </c>
      <c r="H14" s="50">
        <f>$H$9</f>
        <v>0.2424</v>
      </c>
      <c r="I14" s="50">
        <f>+$I$9</f>
        <v>0.1736</v>
      </c>
      <c r="J14" s="50">
        <f>+$J$9</f>
        <v>7.4000000000000003E-3</v>
      </c>
      <c r="K14" s="5">
        <f>ROUND(H14*G14,2)</f>
        <v>3390746.22</v>
      </c>
      <c r="L14" s="5">
        <f>ROUND(G14*I14,2)</f>
        <v>2428356.21</v>
      </c>
      <c r="M14" s="51">
        <f>ROUND(G14*J14,2)</f>
        <v>103512.88</v>
      </c>
      <c r="N14" s="56">
        <f>SUM(K14:M14)</f>
        <v>5922615.3099999996</v>
      </c>
      <c r="O14" s="57">
        <v>-0.02</v>
      </c>
      <c r="Q14" s="49" t="s">
        <v>50</v>
      </c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29"/>
      <c r="AD14" t="s">
        <v>51</v>
      </c>
      <c r="AG14" s="29">
        <v>0</v>
      </c>
      <c r="AK14" t="s">
        <v>67</v>
      </c>
    </row>
    <row r="15" spans="2:37" ht="15.75" x14ac:dyDescent="0.25">
      <c r="B15" s="44" t="s">
        <v>68</v>
      </c>
      <c r="C15" s="22" t="s">
        <v>69</v>
      </c>
      <c r="D15" s="45">
        <v>2</v>
      </c>
      <c r="E15" s="12" t="s">
        <v>65</v>
      </c>
      <c r="F15" s="12" t="s">
        <v>66</v>
      </c>
      <c r="G15" s="55">
        <v>-10187002</v>
      </c>
      <c r="H15" s="50">
        <f>$H$9</f>
        <v>0.2424</v>
      </c>
      <c r="I15" s="50">
        <f>+$I$9</f>
        <v>0.1736</v>
      </c>
      <c r="J15" s="50">
        <f>+$J$9</f>
        <v>7.4000000000000003E-3</v>
      </c>
      <c r="K15" s="5">
        <f>ROUND(H15*G15,2)</f>
        <v>-2469329.2799999998</v>
      </c>
      <c r="L15" s="5">
        <f>ROUND(G15*I15,2)</f>
        <v>-1768463.55</v>
      </c>
      <c r="M15" s="51"/>
      <c r="N15" s="56">
        <f>SUM(K15:M15)</f>
        <v>-4237792.83</v>
      </c>
      <c r="O15" s="57"/>
      <c r="Q15" s="49" t="s">
        <v>70</v>
      </c>
      <c r="R15" s="49">
        <f>101807.82+3135667.8</f>
        <v>3237475.6199999996</v>
      </c>
      <c r="S15" s="49"/>
      <c r="T15" s="49"/>
      <c r="U15" s="53">
        <f>242253.38+412186.68</f>
        <v>654440.06000000006</v>
      </c>
      <c r="V15" s="49"/>
      <c r="W15" s="49"/>
      <c r="X15" s="49"/>
      <c r="Y15" s="49"/>
      <c r="Z15" s="49"/>
      <c r="AA15" s="49"/>
      <c r="AB15" s="49"/>
      <c r="AC15" s="29"/>
      <c r="AD15" t="s">
        <v>51</v>
      </c>
      <c r="AG15" s="29">
        <v>0</v>
      </c>
      <c r="AK15" t="s">
        <v>67</v>
      </c>
    </row>
    <row r="16" spans="2:37" ht="15" x14ac:dyDescent="0.2">
      <c r="B16" s="44" t="s">
        <v>68</v>
      </c>
      <c r="C16" s="22" t="s">
        <v>71</v>
      </c>
      <c r="D16" s="45">
        <v>2</v>
      </c>
      <c r="E16" s="12" t="s">
        <v>65</v>
      </c>
      <c r="F16" s="12" t="s">
        <v>66</v>
      </c>
      <c r="G16" s="100">
        <v>12666270</v>
      </c>
      <c r="H16" s="50">
        <f>$H$9</f>
        <v>0.2424</v>
      </c>
      <c r="I16" s="50">
        <f>+$I$9</f>
        <v>0.1736</v>
      </c>
      <c r="J16" s="50">
        <f>+$J$9</f>
        <v>7.4000000000000003E-3</v>
      </c>
      <c r="K16" s="5">
        <f>ROUND(H16*G16,2)</f>
        <v>3070303.85</v>
      </c>
      <c r="L16" s="5">
        <f>ROUND(G16*I16,2)</f>
        <v>2198864.4700000002</v>
      </c>
      <c r="M16" s="51"/>
      <c r="N16" s="48">
        <f>SUM(K16:M16)</f>
        <v>5269168.32</v>
      </c>
      <c r="O16" s="5"/>
      <c r="Q16" s="49" t="s">
        <v>70</v>
      </c>
      <c r="R16" s="49">
        <v>55387.57</v>
      </c>
      <c r="S16" s="49"/>
      <c r="T16" s="49"/>
      <c r="U16" s="53">
        <v>7182.43</v>
      </c>
      <c r="V16" s="49"/>
      <c r="W16" s="49"/>
      <c r="X16" s="49"/>
      <c r="Y16" s="49"/>
      <c r="Z16" s="49"/>
      <c r="AA16" s="49"/>
      <c r="AB16" s="49"/>
      <c r="AC16" s="29"/>
      <c r="AD16" t="s">
        <v>51</v>
      </c>
      <c r="AG16" s="29">
        <v>0</v>
      </c>
      <c r="AK16" t="s">
        <v>67</v>
      </c>
    </row>
    <row r="17" spans="2:37" ht="12.2" customHeight="1" x14ac:dyDescent="0.2">
      <c r="B17" s="44"/>
      <c r="D17" s="45"/>
      <c r="G17" s="46"/>
      <c r="H17" s="50"/>
      <c r="I17" s="50"/>
      <c r="J17" s="50"/>
      <c r="K17" s="5"/>
      <c r="L17" s="5"/>
      <c r="M17" s="51"/>
      <c r="N17" s="5"/>
      <c r="O17" s="5"/>
      <c r="Q17" s="4"/>
      <c r="R17" s="4"/>
      <c r="S17" s="4"/>
      <c r="T17" s="4"/>
      <c r="U17" s="53"/>
      <c r="V17" s="4"/>
      <c r="W17" s="4"/>
      <c r="X17" s="4"/>
      <c r="Y17" s="4"/>
      <c r="Z17" s="4"/>
      <c r="AA17" s="4"/>
      <c r="AB17" s="4"/>
      <c r="AC17" s="29"/>
      <c r="AG17" s="29"/>
    </row>
    <row r="18" spans="2:37" ht="15.75" x14ac:dyDescent="0.25">
      <c r="B18" s="44" t="s">
        <v>63</v>
      </c>
      <c r="C18" s="22" t="s">
        <v>72</v>
      </c>
      <c r="D18" s="45">
        <v>2</v>
      </c>
      <c r="E18" s="12" t="s">
        <v>73</v>
      </c>
      <c r="F18" s="12" t="s">
        <v>74</v>
      </c>
      <c r="G18" s="54">
        <v>1527495</v>
      </c>
      <c r="H18" s="50">
        <f>$H$9</f>
        <v>0.2424</v>
      </c>
      <c r="I18" s="47">
        <v>0.16053999999999999</v>
      </c>
      <c r="J18" s="50">
        <f t="shared" ref="J18:J23" si="0">+$J$9</f>
        <v>7.4000000000000003E-3</v>
      </c>
      <c r="K18" s="5">
        <f t="shared" ref="K18:K23" si="1">ROUND(H18*G18,2)</f>
        <v>370264.79</v>
      </c>
      <c r="L18" s="5">
        <f t="shared" ref="L18:L23" si="2">ROUND(G18*I18,2)</f>
        <v>245224.05</v>
      </c>
      <c r="M18" s="51">
        <f t="shared" ref="M18:M23" si="3">ROUND(G18*J18,2)</f>
        <v>11303.46</v>
      </c>
      <c r="N18" s="58">
        <f t="shared" ref="N18:N23" si="4">SUM(K18:M18)</f>
        <v>626792.29999999993</v>
      </c>
      <c r="O18" s="57">
        <v>2.0699999999999998</v>
      </c>
      <c r="Q18" s="49" t="s">
        <v>50</v>
      </c>
      <c r="R18" s="49">
        <v>625208.07999999996</v>
      </c>
      <c r="S18" s="49"/>
      <c r="T18" s="49"/>
      <c r="U18" s="53">
        <f>44136.69+5300</f>
        <v>49436.69</v>
      </c>
      <c r="V18" s="49"/>
      <c r="W18" s="49"/>
      <c r="X18" s="49"/>
      <c r="Y18" s="49"/>
      <c r="Z18" s="49"/>
      <c r="AA18" s="49"/>
      <c r="AB18" s="49"/>
      <c r="AC18" s="29"/>
      <c r="AD18" t="s">
        <v>51</v>
      </c>
      <c r="AG18" s="29">
        <v>0</v>
      </c>
      <c r="AK18" t="s">
        <v>75</v>
      </c>
    </row>
    <row r="19" spans="2:37" ht="15" x14ac:dyDescent="0.2">
      <c r="B19" s="44" t="s">
        <v>63</v>
      </c>
      <c r="C19" s="22" t="s">
        <v>76</v>
      </c>
      <c r="D19" s="45">
        <v>2</v>
      </c>
      <c r="E19" s="12" t="s">
        <v>77</v>
      </c>
      <c r="F19" s="12" t="s">
        <v>78</v>
      </c>
      <c r="G19" s="46"/>
      <c r="H19" s="50">
        <f t="shared" ref="H19:H23" si="5">$H$9</f>
        <v>0.2424</v>
      </c>
      <c r="I19" s="50">
        <f>+$I$9</f>
        <v>0.1736</v>
      </c>
      <c r="J19" s="50">
        <f t="shared" si="0"/>
        <v>7.4000000000000003E-3</v>
      </c>
      <c r="K19" s="5">
        <f t="shared" si="1"/>
        <v>0</v>
      </c>
      <c r="L19" s="5">
        <f t="shared" si="2"/>
        <v>0</v>
      </c>
      <c r="M19" s="51">
        <f t="shared" si="3"/>
        <v>0</v>
      </c>
      <c r="N19" s="48">
        <f>SUM(K19:M19)</f>
        <v>0</v>
      </c>
      <c r="O19" s="5">
        <v>0.01</v>
      </c>
      <c r="Q19" s="49" t="s">
        <v>50</v>
      </c>
      <c r="R19" s="49">
        <f>+-128.04-565547.01</f>
        <v>-565675.05000000005</v>
      </c>
      <c r="S19" s="49"/>
      <c r="T19" s="49"/>
      <c r="U19" s="53">
        <f>+-193.7-79036.58</f>
        <v>-79230.28</v>
      </c>
      <c r="V19" s="49"/>
      <c r="W19" s="49"/>
      <c r="X19" s="49"/>
      <c r="Y19" s="49"/>
      <c r="Z19" s="49"/>
      <c r="AA19" s="49"/>
      <c r="AB19" s="49"/>
      <c r="AC19" s="59"/>
      <c r="AD19" t="s">
        <v>51</v>
      </c>
      <c r="AG19" s="29">
        <v>0</v>
      </c>
      <c r="AK19" t="s">
        <v>79</v>
      </c>
    </row>
    <row r="20" spans="2:37" ht="15" x14ac:dyDescent="0.2">
      <c r="B20" s="44" t="s">
        <v>63</v>
      </c>
      <c r="C20" s="22" t="s">
        <v>80</v>
      </c>
      <c r="D20" s="45">
        <v>2</v>
      </c>
      <c r="E20" s="12" t="s">
        <v>53</v>
      </c>
      <c r="F20" s="12" t="s">
        <v>54</v>
      </c>
      <c r="G20" s="46">
        <v>0</v>
      </c>
      <c r="H20" s="50">
        <f t="shared" si="5"/>
        <v>0.2424</v>
      </c>
      <c r="I20" s="50">
        <f>+$I$9</f>
        <v>0.1736</v>
      </c>
      <c r="J20" s="50">
        <f t="shared" si="0"/>
        <v>7.4000000000000003E-3</v>
      </c>
      <c r="K20" s="5">
        <f t="shared" si="1"/>
        <v>0</v>
      </c>
      <c r="L20" s="5">
        <f t="shared" si="2"/>
        <v>0</v>
      </c>
      <c r="M20" s="51">
        <f t="shared" si="3"/>
        <v>0</v>
      </c>
      <c r="N20" s="5">
        <f t="shared" si="4"/>
        <v>0</v>
      </c>
      <c r="O20" s="5"/>
      <c r="Q20" s="49" t="s">
        <v>50</v>
      </c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59"/>
      <c r="AD20" t="s">
        <v>51</v>
      </c>
      <c r="AG20" s="29">
        <v>0</v>
      </c>
      <c r="AK20" t="s">
        <v>81</v>
      </c>
    </row>
    <row r="21" spans="2:37" ht="15.75" x14ac:dyDescent="0.25">
      <c r="B21" s="44" t="s">
        <v>63</v>
      </c>
      <c r="C21" s="22" t="s">
        <v>72</v>
      </c>
      <c r="D21" s="45">
        <v>2</v>
      </c>
      <c r="E21" s="12" t="s">
        <v>73</v>
      </c>
      <c r="F21" s="12" t="s">
        <v>83</v>
      </c>
      <c r="G21" s="54">
        <v>4626</v>
      </c>
      <c r="H21" s="50">
        <f t="shared" si="5"/>
        <v>0.2424</v>
      </c>
      <c r="I21" s="50">
        <f>+$I$9</f>
        <v>0.1736</v>
      </c>
      <c r="J21" s="50">
        <f t="shared" si="0"/>
        <v>7.4000000000000003E-3</v>
      </c>
      <c r="K21" s="5">
        <f t="shared" si="1"/>
        <v>1121.3399999999999</v>
      </c>
      <c r="L21" s="5">
        <f t="shared" si="2"/>
        <v>803.07</v>
      </c>
      <c r="M21" s="51">
        <f t="shared" si="3"/>
        <v>34.229999999999997</v>
      </c>
      <c r="N21" s="56">
        <f t="shared" si="4"/>
        <v>1958.6399999999999</v>
      </c>
      <c r="O21" s="57"/>
      <c r="Q21" s="49" t="s">
        <v>50</v>
      </c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29"/>
      <c r="AD21" t="s">
        <v>51</v>
      </c>
      <c r="AG21" s="29">
        <v>0</v>
      </c>
      <c r="AK21" t="s">
        <v>75</v>
      </c>
    </row>
    <row r="22" spans="2:37" ht="15.75" x14ac:dyDescent="0.25">
      <c r="B22" s="44" t="s">
        <v>68</v>
      </c>
      <c r="C22" s="22" t="s">
        <v>82</v>
      </c>
      <c r="D22" s="45">
        <v>2</v>
      </c>
      <c r="E22" s="12" t="s">
        <v>73</v>
      </c>
      <c r="F22" s="12" t="s">
        <v>83</v>
      </c>
      <c r="G22" s="60">
        <v>-4626</v>
      </c>
      <c r="H22" s="50">
        <f t="shared" si="5"/>
        <v>0.2424</v>
      </c>
      <c r="I22" s="50">
        <f>+$I$9</f>
        <v>0.1736</v>
      </c>
      <c r="J22" s="50">
        <f t="shared" si="0"/>
        <v>7.4000000000000003E-3</v>
      </c>
      <c r="K22" s="5">
        <f t="shared" si="1"/>
        <v>-1121.3399999999999</v>
      </c>
      <c r="L22" s="5">
        <f t="shared" si="2"/>
        <v>-803.07</v>
      </c>
      <c r="M22" s="51">
        <f t="shared" si="3"/>
        <v>-34.229999999999997</v>
      </c>
      <c r="N22" s="56">
        <f t="shared" si="4"/>
        <v>-1958.6399999999999</v>
      </c>
      <c r="O22" s="57"/>
      <c r="Q22" s="4"/>
      <c r="R22" s="4">
        <v>57899.56</v>
      </c>
      <c r="S22" s="4"/>
      <c r="T22" s="4"/>
      <c r="U22" s="53">
        <v>8091.98</v>
      </c>
      <c r="V22" s="4"/>
      <c r="W22" s="4"/>
      <c r="X22" s="4"/>
      <c r="Y22" s="4"/>
      <c r="Z22" s="4"/>
      <c r="AA22" s="4"/>
      <c r="AB22" s="4"/>
      <c r="AC22" s="61"/>
      <c r="AD22" t="s">
        <v>51</v>
      </c>
      <c r="AG22" s="29">
        <v>0</v>
      </c>
      <c r="AK22" t="s">
        <v>75</v>
      </c>
    </row>
    <row r="23" spans="2:37" ht="15.75" x14ac:dyDescent="0.25">
      <c r="B23" s="44" t="s">
        <v>68</v>
      </c>
      <c r="C23" s="22" t="s">
        <v>84</v>
      </c>
      <c r="D23" s="45">
        <v>2</v>
      </c>
      <c r="E23" s="12" t="s">
        <v>73</v>
      </c>
      <c r="F23" s="12" t="s">
        <v>83</v>
      </c>
      <c r="G23" s="60">
        <v>5486</v>
      </c>
      <c r="H23" s="50">
        <f t="shared" si="5"/>
        <v>0.2424</v>
      </c>
      <c r="I23" s="50">
        <f>+$I$9</f>
        <v>0.1736</v>
      </c>
      <c r="J23" s="50">
        <f t="shared" si="0"/>
        <v>7.4000000000000003E-3</v>
      </c>
      <c r="K23" s="5">
        <f t="shared" si="1"/>
        <v>1329.81</v>
      </c>
      <c r="L23" s="5">
        <f t="shared" si="2"/>
        <v>952.37</v>
      </c>
      <c r="M23" s="51">
        <f t="shared" si="3"/>
        <v>40.6</v>
      </c>
      <c r="N23" s="48">
        <f t="shared" si="4"/>
        <v>2322.7799999999997</v>
      </c>
      <c r="O23" s="5"/>
      <c r="Q23" s="4"/>
      <c r="R23" s="4">
        <v>61282.61</v>
      </c>
      <c r="S23" s="4"/>
      <c r="T23" s="4"/>
      <c r="U23" s="53">
        <v>6665.73</v>
      </c>
      <c r="V23" s="4"/>
      <c r="W23" s="4"/>
      <c r="X23" s="4"/>
      <c r="Y23" s="4"/>
      <c r="Z23" s="4"/>
      <c r="AA23" s="4"/>
      <c r="AB23" s="4"/>
      <c r="AC23" s="61"/>
      <c r="AD23" t="s">
        <v>51</v>
      </c>
      <c r="AG23" s="29">
        <v>0</v>
      </c>
      <c r="AK23" t="s">
        <v>75</v>
      </c>
    </row>
    <row r="24" spans="2:37" ht="12.2" customHeight="1" x14ac:dyDescent="0.2">
      <c r="B24" s="44"/>
      <c r="D24" s="45"/>
      <c r="G24" s="62"/>
      <c r="H24" s="63"/>
      <c r="I24" s="50"/>
      <c r="J24" s="50"/>
      <c r="K24" s="5"/>
      <c r="L24" s="5"/>
      <c r="M24" s="51"/>
      <c r="N24" s="5"/>
      <c r="O24" s="5"/>
      <c r="Q24" s="4"/>
      <c r="R24" s="4"/>
      <c r="S24" s="4"/>
      <c r="T24" s="4"/>
      <c r="U24" s="53"/>
      <c r="V24" s="4"/>
      <c r="W24" s="4"/>
      <c r="X24" s="4"/>
      <c r="Y24" s="4"/>
      <c r="Z24" s="4"/>
      <c r="AA24" s="4"/>
      <c r="AB24" s="4"/>
      <c r="AC24" s="61"/>
      <c r="AG24" s="29"/>
    </row>
    <row r="25" spans="2:37" ht="15.75" x14ac:dyDescent="0.25">
      <c r="B25" s="44" t="s">
        <v>85</v>
      </c>
      <c r="C25" s="22" t="s">
        <v>86</v>
      </c>
      <c r="D25" s="45">
        <v>3</v>
      </c>
      <c r="E25" s="12" t="s">
        <v>87</v>
      </c>
      <c r="F25" s="12" t="s">
        <v>88</v>
      </c>
      <c r="G25" s="54">
        <v>1616149</v>
      </c>
      <c r="H25" s="50">
        <f t="shared" ref="H25:H44" si="6">$H$9</f>
        <v>0.2424</v>
      </c>
      <c r="I25" s="50">
        <f>$I$18</f>
        <v>0.16053999999999999</v>
      </c>
      <c r="J25" s="50">
        <f t="shared" ref="J25:J44" si="7">+$J$9</f>
        <v>7.4000000000000003E-3</v>
      </c>
      <c r="K25" s="5">
        <f>ROUND(H25*G25,2)</f>
        <v>391754.52</v>
      </c>
      <c r="L25" s="5">
        <f>ROUND(G25*I25,2)</f>
        <v>259456.56</v>
      </c>
      <c r="M25" s="51">
        <f>ROUND(G25*J25,2)</f>
        <v>11959.5</v>
      </c>
      <c r="N25" s="48">
        <f>SUM(K25:M25)</f>
        <v>663170.58000000007</v>
      </c>
      <c r="O25" s="5">
        <v>-0.01</v>
      </c>
      <c r="Q25" s="49" t="s">
        <v>50</v>
      </c>
      <c r="R25" s="49">
        <v>49965.85</v>
      </c>
      <c r="S25" s="49"/>
      <c r="T25" s="49"/>
      <c r="U25" s="53">
        <v>5434.8</v>
      </c>
      <c r="V25" s="49"/>
      <c r="W25" s="49"/>
      <c r="X25" s="49"/>
      <c r="Y25" s="49"/>
      <c r="Z25" s="49"/>
      <c r="AA25" s="49"/>
      <c r="AB25" s="49"/>
      <c r="AC25" s="59"/>
      <c r="AD25" t="s">
        <v>51</v>
      </c>
      <c r="AG25" s="29">
        <v>0</v>
      </c>
      <c r="AK25" t="s">
        <v>89</v>
      </c>
    </row>
    <row r="26" spans="2:37" ht="15.75" x14ac:dyDescent="0.25">
      <c r="B26" s="44" t="s">
        <v>85</v>
      </c>
      <c r="C26" s="22" t="s">
        <v>90</v>
      </c>
      <c r="D26" s="45">
        <v>3</v>
      </c>
      <c r="E26" s="12" t="s">
        <v>73</v>
      </c>
      <c r="F26" s="12" t="s">
        <v>74</v>
      </c>
      <c r="G26" s="54">
        <v>325966</v>
      </c>
      <c r="H26" s="50">
        <f t="shared" si="6"/>
        <v>0.2424</v>
      </c>
      <c r="I26" s="50">
        <f>$I$18</f>
        <v>0.16053999999999999</v>
      </c>
      <c r="J26" s="50">
        <f t="shared" si="7"/>
        <v>7.4000000000000003E-3</v>
      </c>
      <c r="K26" s="5">
        <f>ROUND(H26*G26,2)</f>
        <v>79014.16</v>
      </c>
      <c r="L26" s="5">
        <f>ROUND(G26*I26,2)</f>
        <v>52330.58</v>
      </c>
      <c r="M26" s="51">
        <f>ROUND(G26*J26,2)</f>
        <v>2412.15</v>
      </c>
      <c r="N26" s="48">
        <f>SUM(K26:M26)</f>
        <v>133756.88999999998</v>
      </c>
      <c r="O26" s="5"/>
      <c r="Q26" s="49" t="s">
        <v>50</v>
      </c>
      <c r="R26" s="49"/>
      <c r="S26" s="49"/>
      <c r="T26" s="49"/>
      <c r="U26" s="53"/>
      <c r="V26" s="49"/>
      <c r="W26" s="49"/>
      <c r="X26" s="49"/>
      <c r="Y26" s="49"/>
      <c r="Z26" s="49"/>
      <c r="AA26" s="49"/>
      <c r="AB26" s="49"/>
      <c r="AC26" s="59"/>
      <c r="AD26" t="s">
        <v>51</v>
      </c>
      <c r="AG26" s="29">
        <v>0</v>
      </c>
      <c r="AK26" t="s">
        <v>91</v>
      </c>
    </row>
    <row r="27" spans="2:37" ht="15" x14ac:dyDescent="0.2">
      <c r="B27" s="44" t="s">
        <v>85</v>
      </c>
      <c r="C27" s="22" t="s">
        <v>92</v>
      </c>
      <c r="D27" s="45">
        <v>3</v>
      </c>
      <c r="E27" s="12" t="s">
        <v>77</v>
      </c>
      <c r="F27" s="12" t="s">
        <v>78</v>
      </c>
      <c r="G27" s="46">
        <v>0</v>
      </c>
      <c r="H27" s="50">
        <f t="shared" si="6"/>
        <v>0.2424</v>
      </c>
      <c r="I27" s="50">
        <f>+$I$9</f>
        <v>0.1736</v>
      </c>
      <c r="J27" s="50">
        <f t="shared" si="7"/>
        <v>7.4000000000000003E-3</v>
      </c>
      <c r="K27" s="5">
        <f>ROUND(H27*G27,2)</f>
        <v>0</v>
      </c>
      <c r="L27" s="5">
        <f>ROUND(G27*I27,2)</f>
        <v>0</v>
      </c>
      <c r="M27" s="51">
        <f>ROUND(G27*J27,2)</f>
        <v>0</v>
      </c>
      <c r="N27" s="5">
        <f>SUM(K27:M27)</f>
        <v>0</v>
      </c>
      <c r="O27" s="5"/>
      <c r="Q27" s="4"/>
      <c r="R27" s="4"/>
      <c r="S27" s="4"/>
      <c r="T27" s="4"/>
      <c r="U27" s="53"/>
      <c r="V27" s="4"/>
      <c r="W27" s="4"/>
      <c r="X27" s="4"/>
      <c r="Y27" s="4"/>
      <c r="Z27" s="4"/>
      <c r="AA27" s="4"/>
      <c r="AB27" s="4"/>
      <c r="AC27" s="29"/>
      <c r="AD27" t="s">
        <v>51</v>
      </c>
      <c r="AG27" s="29">
        <v>0</v>
      </c>
      <c r="AK27" t="s">
        <v>93</v>
      </c>
    </row>
    <row r="28" spans="2:37" ht="12.2" customHeight="1" x14ac:dyDescent="0.2">
      <c r="B28" s="44"/>
      <c r="D28" s="45"/>
      <c r="G28" s="46"/>
      <c r="H28" s="50"/>
      <c r="I28" s="50"/>
      <c r="J28" s="50"/>
      <c r="K28" s="5"/>
      <c r="L28" s="5"/>
      <c r="M28" s="51"/>
      <c r="N28" s="5"/>
      <c r="O28" s="5"/>
      <c r="Q28" s="4"/>
      <c r="R28" s="4">
        <v>17029.240000000002</v>
      </c>
      <c r="S28" s="4"/>
      <c r="T28" s="4"/>
      <c r="U28" s="53">
        <v>1729.72</v>
      </c>
      <c r="V28" s="4"/>
      <c r="W28" s="4"/>
      <c r="X28" s="4"/>
      <c r="Y28" s="4"/>
      <c r="Z28" s="4"/>
      <c r="AA28" s="4"/>
      <c r="AB28" s="4"/>
      <c r="AC28" s="29"/>
      <c r="AG28" s="29"/>
    </row>
    <row r="29" spans="2:37" ht="15.75" x14ac:dyDescent="0.25">
      <c r="B29" s="44" t="s">
        <v>94</v>
      </c>
      <c r="C29" s="22" t="s">
        <v>95</v>
      </c>
      <c r="D29" s="45">
        <v>3</v>
      </c>
      <c r="E29" s="12" t="s">
        <v>87</v>
      </c>
      <c r="F29" s="12" t="s">
        <v>96</v>
      </c>
      <c r="G29" s="54">
        <v>7</v>
      </c>
      <c r="H29" s="50">
        <f t="shared" si="6"/>
        <v>0.2424</v>
      </c>
      <c r="I29" s="50">
        <f>$I$18</f>
        <v>0.16053999999999999</v>
      </c>
      <c r="J29" s="50">
        <f t="shared" si="7"/>
        <v>7.4000000000000003E-3</v>
      </c>
      <c r="K29" s="5">
        <f t="shared" ref="K29:K31" si="8">ROUND(H29*G29,2)</f>
        <v>1.7</v>
      </c>
      <c r="L29" s="5">
        <f t="shared" ref="L29:L31" si="9">ROUND(G29*I29,2)</f>
        <v>1.1200000000000001</v>
      </c>
      <c r="M29" s="51">
        <f t="shared" ref="M29:M31" si="10">ROUND(G29*J29,2)</f>
        <v>0.05</v>
      </c>
      <c r="N29" s="5">
        <f t="shared" ref="N29:N31" si="11">SUM(K29:M29)</f>
        <v>2.87</v>
      </c>
      <c r="O29" s="5"/>
      <c r="Q29" s="49" t="s">
        <v>50</v>
      </c>
      <c r="R29" s="49"/>
      <c r="S29" s="49"/>
      <c r="T29" s="49"/>
      <c r="U29" s="53"/>
      <c r="V29" s="49"/>
      <c r="W29" s="49"/>
      <c r="X29" s="49"/>
      <c r="Y29" s="49"/>
      <c r="Z29" s="49"/>
      <c r="AA29" s="49"/>
      <c r="AB29" s="49"/>
      <c r="AC29" s="59"/>
      <c r="AD29" t="s">
        <v>51</v>
      </c>
      <c r="AG29" s="29">
        <v>0</v>
      </c>
      <c r="AK29" t="s">
        <v>89</v>
      </c>
    </row>
    <row r="30" spans="2:37" ht="15.75" x14ac:dyDescent="0.25">
      <c r="B30" s="44" t="s">
        <v>97</v>
      </c>
      <c r="C30" s="22" t="s">
        <v>82</v>
      </c>
      <c r="D30" s="45">
        <v>3</v>
      </c>
      <c r="E30" s="12" t="s">
        <v>87</v>
      </c>
      <c r="F30" s="12" t="s">
        <v>96</v>
      </c>
      <c r="G30" s="60">
        <v>-7</v>
      </c>
      <c r="H30" s="50">
        <f t="shared" si="6"/>
        <v>0.2424</v>
      </c>
      <c r="I30" s="50">
        <f>$I$18</f>
        <v>0.16053999999999999</v>
      </c>
      <c r="J30" s="50">
        <f t="shared" si="7"/>
        <v>7.4000000000000003E-3</v>
      </c>
      <c r="K30" s="5">
        <f t="shared" si="8"/>
        <v>-1.7</v>
      </c>
      <c r="L30" s="5">
        <f t="shared" si="9"/>
        <v>-1.1200000000000001</v>
      </c>
      <c r="M30" s="51">
        <f t="shared" si="10"/>
        <v>-0.05</v>
      </c>
      <c r="N30" s="5">
        <f t="shared" si="11"/>
        <v>-2.87</v>
      </c>
      <c r="O30" s="5"/>
      <c r="Q30" s="4"/>
      <c r="R30" s="4">
        <v>128505.68</v>
      </c>
      <c r="S30" s="4"/>
      <c r="T30" s="4"/>
      <c r="U30" s="53">
        <v>17959.87</v>
      </c>
      <c r="V30" s="4"/>
      <c r="W30" s="4"/>
      <c r="X30" s="4"/>
      <c r="Y30" s="4"/>
      <c r="Z30" s="4"/>
      <c r="AA30" s="4"/>
      <c r="AB30" s="4"/>
      <c r="AC30" s="61"/>
      <c r="AD30" t="s">
        <v>51</v>
      </c>
      <c r="AG30" s="29">
        <v>0</v>
      </c>
      <c r="AK30" t="s">
        <v>89</v>
      </c>
    </row>
    <row r="31" spans="2:37" ht="15" x14ac:dyDescent="0.2">
      <c r="B31" s="44" t="s">
        <v>97</v>
      </c>
      <c r="C31" s="22" t="s">
        <v>84</v>
      </c>
      <c r="D31" s="45">
        <v>3</v>
      </c>
      <c r="E31" s="12" t="s">
        <v>87</v>
      </c>
      <c r="F31" s="12" t="s">
        <v>96</v>
      </c>
      <c r="G31" s="65">
        <v>0</v>
      </c>
      <c r="H31" s="50">
        <f t="shared" si="6"/>
        <v>0.2424</v>
      </c>
      <c r="I31" s="50">
        <f>$I$18</f>
        <v>0.16053999999999999</v>
      </c>
      <c r="J31" s="50">
        <f t="shared" si="7"/>
        <v>7.4000000000000003E-3</v>
      </c>
      <c r="K31" s="5">
        <f t="shared" si="8"/>
        <v>0</v>
      </c>
      <c r="L31" s="5">
        <f t="shared" si="9"/>
        <v>0</v>
      </c>
      <c r="M31" s="51">
        <f t="shared" si="10"/>
        <v>0</v>
      </c>
      <c r="N31" s="5">
        <f t="shared" si="11"/>
        <v>0</v>
      </c>
      <c r="O31" s="5"/>
      <c r="Q31" s="4"/>
      <c r="R31" s="4">
        <v>97.86</v>
      </c>
      <c r="S31" s="4"/>
      <c r="T31" s="4"/>
      <c r="U31" s="53">
        <v>10.64</v>
      </c>
      <c r="V31" s="4"/>
      <c r="W31" s="4"/>
      <c r="X31" s="4"/>
      <c r="Y31" s="4"/>
      <c r="Z31" s="4"/>
      <c r="AA31" s="4"/>
      <c r="AB31" s="4"/>
      <c r="AC31" s="61"/>
      <c r="AD31" t="s">
        <v>51</v>
      </c>
      <c r="AG31" s="29">
        <v>0</v>
      </c>
      <c r="AK31" t="s">
        <v>89</v>
      </c>
    </row>
    <row r="32" spans="2:37" ht="12.2" customHeight="1" x14ac:dyDescent="0.2">
      <c r="B32" s="44"/>
      <c r="D32" s="45"/>
      <c r="G32" s="46"/>
      <c r="H32" s="50"/>
      <c r="I32" s="50"/>
      <c r="J32" s="50"/>
      <c r="K32" s="5"/>
      <c r="L32" s="5"/>
      <c r="M32" s="51"/>
      <c r="N32" s="5"/>
      <c r="O32" s="5"/>
      <c r="Q32" s="4"/>
      <c r="R32" s="4"/>
      <c r="S32" s="4"/>
      <c r="T32" s="4"/>
      <c r="U32" s="53"/>
      <c r="V32" s="4"/>
      <c r="W32" s="4"/>
      <c r="X32" s="4"/>
      <c r="Y32" s="4"/>
      <c r="Z32" s="4"/>
      <c r="AA32" s="4"/>
      <c r="AB32" s="4"/>
      <c r="AC32" s="59"/>
      <c r="AG32" s="29"/>
    </row>
    <row r="33" spans="2:37" ht="15" x14ac:dyDescent="0.2">
      <c r="B33" s="44" t="s">
        <v>94</v>
      </c>
      <c r="C33" s="22" t="s">
        <v>98</v>
      </c>
      <c r="D33" s="45" t="s">
        <v>15</v>
      </c>
      <c r="E33" s="12" t="s">
        <v>99</v>
      </c>
      <c r="F33" s="12" t="s">
        <v>100</v>
      </c>
      <c r="G33" s="46">
        <v>0</v>
      </c>
      <c r="H33" s="50">
        <f t="shared" si="6"/>
        <v>0.2424</v>
      </c>
      <c r="I33" s="47">
        <v>0.14752999999999999</v>
      </c>
      <c r="J33" s="50">
        <f t="shared" si="7"/>
        <v>7.4000000000000003E-3</v>
      </c>
      <c r="K33" s="5">
        <f>ROUND(H33*G33,2)</f>
        <v>0</v>
      </c>
      <c r="L33" s="5">
        <f>ROUND(G33*I33,2)</f>
        <v>0</v>
      </c>
      <c r="M33" s="51">
        <f>ROUND(G33*J33,2)</f>
        <v>0</v>
      </c>
      <c r="N33" s="58">
        <f>SUM(K33:M33)</f>
        <v>0</v>
      </c>
      <c r="Q33" s="4"/>
      <c r="R33" s="4"/>
      <c r="S33" s="4"/>
      <c r="T33" s="4"/>
      <c r="U33" s="53"/>
      <c r="V33" s="4"/>
      <c r="W33" s="4"/>
      <c r="X33" s="4"/>
      <c r="Y33" s="4"/>
      <c r="Z33" s="4"/>
      <c r="AA33" s="4"/>
      <c r="AB33" s="4"/>
      <c r="AC33" s="29"/>
      <c r="AD33" t="s">
        <v>51</v>
      </c>
      <c r="AG33" s="29">
        <v>0</v>
      </c>
      <c r="AK33" t="s">
        <v>101</v>
      </c>
    </row>
    <row r="34" spans="2:37" ht="15" x14ac:dyDescent="0.2">
      <c r="B34" s="44" t="s">
        <v>97</v>
      </c>
      <c r="C34" s="22" t="s">
        <v>82</v>
      </c>
      <c r="D34" s="45">
        <v>4</v>
      </c>
      <c r="E34" s="12" t="s">
        <v>99</v>
      </c>
      <c r="F34" s="12" t="s">
        <v>100</v>
      </c>
      <c r="G34" s="65">
        <v>0</v>
      </c>
      <c r="H34" s="50">
        <f t="shared" si="6"/>
        <v>0.2424</v>
      </c>
      <c r="I34" s="50">
        <f>$I$33</f>
        <v>0.14752999999999999</v>
      </c>
      <c r="J34" s="50">
        <f t="shared" si="7"/>
        <v>7.4000000000000003E-3</v>
      </c>
      <c r="K34" s="5">
        <f>ROUND(H34*G34,2)</f>
        <v>0</v>
      </c>
      <c r="L34" s="5">
        <f>ROUND(G34*I34,2)</f>
        <v>0</v>
      </c>
      <c r="M34" s="51">
        <f>ROUND(G34*J34,2)</f>
        <v>0</v>
      </c>
      <c r="N34" s="48">
        <f>SUM(K34:M34)</f>
        <v>0</v>
      </c>
      <c r="O34" s="5">
        <f>-N34-80.06</f>
        <v>-80.06</v>
      </c>
      <c r="Q34" s="4"/>
      <c r="R34" s="4">
        <v>18307.25</v>
      </c>
      <c r="S34" s="4"/>
      <c r="T34" s="4"/>
      <c r="U34" s="53">
        <v>1859.59</v>
      </c>
      <c r="V34" s="4"/>
      <c r="W34" s="4"/>
      <c r="X34" s="4"/>
      <c r="Y34" s="4"/>
      <c r="Z34" s="4"/>
      <c r="AA34" s="4"/>
      <c r="AB34" s="4"/>
      <c r="AC34" s="61"/>
      <c r="AD34" t="s">
        <v>51</v>
      </c>
      <c r="AG34" s="29">
        <v>0</v>
      </c>
      <c r="AK34" t="s">
        <v>102</v>
      </c>
    </row>
    <row r="35" spans="2:37" ht="15" x14ac:dyDescent="0.2">
      <c r="B35" s="44" t="s">
        <v>97</v>
      </c>
      <c r="C35" s="22" t="s">
        <v>84</v>
      </c>
      <c r="D35" s="45">
        <v>4</v>
      </c>
      <c r="E35" s="12" t="s">
        <v>99</v>
      </c>
      <c r="F35" s="12" t="s">
        <v>100</v>
      </c>
      <c r="G35" s="65">
        <v>0</v>
      </c>
      <c r="H35" s="50">
        <f t="shared" si="6"/>
        <v>0.2424</v>
      </c>
      <c r="I35" s="50">
        <f>$I$33</f>
        <v>0.14752999999999999</v>
      </c>
      <c r="J35" s="50">
        <f t="shared" si="7"/>
        <v>7.4000000000000003E-3</v>
      </c>
      <c r="K35" s="5">
        <f>ROUND(H35*G35,2)</f>
        <v>0</v>
      </c>
      <c r="L35" s="5">
        <f>ROUND(G35*I35,2)</f>
        <v>0</v>
      </c>
      <c r="M35" s="51">
        <f>ROUND(G35*J35,2)</f>
        <v>0</v>
      </c>
      <c r="N35" s="5">
        <f>SUM(K35:M35)</f>
        <v>0</v>
      </c>
      <c r="O35" s="5"/>
      <c r="Q35" s="4"/>
      <c r="R35" s="4"/>
      <c r="S35" s="4"/>
      <c r="T35" s="4"/>
      <c r="U35" s="53"/>
      <c r="V35" s="4"/>
      <c r="W35" s="4"/>
      <c r="X35" s="4"/>
      <c r="Y35" s="4"/>
      <c r="Z35" s="4"/>
      <c r="AA35" s="4"/>
      <c r="AB35" s="4"/>
      <c r="AC35" s="61"/>
      <c r="AD35" t="s">
        <v>51</v>
      </c>
      <c r="AG35" s="29">
        <v>0</v>
      </c>
      <c r="AK35" t="s">
        <v>102</v>
      </c>
    </row>
    <row r="36" spans="2:37" ht="12.2" customHeight="1" x14ac:dyDescent="0.2">
      <c r="B36" s="44"/>
      <c r="D36" s="45"/>
      <c r="G36" s="46"/>
      <c r="H36" s="50"/>
      <c r="I36" s="50"/>
      <c r="J36" s="50"/>
      <c r="M36" s="51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29"/>
      <c r="AG36" s="29"/>
    </row>
    <row r="37" spans="2:37" ht="15.75" x14ac:dyDescent="0.25">
      <c r="B37" s="44" t="s">
        <v>103</v>
      </c>
      <c r="C37" s="22" t="s">
        <v>104</v>
      </c>
      <c r="D37" s="45" t="s">
        <v>24</v>
      </c>
      <c r="E37" s="12" t="s">
        <v>99</v>
      </c>
      <c r="F37" s="12" t="s">
        <v>100</v>
      </c>
      <c r="G37" s="54">
        <v>258811</v>
      </c>
      <c r="H37" s="50">
        <f t="shared" si="6"/>
        <v>0.2424</v>
      </c>
      <c r="I37" s="50">
        <f t="shared" ref="I37:I42" si="12">$I$33</f>
        <v>0.14752999999999999</v>
      </c>
      <c r="J37" s="50">
        <f t="shared" si="7"/>
        <v>7.4000000000000003E-3</v>
      </c>
      <c r="K37" s="5">
        <f t="shared" ref="K37:K42" si="13">ROUND(H37*G37,2)</f>
        <v>62735.79</v>
      </c>
      <c r="L37" s="5">
        <f t="shared" ref="L37:L42" si="14">ROUND(G37*I37,2)</f>
        <v>38182.39</v>
      </c>
      <c r="M37" s="51">
        <f t="shared" ref="M37:M41" si="15">ROUND(G37*J37,2)</f>
        <v>1915.2</v>
      </c>
      <c r="N37" s="48">
        <f>SUM(K37:M37)</f>
        <v>102833.37999999999</v>
      </c>
      <c r="O37" s="5">
        <v>0.01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29"/>
      <c r="AD37" t="s">
        <v>51</v>
      </c>
      <c r="AG37" s="29">
        <v>0</v>
      </c>
      <c r="AK37" t="s">
        <v>102</v>
      </c>
    </row>
    <row r="38" spans="2:37" ht="15.75" x14ac:dyDescent="0.25">
      <c r="B38" s="44" t="s">
        <v>103</v>
      </c>
      <c r="C38" s="22" t="s">
        <v>82</v>
      </c>
      <c r="D38" s="45">
        <v>5</v>
      </c>
      <c r="E38" s="12" t="s">
        <v>99</v>
      </c>
      <c r="F38" s="12" t="s">
        <v>100</v>
      </c>
      <c r="G38" s="60">
        <v>-258811</v>
      </c>
      <c r="H38" s="50">
        <f t="shared" si="6"/>
        <v>0.2424</v>
      </c>
      <c r="I38" s="50">
        <f t="shared" si="12"/>
        <v>0.14752999999999999</v>
      </c>
      <c r="J38" s="50">
        <f t="shared" si="7"/>
        <v>7.4000000000000003E-3</v>
      </c>
      <c r="K38" s="5">
        <f t="shared" si="13"/>
        <v>-62735.79</v>
      </c>
      <c r="L38" s="5">
        <f t="shared" si="14"/>
        <v>-38182.39</v>
      </c>
      <c r="M38" s="51">
        <f t="shared" si="15"/>
        <v>-1915.2</v>
      </c>
      <c r="N38" s="48">
        <f t="shared" ref="N38:N42" si="16">SUM(K38:M38)</f>
        <v>-102833.37999999999</v>
      </c>
      <c r="O38" s="5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61"/>
      <c r="AD38" t="s">
        <v>51</v>
      </c>
      <c r="AG38" s="29">
        <v>0</v>
      </c>
      <c r="AK38" t="s">
        <v>101</v>
      </c>
    </row>
    <row r="39" spans="2:37" ht="15.75" x14ac:dyDescent="0.25">
      <c r="B39" s="44" t="s">
        <v>103</v>
      </c>
      <c r="C39" s="22" t="s">
        <v>105</v>
      </c>
      <c r="D39" s="45">
        <v>5</v>
      </c>
      <c r="E39" s="12" t="s">
        <v>99</v>
      </c>
      <c r="F39" s="12" t="s">
        <v>100</v>
      </c>
      <c r="G39" s="60">
        <v>270184</v>
      </c>
      <c r="H39" s="50">
        <f t="shared" si="6"/>
        <v>0.2424</v>
      </c>
      <c r="I39" s="50">
        <f t="shared" si="12"/>
        <v>0.14752999999999999</v>
      </c>
      <c r="J39" s="50">
        <f t="shared" si="7"/>
        <v>7.4000000000000003E-3</v>
      </c>
      <c r="K39" s="5">
        <f t="shared" si="13"/>
        <v>65492.6</v>
      </c>
      <c r="L39" s="5">
        <f t="shared" si="14"/>
        <v>39860.25</v>
      </c>
      <c r="M39" s="51">
        <f t="shared" si="15"/>
        <v>1999.36</v>
      </c>
      <c r="N39" s="48">
        <f t="shared" si="16"/>
        <v>107352.21</v>
      </c>
      <c r="O39" s="5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61"/>
      <c r="AD39" t="s">
        <v>51</v>
      </c>
      <c r="AG39" s="29">
        <v>0</v>
      </c>
      <c r="AK39" t="s">
        <v>101</v>
      </c>
    </row>
    <row r="40" spans="2:37" ht="15" x14ac:dyDescent="0.2">
      <c r="B40" s="44" t="s">
        <v>106</v>
      </c>
      <c r="C40" s="22" t="s">
        <v>107</v>
      </c>
      <c r="D40" s="45">
        <v>5</v>
      </c>
      <c r="E40" s="12" t="s">
        <v>108</v>
      </c>
      <c r="F40" s="12" t="s">
        <v>109</v>
      </c>
      <c r="G40" s="46"/>
      <c r="H40" s="50">
        <f t="shared" si="6"/>
        <v>0.2424</v>
      </c>
      <c r="I40" s="50">
        <f t="shared" si="12"/>
        <v>0.14752999999999999</v>
      </c>
      <c r="J40" s="50">
        <f t="shared" si="7"/>
        <v>7.4000000000000003E-3</v>
      </c>
      <c r="K40" s="5">
        <f t="shared" si="13"/>
        <v>0</v>
      </c>
      <c r="L40" s="5">
        <f t="shared" si="14"/>
        <v>0</v>
      </c>
      <c r="M40" s="51">
        <f t="shared" si="15"/>
        <v>0</v>
      </c>
      <c r="N40" s="48">
        <f t="shared" si="16"/>
        <v>0</v>
      </c>
      <c r="O40" s="5">
        <v>-0.01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29"/>
      <c r="AD40" t="s">
        <v>51</v>
      </c>
      <c r="AG40" s="29">
        <v>0</v>
      </c>
      <c r="AK40" t="s">
        <v>110</v>
      </c>
    </row>
    <row r="41" spans="2:37" ht="15" x14ac:dyDescent="0.2">
      <c r="B41" s="44" t="s">
        <v>103</v>
      </c>
      <c r="C41" s="22" t="s">
        <v>82</v>
      </c>
      <c r="D41" s="45">
        <v>5</v>
      </c>
      <c r="E41" s="12" t="s">
        <v>108</v>
      </c>
      <c r="F41" s="12" t="s">
        <v>109</v>
      </c>
      <c r="G41" s="65">
        <v>0</v>
      </c>
      <c r="H41" s="50">
        <f t="shared" si="6"/>
        <v>0.2424</v>
      </c>
      <c r="I41" s="50">
        <f t="shared" si="12"/>
        <v>0.14752999999999999</v>
      </c>
      <c r="J41" s="50">
        <f t="shared" si="7"/>
        <v>7.4000000000000003E-3</v>
      </c>
      <c r="K41" s="5">
        <f>ROUND(H41*G41,2)</f>
        <v>0</v>
      </c>
      <c r="L41" s="5">
        <f t="shared" si="14"/>
        <v>0</v>
      </c>
      <c r="M41" s="51">
        <f t="shared" si="15"/>
        <v>0</v>
      </c>
      <c r="N41" s="48">
        <f t="shared" si="16"/>
        <v>0</v>
      </c>
      <c r="O41" s="5">
        <v>-0.01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61"/>
      <c r="AD41" t="s">
        <v>51</v>
      </c>
      <c r="AG41" s="29">
        <v>0</v>
      </c>
      <c r="AK41" t="s">
        <v>101</v>
      </c>
    </row>
    <row r="42" spans="2:37" ht="15" x14ac:dyDescent="0.2">
      <c r="B42" s="44" t="s">
        <v>103</v>
      </c>
      <c r="C42" s="22" t="s">
        <v>105</v>
      </c>
      <c r="D42" s="45">
        <v>5</v>
      </c>
      <c r="E42" s="12" t="s">
        <v>108</v>
      </c>
      <c r="F42" s="12" t="s">
        <v>109</v>
      </c>
      <c r="G42" s="65">
        <v>0</v>
      </c>
      <c r="H42" s="50">
        <f t="shared" si="6"/>
        <v>0.2424</v>
      </c>
      <c r="I42" s="50">
        <f t="shared" si="12"/>
        <v>0.14752999999999999</v>
      </c>
      <c r="J42" s="50">
        <f t="shared" si="7"/>
        <v>7.4000000000000003E-3</v>
      </c>
      <c r="K42" s="5">
        <f t="shared" si="13"/>
        <v>0</v>
      </c>
      <c r="L42" s="5">
        <f t="shared" si="14"/>
        <v>0</v>
      </c>
      <c r="M42" s="51">
        <f>ROUND(G42*J42,2)</f>
        <v>0</v>
      </c>
      <c r="N42" s="48">
        <f t="shared" si="16"/>
        <v>0</v>
      </c>
      <c r="O42" s="5">
        <v>0.01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61"/>
      <c r="AD42" t="s">
        <v>51</v>
      </c>
      <c r="AG42" s="29">
        <v>0</v>
      </c>
      <c r="AK42" t="s">
        <v>101</v>
      </c>
    </row>
    <row r="43" spans="2:37" ht="12.2" customHeight="1" x14ac:dyDescent="0.2">
      <c r="B43" s="44"/>
      <c r="D43" s="45"/>
      <c r="G43" s="66"/>
      <c r="H43" s="50"/>
      <c r="I43" s="50"/>
      <c r="J43" s="50"/>
      <c r="K43" s="5"/>
      <c r="L43" s="5"/>
      <c r="M43" s="51"/>
      <c r="N43" s="5"/>
      <c r="O43" s="5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61"/>
      <c r="AG43" s="29"/>
    </row>
    <row r="44" spans="2:37" ht="14.25" x14ac:dyDescent="0.2">
      <c r="B44" s="44" t="s">
        <v>106</v>
      </c>
      <c r="C44" s="22" t="s">
        <v>111</v>
      </c>
      <c r="D44" s="45">
        <v>6</v>
      </c>
      <c r="E44" s="12" t="s">
        <v>99</v>
      </c>
      <c r="G44" s="67">
        <f>'[2]Core Billed Therms '!$J$88</f>
        <v>0</v>
      </c>
      <c r="H44" s="50">
        <f t="shared" si="6"/>
        <v>0.2424</v>
      </c>
      <c r="I44" s="50">
        <f>$I$33</f>
        <v>0.14752999999999999</v>
      </c>
      <c r="J44" s="50">
        <f t="shared" si="7"/>
        <v>7.4000000000000003E-3</v>
      </c>
      <c r="K44" s="5">
        <f>ROUND(H44*G44,2)</f>
        <v>0</v>
      </c>
      <c r="L44" s="5">
        <f>ROUND(G44*I44,2)</f>
        <v>0</v>
      </c>
      <c r="M44" s="51">
        <f>ROUND(G44*J44,2)</f>
        <v>0</v>
      </c>
      <c r="N44" s="5">
        <f>SUM(K44:M44)</f>
        <v>0</v>
      </c>
      <c r="O44" s="5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29"/>
      <c r="AD44" t="s">
        <v>51</v>
      </c>
      <c r="AG44" s="29">
        <v>0</v>
      </c>
      <c r="AK44" t="s">
        <v>112</v>
      </c>
    </row>
    <row r="45" spans="2:37" ht="12.2" customHeight="1" x14ac:dyDescent="0.2">
      <c r="B45" s="44"/>
      <c r="D45" s="45"/>
      <c r="G45" s="67"/>
      <c r="J45" s="68"/>
      <c r="K45" s="5"/>
      <c r="L45" s="5"/>
      <c r="M45" s="51"/>
      <c r="N45" s="5"/>
      <c r="O45" s="5"/>
      <c r="AC45" s="29"/>
      <c r="AG45" s="29"/>
    </row>
    <row r="46" spans="2:37" ht="15" x14ac:dyDescent="0.25">
      <c r="B46" s="69"/>
      <c r="D46" s="70"/>
      <c r="E46" s="71"/>
      <c r="F46" s="12" t="s">
        <v>115</v>
      </c>
      <c r="G46" s="72">
        <f>SUM(G9:G45)</f>
        <v>44489208</v>
      </c>
      <c r="H46" s="73" t="s">
        <v>114</v>
      </c>
      <c r="K46" s="74">
        <f>SUM(K9:K45)</f>
        <v>10784184.029999999</v>
      </c>
      <c r="L46" s="75">
        <f>SUM(L9:L45)</f>
        <v>7735302.2600000007</v>
      </c>
      <c r="M46" s="76">
        <f>SUM(M9:M45)</f>
        <v>285344</v>
      </c>
      <c r="N46" s="77">
        <f>SUM(N9:N45)</f>
        <v>18804830.290000007</v>
      </c>
      <c r="O46" s="78">
        <v>0.03</v>
      </c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29"/>
      <c r="AG46" s="29"/>
    </row>
    <row r="47" spans="2:37" ht="14.25" x14ac:dyDescent="0.2">
      <c r="C47" s="3"/>
      <c r="D47" s="70"/>
      <c r="F47" s="12" t="s">
        <v>113</v>
      </c>
      <c r="G47" s="72"/>
      <c r="K47" s="77" t="s">
        <v>116</v>
      </c>
      <c r="L47" s="77" t="s">
        <v>116</v>
      </c>
      <c r="M47" s="77"/>
      <c r="N47" s="77"/>
      <c r="O47" s="77"/>
      <c r="Q47" s="77">
        <f>-N46</f>
        <v>-18804830.290000007</v>
      </c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3" t="s">
        <v>117</v>
      </c>
      <c r="AD47" t="s">
        <v>51</v>
      </c>
      <c r="AG47" s="29">
        <v>0</v>
      </c>
      <c r="AK47" t="s">
        <v>118</v>
      </c>
    </row>
    <row r="48" spans="2:37" ht="15" x14ac:dyDescent="0.25">
      <c r="F48" s="79" t="s">
        <v>119</v>
      </c>
      <c r="G48" s="80">
        <f>+G46+G47</f>
        <v>44489208</v>
      </c>
      <c r="H48" s="81"/>
      <c r="K48" s="77">
        <f>SUM(K46:K47)</f>
        <v>10784184.029999999</v>
      </c>
      <c r="L48" s="77">
        <f>SUM(L46:L47)</f>
        <v>7735302.2600000007</v>
      </c>
      <c r="M48" s="77">
        <f>SUM(M46:M47)</f>
        <v>285344</v>
      </c>
      <c r="N48" s="77">
        <f>SUM(N46:N47)</f>
        <v>18804830.290000007</v>
      </c>
      <c r="O48" s="77"/>
      <c r="P48" s="5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E48" s="29"/>
    </row>
    <row r="49" spans="6:15" ht="21.75" customHeight="1" x14ac:dyDescent="0.25">
      <c r="G49" s="83" t="s">
        <v>120</v>
      </c>
      <c r="K49" s="77"/>
      <c r="L49" s="5"/>
      <c r="M49" s="77"/>
      <c r="N49" s="77"/>
      <c r="O49" s="77"/>
    </row>
    <row r="50" spans="6:15" ht="21.75" customHeight="1" x14ac:dyDescent="0.2">
      <c r="G50" s="84" t="s">
        <v>121</v>
      </c>
      <c r="H50" s="8"/>
      <c r="L50" s="85"/>
      <c r="M50" s="5"/>
      <c r="N50" s="5"/>
      <c r="O50" s="5"/>
    </row>
    <row r="51" spans="6:15" x14ac:dyDescent="0.2">
      <c r="H51" s="8"/>
      <c r="L51" s="86"/>
      <c r="N51" s="5">
        <v>7</v>
      </c>
      <c r="O51" s="5"/>
    </row>
    <row r="52" spans="6:15" x14ac:dyDescent="0.2">
      <c r="F52" s="12" t="s">
        <v>122</v>
      </c>
      <c r="L52" s="87"/>
      <c r="N52" s="88"/>
      <c r="O52" s="88"/>
    </row>
    <row r="53" spans="6:15" x14ac:dyDescent="0.2">
      <c r="L53" s="87"/>
      <c r="M53" s="82"/>
    </row>
    <row r="54" spans="6:15" x14ac:dyDescent="0.2">
      <c r="G54" s="59" t="e">
        <f>+G40+G37+G29+G26+G25+G21+G19+G18+G14+G10+#REF!</f>
        <v>#REF!</v>
      </c>
      <c r="L54" s="87"/>
      <c r="M54" s="82"/>
      <c r="N54" s="5"/>
      <c r="O54" s="5"/>
    </row>
    <row r="55" spans="6:15" x14ac:dyDescent="0.2">
      <c r="G55" s="59">
        <f>+G42+G39+G31+G23</f>
        <v>275670</v>
      </c>
      <c r="L55" s="87"/>
      <c r="M55" s="82"/>
      <c r="N55" s="5"/>
      <c r="O55" s="5"/>
    </row>
    <row r="56" spans="6:15" x14ac:dyDescent="0.2">
      <c r="G56" s="59">
        <f>+G41+G38+G30+G22</f>
        <v>-263444</v>
      </c>
      <c r="L56" s="87"/>
      <c r="M56" s="82"/>
      <c r="N56" s="5"/>
      <c r="O56" s="5"/>
    </row>
    <row r="57" spans="6:15" x14ac:dyDescent="0.2">
      <c r="G57" s="59">
        <f>+G15+G11</f>
        <v>-23864391</v>
      </c>
      <c r="L57" s="87"/>
      <c r="M57" s="5"/>
      <c r="N57" s="82"/>
      <c r="O57" s="82"/>
    </row>
    <row r="58" spans="6:15" x14ac:dyDescent="0.2">
      <c r="L58" s="89"/>
      <c r="N58" s="90"/>
      <c r="O58" s="90"/>
    </row>
    <row r="59" spans="6:15" x14ac:dyDescent="0.2">
      <c r="L59" s="86"/>
      <c r="N59" s="91"/>
      <c r="O59" s="91"/>
    </row>
    <row r="71" spans="2:37" s="64" customFormat="1" x14ac:dyDescent="0.2">
      <c r="B71" s="3"/>
      <c r="C71" s="22"/>
      <c r="D71" s="12"/>
      <c r="E71" s="12"/>
      <c r="F71" s="12"/>
      <c r="G71" s="59" t="e">
        <f>+G48+#REF!</f>
        <v>#REF!</v>
      </c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</row>
    <row r="106" spans="2:28" x14ac:dyDescent="0.2">
      <c r="B106" s="8"/>
      <c r="D106" s="70"/>
    </row>
    <row r="107" spans="2:28" x14ac:dyDescent="0.2">
      <c r="B107" s="8"/>
      <c r="D107" s="70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</row>
    <row r="108" spans="2:28" x14ac:dyDescent="0.2"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</row>
    <row r="109" spans="2:28" x14ac:dyDescent="0.2">
      <c r="D109" s="70"/>
    </row>
    <row r="110" spans="2:28" x14ac:dyDescent="0.2">
      <c r="D110" s="70"/>
    </row>
  </sheetData>
  <mergeCells count="9">
    <mergeCell ref="L5:P5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A5969-2781-4AFA-A368-D966CC6110FB}">
  <dimension ref="B1:AG71"/>
  <sheetViews>
    <sheetView showGridLines="0" topLeftCell="A19" zoomScale="115" zoomScaleNormal="115" zoomScaleSheetLayoutView="100" workbookViewId="0">
      <pane xSplit="6" topLeftCell="G1" activePane="topRight" state="frozen"/>
      <selection activeCell="B6" sqref="B6"/>
      <selection pane="topRight" activeCell="F52" sqref="F52"/>
    </sheetView>
  </sheetViews>
  <sheetFormatPr defaultColWidth="9.140625" defaultRowHeight="14.1" customHeight="1" x14ac:dyDescent="0.25"/>
  <cols>
    <col min="1" max="1" width="1.7109375" style="9" customWidth="1"/>
    <col min="2" max="2" width="3.42578125" style="102" customWidth="1"/>
    <col min="3" max="3" width="5.5703125" style="102" customWidth="1"/>
    <col min="4" max="4" width="6.42578125" style="102" customWidth="1"/>
    <col min="5" max="5" width="8.85546875" style="116" customWidth="1"/>
    <col min="6" max="6" width="29.5703125" style="9" customWidth="1"/>
    <col min="7" max="7" width="11.140625" style="9" bestFit="1" customWidth="1"/>
    <col min="8" max="8" width="14.5703125" style="105" bestFit="1" customWidth="1"/>
    <col min="9" max="9" width="2.7109375" style="9" customWidth="1"/>
    <col min="10" max="10" width="12.7109375" style="9" bestFit="1" customWidth="1"/>
    <col min="11" max="11" width="16.85546875" style="105" bestFit="1" customWidth="1"/>
    <col min="12" max="12" width="2.7109375" style="9" customWidth="1"/>
    <col min="13" max="13" width="13.42578125" style="9" bestFit="1" customWidth="1"/>
    <col min="14" max="14" width="16.28515625" style="105" customWidth="1"/>
    <col min="15" max="15" width="3" style="9" customWidth="1"/>
    <col min="16" max="16" width="12.85546875" style="108" bestFit="1" customWidth="1"/>
    <col min="17" max="17" width="17.42578125" style="108" customWidth="1"/>
    <col min="18" max="18" width="3.7109375" style="108" customWidth="1"/>
    <col min="19" max="19" width="12.85546875" style="108" bestFit="1" customWidth="1"/>
    <col min="20" max="20" width="16.85546875" style="108" customWidth="1"/>
    <col min="21" max="21" width="3.5703125" style="9" customWidth="1"/>
    <col min="22" max="22" width="9.5703125" style="9" bestFit="1" customWidth="1"/>
    <col min="23" max="23" width="16" style="9" bestFit="1" customWidth="1"/>
    <col min="24" max="24" width="1.7109375" style="9" hidden="1" customWidth="1"/>
    <col min="25" max="25" width="10" style="9" bestFit="1" customWidth="1"/>
    <col min="26" max="26" width="14.7109375" style="9" bestFit="1" customWidth="1"/>
    <col min="27" max="27" width="1.7109375" style="9" hidden="1" customWidth="1"/>
    <col min="28" max="29" width="15.7109375" style="9" hidden="1" customWidth="1"/>
    <col min="30" max="30" width="2.140625" style="9" customWidth="1"/>
    <col min="31" max="31" width="14.85546875" style="9" bestFit="1" customWidth="1"/>
    <col min="32" max="32" width="10.7109375" style="9" bestFit="1" customWidth="1"/>
    <col min="33" max="33" width="13.7109375" style="9" bestFit="1" customWidth="1"/>
    <col min="34" max="16384" width="9.140625" style="9"/>
  </cols>
  <sheetData>
    <row r="1" spans="2:33" ht="17.45" customHeight="1" x14ac:dyDescent="0.25">
      <c r="B1" s="101" t="s">
        <v>126</v>
      </c>
      <c r="D1" s="103"/>
      <c r="E1" s="103"/>
      <c r="F1" s="103"/>
      <c r="G1" s="104"/>
      <c r="I1" s="106"/>
      <c r="K1" s="107"/>
      <c r="O1" s="106"/>
      <c r="Q1" s="109"/>
      <c r="U1" s="106"/>
      <c r="W1" s="110">
        <f>B2-31</f>
        <v>43490</v>
      </c>
      <c r="X1" s="110"/>
      <c r="Y1" s="110"/>
    </row>
    <row r="2" spans="2:33" ht="15" customHeight="1" x14ac:dyDescent="0.25">
      <c r="B2" s="111">
        <v>43521</v>
      </c>
      <c r="C2" s="111"/>
      <c r="D2" s="111"/>
      <c r="E2" s="111"/>
      <c r="G2" s="112" t="s">
        <v>12</v>
      </c>
      <c r="H2" s="112"/>
      <c r="I2" s="106"/>
      <c r="J2" s="113" t="s">
        <v>127</v>
      </c>
      <c r="K2" s="113"/>
      <c r="L2" s="113"/>
      <c r="M2" s="113"/>
      <c r="N2" s="113"/>
      <c r="O2" s="106"/>
      <c r="P2" s="114" t="s">
        <v>128</v>
      </c>
      <c r="Q2" s="114"/>
      <c r="R2" s="114"/>
      <c r="S2" s="114"/>
      <c r="T2" s="114"/>
      <c r="U2" s="106"/>
      <c r="W2" s="115" t="s">
        <v>129</v>
      </c>
      <c r="X2" s="115"/>
      <c r="Y2" s="115"/>
    </row>
    <row r="3" spans="2:33" ht="15" x14ac:dyDescent="0.25">
      <c r="I3" s="106"/>
      <c r="K3" s="107"/>
      <c r="O3" s="106"/>
      <c r="U3" s="117"/>
      <c r="W3" s="110">
        <f>B2</f>
        <v>43521</v>
      </c>
      <c r="X3" s="110"/>
      <c r="Y3" s="110"/>
      <c r="Z3" s="118"/>
      <c r="AB3" s="119" t="s">
        <v>130</v>
      </c>
      <c r="AC3" s="119"/>
      <c r="AD3" s="120"/>
    </row>
    <row r="4" spans="2:33" ht="16.5" customHeight="1" x14ac:dyDescent="0.25">
      <c r="B4" s="121"/>
      <c r="C4" s="121"/>
      <c r="D4" s="121"/>
      <c r="E4" s="122"/>
      <c r="F4" s="123" t="s">
        <v>131</v>
      </c>
      <c r="I4" s="106"/>
      <c r="J4" s="124" t="s">
        <v>132</v>
      </c>
      <c r="K4" s="124"/>
      <c r="L4" s="125"/>
      <c r="M4" s="124" t="s">
        <v>133</v>
      </c>
      <c r="N4" s="124"/>
      <c r="O4" s="126"/>
      <c r="P4" s="127" t="s">
        <v>132</v>
      </c>
      <c r="Q4" s="127"/>
      <c r="R4" s="128"/>
      <c r="S4" s="127" t="s">
        <v>133</v>
      </c>
      <c r="T4" s="127"/>
      <c r="U4" s="126"/>
      <c r="V4" s="124" t="s">
        <v>132</v>
      </c>
      <c r="W4" s="124"/>
      <c r="X4" s="125"/>
      <c r="Y4" s="124" t="s">
        <v>133</v>
      </c>
      <c r="Z4" s="124"/>
      <c r="AB4" s="129" t="s">
        <v>2</v>
      </c>
      <c r="AC4" s="129" t="s">
        <v>8</v>
      </c>
      <c r="AD4" s="129"/>
    </row>
    <row r="5" spans="2:33" s="8" customFormat="1" ht="15.75" customHeight="1" x14ac:dyDescent="0.2">
      <c r="B5" s="130" t="s">
        <v>134</v>
      </c>
      <c r="C5" s="130"/>
      <c r="D5" s="130"/>
      <c r="E5" s="130"/>
      <c r="F5" s="131"/>
      <c r="G5" s="132" t="s">
        <v>35</v>
      </c>
      <c r="H5" s="133" t="s">
        <v>135</v>
      </c>
      <c r="I5" s="106"/>
      <c r="J5" s="134" t="s">
        <v>35</v>
      </c>
      <c r="K5" s="135" t="s">
        <v>135</v>
      </c>
      <c r="L5" s="136"/>
      <c r="M5" s="134" t="s">
        <v>35</v>
      </c>
      <c r="N5" s="135" t="s">
        <v>135</v>
      </c>
      <c r="O5" s="106"/>
      <c r="P5" s="137" t="s">
        <v>35</v>
      </c>
      <c r="Q5" s="138" t="s">
        <v>135</v>
      </c>
      <c r="R5" s="136"/>
      <c r="S5" s="136" t="s">
        <v>35</v>
      </c>
      <c r="T5" s="139" t="s">
        <v>135</v>
      </c>
      <c r="U5" s="106"/>
      <c r="V5" s="134" t="s">
        <v>136</v>
      </c>
      <c r="W5" s="139" t="s">
        <v>135</v>
      </c>
      <c r="X5" s="136"/>
      <c r="Y5" s="140" t="s">
        <v>136</v>
      </c>
      <c r="Z5" s="139" t="s">
        <v>135</v>
      </c>
      <c r="AB5" s="141" t="s">
        <v>135</v>
      </c>
      <c r="AC5" s="141" t="s">
        <v>135</v>
      </c>
      <c r="AD5" s="141"/>
    </row>
    <row r="6" spans="2:33" ht="14.25" customHeight="1" x14ac:dyDescent="0.25">
      <c r="B6" s="142" t="s">
        <v>137</v>
      </c>
      <c r="C6" s="143">
        <v>6011</v>
      </c>
      <c r="D6" s="143">
        <v>28040</v>
      </c>
      <c r="E6" s="144">
        <v>671010</v>
      </c>
      <c r="F6" s="8" t="s">
        <v>138</v>
      </c>
      <c r="G6" s="145" t="s">
        <v>139</v>
      </c>
      <c r="H6" s="146">
        <f>K6+N6</f>
        <v>342142.5</v>
      </c>
      <c r="I6" s="106"/>
      <c r="J6" s="147"/>
      <c r="K6" s="148">
        <f>+Q6+W6</f>
        <v>41570.31</v>
      </c>
      <c r="L6" s="149" t="s">
        <v>140</v>
      </c>
      <c r="M6" s="147"/>
      <c r="N6" s="148">
        <f>+T6+Z6</f>
        <v>300572.19</v>
      </c>
      <c r="O6" s="106" t="s">
        <v>140</v>
      </c>
      <c r="P6" s="147"/>
      <c r="Q6" s="150">
        <v>41570.31</v>
      </c>
      <c r="R6" s="8"/>
      <c r="S6" s="147"/>
      <c r="T6" s="150">
        <v>300572.19</v>
      </c>
      <c r="U6" s="106"/>
      <c r="V6" s="151"/>
      <c r="W6" s="152"/>
      <c r="Y6" s="104"/>
      <c r="Z6" s="152"/>
      <c r="AE6" s="153">
        <v>671010</v>
      </c>
    </row>
    <row r="7" spans="2:33" ht="14.25" customHeight="1" x14ac:dyDescent="0.25">
      <c r="B7" s="142" t="s">
        <v>137</v>
      </c>
      <c r="C7" s="143">
        <v>6011</v>
      </c>
      <c r="D7" s="143">
        <v>28040</v>
      </c>
      <c r="E7" s="144">
        <v>671030</v>
      </c>
      <c r="F7" s="8" t="s">
        <v>141</v>
      </c>
      <c r="G7" s="145" t="s">
        <v>139</v>
      </c>
      <c r="H7" s="146">
        <f t="shared" ref="H7:H13" si="0">+K7+N7</f>
        <v>436350.12</v>
      </c>
      <c r="I7" s="106"/>
      <c r="J7" s="147"/>
      <c r="K7" s="148">
        <f>+Q7+W7</f>
        <v>253682.13</v>
      </c>
      <c r="L7" s="149" t="s">
        <v>140</v>
      </c>
      <c r="M7" s="147"/>
      <c r="N7" s="148">
        <f>+T7+Z7</f>
        <v>182667.99</v>
      </c>
      <c r="O7" s="106" t="s">
        <v>140</v>
      </c>
      <c r="P7" s="147"/>
      <c r="Q7" s="150">
        <f>254816.85-1645.47</f>
        <v>253171.38</v>
      </c>
      <c r="R7" s="8"/>
      <c r="S7" s="147"/>
      <c r="T7" s="150">
        <v>182609.8</v>
      </c>
      <c r="U7" s="106"/>
      <c r="V7" s="151"/>
      <c r="W7" s="150">
        <v>510.75</v>
      </c>
      <c r="Y7" s="104"/>
      <c r="Z7" s="150">
        <v>58.19</v>
      </c>
      <c r="AE7" s="153">
        <v>671030</v>
      </c>
    </row>
    <row r="8" spans="2:33" ht="14.25" customHeight="1" x14ac:dyDescent="0.25">
      <c r="B8" s="142" t="s">
        <v>137</v>
      </c>
      <c r="C8" s="143">
        <v>6011</v>
      </c>
      <c r="D8" s="143">
        <v>28040</v>
      </c>
      <c r="E8" s="144">
        <v>671050</v>
      </c>
      <c r="F8" s="8" t="s">
        <v>142</v>
      </c>
      <c r="G8" s="154">
        <f t="shared" ref="G8:G14" si="1">+J8+M8</f>
        <v>44511700</v>
      </c>
      <c r="H8" s="146">
        <f t="shared" si="0"/>
        <v>35150157.079999998</v>
      </c>
      <c r="I8" s="106"/>
      <c r="J8" s="8">
        <f>+P8+V8</f>
        <v>32949509</v>
      </c>
      <c r="K8" s="155">
        <f>+Q8+W8</f>
        <v>30273305.190000001</v>
      </c>
      <c r="L8" s="149" t="s">
        <v>143</v>
      </c>
      <c r="M8" s="8">
        <f>+S8+Y8</f>
        <v>11562191</v>
      </c>
      <c r="N8" s="155">
        <f>+T8+Z8</f>
        <v>4876851.8899999997</v>
      </c>
      <c r="O8" s="106" t="s">
        <v>143</v>
      </c>
      <c r="P8" s="156">
        <v>33070146</v>
      </c>
      <c r="Q8" s="157">
        <f>30408355.89+21957.5</f>
        <v>30430313.390000001</v>
      </c>
      <c r="R8" s="8"/>
      <c r="S8" s="156">
        <v>11609064</v>
      </c>
      <c r="T8" s="157">
        <v>4907579.2699999996</v>
      </c>
      <c r="U8" s="106"/>
      <c r="V8" s="158">
        <v>-120637</v>
      </c>
      <c r="W8" s="159">
        <v>-157008.20000000001</v>
      </c>
      <c r="X8" s="108"/>
      <c r="Y8" s="160">
        <v>-46873</v>
      </c>
      <c r="Z8" s="159">
        <v>-30727.38</v>
      </c>
      <c r="AB8" s="161">
        <v>0</v>
      </c>
      <c r="AC8" s="161">
        <v>0</v>
      </c>
      <c r="AE8" s="162">
        <v>671050</v>
      </c>
    </row>
    <row r="9" spans="2:33" ht="14.25" customHeight="1" x14ac:dyDescent="0.25">
      <c r="B9" s="142" t="s">
        <v>137</v>
      </c>
      <c r="C9" s="143">
        <v>6011</v>
      </c>
      <c r="D9" s="143">
        <v>28040</v>
      </c>
      <c r="E9" s="144">
        <v>671051</v>
      </c>
      <c r="F9" s="8" t="s">
        <v>144</v>
      </c>
      <c r="G9" s="145" t="s">
        <v>139</v>
      </c>
      <c r="H9" s="146">
        <f t="shared" si="0"/>
        <v>0</v>
      </c>
      <c r="I9" s="106"/>
      <c r="J9" s="147"/>
      <c r="K9" s="155">
        <f t="shared" ref="J9:K14" si="2">+Q9+W9</f>
        <v>0</v>
      </c>
      <c r="L9" s="149" t="s">
        <v>143</v>
      </c>
      <c r="M9" s="163"/>
      <c r="N9" s="155">
        <f>+T9+Z9</f>
        <v>0</v>
      </c>
      <c r="O9" s="106" t="s">
        <v>143</v>
      </c>
      <c r="P9" s="147"/>
      <c r="Q9" s="164"/>
      <c r="R9" s="8"/>
      <c r="S9" s="147"/>
      <c r="T9" s="164"/>
      <c r="U9" s="106"/>
      <c r="V9" s="165"/>
      <c r="W9" s="164"/>
      <c r="X9" s="104"/>
      <c r="Y9" s="166"/>
      <c r="Z9" s="164"/>
      <c r="AE9" s="162">
        <v>671051</v>
      </c>
    </row>
    <row r="10" spans="2:33" ht="14.25" customHeight="1" x14ac:dyDescent="0.25">
      <c r="B10" s="142" t="s">
        <v>137</v>
      </c>
      <c r="C10" s="143">
        <v>6011</v>
      </c>
      <c r="D10" s="143">
        <v>28040</v>
      </c>
      <c r="E10" s="144">
        <v>671070</v>
      </c>
      <c r="F10" s="8" t="s">
        <v>145</v>
      </c>
      <c r="G10" s="154">
        <f t="shared" si="1"/>
        <v>5275810</v>
      </c>
      <c r="H10" s="146">
        <f>+K10+N10</f>
        <v>2958266.42</v>
      </c>
      <c r="I10" s="106"/>
      <c r="J10" s="8">
        <f t="shared" si="2"/>
        <v>4029208</v>
      </c>
      <c r="K10" s="155">
        <f t="shared" si="2"/>
        <v>2257036.31</v>
      </c>
      <c r="L10" s="149" t="s">
        <v>143</v>
      </c>
      <c r="M10" s="8">
        <f>+S10+Y10</f>
        <v>1246602</v>
      </c>
      <c r="N10" s="155">
        <f>+T10+Z10</f>
        <v>701230.11</v>
      </c>
      <c r="O10" s="167" t="s">
        <v>143</v>
      </c>
      <c r="P10" s="156">
        <f>4043552-14344</f>
        <v>4029208</v>
      </c>
      <c r="Q10" s="159">
        <f>2223791.86+33244.45</f>
        <v>2257036.31</v>
      </c>
      <c r="R10" s="8"/>
      <c r="S10" s="156">
        <f>1252058-5456</f>
        <v>1246602</v>
      </c>
      <c r="T10" s="159">
        <f>688581.82+12648.29</f>
        <v>701230.11</v>
      </c>
      <c r="U10" s="106"/>
      <c r="V10" s="165"/>
      <c r="W10" s="164"/>
      <c r="X10" s="104">
        <v>0</v>
      </c>
      <c r="Y10" s="166"/>
      <c r="Z10" s="164"/>
      <c r="AE10" s="162">
        <v>671070</v>
      </c>
    </row>
    <row r="11" spans="2:33" ht="14.25" customHeight="1" x14ac:dyDescent="0.25">
      <c r="B11" s="168" t="s">
        <v>137</v>
      </c>
      <c r="C11" s="169">
        <v>6011</v>
      </c>
      <c r="D11" s="169">
        <v>28081</v>
      </c>
      <c r="E11" s="170">
        <v>671050</v>
      </c>
      <c r="F11" s="171" t="s">
        <v>146</v>
      </c>
      <c r="G11" s="154">
        <f t="shared" si="1"/>
        <v>9095375</v>
      </c>
      <c r="H11" s="146">
        <f t="shared" si="0"/>
        <v>2637569.14</v>
      </c>
      <c r="I11" s="106"/>
      <c r="J11" s="8">
        <f t="shared" si="2"/>
        <v>7990287</v>
      </c>
      <c r="K11" s="155">
        <f t="shared" si="2"/>
        <v>2317104.4900000002</v>
      </c>
      <c r="L11" s="149" t="s">
        <v>143</v>
      </c>
      <c r="M11" s="8">
        <f t="shared" ref="M11:N14" si="3">+S11+Y11</f>
        <v>1105088</v>
      </c>
      <c r="N11" s="155">
        <f t="shared" si="3"/>
        <v>320464.65000000002</v>
      </c>
      <c r="O11" s="106" t="s">
        <v>143</v>
      </c>
      <c r="P11" s="156">
        <v>7990287</v>
      </c>
      <c r="Q11" s="172">
        <v>2317104.4900000002</v>
      </c>
      <c r="R11" s="173">
        <v>-1</v>
      </c>
      <c r="S11" s="156">
        <v>1105088</v>
      </c>
      <c r="T11" s="172">
        <v>320464.65000000002</v>
      </c>
      <c r="U11" s="174">
        <v>-4</v>
      </c>
      <c r="V11" s="165"/>
      <c r="W11" s="164"/>
      <c r="X11" s="104"/>
      <c r="Y11" s="166"/>
      <c r="Z11" s="164"/>
      <c r="AE11" s="170">
        <v>671050</v>
      </c>
      <c r="AF11" s="108"/>
    </row>
    <row r="12" spans="2:33" ht="14.25" customHeight="1" x14ac:dyDescent="0.25">
      <c r="B12" s="168" t="s">
        <v>137</v>
      </c>
      <c r="C12" s="169">
        <v>6011</v>
      </c>
      <c r="D12" s="169">
        <v>28082</v>
      </c>
      <c r="E12" s="170">
        <v>671050</v>
      </c>
      <c r="F12" s="171" t="s">
        <v>147</v>
      </c>
      <c r="G12" s="154">
        <f t="shared" si="1"/>
        <v>0</v>
      </c>
      <c r="H12" s="146">
        <f t="shared" si="0"/>
        <v>0</v>
      </c>
      <c r="I12" s="106"/>
      <c r="J12" s="8">
        <f t="shared" si="2"/>
        <v>0</v>
      </c>
      <c r="K12" s="155">
        <f t="shared" si="2"/>
        <v>0</v>
      </c>
      <c r="L12" s="149" t="s">
        <v>143</v>
      </c>
      <c r="M12" s="59">
        <f t="shared" si="3"/>
        <v>0</v>
      </c>
      <c r="N12" s="155">
        <f t="shared" si="3"/>
        <v>0</v>
      </c>
      <c r="O12" s="106" t="s">
        <v>143</v>
      </c>
      <c r="P12" s="156">
        <v>0</v>
      </c>
      <c r="Q12" s="172">
        <v>0</v>
      </c>
      <c r="R12" s="173">
        <v>-2</v>
      </c>
      <c r="S12" s="175"/>
      <c r="T12" s="172"/>
      <c r="U12" s="174"/>
      <c r="V12" s="176"/>
      <c r="W12" s="164"/>
      <c r="X12" s="104"/>
      <c r="Y12" s="166"/>
      <c r="Z12" s="164"/>
      <c r="AE12" s="170">
        <v>671050</v>
      </c>
      <c r="AF12" s="108"/>
      <c r="AG12" s="156"/>
    </row>
    <row r="13" spans="2:33" ht="14.25" customHeight="1" x14ac:dyDescent="0.25">
      <c r="B13" s="168" t="s">
        <v>137</v>
      </c>
      <c r="C13" s="169">
        <v>6011</v>
      </c>
      <c r="D13" s="169">
        <v>28120</v>
      </c>
      <c r="E13" s="170">
        <v>671070</v>
      </c>
      <c r="F13" s="171" t="s">
        <v>148</v>
      </c>
      <c r="G13" s="154">
        <f t="shared" si="1"/>
        <v>-40775</v>
      </c>
      <c r="H13" s="146">
        <f t="shared" si="0"/>
        <v>-9420.2900000000009</v>
      </c>
      <c r="I13" s="106"/>
      <c r="J13" s="8">
        <f t="shared" si="2"/>
        <v>-32128</v>
      </c>
      <c r="K13" s="155">
        <f>+Q13+W13</f>
        <v>-7787.75</v>
      </c>
      <c r="L13" s="149" t="s">
        <v>143</v>
      </c>
      <c r="M13" s="8">
        <f t="shared" si="3"/>
        <v>-8647</v>
      </c>
      <c r="N13" s="155">
        <f t="shared" si="3"/>
        <v>-1632.54</v>
      </c>
      <c r="O13" s="106" t="s">
        <v>143</v>
      </c>
      <c r="P13" s="156">
        <v>-32128</v>
      </c>
      <c r="Q13" s="172">
        <v>-7787.75</v>
      </c>
      <c r="R13" s="173">
        <v>-3</v>
      </c>
      <c r="S13" s="177">
        <v>-8647</v>
      </c>
      <c r="T13" s="172">
        <v>-1632.54</v>
      </c>
      <c r="U13" s="174">
        <v>-5</v>
      </c>
      <c r="V13" s="165"/>
      <c r="W13" s="164"/>
      <c r="X13" s="104"/>
      <c r="Y13" s="166">
        <v>0</v>
      </c>
      <c r="Z13" s="164"/>
      <c r="AE13" s="170">
        <v>671070</v>
      </c>
    </row>
    <row r="14" spans="2:33" ht="14.25" customHeight="1" x14ac:dyDescent="0.25">
      <c r="B14" s="142" t="s">
        <v>137</v>
      </c>
      <c r="C14" s="143">
        <v>6011</v>
      </c>
      <c r="D14" s="143">
        <v>28040</v>
      </c>
      <c r="E14" s="144">
        <v>671100</v>
      </c>
      <c r="F14" s="8" t="s">
        <v>149</v>
      </c>
      <c r="G14" s="154">
        <f t="shared" si="1"/>
        <v>0</v>
      </c>
      <c r="H14" s="146">
        <f>+K14+N14</f>
        <v>0</v>
      </c>
      <c r="I14" s="106"/>
      <c r="J14" s="8">
        <f>+P14+V14</f>
        <v>0</v>
      </c>
      <c r="K14" s="155">
        <f t="shared" si="2"/>
        <v>0</v>
      </c>
      <c r="L14" s="149" t="s">
        <v>143</v>
      </c>
      <c r="M14" s="178">
        <f t="shared" si="3"/>
        <v>0</v>
      </c>
      <c r="N14" s="179">
        <f t="shared" si="3"/>
        <v>0</v>
      </c>
      <c r="O14" s="106" t="s">
        <v>143</v>
      </c>
      <c r="P14" s="180"/>
      <c r="Q14" s="181"/>
      <c r="R14" s="8"/>
      <c r="S14" s="180"/>
      <c r="T14" s="164"/>
      <c r="U14" s="106"/>
      <c r="V14" s="165"/>
      <c r="W14" s="164"/>
      <c r="X14" s="104"/>
      <c r="Y14" s="166"/>
      <c r="Z14" s="182"/>
      <c r="AE14" s="162">
        <v>671100</v>
      </c>
    </row>
    <row r="15" spans="2:33" ht="14.25" customHeight="1" x14ac:dyDescent="0.25">
      <c r="B15" s="142"/>
      <c r="C15" s="183"/>
      <c r="D15" s="183"/>
      <c r="E15" s="184"/>
      <c r="F15" s="185" t="s">
        <v>150</v>
      </c>
      <c r="G15" s="186">
        <f>SUM(G6:G14)</f>
        <v>58842110</v>
      </c>
      <c r="H15" s="187">
        <f>SUM(H6:H14)</f>
        <v>41515064.969999999</v>
      </c>
      <c r="I15" s="106"/>
      <c r="J15" s="188">
        <f>SUM(J6:J14)</f>
        <v>44936876</v>
      </c>
      <c r="K15" s="92">
        <f>SUM(K6:K14)</f>
        <v>35134910.68</v>
      </c>
      <c r="L15" s="149"/>
      <c r="M15" s="8">
        <f>SUM(M6:M14)</f>
        <v>13905234</v>
      </c>
      <c r="N15" s="98">
        <f>SUM(N6:N14)</f>
        <v>6380154.29</v>
      </c>
      <c r="O15" s="106"/>
      <c r="P15" s="8">
        <f>SUM(P6:P14)</f>
        <v>45057513</v>
      </c>
      <c r="Q15" s="189">
        <f>SUM(Q6:Q14)</f>
        <v>35291408.130000003</v>
      </c>
      <c r="R15" s="8"/>
      <c r="S15" s="8">
        <f>SUM(S6:S14)</f>
        <v>13952107</v>
      </c>
      <c r="T15" s="189">
        <f>SUM(T6:T14)</f>
        <v>6410823.4800000004</v>
      </c>
      <c r="U15" s="106"/>
      <c r="V15" s="190">
        <f>+SUM(V6:V14)</f>
        <v>-120637</v>
      </c>
      <c r="W15" s="189">
        <f>SUM(W6:W14)</f>
        <v>-156497.45000000001</v>
      </c>
      <c r="X15" s="104"/>
      <c r="Y15" s="190">
        <f>SUM(Y6:Y14)</f>
        <v>-46873</v>
      </c>
      <c r="Z15" s="189">
        <f>SUM(Z6:Z14)</f>
        <v>-30669.190000000002</v>
      </c>
      <c r="AB15" s="191">
        <f>SUM(AB6:AB14)</f>
        <v>0</v>
      </c>
      <c r="AC15" s="191">
        <f>SUM(AC6:AC14)</f>
        <v>0</v>
      </c>
      <c r="AD15" s="191"/>
      <c r="AE15" s="184"/>
    </row>
    <row r="16" spans="2:33" ht="14.25" customHeight="1" x14ac:dyDescent="0.25">
      <c r="B16" s="142"/>
      <c r="C16" s="183"/>
      <c r="D16" s="183"/>
      <c r="E16" s="184"/>
      <c r="G16" s="186"/>
      <c r="H16" s="192"/>
      <c r="I16" s="106"/>
      <c r="J16" s="186"/>
      <c r="K16" s="192"/>
      <c r="L16" s="104"/>
      <c r="M16" s="186"/>
      <c r="N16" s="193"/>
      <c r="O16" s="106"/>
      <c r="P16" s="188"/>
      <c r="Q16" s="5"/>
      <c r="R16" s="8"/>
      <c r="S16" s="188"/>
      <c r="T16" s="5"/>
      <c r="U16" s="106"/>
      <c r="V16" s="194"/>
      <c r="W16" s="5"/>
      <c r="X16" s="104"/>
      <c r="Y16" s="104"/>
      <c r="Z16" s="5"/>
      <c r="AE16" s="184"/>
    </row>
    <row r="17" spans="2:33" ht="14.25" customHeight="1" x14ac:dyDescent="0.25">
      <c r="B17" s="142" t="s">
        <v>137</v>
      </c>
      <c r="C17" s="143">
        <v>6011</v>
      </c>
      <c r="D17" s="143">
        <v>28040</v>
      </c>
      <c r="E17" s="144">
        <v>672010</v>
      </c>
      <c r="F17" s="8" t="s">
        <v>151</v>
      </c>
      <c r="G17" s="145"/>
      <c r="H17" s="146">
        <f>K17+N17</f>
        <v>3950155.3</v>
      </c>
      <c r="I17" s="106"/>
      <c r="J17" s="195"/>
      <c r="K17" s="148">
        <f>+Q17+W17</f>
        <v>3253574.27</v>
      </c>
      <c r="L17" s="149" t="s">
        <v>140</v>
      </c>
      <c r="M17" s="147"/>
      <c r="N17" s="148">
        <f>+T17+Z17</f>
        <v>696581.03</v>
      </c>
      <c r="O17" s="106" t="s">
        <v>140</v>
      </c>
      <c r="P17" s="147"/>
      <c r="Q17" s="150">
        <f>147799.46+3105774.81</f>
        <v>3253574.27</v>
      </c>
      <c r="R17" s="8"/>
      <c r="S17" s="147"/>
      <c r="T17" s="150">
        <f>329742.84+366838.19</f>
        <v>696581.03</v>
      </c>
      <c r="U17" s="106"/>
      <c r="V17" s="154"/>
      <c r="W17" s="152"/>
      <c r="X17" s="104"/>
      <c r="Y17" s="151"/>
      <c r="Z17" s="152"/>
      <c r="AE17" s="153">
        <v>672010</v>
      </c>
    </row>
    <row r="18" spans="2:33" ht="14.25" customHeight="1" x14ac:dyDescent="0.25">
      <c r="B18" s="142" t="s">
        <v>137</v>
      </c>
      <c r="C18" s="143">
        <v>6011</v>
      </c>
      <c r="D18" s="143">
        <v>28040</v>
      </c>
      <c r="E18" s="144">
        <v>672020</v>
      </c>
      <c r="F18" s="8" t="s">
        <v>152</v>
      </c>
      <c r="G18" s="145"/>
      <c r="H18" s="146">
        <f>K18+N18</f>
        <v>102166.66</v>
      </c>
      <c r="I18" s="106"/>
      <c r="J18" s="195"/>
      <c r="K18" s="155">
        <f>+Q18+W18</f>
        <v>71386.36</v>
      </c>
      <c r="L18" s="149" t="s">
        <v>143</v>
      </c>
      <c r="M18" s="147"/>
      <c r="N18" s="155">
        <f>+T18+Z18</f>
        <v>30780.300000000003</v>
      </c>
      <c r="O18" s="106" t="s">
        <v>143</v>
      </c>
      <c r="P18" s="147"/>
      <c r="Q18" s="159">
        <v>83262.31</v>
      </c>
      <c r="R18" s="8"/>
      <c r="S18" s="9"/>
      <c r="T18" s="159">
        <v>34542.69</v>
      </c>
      <c r="U18" s="106"/>
      <c r="V18" s="154"/>
      <c r="W18" s="159">
        <v>-11875.95</v>
      </c>
      <c r="X18" s="104"/>
      <c r="Y18" s="151"/>
      <c r="Z18" s="159">
        <v>-3762.39</v>
      </c>
      <c r="AE18" s="162">
        <v>672020</v>
      </c>
      <c r="AF18" s="196"/>
    </row>
    <row r="19" spans="2:33" ht="14.25" customHeight="1" x14ac:dyDescent="0.25">
      <c r="B19" s="142" t="s">
        <v>137</v>
      </c>
      <c r="C19" s="143">
        <v>6011</v>
      </c>
      <c r="D19" s="143">
        <v>28040</v>
      </c>
      <c r="E19" s="144">
        <v>672030</v>
      </c>
      <c r="F19" s="8" t="s">
        <v>153</v>
      </c>
      <c r="G19" s="145"/>
      <c r="H19" s="146">
        <f>K19+N19</f>
        <v>0</v>
      </c>
      <c r="I19" s="106"/>
      <c r="J19" s="195"/>
      <c r="K19" s="148">
        <f>+Q19+W19</f>
        <v>0</v>
      </c>
      <c r="L19" s="149" t="s">
        <v>140</v>
      </c>
      <c r="M19" s="147"/>
      <c r="N19" s="148">
        <f>+T19+Z19</f>
        <v>0</v>
      </c>
      <c r="O19" s="106" t="s">
        <v>140</v>
      </c>
      <c r="P19" s="147"/>
      <c r="Q19" s="150"/>
      <c r="R19" s="8"/>
      <c r="S19" s="147"/>
      <c r="T19" s="150"/>
      <c r="U19" s="106"/>
      <c r="V19" s="154"/>
      <c r="W19" s="152"/>
      <c r="X19" s="104"/>
      <c r="Y19" s="151"/>
      <c r="Z19" s="152"/>
      <c r="AE19" s="153">
        <v>672030</v>
      </c>
      <c r="AF19" s="196"/>
    </row>
    <row r="20" spans="2:33" ht="14.25" customHeight="1" x14ac:dyDescent="0.25">
      <c r="B20" s="142" t="s">
        <v>137</v>
      </c>
      <c r="C20" s="143">
        <v>6011</v>
      </c>
      <c r="D20" s="143">
        <v>28040</v>
      </c>
      <c r="E20" s="144">
        <v>672040</v>
      </c>
      <c r="F20" s="8" t="s">
        <v>154</v>
      </c>
      <c r="G20" s="145"/>
      <c r="H20" s="146">
        <f>K20+N20</f>
        <v>311702.03999999998</v>
      </c>
      <c r="I20" s="106"/>
      <c r="J20" s="195"/>
      <c r="K20" s="148">
        <f>+Q20+W20</f>
        <v>273816.78999999998</v>
      </c>
      <c r="L20" s="149" t="s">
        <v>140</v>
      </c>
      <c r="M20" s="147"/>
      <c r="N20" s="148">
        <f>+T20+Z20</f>
        <v>37885.25</v>
      </c>
      <c r="O20" s="106" t="s">
        <v>140</v>
      </c>
      <c r="P20" s="147"/>
      <c r="Q20" s="150">
        <v>273816.78999999998</v>
      </c>
      <c r="R20" s="8"/>
      <c r="S20" s="147"/>
      <c r="T20" s="150">
        <v>37885.25</v>
      </c>
      <c r="U20" s="106"/>
      <c r="V20" s="154"/>
      <c r="W20" s="152"/>
      <c r="X20" s="104"/>
      <c r="Y20" s="151"/>
      <c r="Z20" s="152"/>
      <c r="AD20" s="9">
        <v>-64.13</v>
      </c>
      <c r="AE20" s="153">
        <v>672040</v>
      </c>
      <c r="AF20" s="196"/>
      <c r="AG20" s="196"/>
    </row>
    <row r="21" spans="2:33" ht="14.25" customHeight="1" x14ac:dyDescent="0.25">
      <c r="B21" s="142" t="s">
        <v>137</v>
      </c>
      <c r="C21" s="143">
        <v>6011</v>
      </c>
      <c r="D21" s="143">
        <v>28040</v>
      </c>
      <c r="E21" s="144">
        <v>672050</v>
      </c>
      <c r="F21" s="8" t="s">
        <v>155</v>
      </c>
      <c r="G21" s="145"/>
      <c r="H21" s="146">
        <f>K21+N21</f>
        <v>-566549.85</v>
      </c>
      <c r="I21" s="106"/>
      <c r="J21" s="197"/>
      <c r="K21" s="148">
        <f>+Q21+W21</f>
        <v>-497584.12</v>
      </c>
      <c r="L21" s="149" t="s">
        <v>140</v>
      </c>
      <c r="M21" s="147"/>
      <c r="N21" s="198">
        <f>+T21+Z21</f>
        <v>-68965.73</v>
      </c>
      <c r="O21" s="106" t="s">
        <v>140</v>
      </c>
      <c r="P21" s="147"/>
      <c r="Q21" s="150">
        <f>+-97.59-496490.87</f>
        <v>-496588.46</v>
      </c>
      <c r="R21" s="199"/>
      <c r="S21" s="200"/>
      <c r="T21" s="201">
        <f>+-138.05-68703.42</f>
        <v>-68841.47</v>
      </c>
      <c r="U21" s="106"/>
      <c r="V21" s="154"/>
      <c r="W21" s="152">
        <v>-995.66</v>
      </c>
      <c r="X21" s="104"/>
      <c r="Y21" s="151"/>
      <c r="Z21" s="152">
        <v>-124.26</v>
      </c>
      <c r="AE21" s="153">
        <v>672050</v>
      </c>
      <c r="AF21" s="196"/>
      <c r="AG21" s="196"/>
    </row>
    <row r="22" spans="2:33" ht="14.25" customHeight="1" x14ac:dyDescent="0.25">
      <c r="B22" s="142"/>
      <c r="C22" s="183"/>
      <c r="D22" s="183"/>
      <c r="E22" s="184"/>
      <c r="F22" s="188" t="s">
        <v>156</v>
      </c>
      <c r="G22" s="202"/>
      <c r="H22" s="203">
        <f>SUM(H17:H21)</f>
        <v>3797474.15</v>
      </c>
      <c r="I22" s="106"/>
      <c r="J22" s="204"/>
      <c r="K22" s="98">
        <f>SUM(K17:K21)</f>
        <v>3101193.3</v>
      </c>
      <c r="L22" s="149"/>
      <c r="M22" s="205"/>
      <c r="N22" s="98">
        <f>SUM(N17:N21)</f>
        <v>696280.85000000009</v>
      </c>
      <c r="O22" s="106"/>
      <c r="P22" s="188"/>
      <c r="Q22" s="206">
        <f>SUM(Q17:Q21)</f>
        <v>3114064.91</v>
      </c>
      <c r="R22" s="149"/>
      <c r="S22" s="97"/>
      <c r="T22" s="206">
        <f>SUM(T17:T21)</f>
        <v>700167.5</v>
      </c>
      <c r="U22" s="106"/>
      <c r="V22" s="202"/>
      <c r="W22" s="207">
        <f>SUM(W17:W21)</f>
        <v>-12871.61</v>
      </c>
      <c r="X22" s="104"/>
      <c r="Y22" s="151"/>
      <c r="Z22" s="189">
        <f>SUM(Z17:Z21)</f>
        <v>-3886.65</v>
      </c>
      <c r="AB22" s="191">
        <f>SUM(AB17:AB21)</f>
        <v>0</v>
      </c>
      <c r="AC22" s="191">
        <f>SUM(AC17:AC21)</f>
        <v>0</v>
      </c>
      <c r="AD22" s="191"/>
      <c r="AE22" s="184"/>
    </row>
    <row r="23" spans="2:33" ht="14.25" customHeight="1" x14ac:dyDescent="0.25">
      <c r="B23" s="142"/>
      <c r="C23" s="183"/>
      <c r="D23" s="183"/>
      <c r="E23" s="184"/>
      <c r="F23" s="208"/>
      <c r="G23" s="154"/>
      <c r="H23" s="192"/>
      <c r="I23" s="106"/>
      <c r="J23" s="195"/>
      <c r="K23" s="193"/>
      <c r="L23" s="104"/>
      <c r="M23" s="209"/>
      <c r="N23" s="193"/>
      <c r="O23" s="106"/>
      <c r="P23" s="188"/>
      <c r="Q23" s="77"/>
      <c r="R23" s="8"/>
      <c r="S23" s="8"/>
      <c r="T23" s="77"/>
      <c r="U23" s="106"/>
      <c r="V23" s="154"/>
      <c r="W23" s="92"/>
      <c r="X23" s="104"/>
      <c r="Y23" s="151"/>
      <c r="Z23" s="5"/>
      <c r="AE23" s="184"/>
    </row>
    <row r="24" spans="2:33" ht="14.25" customHeight="1" x14ac:dyDescent="0.25">
      <c r="B24" s="142" t="s">
        <v>137</v>
      </c>
      <c r="C24" s="143">
        <v>6011</v>
      </c>
      <c r="D24" s="143">
        <v>28040</v>
      </c>
      <c r="E24" s="144">
        <v>673020</v>
      </c>
      <c r="F24" s="8" t="s">
        <v>157</v>
      </c>
      <c r="G24" s="145"/>
      <c r="H24" s="146">
        <f>K24+N24</f>
        <v>157511.22999999998</v>
      </c>
      <c r="I24" s="106"/>
      <c r="J24" s="195"/>
      <c r="K24" s="148">
        <f t="shared" ref="K24:K37" si="4">+Q24+W24</f>
        <v>138374.35999999999</v>
      </c>
      <c r="L24" s="149" t="s">
        <v>140</v>
      </c>
      <c r="M24" s="147"/>
      <c r="N24" s="148">
        <f t="shared" ref="N24:N33" si="5">+T24+Z24</f>
        <v>19136.870000000003</v>
      </c>
      <c r="O24" s="106" t="s">
        <v>140</v>
      </c>
      <c r="P24" s="147"/>
      <c r="Q24" s="150">
        <v>138366.74</v>
      </c>
      <c r="R24" s="8"/>
      <c r="S24" s="147"/>
      <c r="T24" s="150">
        <v>19144.490000000002</v>
      </c>
      <c r="U24" s="106"/>
      <c r="V24" s="154"/>
      <c r="W24" s="150">
        <v>7.62</v>
      </c>
      <c r="X24" s="210"/>
      <c r="Y24" s="210"/>
      <c r="Z24" s="150">
        <v>-7.62</v>
      </c>
      <c r="AE24" s="153">
        <v>673020</v>
      </c>
    </row>
    <row r="25" spans="2:33" ht="14.25" customHeight="1" x14ac:dyDescent="0.25">
      <c r="B25" s="142" t="s">
        <v>137</v>
      </c>
      <c r="C25" s="143">
        <v>6011</v>
      </c>
      <c r="D25" s="143">
        <v>28040</v>
      </c>
      <c r="E25" s="144">
        <v>673030</v>
      </c>
      <c r="F25" s="8" t="s">
        <v>158</v>
      </c>
      <c r="G25" s="145"/>
      <c r="H25" s="146">
        <f t="shared" ref="H25:H37" si="6">K25+N25</f>
        <v>61372.7</v>
      </c>
      <c r="I25" s="106"/>
      <c r="J25" s="195"/>
      <c r="K25" s="148">
        <f t="shared" si="4"/>
        <v>55352.04</v>
      </c>
      <c r="L25" s="149" t="s">
        <v>140</v>
      </c>
      <c r="M25" s="147"/>
      <c r="N25" s="148">
        <f t="shared" si="5"/>
        <v>6020.66</v>
      </c>
      <c r="O25" s="106" t="s">
        <v>140</v>
      </c>
      <c r="P25" s="147"/>
      <c r="Q25" s="150">
        <v>55352.04</v>
      </c>
      <c r="R25" s="8"/>
      <c r="S25" s="147"/>
      <c r="T25" s="150">
        <v>6020.66</v>
      </c>
      <c r="U25" s="106"/>
      <c r="V25" s="154"/>
      <c r="W25" s="152"/>
      <c r="X25" s="210"/>
      <c r="Y25" s="210"/>
      <c r="Z25" s="152"/>
      <c r="AE25" s="153">
        <v>673030</v>
      </c>
    </row>
    <row r="26" spans="2:33" ht="14.25" customHeight="1" x14ac:dyDescent="0.25">
      <c r="B26" s="142" t="s">
        <v>137</v>
      </c>
      <c r="C26" s="143">
        <v>6011</v>
      </c>
      <c r="D26" s="143">
        <v>28040</v>
      </c>
      <c r="E26" s="144">
        <v>673040</v>
      </c>
      <c r="F26" s="8" t="s">
        <v>159</v>
      </c>
      <c r="G26" s="145"/>
      <c r="H26" s="146">
        <f t="shared" si="6"/>
        <v>0</v>
      </c>
      <c r="I26" s="106"/>
      <c r="J26" s="195"/>
      <c r="K26" s="155">
        <f t="shared" si="4"/>
        <v>0</v>
      </c>
      <c r="L26" s="149" t="s">
        <v>143</v>
      </c>
      <c r="M26" s="147"/>
      <c r="N26" s="155">
        <f>+T26+Z26</f>
        <v>0</v>
      </c>
      <c r="O26" s="106" t="s">
        <v>143</v>
      </c>
      <c r="P26" s="147"/>
      <c r="Q26" s="159"/>
      <c r="R26" s="8"/>
      <c r="S26" s="147"/>
      <c r="T26" s="159"/>
      <c r="U26" s="106"/>
      <c r="V26" s="154"/>
      <c r="W26" s="164"/>
      <c r="X26" s="210"/>
      <c r="Y26" s="210"/>
      <c r="Z26" s="164"/>
      <c r="AE26" s="162">
        <v>673040</v>
      </c>
    </row>
    <row r="27" spans="2:33" ht="14.25" customHeight="1" x14ac:dyDescent="0.25">
      <c r="B27" s="142" t="s">
        <v>137</v>
      </c>
      <c r="C27" s="143">
        <v>6011</v>
      </c>
      <c r="D27" s="143">
        <v>28040</v>
      </c>
      <c r="E27" s="144">
        <v>673050</v>
      </c>
      <c r="F27" s="8" t="s">
        <v>160</v>
      </c>
      <c r="G27" s="145"/>
      <c r="H27" s="146">
        <f t="shared" si="6"/>
        <v>0</v>
      </c>
      <c r="I27" s="106"/>
      <c r="J27" s="195"/>
      <c r="K27" s="155">
        <f t="shared" si="4"/>
        <v>0</v>
      </c>
      <c r="L27" s="149" t="s">
        <v>143</v>
      </c>
      <c r="M27" s="147"/>
      <c r="N27" s="148">
        <f t="shared" si="5"/>
        <v>0</v>
      </c>
      <c r="O27" s="106" t="s">
        <v>140</v>
      </c>
      <c r="P27" s="147"/>
      <c r="Q27" s="159"/>
      <c r="R27" s="8"/>
      <c r="S27" s="147"/>
      <c r="T27" s="159"/>
      <c r="U27" s="106"/>
      <c r="V27" s="154"/>
      <c r="W27" s="164"/>
      <c r="X27" s="210"/>
      <c r="Y27" s="210"/>
      <c r="Z27" s="164"/>
      <c r="AE27" s="153">
        <v>673050</v>
      </c>
    </row>
    <row r="28" spans="2:33" ht="14.25" customHeight="1" x14ac:dyDescent="0.25">
      <c r="B28" s="142" t="s">
        <v>137</v>
      </c>
      <c r="C28" s="143">
        <v>6011</v>
      </c>
      <c r="D28" s="143">
        <v>28040</v>
      </c>
      <c r="E28" s="144">
        <v>673060</v>
      </c>
      <c r="F28" s="8" t="s">
        <v>161</v>
      </c>
      <c r="G28" s="145"/>
      <c r="H28" s="146">
        <f t="shared" si="6"/>
        <v>0</v>
      </c>
      <c r="I28" s="106"/>
      <c r="J28" s="195"/>
      <c r="K28" s="155">
        <f t="shared" si="4"/>
        <v>0</v>
      </c>
      <c r="L28" s="149" t="s">
        <v>143</v>
      </c>
      <c r="M28" s="147"/>
      <c r="N28" s="148">
        <f t="shared" si="5"/>
        <v>0</v>
      </c>
      <c r="O28" s="106" t="s">
        <v>140</v>
      </c>
      <c r="P28" s="147"/>
      <c r="Q28" s="159"/>
      <c r="R28" s="8"/>
      <c r="S28" s="147"/>
      <c r="T28" s="150"/>
      <c r="U28" s="106"/>
      <c r="V28" s="154"/>
      <c r="W28" s="164"/>
      <c r="X28" s="210"/>
      <c r="Y28" s="210"/>
      <c r="Z28" s="152"/>
      <c r="AE28" s="153">
        <v>673060</v>
      </c>
    </row>
    <row r="29" spans="2:33" ht="14.25" customHeight="1" x14ac:dyDescent="0.25">
      <c r="B29" s="142" t="s">
        <v>137</v>
      </c>
      <c r="C29" s="143">
        <v>6011</v>
      </c>
      <c r="D29" s="143">
        <v>28040</v>
      </c>
      <c r="E29" s="144">
        <v>673070</v>
      </c>
      <c r="F29" s="8" t="s">
        <v>162</v>
      </c>
      <c r="G29" s="145"/>
      <c r="H29" s="146">
        <f t="shared" si="6"/>
        <v>1015.8</v>
      </c>
      <c r="I29" s="106"/>
      <c r="J29" s="195"/>
      <c r="K29" s="155">
        <f t="shared" si="4"/>
        <v>916.15</v>
      </c>
      <c r="L29" s="149" t="s">
        <v>143</v>
      </c>
      <c r="M29" s="147"/>
      <c r="N29" s="148">
        <f t="shared" si="5"/>
        <v>99.65</v>
      </c>
      <c r="O29" s="106" t="s">
        <v>140</v>
      </c>
      <c r="P29" s="147"/>
      <c r="Q29" s="159"/>
      <c r="R29" s="8"/>
      <c r="S29" s="147"/>
      <c r="T29" s="150"/>
      <c r="U29" s="106"/>
      <c r="V29" s="154"/>
      <c r="W29" s="159">
        <v>916.15</v>
      </c>
      <c r="X29" s="210"/>
      <c r="Y29" s="210"/>
      <c r="Z29" s="150">
        <v>99.65</v>
      </c>
      <c r="AE29" s="153">
        <v>673070</v>
      </c>
    </row>
    <row r="30" spans="2:33" ht="14.25" customHeight="1" x14ac:dyDescent="0.25">
      <c r="B30" s="142" t="s">
        <v>137</v>
      </c>
      <c r="C30" s="143">
        <v>6011</v>
      </c>
      <c r="D30" s="143">
        <v>28040</v>
      </c>
      <c r="E30" s="144">
        <v>673080</v>
      </c>
      <c r="F30" s="8" t="s">
        <v>163</v>
      </c>
      <c r="G30" s="145"/>
      <c r="H30" s="146">
        <f t="shared" si="6"/>
        <v>17078.129999999997</v>
      </c>
      <c r="I30" s="106"/>
      <c r="J30" s="195"/>
      <c r="K30" s="148">
        <f t="shared" si="4"/>
        <v>15503.539999999999</v>
      </c>
      <c r="L30" s="149" t="s">
        <v>140</v>
      </c>
      <c r="M30" s="147"/>
      <c r="N30" s="148">
        <f t="shared" si="5"/>
        <v>1574.5900000000001</v>
      </c>
      <c r="O30" s="106" t="s">
        <v>140</v>
      </c>
      <c r="P30" s="147"/>
      <c r="Q30" s="150">
        <v>15279.08</v>
      </c>
      <c r="R30" s="8"/>
      <c r="S30" s="147"/>
      <c r="T30" s="150">
        <v>1551.95</v>
      </c>
      <c r="U30" s="106"/>
      <c r="V30" s="154"/>
      <c r="W30" s="150">
        <v>224.46</v>
      </c>
      <c r="X30" s="211"/>
      <c r="Y30" s="211"/>
      <c r="Z30" s="150">
        <v>22.64</v>
      </c>
      <c r="AE30" s="153">
        <v>673080</v>
      </c>
    </row>
    <row r="31" spans="2:33" ht="14.25" customHeight="1" x14ac:dyDescent="0.25">
      <c r="B31" s="142" t="s">
        <v>137</v>
      </c>
      <c r="C31" s="143">
        <v>6011</v>
      </c>
      <c r="D31" s="143">
        <v>28040</v>
      </c>
      <c r="E31" s="144">
        <v>673090</v>
      </c>
      <c r="F31" s="8" t="s">
        <v>164</v>
      </c>
      <c r="G31" s="145"/>
      <c r="H31" s="146">
        <f t="shared" si="6"/>
        <v>0</v>
      </c>
      <c r="I31" s="106"/>
      <c r="J31" s="195"/>
      <c r="K31" s="155">
        <f t="shared" si="4"/>
        <v>0</v>
      </c>
      <c r="L31" s="149" t="s">
        <v>143</v>
      </c>
      <c r="M31" s="147"/>
      <c r="N31" s="155">
        <f>+T31+Z31</f>
        <v>0</v>
      </c>
      <c r="O31" s="106" t="s">
        <v>143</v>
      </c>
      <c r="P31" s="147"/>
      <c r="Q31" s="159"/>
      <c r="R31" s="8"/>
      <c r="S31" s="147"/>
      <c r="T31" s="159"/>
      <c r="U31" s="106"/>
      <c r="V31" s="154"/>
      <c r="W31" s="164"/>
      <c r="X31" s="210"/>
      <c r="Y31" s="210"/>
      <c r="Z31" s="164"/>
      <c r="AE31" s="162">
        <v>673090</v>
      </c>
    </row>
    <row r="32" spans="2:33" ht="14.25" customHeight="1" x14ac:dyDescent="0.25">
      <c r="B32" s="142" t="s">
        <v>137</v>
      </c>
      <c r="C32" s="143">
        <v>6011</v>
      </c>
      <c r="D32" s="143">
        <v>28040</v>
      </c>
      <c r="E32" s="144">
        <v>673120</v>
      </c>
      <c r="F32" s="8" t="s">
        <v>165</v>
      </c>
      <c r="G32" s="145"/>
      <c r="H32" s="146">
        <f t="shared" si="6"/>
        <v>134704.97999999998</v>
      </c>
      <c r="I32" s="106"/>
      <c r="J32" s="195"/>
      <c r="K32" s="148">
        <f t="shared" si="4"/>
        <v>118338.98</v>
      </c>
      <c r="L32" s="149" t="s">
        <v>140</v>
      </c>
      <c r="M32" s="147"/>
      <c r="N32" s="148">
        <f t="shared" si="5"/>
        <v>16366</v>
      </c>
      <c r="O32" s="106" t="s">
        <v>140</v>
      </c>
      <c r="P32" s="147"/>
      <c r="Q32" s="150">
        <v>118332.43</v>
      </c>
      <c r="R32" s="8"/>
      <c r="S32" s="147"/>
      <c r="T32" s="150">
        <v>16372.55</v>
      </c>
      <c r="U32" s="106"/>
      <c r="V32" s="154"/>
      <c r="W32" s="150">
        <v>6.55</v>
      </c>
      <c r="X32" s="211"/>
      <c r="Y32" s="211"/>
      <c r="Z32" s="150">
        <v>-6.55</v>
      </c>
      <c r="AE32" s="153">
        <v>673120</v>
      </c>
    </row>
    <row r="33" spans="2:32" ht="14.25" customHeight="1" x14ac:dyDescent="0.25">
      <c r="B33" s="142" t="s">
        <v>137</v>
      </c>
      <c r="C33" s="143">
        <v>6011</v>
      </c>
      <c r="D33" s="143">
        <v>28040</v>
      </c>
      <c r="E33" s="144">
        <v>673130</v>
      </c>
      <c r="F33" s="8" t="s">
        <v>166</v>
      </c>
      <c r="G33" s="145"/>
      <c r="H33" s="146">
        <f t="shared" si="6"/>
        <v>-10.5</v>
      </c>
      <c r="I33" s="106"/>
      <c r="J33" s="195"/>
      <c r="K33" s="148">
        <f t="shared" si="4"/>
        <v>-9.4699999999999989</v>
      </c>
      <c r="L33" s="149" t="s">
        <v>140</v>
      </c>
      <c r="M33" s="147"/>
      <c r="N33" s="148">
        <f t="shared" si="5"/>
        <v>-1.0300000000000011</v>
      </c>
      <c r="O33" s="106" t="s">
        <v>140</v>
      </c>
      <c r="P33" s="147"/>
      <c r="Q33" s="150">
        <v>88.39</v>
      </c>
      <c r="R33" s="8"/>
      <c r="S33" s="147"/>
      <c r="T33" s="150">
        <v>9.61</v>
      </c>
      <c r="U33" s="106"/>
      <c r="V33" s="154"/>
      <c r="W33" s="150">
        <v>-97.86</v>
      </c>
      <c r="X33" s="104"/>
      <c r="Y33" s="151"/>
      <c r="Z33" s="150">
        <v>-10.64</v>
      </c>
      <c r="AE33" s="153">
        <v>673130</v>
      </c>
    </row>
    <row r="34" spans="2:32" ht="14.25" customHeight="1" x14ac:dyDescent="0.25">
      <c r="B34" s="142" t="s">
        <v>137</v>
      </c>
      <c r="C34" s="143">
        <v>6011</v>
      </c>
      <c r="D34" s="143">
        <v>28040</v>
      </c>
      <c r="E34" s="144">
        <v>673140</v>
      </c>
      <c r="F34" s="8" t="s">
        <v>167</v>
      </c>
      <c r="G34" s="145"/>
      <c r="H34" s="146">
        <f t="shared" si="6"/>
        <v>0</v>
      </c>
      <c r="I34" s="106"/>
      <c r="J34" s="195"/>
      <c r="K34" s="155">
        <f t="shared" si="4"/>
        <v>0</v>
      </c>
      <c r="L34" s="149" t="s">
        <v>143</v>
      </c>
      <c r="M34" s="147"/>
      <c r="N34" s="155">
        <f>+T34+Z34</f>
        <v>0</v>
      </c>
      <c r="O34" s="106" t="s">
        <v>143</v>
      </c>
      <c r="P34" s="147"/>
      <c r="Q34" s="159"/>
      <c r="R34" s="8"/>
      <c r="S34" s="147"/>
      <c r="T34" s="159"/>
      <c r="U34" s="106"/>
      <c r="V34" s="154"/>
      <c r="W34" s="164"/>
      <c r="X34" s="104"/>
      <c r="Y34" s="151"/>
      <c r="Z34" s="164"/>
      <c r="AE34" s="162">
        <v>673140</v>
      </c>
    </row>
    <row r="35" spans="2:32" ht="14.25" customHeight="1" x14ac:dyDescent="0.25">
      <c r="B35" s="142" t="s">
        <v>137</v>
      </c>
      <c r="C35" s="143">
        <v>6011</v>
      </c>
      <c r="D35" s="143">
        <v>28040</v>
      </c>
      <c r="E35" s="144">
        <v>673160</v>
      </c>
      <c r="F35" s="8" t="s">
        <v>168</v>
      </c>
      <c r="G35" s="145"/>
      <c r="H35" s="146">
        <f t="shared" si="6"/>
        <v>0</v>
      </c>
      <c r="I35" s="106"/>
      <c r="J35" s="195"/>
      <c r="K35" s="155">
        <f t="shared" si="4"/>
        <v>0</v>
      </c>
      <c r="L35" s="149" t="s">
        <v>143</v>
      </c>
      <c r="M35" s="147"/>
      <c r="N35" s="155">
        <f>+T35+Z35</f>
        <v>0</v>
      </c>
      <c r="O35" s="106" t="s">
        <v>143</v>
      </c>
      <c r="P35" s="147"/>
      <c r="Q35" s="159"/>
      <c r="R35" s="8"/>
      <c r="S35" s="147"/>
      <c r="T35" s="159"/>
      <c r="U35" s="106"/>
      <c r="V35" s="154"/>
      <c r="W35" s="164"/>
      <c r="X35" s="104"/>
      <c r="Y35" s="151"/>
      <c r="Z35" s="164"/>
      <c r="AE35" s="162">
        <v>673160</v>
      </c>
    </row>
    <row r="36" spans="2:32" ht="14.25" customHeight="1" x14ac:dyDescent="0.25">
      <c r="B36" s="142" t="s">
        <v>137</v>
      </c>
      <c r="C36" s="143">
        <v>6011</v>
      </c>
      <c r="D36" s="143">
        <v>28040</v>
      </c>
      <c r="E36" s="144">
        <v>673180</v>
      </c>
      <c r="F36" s="8" t="s">
        <v>169</v>
      </c>
      <c r="G36" s="145"/>
      <c r="H36" s="146">
        <f t="shared" si="6"/>
        <v>18094.18</v>
      </c>
      <c r="I36" s="106"/>
      <c r="J36" s="195"/>
      <c r="K36" s="148">
        <f>+Q36+W36</f>
        <v>16425.91</v>
      </c>
      <c r="L36" s="149" t="s">
        <v>140</v>
      </c>
      <c r="M36" s="147"/>
      <c r="N36" s="148">
        <f>+T36+Z36</f>
        <v>1668.27</v>
      </c>
      <c r="O36" s="106" t="s">
        <v>140</v>
      </c>
      <c r="P36" s="147"/>
      <c r="Q36" s="150">
        <v>16425.71</v>
      </c>
      <c r="R36" s="8"/>
      <c r="S36" s="147"/>
      <c r="T36" s="150">
        <v>1668.47</v>
      </c>
      <c r="U36" s="106"/>
      <c r="V36" s="154"/>
      <c r="W36" s="150">
        <v>0.2</v>
      </c>
      <c r="X36" s="104"/>
      <c r="Y36" s="151"/>
      <c r="Z36" s="150">
        <v>-0.2</v>
      </c>
      <c r="AE36" s="153">
        <v>673180</v>
      </c>
    </row>
    <row r="37" spans="2:32" ht="14.25" customHeight="1" x14ac:dyDescent="0.25">
      <c r="B37" s="142" t="s">
        <v>137</v>
      </c>
      <c r="C37" s="143">
        <v>6011</v>
      </c>
      <c r="D37" s="143">
        <v>28040</v>
      </c>
      <c r="E37" s="144">
        <v>673190</v>
      </c>
      <c r="F37" s="178" t="s">
        <v>170</v>
      </c>
      <c r="G37" s="145"/>
      <c r="H37" s="212">
        <f t="shared" si="6"/>
        <v>0</v>
      </c>
      <c r="I37" s="106"/>
      <c r="J37" s="195"/>
      <c r="K37" s="155">
        <f t="shared" si="4"/>
        <v>0</v>
      </c>
      <c r="L37" s="149" t="s">
        <v>143</v>
      </c>
      <c r="M37" s="200"/>
      <c r="N37" s="155">
        <f>+T37+Z37</f>
        <v>0</v>
      </c>
      <c r="O37" s="106" t="s">
        <v>143</v>
      </c>
      <c r="P37" s="200"/>
      <c r="Q37" s="164"/>
      <c r="R37" s="8"/>
      <c r="S37" s="200"/>
      <c r="T37" s="182"/>
      <c r="U37" s="106"/>
      <c r="V37" s="213"/>
      <c r="W37" s="164"/>
      <c r="X37" s="104"/>
      <c r="Y37" s="151"/>
      <c r="Z37" s="164"/>
      <c r="AE37" s="162">
        <v>673190</v>
      </c>
    </row>
    <row r="38" spans="2:32" ht="15" x14ac:dyDescent="0.25">
      <c r="F38" s="8" t="s">
        <v>171</v>
      </c>
      <c r="G38" s="202"/>
      <c r="H38" s="146">
        <f>SUM(H24:H37)</f>
        <v>389766.51999999996</v>
      </c>
      <c r="I38" s="106"/>
      <c r="J38" s="202"/>
      <c r="K38" s="98">
        <f>SUM(K24:K37)</f>
        <v>344901.51</v>
      </c>
      <c r="L38" s="149"/>
      <c r="M38" s="8"/>
      <c r="N38" s="98">
        <f>SUM(N24:N37)</f>
        <v>44865.01</v>
      </c>
      <c r="O38" s="106"/>
      <c r="P38" s="214"/>
      <c r="Q38" s="206">
        <f>SUM(Q24:Q37)</f>
        <v>343844.39</v>
      </c>
      <c r="R38" s="215"/>
      <c r="S38" s="216"/>
      <c r="T38" s="206">
        <f>SUM(T24:T37)</f>
        <v>44767.73</v>
      </c>
      <c r="U38" s="106"/>
      <c r="W38" s="189">
        <f>SUM(W24:W37)</f>
        <v>1057.1200000000001</v>
      </c>
      <c r="Y38" s="217"/>
      <c r="Z38" s="189">
        <f>SUM(Z24:Z37)</f>
        <v>97.28</v>
      </c>
      <c r="AB38" s="191">
        <f>SUM(AB24:AB37)</f>
        <v>0</v>
      </c>
      <c r="AC38" s="191">
        <f>SUM(AC24:AC37)</f>
        <v>0</v>
      </c>
      <c r="AD38" s="191"/>
    </row>
    <row r="39" spans="2:32" ht="14.1" customHeight="1" x14ac:dyDescent="0.25">
      <c r="F39" s="208"/>
      <c r="H39" s="218"/>
      <c r="I39" s="106"/>
      <c r="J39" s="202"/>
      <c r="K39" s="219"/>
      <c r="L39" s="151"/>
      <c r="M39" s="202"/>
      <c r="N39" s="219"/>
      <c r="O39" s="106"/>
      <c r="P39" s="216"/>
      <c r="Q39" s="220"/>
      <c r="R39" s="214"/>
      <c r="S39" s="216"/>
      <c r="T39" s="220"/>
      <c r="U39" s="106"/>
      <c r="V39" s="221"/>
      <c r="W39" s="185"/>
      <c r="Z39" s="91"/>
      <c r="AB39" s="105"/>
      <c r="AC39" s="105"/>
      <c r="AD39" s="105"/>
    </row>
    <row r="40" spans="2:32" ht="15.75" customHeight="1" x14ac:dyDescent="0.25">
      <c r="F40" s="97" t="s">
        <v>172</v>
      </c>
      <c r="G40" s="202">
        <f>+G38+G22+G15</f>
        <v>58842110</v>
      </c>
      <c r="H40" s="146">
        <f>+H38+H22+H15</f>
        <v>45702305.640000001</v>
      </c>
      <c r="I40" s="106"/>
      <c r="J40" s="222">
        <f>+J38+J22+J15</f>
        <v>44936876</v>
      </c>
      <c r="K40" s="189">
        <f>+K38+K22+K15</f>
        <v>38581005.490000002</v>
      </c>
      <c r="L40" s="210"/>
      <c r="M40" s="222">
        <f>+M38+M22+M15</f>
        <v>13905234</v>
      </c>
      <c r="N40" s="189">
        <f>+N38+N22+N15</f>
        <v>7121300.1500000004</v>
      </c>
      <c r="O40" s="126"/>
      <c r="P40" s="223">
        <f>+P38+P22+P15</f>
        <v>45057513</v>
      </c>
      <c r="Q40" s="206">
        <f>+Q38+Q22+Q15</f>
        <v>38749317.43</v>
      </c>
      <c r="R40" s="73"/>
      <c r="S40" s="223">
        <f>+S38+S22+S15</f>
        <v>13952107</v>
      </c>
      <c r="T40" s="206">
        <f>+T38+T22+T15</f>
        <v>7155758.7100000009</v>
      </c>
      <c r="U40" s="106"/>
      <c r="V40" s="224">
        <f>+V38+V22+V15</f>
        <v>-120637</v>
      </c>
      <c r="W40" s="189">
        <f>+W38+W22+W15</f>
        <v>-168311.94</v>
      </c>
      <c r="Y40" s="9">
        <f>+Y38+Y22+Y15</f>
        <v>-46873</v>
      </c>
      <c r="Z40" s="189">
        <f>+Z38+Z22+Z15</f>
        <v>-34458.560000000005</v>
      </c>
      <c r="AB40" s="191">
        <f>+AB38+AB22+AB15</f>
        <v>0</v>
      </c>
      <c r="AC40" s="191">
        <f>+AC38+AC22+AC15</f>
        <v>0</v>
      </c>
      <c r="AD40" s="191"/>
      <c r="AE40" s="196"/>
    </row>
    <row r="41" spans="2:32" ht="14.1" customHeight="1" x14ac:dyDescent="0.25">
      <c r="H41" s="225"/>
      <c r="I41" s="106"/>
      <c r="J41" s="154"/>
      <c r="K41" s="193"/>
      <c r="L41" s="151"/>
      <c r="M41" s="154"/>
      <c r="N41" s="193"/>
      <c r="O41" s="106"/>
      <c r="P41" s="214"/>
      <c r="Q41" s="77"/>
      <c r="R41" s="214"/>
      <c r="S41" s="214"/>
      <c r="T41" s="77"/>
      <c r="U41" s="106"/>
      <c r="W41" s="91"/>
      <c r="Z41" s="91"/>
    </row>
    <row r="42" spans="2:32" ht="14.1" customHeight="1" x14ac:dyDescent="0.25">
      <c r="C42" s="154" t="s">
        <v>173</v>
      </c>
      <c r="I42" s="106"/>
      <c r="J42" s="226" t="s">
        <v>116</v>
      </c>
      <c r="K42" s="10">
        <f>+K8+K9+K10+K11+K12+K13+K14+K18+K26+K27+K28+K29+K31+K34+K35+K37</f>
        <v>34911960.75</v>
      </c>
      <c r="L42" s="151" t="s">
        <v>143</v>
      </c>
      <c r="M42" s="154"/>
      <c r="N42" s="227">
        <f>+N8+N9+N10+N11+N12+N13+N14+N18+N26+N31+N34+N35+N37+N27</f>
        <v>5927694.4100000001</v>
      </c>
      <c r="O42" s="228" t="s">
        <v>143</v>
      </c>
      <c r="P42" s="214"/>
      <c r="Q42" s="229">
        <f>+Q8+Q9+Q10+Q11+Q12+Q13+Q14+Q18+Q26+Q27+Q28+Q29+Q31+Q34+Q35+Q37</f>
        <v>35079928.75</v>
      </c>
      <c r="R42" s="214"/>
      <c r="S42" s="226" t="s">
        <v>123</v>
      </c>
      <c r="T42" s="229">
        <f>+T8+T10+T9+T11+T12+T13+T14+T18+T26+T31+T34+T35+T37+T27</f>
        <v>5962184.1800000006</v>
      </c>
      <c r="U42" s="106"/>
      <c r="W42" s="230">
        <f>+W8+W9+W10+W11+W12+W13+W14+W18+W26+W27+W28+W29+W31+W34+W35+W37</f>
        <v>-167968.00000000003</v>
      </c>
      <c r="Z42" s="230">
        <f>Z9+Z10+Z11+Z12+Z13+Z14+Z18+Z26+Z31+Z34+Z35+Z37+Z8+Z27</f>
        <v>-34489.770000000004</v>
      </c>
      <c r="AB42" s="231">
        <f>+AB8+AB9+AB10+AB11+AB12+AB13+AB14+AB18+AB26+AB27+AB28+AB29+AB31+AB34+AB35+AB37</f>
        <v>0</v>
      </c>
      <c r="AC42" s="231">
        <f>+AC6+AC8+AC9+AC10+AC11+AC12+AC13+AC14+AC18+AC26+AC31+AC34+AC35+AC37</f>
        <v>0</v>
      </c>
    </row>
    <row r="43" spans="2:32" ht="14.1" customHeight="1" x14ac:dyDescent="0.25">
      <c r="C43" s="154" t="s">
        <v>174</v>
      </c>
      <c r="I43" s="106"/>
      <c r="J43" s="226" t="s">
        <v>116</v>
      </c>
      <c r="K43" s="10">
        <f>+K6+K7+K17+K24+K25+K30+K32+K33+K36+K19+K20+K21</f>
        <v>3669044.7399999998</v>
      </c>
      <c r="L43" s="151" t="s">
        <v>140</v>
      </c>
      <c r="M43" s="154"/>
      <c r="N43" s="227">
        <f>N6+N7+N17+N24+N25+N30+N32+N33+N36+N19+N20+N21+N29+N28</f>
        <v>1193605.74</v>
      </c>
      <c r="O43" s="228" t="s">
        <v>140</v>
      </c>
      <c r="P43" s="214"/>
      <c r="Q43" s="232">
        <f>Q6+Q7+Q17+Q24+Q25+Q30+Q32+Q33+Q36+Q19+Q20+Q21</f>
        <v>3669388.6800000006</v>
      </c>
      <c r="R43" s="214"/>
      <c r="S43" s="226" t="s">
        <v>123</v>
      </c>
      <c r="T43" s="232">
        <f>+T7+T6+T17+T24+T25+T30+T32+T33+T36+T19+T20+T21+T29+T28</f>
        <v>1193574.53</v>
      </c>
      <c r="U43" s="106"/>
      <c r="W43" s="233">
        <f>W6+W7+W17+W24+W25+W30+W32+W33+W36+W19+W20+W21</f>
        <v>-343.93999999999994</v>
      </c>
      <c r="Z43" s="233">
        <f>+Z7+Z17+Z24+Z25+Z30+Z32+Z33+Z36+Z19+Z20+Z21+Z29+Z28+Z6</f>
        <v>31.210000000000008</v>
      </c>
      <c r="AB43" s="234">
        <f>AB6+AB7+AB17+AB24+AB25+AB30+AB32+AB33+AB36</f>
        <v>0</v>
      </c>
      <c r="AC43" s="234">
        <f>+AC7+AC17+AC24+AC25+AC27+AC28+AC29+AC30+AC32+AC33+AC36</f>
        <v>0</v>
      </c>
    </row>
    <row r="44" spans="2:32" ht="15" customHeight="1" x14ac:dyDescent="0.25">
      <c r="C44" s="154" t="s">
        <v>12</v>
      </c>
      <c r="I44" s="106"/>
      <c r="J44" s="154"/>
      <c r="K44" s="189">
        <f>SUM(K42:K43)</f>
        <v>38581005.490000002</v>
      </c>
      <c r="L44" s="154"/>
      <c r="M44" s="154"/>
      <c r="N44" s="189">
        <f>SUM(N42:N43)</f>
        <v>7121300.1500000004</v>
      </c>
      <c r="O44" s="106"/>
      <c r="P44" s="214"/>
      <c r="Q44" s="206">
        <f>SUM(Q42:Q43)</f>
        <v>38749317.43</v>
      </c>
      <c r="R44" s="214"/>
      <c r="S44" s="214"/>
      <c r="T44" s="206">
        <f>SUM(T42:T43)</f>
        <v>7155758.7100000009</v>
      </c>
      <c r="U44" s="106"/>
      <c r="W44" s="189">
        <f>SUM(W42:W43)</f>
        <v>-168311.94000000003</v>
      </c>
      <c r="Z44" s="189">
        <f>SUM(Z42:Z43)</f>
        <v>-34458.560000000005</v>
      </c>
      <c r="AB44" s="235">
        <f>SUM(AB42:AB43)</f>
        <v>0</v>
      </c>
      <c r="AC44" s="235">
        <f>SUM(AC42:AC43)</f>
        <v>0</v>
      </c>
      <c r="AD44" s="191"/>
      <c r="AE44" s="7">
        <f>+Z44+W44</f>
        <v>-202770.50000000003</v>
      </c>
    </row>
    <row r="45" spans="2:32" ht="15" customHeight="1" x14ac:dyDescent="0.25">
      <c r="AE45" s="7">
        <f>+'[3]Supplier Invoices'!$Q$65</f>
        <v>-202770.50079999995</v>
      </c>
      <c r="AF45" s="72" t="s">
        <v>175</v>
      </c>
    </row>
    <row r="46" spans="2:32" ht="15" customHeight="1" x14ac:dyDescent="0.25">
      <c r="J46" s="8" t="s">
        <v>176</v>
      </c>
      <c r="K46" s="236">
        <f>K44+N44</f>
        <v>45702305.640000001</v>
      </c>
      <c r="P46" s="237" t="s">
        <v>177</v>
      </c>
      <c r="Q46" s="238">
        <f>Q44-Q11-Q12-Q13</f>
        <v>36440000.689999998</v>
      </c>
      <c r="S46" s="237" t="s">
        <v>177</v>
      </c>
      <c r="T46" s="238">
        <f>T44-T11-T12-T13</f>
        <v>6836926.6000000006</v>
      </c>
      <c r="W46" s="196"/>
      <c r="AE46" s="239">
        <f>+AE44-AE45</f>
        <v>7.9999992158263922E-4</v>
      </c>
    </row>
    <row r="47" spans="2:32" ht="15" customHeight="1" x14ac:dyDescent="0.25">
      <c r="F47" s="240"/>
      <c r="K47" s="241"/>
      <c r="P47" s="237" t="s">
        <v>178</v>
      </c>
      <c r="Q47" s="238">
        <f>W44</f>
        <v>-168311.94000000003</v>
      </c>
      <c r="R47" s="173"/>
      <c r="S47" s="237" t="s">
        <v>178</v>
      </c>
      <c r="T47" s="238">
        <f>Z44</f>
        <v>-34458.560000000005</v>
      </c>
    </row>
    <row r="48" spans="2:32" ht="15" customHeight="1" x14ac:dyDescent="0.25">
      <c r="F48" s="240"/>
      <c r="G48" s="9" t="s">
        <v>179</v>
      </c>
      <c r="Q48" s="242">
        <f>Q46+Q47</f>
        <v>36271688.75</v>
      </c>
      <c r="T48" s="242">
        <f>T46+T47</f>
        <v>6802468.040000001</v>
      </c>
      <c r="W48" s="243"/>
      <c r="Z48" s="105"/>
    </row>
    <row r="49" spans="2:26" ht="15" customHeight="1" x14ac:dyDescent="0.25">
      <c r="F49" s="240"/>
      <c r="L49" s="244"/>
      <c r="M49" s="245" t="s">
        <v>1</v>
      </c>
      <c r="N49" s="246" t="s">
        <v>180</v>
      </c>
      <c r="Q49" s="238"/>
      <c r="T49" s="238"/>
      <c r="Z49" s="105"/>
    </row>
    <row r="50" spans="2:26" ht="14.1" customHeight="1" x14ac:dyDescent="0.25">
      <c r="L50" s="117"/>
      <c r="M50" s="245" t="s">
        <v>181</v>
      </c>
      <c r="N50" s="246" t="s">
        <v>182</v>
      </c>
      <c r="P50" s="73"/>
      <c r="Z50" s="105"/>
    </row>
    <row r="51" spans="2:26" ht="14.1" customHeight="1" x14ac:dyDescent="0.25">
      <c r="B51" s="9"/>
      <c r="L51" s="117"/>
      <c r="M51" s="245" t="s">
        <v>183</v>
      </c>
      <c r="N51" s="246" t="s">
        <v>184</v>
      </c>
    </row>
    <row r="52" spans="2:26" ht="14.1" customHeight="1" x14ac:dyDescent="0.25">
      <c r="B52" s="247"/>
      <c r="L52" s="117"/>
      <c r="M52" s="245" t="s">
        <v>185</v>
      </c>
      <c r="N52" s="246" t="s">
        <v>186</v>
      </c>
      <c r="W52" s="248"/>
    </row>
    <row r="53" spans="2:26" ht="14.1" customHeight="1" x14ac:dyDescent="0.25">
      <c r="L53" s="117"/>
      <c r="M53" s="245" t="s">
        <v>187</v>
      </c>
      <c r="N53" s="249" t="s">
        <v>188</v>
      </c>
    </row>
    <row r="54" spans="2:26" ht="14.1" customHeight="1" x14ac:dyDescent="0.25">
      <c r="L54" s="117"/>
      <c r="M54" s="245" t="s">
        <v>189</v>
      </c>
      <c r="N54" s="246" t="s">
        <v>190</v>
      </c>
    </row>
    <row r="55" spans="2:26" ht="14.1" customHeight="1" x14ac:dyDescent="0.25">
      <c r="L55" s="117"/>
      <c r="M55" s="245" t="s">
        <v>191</v>
      </c>
      <c r="N55" s="246" t="s">
        <v>192</v>
      </c>
    </row>
    <row r="56" spans="2:26" ht="14.1" customHeight="1" x14ac:dyDescent="0.25">
      <c r="L56" s="117"/>
      <c r="M56" s="245" t="s">
        <v>193</v>
      </c>
      <c r="N56" s="246" t="s">
        <v>194</v>
      </c>
    </row>
    <row r="57" spans="2:26" ht="14.1" customHeight="1" x14ac:dyDescent="0.25">
      <c r="M57" s="250"/>
      <c r="N57" s="246" t="s">
        <v>195</v>
      </c>
    </row>
    <row r="58" spans="2:26" ht="14.1" customHeight="1" thickBot="1" x14ac:dyDescent="0.3">
      <c r="P58" s="251" t="s">
        <v>136</v>
      </c>
      <c r="Q58" s="252"/>
      <c r="R58" s="251"/>
      <c r="S58" s="251" t="s">
        <v>136</v>
      </c>
      <c r="T58" s="252"/>
    </row>
    <row r="59" spans="2:26" ht="14.1" customHeight="1" x14ac:dyDescent="0.25">
      <c r="B59" s="9"/>
      <c r="J59" s="70" t="s">
        <v>196</v>
      </c>
      <c r="K59" s="246" t="s">
        <v>197</v>
      </c>
      <c r="L59" s="72"/>
      <c r="M59" s="1">
        <v>6011</v>
      </c>
      <c r="N59" s="246" t="s">
        <v>198</v>
      </c>
      <c r="P59" s="73" t="e">
        <f ca="1">[4]!SSGXA4(N$55&amp;"-"&amp;J59&amp;"-"&amp;$M59&amp;"-"&amp;$N59,N$49,N$51,N$52,N$53,N$54)</f>
        <v>#NAME?</v>
      </c>
      <c r="Q59" s="253" t="e">
        <f ca="1">[4]!SSGXA4(N$55&amp;"-"&amp;J59&amp;"-"&amp;$M59&amp;"-"&amp;$N59,N$50,N$51,N$52,N$53,N$54)</f>
        <v>#NAME?</v>
      </c>
      <c r="R59" s="173">
        <v>-1</v>
      </c>
      <c r="S59" s="73" t="e">
        <f ca="1">[4]!SSGXA4(N$55&amp;"-"&amp;K59&amp;"-"&amp;$M59&amp;"-"&amp;$N59,N$49,N$51,N$52,N$53,N$54)</f>
        <v>#NAME?</v>
      </c>
      <c r="T59" s="253" t="e">
        <f ca="1">[4]!SSGXA4(N$55&amp;"-"&amp;K59&amp;"-"&amp;$M59&amp;"-"&amp;$N59,N$50,N$51,N$52,N$53,N$54)</f>
        <v>#NAME?</v>
      </c>
      <c r="U59" s="254">
        <v>-4</v>
      </c>
    </row>
    <row r="60" spans="2:26" ht="14.1" customHeight="1" x14ac:dyDescent="0.25">
      <c r="J60" s="70" t="s">
        <v>196</v>
      </c>
      <c r="K60" s="246" t="s">
        <v>197</v>
      </c>
      <c r="L60" s="72"/>
      <c r="M60" s="1">
        <v>6011</v>
      </c>
      <c r="N60" s="1">
        <v>28082</v>
      </c>
      <c r="P60" s="73" t="e">
        <f ca="1">[4]!SSGXA4(N$55&amp;"-"&amp;J60&amp;"-"&amp;$M60&amp;"-"&amp;$N60,N$49,N$51,N$52,N$53,N$54)</f>
        <v>#NAME?</v>
      </c>
      <c r="Q60" s="253" t="e">
        <f ca="1">[4]!SSGXA4(N$55&amp;"-"&amp;N$56&amp;"-"&amp;$M60&amp;"-"&amp;$N60,N$50,N$51,N$52,N$53,N$54)</f>
        <v>#NAME?</v>
      </c>
      <c r="R60" s="173">
        <v>-2</v>
      </c>
      <c r="S60" s="253"/>
      <c r="T60" s="253"/>
      <c r="U60" s="254"/>
    </row>
    <row r="61" spans="2:26" ht="15" x14ac:dyDescent="0.25">
      <c r="J61" s="70" t="s">
        <v>196</v>
      </c>
      <c r="K61" s="246" t="s">
        <v>197</v>
      </c>
      <c r="L61" s="72"/>
      <c r="M61" s="1">
        <v>6011</v>
      </c>
      <c r="N61" s="1">
        <v>28120</v>
      </c>
      <c r="P61" s="73" t="e">
        <f ca="1">[4]!SSGXA4(N$55&amp;"-"&amp;J61&amp;"-"&amp;$M61&amp;"-"&amp;$N61,N$49,N$51,N$52,N$53,N$54)</f>
        <v>#NAME?</v>
      </c>
      <c r="Q61" s="253" t="e">
        <f ca="1">[4]!SSGXA4(N$55&amp;"-"&amp;J61&amp;"-"&amp;$M61&amp;"-"&amp;$N61,N$50,N$51,N$52,N$53,N$54)</f>
        <v>#NAME?</v>
      </c>
      <c r="R61" s="173">
        <v>-3</v>
      </c>
      <c r="S61" s="73" t="e">
        <f ca="1">[4]!SSGXA4(N$55&amp;"-"&amp;K61&amp;"-"&amp;$M61&amp;"-"&amp;$N61,N$49,N$51,N$52,N$53,N$54)</f>
        <v>#NAME?</v>
      </c>
      <c r="T61" s="253" t="e">
        <f ca="1">[4]!SSGXA4(N$55&amp;"-"&amp;K61&amp;"-"&amp;$M61&amp;"-"&amp;$N61,N$50,N$51,N$52,N$53,N$54)</f>
        <v>#NAME?</v>
      </c>
      <c r="U61" s="254">
        <v>-5</v>
      </c>
    </row>
    <row r="62" spans="2:26" ht="14.1" customHeight="1" x14ac:dyDescent="0.25">
      <c r="B62" s="6"/>
      <c r="P62" s="73"/>
      <c r="Q62" s="255" t="e">
        <f ca="1">SUM(Q59:Q61)</f>
        <v>#NAME?</v>
      </c>
      <c r="R62" s="128"/>
      <c r="S62" s="128"/>
      <c r="T62" s="255" t="e">
        <f ca="1">SUM(T59:T61)</f>
        <v>#NAME?</v>
      </c>
      <c r="U62" s="72"/>
    </row>
    <row r="63" spans="2:26" ht="14.1" customHeight="1" x14ac:dyDescent="0.25">
      <c r="P63" s="73"/>
      <c r="Q63" s="253"/>
      <c r="R63" s="73"/>
      <c r="S63" s="73"/>
      <c r="T63" s="253"/>
      <c r="U63" s="72"/>
    </row>
    <row r="69" spans="17:22" ht="14.1" customHeight="1" x14ac:dyDescent="0.25">
      <c r="Q69" s="108">
        <v>9776852</v>
      </c>
      <c r="S69" s="108">
        <v>2278617.61</v>
      </c>
      <c r="T69" s="108">
        <v>2102518</v>
      </c>
      <c r="V69" s="9">
        <v>317389.78000000003</v>
      </c>
    </row>
    <row r="71" spans="17:22" ht="14.1" customHeight="1" x14ac:dyDescent="0.25">
      <c r="S71" s="256">
        <f>+S69/Q69</f>
        <v>0.23306250416800825</v>
      </c>
      <c r="V71" s="257">
        <f>+V69/T69</f>
        <v>0.15095698586171438</v>
      </c>
    </row>
  </sheetData>
  <mergeCells count="15">
    <mergeCell ref="B5:E5"/>
    <mergeCell ref="W3:Y3"/>
    <mergeCell ref="AB3:AC3"/>
    <mergeCell ref="J4:K4"/>
    <mergeCell ref="M4:N4"/>
    <mergeCell ref="P4:Q4"/>
    <mergeCell ref="S4:T4"/>
    <mergeCell ref="V4:W4"/>
    <mergeCell ref="Y4:Z4"/>
    <mergeCell ref="W1:Y1"/>
    <mergeCell ref="B2:E2"/>
    <mergeCell ref="G2:H2"/>
    <mergeCell ref="J2:N2"/>
    <mergeCell ref="P2:T2"/>
    <mergeCell ref="W2:Y2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0CE36-79D5-4031-A0E9-47BC28387A37}">
  <dimension ref="B1:H27"/>
  <sheetViews>
    <sheetView showGridLines="0" view="pageBreakPreview" zoomScale="90" zoomScaleNormal="100" zoomScaleSheetLayoutView="90" workbookViewId="0">
      <selection activeCell="E28" sqref="E28"/>
    </sheetView>
  </sheetViews>
  <sheetFormatPr defaultRowHeight="12.75" x14ac:dyDescent="0.2"/>
  <cols>
    <col min="1" max="1" width="1.7109375" style="93" customWidth="1"/>
    <col min="2" max="2" width="10" style="93" customWidth="1"/>
    <col min="3" max="3" width="27.5703125" style="93" customWidth="1"/>
    <col min="4" max="4" width="23" style="93" customWidth="1"/>
    <col min="5" max="5" width="22.140625" style="93" customWidth="1"/>
    <col min="6" max="6" width="18.85546875" style="93" customWidth="1"/>
    <col min="7" max="7" width="22" style="93" customWidth="1"/>
    <col min="8" max="8" width="3.7109375" style="93" customWidth="1"/>
    <col min="9" max="16384" width="9.140625" style="93"/>
  </cols>
  <sheetData>
    <row r="1" spans="2:8" ht="18" customHeight="1" x14ac:dyDescent="0.2">
      <c r="B1" s="296" t="s">
        <v>9</v>
      </c>
      <c r="C1" s="296"/>
      <c r="D1" s="296"/>
      <c r="E1" s="296"/>
      <c r="F1" s="296"/>
      <c r="G1" s="298"/>
      <c r="H1" s="297"/>
    </row>
    <row r="2" spans="2:8" ht="15" x14ac:dyDescent="0.2">
      <c r="B2" s="296" t="s">
        <v>10</v>
      </c>
      <c r="C2" s="295">
        <f>'[1]Core Cost Incurred'!B2</f>
        <v>43521</v>
      </c>
      <c r="D2" s="294"/>
      <c r="E2" s="294"/>
      <c r="F2" s="294"/>
      <c r="G2" s="294"/>
    </row>
    <row r="4" spans="2:8" ht="15" customHeight="1" thickBot="1" x14ac:dyDescent="0.25">
      <c r="B4" s="293"/>
      <c r="C4" s="293"/>
      <c r="D4" s="293"/>
      <c r="E4" s="293"/>
      <c r="F4" s="292"/>
      <c r="G4" s="95"/>
    </row>
    <row r="5" spans="2:8" ht="14.25" x14ac:dyDescent="0.2">
      <c r="B5" s="99"/>
      <c r="C5" s="99"/>
      <c r="D5" s="290" t="s">
        <v>3</v>
      </c>
      <c r="E5" s="290" t="s">
        <v>6</v>
      </c>
      <c r="F5" s="291" t="s">
        <v>11</v>
      </c>
      <c r="G5" s="290" t="s">
        <v>12</v>
      </c>
    </row>
    <row r="6" spans="2:8" ht="15" x14ac:dyDescent="0.25">
      <c r="B6" s="280" t="s">
        <v>13</v>
      </c>
      <c r="C6" s="289"/>
      <c r="D6" s="287">
        <v>692010</v>
      </c>
      <c r="E6" s="287">
        <v>691010</v>
      </c>
      <c r="F6" s="288">
        <v>693010</v>
      </c>
      <c r="G6" s="287"/>
    </row>
    <row r="7" spans="2:8" ht="16.5" customHeight="1" x14ac:dyDescent="0.2">
      <c r="B7" s="266" t="s">
        <v>14</v>
      </c>
      <c r="C7" s="266"/>
      <c r="D7" s="271">
        <v>10784184.029999999</v>
      </c>
      <c r="E7" s="271">
        <v>7735302.2600000007</v>
      </c>
      <c r="F7" s="286">
        <v>285344</v>
      </c>
      <c r="G7" s="271">
        <v>18804830.289999999</v>
      </c>
    </row>
    <row r="8" spans="2:8" ht="16.5" customHeight="1" x14ac:dyDescent="0.2">
      <c r="B8" s="266" t="s">
        <v>16</v>
      </c>
      <c r="C8" s="266"/>
      <c r="D8" s="285">
        <f>'[1]Core Cost Incurred'!K42</f>
        <v>34911960.75</v>
      </c>
      <c r="E8" s="285">
        <f>'[1]Core Cost Incurred'!K43</f>
        <v>3669044.7399999998</v>
      </c>
      <c r="F8" s="284">
        <v>0</v>
      </c>
      <c r="G8" s="283">
        <f>SUM(D8:E8)</f>
        <v>38581005.490000002</v>
      </c>
    </row>
    <row r="9" spans="2:8" ht="16.5" customHeight="1" x14ac:dyDescent="0.2">
      <c r="B9" s="266" t="s">
        <v>17</v>
      </c>
      <c r="C9" s="266"/>
      <c r="D9" s="278">
        <f>D7-D8</f>
        <v>-24127776.719999999</v>
      </c>
      <c r="E9" s="281">
        <f>E7-E8</f>
        <v>4066257.5200000009</v>
      </c>
      <c r="F9" s="281">
        <f>F7-F8</f>
        <v>285344</v>
      </c>
      <c r="G9" s="278">
        <f>G7-G8</f>
        <v>-19776175.200000003</v>
      </c>
    </row>
    <row r="10" spans="2:8" ht="16.5" customHeight="1" x14ac:dyDescent="0.2">
      <c r="B10" s="266" t="s">
        <v>18</v>
      </c>
      <c r="C10" s="266"/>
      <c r="D10" s="278">
        <v>12191</v>
      </c>
      <c r="E10" s="282"/>
      <c r="F10" s="281"/>
      <c r="G10" s="278">
        <v>12191</v>
      </c>
    </row>
    <row r="11" spans="2:8" ht="16.5" customHeight="1" x14ac:dyDescent="0.2">
      <c r="B11" s="280" t="s">
        <v>19</v>
      </c>
      <c r="C11" s="280"/>
      <c r="D11" s="278"/>
      <c r="E11" s="278">
        <v>352350.7</v>
      </c>
      <c r="F11" s="279"/>
      <c r="G11" s="278">
        <v>352350.7</v>
      </c>
    </row>
    <row r="12" spans="2:8" ht="16.5" customHeight="1" x14ac:dyDescent="0.25">
      <c r="B12" s="277" t="s">
        <v>20</v>
      </c>
      <c r="C12" s="276"/>
      <c r="D12" s="274">
        <f>+D7-D8+D10</f>
        <v>-24115585.719999999</v>
      </c>
      <c r="E12" s="274">
        <f>+E9+E11</f>
        <v>4418608.2200000007</v>
      </c>
      <c r="F12" s="275">
        <f>+F7-F8</f>
        <v>285344</v>
      </c>
      <c r="G12" s="274">
        <f>G9+G11+G10</f>
        <v>-19411633.500000004</v>
      </c>
    </row>
    <row r="13" spans="2:8" ht="14.25" customHeight="1" x14ac:dyDescent="0.2">
      <c r="D13" s="266"/>
      <c r="E13" s="266"/>
      <c r="F13" s="272"/>
      <c r="G13" s="266"/>
    </row>
    <row r="14" spans="2:8" ht="14.25" customHeight="1" x14ac:dyDescent="0.2">
      <c r="D14" s="266" t="s">
        <v>21</v>
      </c>
      <c r="E14" s="266"/>
      <c r="F14" s="272"/>
      <c r="G14" s="266"/>
    </row>
    <row r="15" spans="2:8" ht="14.25" customHeight="1" x14ac:dyDescent="0.2">
      <c r="D15" s="266"/>
      <c r="E15" s="273"/>
      <c r="F15" s="272"/>
      <c r="G15" s="266"/>
    </row>
    <row r="16" spans="2:8" ht="14.25" customHeight="1" x14ac:dyDescent="0.2">
      <c r="B16" s="263" t="s">
        <v>22</v>
      </c>
      <c r="C16" s="263"/>
      <c r="D16" s="271" t="s">
        <v>4</v>
      </c>
      <c r="E16" s="270" t="s">
        <v>4</v>
      </c>
      <c r="F16" s="269"/>
      <c r="G16" s="259"/>
    </row>
    <row r="17" spans="2:7" ht="14.25" customHeight="1" x14ac:dyDescent="0.2">
      <c r="D17" s="268"/>
      <c r="E17" s="268"/>
      <c r="F17" s="267"/>
      <c r="G17" s="266"/>
    </row>
    <row r="18" spans="2:7" ht="14.25" customHeight="1" x14ac:dyDescent="0.2">
      <c r="D18" s="264">
        <f>-D12</f>
        <v>24115585.719999999</v>
      </c>
      <c r="E18" s="264">
        <f>-E9-E11</f>
        <v>-4418608.2200000007</v>
      </c>
      <c r="F18" s="265">
        <f>-F12</f>
        <v>-285344</v>
      </c>
      <c r="G18" s="264">
        <f>SUM(D18:F18)</f>
        <v>19411633.5</v>
      </c>
    </row>
    <row r="19" spans="2:7" ht="14.25" customHeight="1" thickBot="1" x14ac:dyDescent="0.25">
      <c r="B19" s="263" t="s">
        <v>23</v>
      </c>
      <c r="C19" s="263"/>
      <c r="D19" s="262" t="s">
        <v>5</v>
      </c>
      <c r="E19" s="261" t="s">
        <v>7</v>
      </c>
      <c r="F19" s="260"/>
      <c r="G19" s="259"/>
    </row>
    <row r="21" spans="2:7" x14ac:dyDescent="0.2">
      <c r="E21" s="96"/>
      <c r="F21" s="94"/>
    </row>
    <row r="22" spans="2:7" x14ac:dyDescent="0.2">
      <c r="E22" s="96"/>
      <c r="F22" s="94"/>
    </row>
    <row r="23" spans="2:7" x14ac:dyDescent="0.2">
      <c r="E23" s="96"/>
      <c r="F23" s="94"/>
    </row>
    <row r="24" spans="2:7" x14ac:dyDescent="0.2">
      <c r="F24" s="94"/>
    </row>
    <row r="27" spans="2:7" x14ac:dyDescent="0.2">
      <c r="B27" s="258"/>
      <c r="C27" s="258"/>
    </row>
  </sheetData>
  <mergeCells count="1">
    <mergeCell ref="B4:E4"/>
  </mergeCells>
  <pageMargins left="0.75" right="0.75" top="0.7" bottom="1" header="0.7" footer="0.5"/>
  <pageSetup scale="71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0679F16FC7CFC4C829D7311049FFF87" ma:contentTypeVersion="76" ma:contentTypeDescription="" ma:contentTypeScope="" ma:versionID="18ee7ea4f4e9d97d6d85662429f0fa7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2018-09-17T07:00:00+00:00</OpenedDate>
    <SignificantOrder xmlns="dc463f71-b30c-4ab2-9473-d307f9d35888">false</SignificantOrder>
    <Date1 xmlns="dc463f71-b30c-4ab2-9473-d307f9d35888">2019-03-27T07:00:00+00:00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180788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41A98E4-AD89-4E8D-A27D-A6160003538D}"/>
</file>

<file path=customXml/itemProps2.xml><?xml version="1.0" encoding="utf-8"?>
<ds:datastoreItem xmlns:ds="http://schemas.openxmlformats.org/officeDocument/2006/customXml" ds:itemID="{44461817-C47B-47EE-ACC5-F86962CC0889}"/>
</file>

<file path=customXml/itemProps3.xml><?xml version="1.0" encoding="utf-8"?>
<ds:datastoreItem xmlns:ds="http://schemas.openxmlformats.org/officeDocument/2006/customXml" ds:itemID="{8098CDC4-438C-4CD1-9367-F86EE4CA96FB}"/>
</file>

<file path=customXml/itemProps4.xml><?xml version="1.0" encoding="utf-8"?>
<ds:datastoreItem xmlns:ds="http://schemas.openxmlformats.org/officeDocument/2006/customXml" ds:itemID="{499D3C36-B504-4FB3-844A-674F63DA12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WA Rates</vt:lpstr>
      <vt:lpstr>Core Cost Incurred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Cascade Natural Gas</cp:lastModifiedBy>
  <dcterms:created xsi:type="dcterms:W3CDTF">2019-03-26T20:47:06Z</dcterms:created>
  <dcterms:modified xsi:type="dcterms:W3CDTF">2019-03-26T20:55:40Z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0x0101006E56B4D1795A2E4DB2F0B01679ED314A0000679F16FC7CFC4C829D7311049FFF87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