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G\UG_200568_Cascade_GRC_2020\1_Filings\Testimony_Direct_Response\PC\01 Drafts\Garrett\"/>
    </mc:Choice>
  </mc:AlternateContent>
  <bookViews>
    <workbookView xWindow="-108" yWindow="-108" windowWidth="23256" windowHeight="12600" tabRatio="869" firstSheet="3" activeTab="7"/>
  </bookViews>
  <sheets>
    <sheet name="MEG-3 Summary" sheetId="2" r:id="rId1"/>
    <sheet name="MEG-4 Results of Operations" sheetId="1" r:id="rId2"/>
    <sheet name="MEG-5 Plant in Service" sheetId="4" r:id="rId3"/>
    <sheet name="MEG-6 Payroll" sheetId="5" r:id="rId4"/>
    <sheet name="MEG-7 Incentive Compensation" sheetId="6" r:id="rId5"/>
    <sheet name="MEG-8 Depreciation Rates" sheetId="7" r:id="rId6"/>
    <sheet name="MEG-9 Interest Coord. Adj" sheetId="8" r:id="rId7"/>
    <sheet name="MEG-10 Directors' Fees" sheetId="9" r:id="rId8"/>
    <sheet name="MEG-11 Cost of Capital" sheetId="3" r:id="rId9"/>
  </sheets>
  <definedNames>
    <definedName name="_Toc505140266" localSheetId="4">'MEG-7 Incentive Compensation'!$B$45</definedName>
    <definedName name="_xlnm.Print_Area" localSheetId="7">'MEG-10 Directors'' Fees'!$A$1:$H$22</definedName>
    <definedName name="_xlnm.Print_Area" localSheetId="8">'MEG-11 Cost of Capital'!$A$1:$I$48</definedName>
    <definedName name="_xlnm.Print_Area" localSheetId="0">'MEG-3 Summary'!$A$1:$H$24</definedName>
    <definedName name="_xlnm.Print_Area" localSheetId="1">'MEG-4 Results of Operations'!$A$1:$W$37</definedName>
    <definedName name="_xlnm.Print_Area" localSheetId="2">'MEG-5 Plant in Service'!$A$1:$G$57</definedName>
    <definedName name="_xlnm.Print_Area" localSheetId="3">'MEG-6 Payroll'!$A$1:$I$33</definedName>
    <definedName name="_xlnm.Print_Area" localSheetId="4">'MEG-7 Incentive Compensation'!$A$1:$I$43</definedName>
    <definedName name="_xlnm.Print_Area" localSheetId="5">'MEG-8 Depreciation Rates'!$A$1:$H$38</definedName>
    <definedName name="_xlnm.Print_Area" localSheetId="6">'MEG-9 Interest Coord. Adj'!$A$1:$H$29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2" l="1"/>
  <c r="D19" i="2"/>
  <c r="F17" i="2"/>
  <c r="D17" i="2"/>
  <c r="D16" i="2"/>
  <c r="D15" i="2"/>
  <c r="F14" i="2"/>
  <c r="F22" i="2" s="1"/>
  <c r="D14" i="2"/>
  <c r="D13" i="2"/>
  <c r="F17" i="9" l="1"/>
  <c r="F15" i="9"/>
  <c r="O19" i="1"/>
  <c r="K19" i="1" s="1"/>
  <c r="H19" i="9"/>
  <c r="H21" i="9" s="1"/>
  <c r="F19" i="9"/>
  <c r="F21" i="9" s="1"/>
  <c r="D21" i="9"/>
  <c r="D19" i="9"/>
  <c r="I19" i="1"/>
  <c r="H17" i="9"/>
  <c r="D17" i="9"/>
  <c r="D15" i="9"/>
  <c r="E17" i="6" l="1"/>
  <c r="G31" i="4" l="1"/>
  <c r="E43" i="4"/>
  <c r="E42" i="4"/>
  <c r="E41" i="4"/>
  <c r="E40" i="4"/>
  <c r="E44" i="4" s="1"/>
  <c r="E45" i="4" s="1"/>
  <c r="E47" i="4" s="1"/>
  <c r="E39" i="4"/>
  <c r="B39" i="4"/>
  <c r="B43" i="4"/>
  <c r="B42" i="4"/>
  <c r="B41" i="4"/>
  <c r="B40" i="4"/>
  <c r="H30" i="7"/>
  <c r="H29" i="7"/>
  <c r="H28" i="7"/>
  <c r="H27" i="7"/>
  <c r="H26" i="7"/>
  <c r="H25" i="7"/>
  <c r="H21" i="7"/>
  <c r="H19" i="7"/>
  <c r="H17" i="7"/>
  <c r="H15" i="7"/>
  <c r="H13" i="7"/>
  <c r="G23" i="6"/>
  <c r="G29" i="4"/>
  <c r="G27" i="4"/>
  <c r="G25" i="4"/>
  <c r="G23" i="4"/>
  <c r="G21" i="4"/>
  <c r="G17" i="4"/>
  <c r="G15" i="4"/>
  <c r="G19" i="4" s="1"/>
  <c r="G13" i="4"/>
  <c r="I12" i="1"/>
  <c r="F30" i="7"/>
  <c r="D30" i="7"/>
  <c r="Q16" i="1" s="1"/>
  <c r="F23" i="7"/>
  <c r="D23" i="7"/>
  <c r="O16" i="1" s="1"/>
  <c r="K16" i="1" s="1"/>
  <c r="Q15" i="1"/>
  <c r="O15" i="1"/>
  <c r="G26" i="5"/>
  <c r="G20" i="5"/>
  <c r="E18" i="5"/>
  <c r="E16" i="5"/>
  <c r="E14" i="5"/>
  <c r="E22" i="5" l="1"/>
  <c r="H23" i="7"/>
  <c r="G33" i="4"/>
  <c r="G35" i="4" s="1"/>
  <c r="G27" i="6"/>
  <c r="G29" i="6" s="1"/>
  <c r="E33" i="4"/>
  <c r="M24" i="1"/>
  <c r="I22" i="5" l="1"/>
  <c r="C39" i="3"/>
  <c r="F39" i="3" s="1"/>
  <c r="C38" i="3"/>
  <c r="F38" i="3" s="1"/>
  <c r="I38" i="3" s="1"/>
  <c r="D43" i="3"/>
  <c r="G39" i="3"/>
  <c r="G44" i="3" s="1"/>
  <c r="G38" i="3"/>
  <c r="G43" i="3" s="1"/>
  <c r="I25" i="1"/>
  <c r="I24" i="1"/>
  <c r="I23" i="1"/>
  <c r="I22" i="1"/>
  <c r="I18" i="1"/>
  <c r="I17" i="1"/>
  <c r="I16" i="1"/>
  <c r="I15" i="1"/>
  <c r="I14" i="1"/>
  <c r="I13" i="1"/>
  <c r="C40" i="3" l="1"/>
  <c r="F40" i="3"/>
  <c r="F43" i="3"/>
  <c r="C45" i="3"/>
  <c r="I39" i="3"/>
  <c r="I40" i="3" s="1"/>
  <c r="F44" i="3"/>
  <c r="I44" i="3" s="1"/>
  <c r="F45" i="3" l="1"/>
  <c r="F47" i="3" s="1"/>
  <c r="I43" i="3"/>
  <c r="I45" i="3" s="1"/>
  <c r="I47" i="3" s="1"/>
  <c r="H28" i="1" l="1"/>
  <c r="G28" i="1"/>
  <c r="F28" i="1"/>
  <c r="E28" i="1"/>
  <c r="Q25" i="1"/>
  <c r="O25" i="1"/>
  <c r="Q22" i="1"/>
  <c r="Q17" i="1"/>
  <c r="O17" i="1"/>
  <c r="Q14" i="1"/>
  <c r="O14" i="1"/>
  <c r="Q13" i="1"/>
  <c r="O13" i="1"/>
  <c r="Q12" i="1"/>
  <c r="O12" i="1"/>
  <c r="I28" i="1" l="1"/>
  <c r="C54" i="4" l="1"/>
  <c r="C53" i="4"/>
  <c r="C55" i="4" s="1"/>
  <c r="E56" i="4" s="1"/>
  <c r="C40" i="6" l="1"/>
  <c r="C41" i="6" s="1"/>
  <c r="E21" i="6"/>
  <c r="E25" i="6" l="1"/>
  <c r="E23" i="6"/>
  <c r="I25" i="6"/>
  <c r="C42" i="6"/>
  <c r="E37" i="6"/>
  <c r="E38" i="6"/>
  <c r="E39" i="6"/>
  <c r="E35" i="4"/>
  <c r="E27" i="6" l="1"/>
  <c r="I27" i="6" s="1"/>
  <c r="I23" i="6"/>
  <c r="E40" i="6"/>
  <c r="E29" i="6" l="1"/>
  <c r="I29" i="6" s="1"/>
  <c r="E19" i="4"/>
  <c r="O18" i="1" l="1"/>
  <c r="K18" i="1" s="1"/>
  <c r="E20" i="5"/>
  <c r="C33" i="4"/>
  <c r="C35" i="4" s="1"/>
  <c r="O24" i="1" s="1"/>
  <c r="K24" i="1" s="1"/>
  <c r="C19" i="4"/>
  <c r="Q24" i="1" s="1"/>
  <c r="C27" i="3"/>
  <c r="G27" i="3"/>
  <c r="G14" i="3"/>
  <c r="G26" i="3" s="1"/>
  <c r="G15" i="3"/>
  <c r="G20" i="3" s="1"/>
  <c r="F15" i="3"/>
  <c r="F14" i="3"/>
  <c r="F15" i="8" s="1"/>
  <c r="F17" i="8" s="1"/>
  <c r="F21" i="8" s="1"/>
  <c r="F25" i="8" s="1"/>
  <c r="F27" i="8" s="1"/>
  <c r="C16" i="3"/>
  <c r="I20" i="5" l="1"/>
  <c r="E24" i="5"/>
  <c r="I24" i="5" s="1"/>
  <c r="F16" i="3"/>
  <c r="G19" i="3"/>
  <c r="F27" i="3"/>
  <c r="I27" i="3" s="1"/>
  <c r="D19" i="3"/>
  <c r="D26" i="3" s="1"/>
  <c r="I14" i="3"/>
  <c r="I15" i="3"/>
  <c r="F20" i="3"/>
  <c r="I20" i="3" s="1"/>
  <c r="E26" i="5" l="1"/>
  <c r="C21" i="3"/>
  <c r="C26" i="3"/>
  <c r="F19" i="3"/>
  <c r="I16" i="3"/>
  <c r="O23" i="1" l="1"/>
  <c r="K23" i="1" s="1"/>
  <c r="I26" i="5"/>
  <c r="F21" i="3"/>
  <c r="F23" i="3" s="1"/>
  <c r="I19" i="3"/>
  <c r="I21" i="3" s="1"/>
  <c r="I23" i="3" s="1"/>
  <c r="F26" i="3"/>
  <c r="C28" i="3"/>
  <c r="F28" i="3" l="1"/>
  <c r="S19" i="1" s="1"/>
  <c r="W19" i="1" s="1"/>
  <c r="H19" i="2" s="1"/>
  <c r="D15" i="8"/>
  <c r="I26" i="3"/>
  <c r="I28" i="3" s="1"/>
  <c r="I30" i="3" s="1"/>
  <c r="F30" i="3" l="1"/>
  <c r="S15" i="1"/>
  <c r="W15" i="1" s="1"/>
  <c r="S23" i="1"/>
  <c r="W23" i="1" s="1"/>
  <c r="H15" i="2" s="1"/>
  <c r="S16" i="1"/>
  <c r="W16" i="1" s="1"/>
  <c r="H17" i="2" s="1"/>
  <c r="S18" i="1"/>
  <c r="W18" i="1" s="1"/>
  <c r="H16" i="2" s="1"/>
  <c r="S24" i="1"/>
  <c r="W24" i="1" s="1"/>
  <c r="H14" i="2" s="1"/>
  <c r="S12" i="1"/>
  <c r="W12" i="1" s="1"/>
  <c r="H20" i="2" s="1"/>
  <c r="S13" i="1"/>
  <c r="W13" i="1" s="1"/>
  <c r="S14" i="1"/>
  <c r="W14" i="1" s="1"/>
  <c r="S17" i="1"/>
  <c r="W17" i="1" s="1"/>
  <c r="S25" i="1"/>
  <c r="W25" i="1" s="1"/>
  <c r="M23" i="1"/>
  <c r="M28" i="1" s="1"/>
  <c r="Q28" i="1"/>
  <c r="D13" i="8" s="1"/>
  <c r="D17" i="8" s="1"/>
  <c r="D21" i="8" s="1"/>
  <c r="D25" i="8" s="1"/>
  <c r="D27" i="8" l="1"/>
  <c r="H25" i="8"/>
  <c r="O22" i="1" l="1"/>
  <c r="H27" i="8"/>
  <c r="D18" i="2" s="1"/>
  <c r="D22" i="2" s="1"/>
  <c r="K22" i="1" l="1"/>
  <c r="K28" i="1" s="1"/>
  <c r="S22" i="1"/>
  <c r="W22" i="1" s="1"/>
  <c r="H18" i="2" s="1"/>
  <c r="H22" i="2" s="1"/>
  <c r="O28" i="1"/>
  <c r="W28" i="1" l="1"/>
  <c r="S28" i="1"/>
</calcChain>
</file>

<file path=xl/sharedStrings.xml><?xml version="1.0" encoding="utf-8"?>
<sst xmlns="http://schemas.openxmlformats.org/spreadsheetml/2006/main" count="355" uniqueCount="218">
  <si>
    <t>(1)</t>
  </si>
  <si>
    <t>Natural Gas Sales</t>
  </si>
  <si>
    <t>Customer Accounts</t>
  </si>
  <si>
    <t>Rate Base</t>
  </si>
  <si>
    <t>(2)</t>
  </si>
  <si>
    <t>Total</t>
  </si>
  <si>
    <t>(3)</t>
  </si>
  <si>
    <t>(4)</t>
  </si>
  <si>
    <t>Counsel</t>
  </si>
  <si>
    <t>Cascade Natural Gas Company</t>
  </si>
  <si>
    <t>Public Counsel Unit Summary Recommendations</t>
  </si>
  <si>
    <t>Line</t>
  </si>
  <si>
    <t>Pre-Tax</t>
  </si>
  <si>
    <t>Rate</t>
  </si>
  <si>
    <t>No.</t>
  </si>
  <si>
    <t>Description</t>
  </si>
  <si>
    <t>Increase</t>
  </si>
  <si>
    <t>Plant in Service</t>
  </si>
  <si>
    <t>Accumulated Deferred Income Tax</t>
  </si>
  <si>
    <t>Total Rate Base Adjustments</t>
  </si>
  <si>
    <t>Operating Income Adjustments</t>
  </si>
  <si>
    <t>Taxes Other Than Income Tax</t>
  </si>
  <si>
    <t>Public Counsel Unit Cost of Capital</t>
  </si>
  <si>
    <t>Weighted</t>
  </si>
  <si>
    <t>Capital</t>
  </si>
  <si>
    <t>Cost of</t>
  </si>
  <si>
    <t>Structure</t>
  </si>
  <si>
    <t>Cost</t>
  </si>
  <si>
    <t>Long-Term Debt</t>
  </si>
  <si>
    <t>Common Equity</t>
  </si>
  <si>
    <t>Totals</t>
  </si>
  <si>
    <t>Adjustment</t>
  </si>
  <si>
    <t>Revenue</t>
  </si>
  <si>
    <t>Conversion</t>
  </si>
  <si>
    <t>Twelve Months Ended December 31, 2019; Docket No. UG-200568</t>
  </si>
  <si>
    <t>Twelve Months Ended December 31, 2019, Docket No. 200568</t>
  </si>
  <si>
    <t>(5)</t>
  </si>
  <si>
    <t>Public Counsel Unit Plant in Service</t>
  </si>
  <si>
    <t>Accumulated Depreciation</t>
  </si>
  <si>
    <t>Pro Forma</t>
  </si>
  <si>
    <t>Depreciation &amp; Amortization Exp.</t>
  </si>
  <si>
    <t>Public Counsel Unit Payroll Expense</t>
  </si>
  <si>
    <t>Non-Union</t>
  </si>
  <si>
    <t>Union</t>
  </si>
  <si>
    <t>Annualized</t>
  </si>
  <si>
    <t>Wages</t>
  </si>
  <si>
    <t>Wage</t>
  </si>
  <si>
    <r>
      <t>Wages</t>
    </r>
    <r>
      <rPr>
        <vertAlign val="superscript"/>
        <sz val="12"/>
        <color theme="1"/>
        <rFont val="Times New Roman"/>
        <family val="1"/>
      </rPr>
      <t>1</t>
    </r>
  </si>
  <si>
    <t>PCU</t>
  </si>
  <si>
    <t>Employer FICA at 7.65%</t>
  </si>
  <si>
    <t>Note 1</t>
  </si>
  <si>
    <t>Allocated</t>
  </si>
  <si>
    <t>Total Expense Adjustments</t>
  </si>
  <si>
    <t>Public Counsel Unit Incentive Compensation</t>
  </si>
  <si>
    <t>Public Counsel Unit Depreciation Rate Adjustment</t>
  </si>
  <si>
    <t>From PC 47:</t>
  </si>
  <si>
    <t>O&amp;M expense control</t>
  </si>
  <si>
    <t>Customer Service Survey</t>
  </si>
  <si>
    <t>Cyber Security</t>
  </si>
  <si>
    <t>Adjusted for wage increases</t>
  </si>
  <si>
    <t>Unreconciled difference</t>
  </si>
  <si>
    <t>Non-Executive Employee Incentives</t>
  </si>
  <si>
    <t>EOP adjustment R-4</t>
  </si>
  <si>
    <t>2019 EOP Depreciation Exp</t>
  </si>
  <si>
    <t>Additional Accum Deprec through Sept 2020</t>
  </si>
  <si>
    <t>2019 Depreciation Expense</t>
  </si>
  <si>
    <t>Alternative Update to 9/30/2020</t>
  </si>
  <si>
    <t>Reference</t>
  </si>
  <si>
    <t>PCU Payroll Annualization</t>
  </si>
  <si>
    <t>Note 1:</t>
  </si>
  <si>
    <r>
      <t>Requested Amounts</t>
    </r>
    <r>
      <rPr>
        <u/>
        <vertAlign val="superscript"/>
        <sz val="12"/>
        <color theme="1"/>
        <rFont val="Times New Roman"/>
        <family val="1"/>
      </rPr>
      <t>1</t>
    </r>
  </si>
  <si>
    <r>
      <t>Factor</t>
    </r>
    <r>
      <rPr>
        <vertAlign val="superscript"/>
        <sz val="12"/>
        <color theme="1"/>
        <rFont val="Times New Roman"/>
        <family val="1"/>
      </rPr>
      <t>2</t>
    </r>
  </si>
  <si>
    <t>Note 2:</t>
  </si>
  <si>
    <t>CNGC requested capital structure from MCP WP-1.5.</t>
  </si>
  <si>
    <t>Revenue conversion factor for Exh MCP-4 - Conversion Factor.</t>
  </si>
  <si>
    <t>PCU ROE Adjustment</t>
  </si>
  <si>
    <t>PCU Recommended Return on Equity</t>
  </si>
  <si>
    <t>PCU Capital Structure Adjustment</t>
  </si>
  <si>
    <t>PCU Recommended Capital Structure</t>
  </si>
  <si>
    <t>Plant Additions to 9/30/2020 (UTC-92 Revised Supplemental)</t>
  </si>
  <si>
    <t>Public Counsel Adjustments</t>
  </si>
  <si>
    <t>Public Counsel</t>
  </si>
  <si>
    <t>Rev. Req.</t>
  </si>
  <si>
    <t>PC Adjustment</t>
  </si>
  <si>
    <t>and/or PC Neutral in Direct</t>
  </si>
  <si>
    <t>Position on PSE's</t>
  </si>
  <si>
    <t>Impact of</t>
  </si>
  <si>
    <t>Adj. #</t>
  </si>
  <si>
    <t xml:space="preserve">Description </t>
  </si>
  <si>
    <t xml:space="preserve">NOI   </t>
  </si>
  <si>
    <t>Rev Req</t>
  </si>
  <si>
    <t>NOI</t>
  </si>
  <si>
    <t>Position</t>
  </si>
  <si>
    <t>Differences</t>
  </si>
  <si>
    <t>PC Neutral in Direct</t>
  </si>
  <si>
    <t>PC Opposes</t>
  </si>
  <si>
    <t>Pro Forma Adjustments</t>
  </si>
  <si>
    <t>(6)</t>
  </si>
  <si>
    <t xml:space="preserve">     Pro Forma Total</t>
  </si>
  <si>
    <t>CNGC</t>
  </si>
  <si>
    <t>R-1</t>
  </si>
  <si>
    <t>R-2</t>
  </si>
  <si>
    <t>R-3</t>
  </si>
  <si>
    <t>R-4</t>
  </si>
  <si>
    <t>R-5</t>
  </si>
  <si>
    <t>R-6</t>
  </si>
  <si>
    <t>P-1</t>
  </si>
  <si>
    <t>P-2</t>
  </si>
  <si>
    <t>P-3</t>
  </si>
  <si>
    <t>P-4</t>
  </si>
  <si>
    <t>Amortize CRM Adjustment</t>
  </si>
  <si>
    <t>Promotional Advertising Adj</t>
  </si>
  <si>
    <t>Restate Revenue Adjustment</t>
  </si>
  <si>
    <t>Restate End of Period Adjustment</t>
  </si>
  <si>
    <t>Restate Wages</t>
  </si>
  <si>
    <t>Executive Incentives</t>
  </si>
  <si>
    <t>Interest Coordination Adjustment</t>
  </si>
  <si>
    <t>Pro Forma Wage Adjustment</t>
  </si>
  <si>
    <t>Pro Forma Plant Additions</t>
  </si>
  <si>
    <t>MAOP Deferral Amortization</t>
  </si>
  <si>
    <t>Test Year Average Amounts</t>
  </si>
  <si>
    <t>CNGC Requested Amounts</t>
  </si>
  <si>
    <t>CNGC Cost of Capital Adjustment</t>
  </si>
  <si>
    <t>From</t>
  </si>
  <si>
    <t>Nygard pg 5</t>
  </si>
  <si>
    <t>Income Taxes</t>
  </si>
  <si>
    <t>Revenue Taxes</t>
  </si>
  <si>
    <t>Per Public</t>
  </si>
  <si>
    <t>Per CNGC</t>
  </si>
  <si>
    <r>
      <t>Wages</t>
    </r>
    <r>
      <rPr>
        <vertAlign val="superscript"/>
        <sz val="12"/>
        <color theme="1"/>
        <rFont val="Times New Roman"/>
        <family val="1"/>
      </rPr>
      <t>2</t>
    </r>
  </si>
  <si>
    <t>Note 2</t>
  </si>
  <si>
    <t>From UG-200568 CNGC Exh MCP 8-10 and WP-1, 07.24.20.xlsx, tab Restate and Pro Forma Wage Adjust, cells I11, I13, and F111.</t>
  </si>
  <si>
    <t>Total Pro Forma Wage Adjustment</t>
  </si>
  <si>
    <t>Net Operating Income</t>
  </si>
  <si>
    <t>Budgeted Amount (PC-46)</t>
  </si>
  <si>
    <t>Net Operating Income (Sum of lines 2, 4, 24, 26, and 27)</t>
  </si>
  <si>
    <r>
      <t>Adjustment</t>
    </r>
    <r>
      <rPr>
        <vertAlign val="superscript"/>
        <sz val="12"/>
        <color theme="1"/>
        <rFont val="Times New Roman"/>
        <family val="1"/>
      </rPr>
      <t>1</t>
    </r>
  </si>
  <si>
    <t>Adjustment to Net Operating Income</t>
  </si>
  <si>
    <r>
      <t>Adjustment</t>
    </r>
    <r>
      <rPr>
        <vertAlign val="superscript"/>
        <sz val="12"/>
        <color theme="1"/>
        <rFont val="Times New Roman"/>
        <family val="1"/>
      </rPr>
      <t>2</t>
    </r>
  </si>
  <si>
    <t xml:space="preserve">Note 2: </t>
  </si>
  <si>
    <t>Depreciation and Amortization Expense</t>
  </si>
  <si>
    <t>Customer Adv. For Construction</t>
  </si>
  <si>
    <t>Deferred Accumulated Income Taxes</t>
  </si>
  <si>
    <t>Working Capital Allowance</t>
  </si>
  <si>
    <t>Total Rate Base</t>
  </si>
  <si>
    <t>Public Counsel Unit Interest Coordination Adjustment</t>
  </si>
  <si>
    <t>Weighted Average Cost of Debt</t>
  </si>
  <si>
    <t>Interest Deduction</t>
  </si>
  <si>
    <t>Test Period Interest Expense</t>
  </si>
  <si>
    <t>Adjustment  to Interest Expense</t>
  </si>
  <si>
    <t>Income Tax Rate</t>
  </si>
  <si>
    <t>Total Adjustment</t>
  </si>
  <si>
    <t>Adjustment to Operating Income</t>
  </si>
  <si>
    <t>to CNGC</t>
  </si>
  <si>
    <t>Amounts</t>
  </si>
  <si>
    <t>Total Incentive Adjustments</t>
  </si>
  <si>
    <r>
      <t>Income Taxes</t>
    </r>
    <r>
      <rPr>
        <vertAlign val="superscript"/>
        <sz val="12"/>
        <color theme="1"/>
        <rFont val="Times New Roman"/>
        <family val="1"/>
      </rPr>
      <t>1</t>
    </r>
  </si>
  <si>
    <t>Taxable Income</t>
  </si>
  <si>
    <t>Income Tax at 21%</t>
  </si>
  <si>
    <t>tab Operating Report, cell Q142 amount</t>
  </si>
  <si>
    <t>Error</t>
  </si>
  <si>
    <t>Based on the June 24, 2020 Supplemental filing.</t>
  </si>
  <si>
    <t>Adjustment to exclude post-test year plant adjustments.</t>
  </si>
  <si>
    <t>Adjustment to recognize the reduction in depreciation rates as proposed in response to UTC-127.</t>
  </si>
  <si>
    <t>Adjustment Incentives to Target Levels (Line 6 - Line 5)</t>
  </si>
  <si>
    <t>Total Incentives (PC-43)</t>
  </si>
  <si>
    <r>
      <t>Executive Incentives Adjustment (PC-43 and Adj. R-6)</t>
    </r>
    <r>
      <rPr>
        <vertAlign val="superscript"/>
        <sz val="12"/>
        <color theme="1"/>
        <rFont val="Times New Roman"/>
        <family val="1"/>
      </rPr>
      <t>1</t>
    </r>
  </si>
  <si>
    <t>CNGC provided a correction to the executive incentive adjustment in response to PC-43.</t>
  </si>
  <si>
    <t xml:space="preserve">Adjustment to limit the pro forma wage adjustments to three percent, and to exclude 2021 pay raises.  </t>
  </si>
  <si>
    <t>Adjustment to exclude annual incentives above target level.</t>
  </si>
  <si>
    <t>Adjustment to deductible interest resulting from PCU rate base recommendations.</t>
  </si>
  <si>
    <t>AMA Test Year End 12/31/2019</t>
  </si>
  <si>
    <t>MEG-3.6</t>
  </si>
  <si>
    <t>Public Counsel Results of Operations Summary Sheet</t>
  </si>
  <si>
    <t>The income tax calculation in the tab Operation Report contains an error in the amount of $1,023,994. This error was corrected in the revenue requirement exhibit provided in response to UTC-137. The income tax amount should be ($469,710).</t>
  </si>
  <si>
    <t xml:space="preserve">From UG-200568 CNGC Exh MCP 8-10 and WP-1, 07.24.20.xlsx, tab Exh MCP-10 - Summary of Adj, cells N24, N25, N26, N27, and N29. The amount shown on the tab Operating Report for Distribution Expense includes the production expense from cell P57 resulting in a duplicate count of that expense. </t>
  </si>
  <si>
    <t>See the response to UTC-127, Excel file UTC-127 UG-200568 CNGG Exh MCP 8-10 and WP-1 Revised.xlsx, tab Exh MCP-10 - Summary of Adj, Line 14.</t>
  </si>
  <si>
    <t>See the response to UG-200568 CNGG Exh MCP 8-10 and WP-1, 07.24.20.xlsx, tab Exh MCP-10 - Summary of Adj, Line 14.</t>
  </si>
  <si>
    <t>(R-6)</t>
  </si>
  <si>
    <t>Public Counsel Unit Directors' Fees Adjustment</t>
  </si>
  <si>
    <t>Test Year Directors' Fees (AWEC-50.xlsx)</t>
  </si>
  <si>
    <t>Rate Payer Share</t>
  </si>
  <si>
    <t>Restating Adjustment</t>
  </si>
  <si>
    <t>Directors' Fees</t>
  </si>
  <si>
    <t>Income Tax</t>
  </si>
  <si>
    <t>(7)</t>
  </si>
  <si>
    <t>Adjustment to share directors' fees.</t>
  </si>
  <si>
    <t>Operating</t>
  </si>
  <si>
    <t>Income</t>
  </si>
  <si>
    <t>CNGC Adjusted Amounts</t>
  </si>
  <si>
    <t>Post-Test Year Plant Additions (P-3)</t>
  </si>
  <si>
    <t>Post-Test Year Payroll Adjustment (P-2)</t>
  </si>
  <si>
    <t>Incentive Compensaton Adjustment (R-6)</t>
  </si>
  <si>
    <t>Revised Depreciation of TY Plant (R-4)</t>
  </si>
  <si>
    <t>Interest Synchonization Adjustment (P-1)</t>
  </si>
  <si>
    <t>Cost of Capital on Test Year Plant</t>
  </si>
  <si>
    <t>PC Recommended Amounts</t>
  </si>
  <si>
    <t>MG-3.6</t>
  </si>
  <si>
    <t>MG-3.5</t>
  </si>
  <si>
    <t>MG-3.1</t>
  </si>
  <si>
    <t>MG-3.2</t>
  </si>
  <si>
    <t>MG-3.3</t>
  </si>
  <si>
    <t>MG-3.4</t>
  </si>
  <si>
    <t>MG-3A</t>
  </si>
  <si>
    <r>
      <t xml:space="preserve">CascadeNatural Gas Company (Note </t>
    </r>
    <r>
      <rPr>
        <vertAlign val="superscript"/>
        <sz val="12"/>
        <color theme="1"/>
        <rFont val="Times New Roman"/>
        <family val="1"/>
      </rPr>
      <t>1)</t>
    </r>
  </si>
  <si>
    <t>Exhibit MEG-3</t>
  </si>
  <si>
    <t>Page 1 of 1</t>
  </si>
  <si>
    <t>Docket UG-200568</t>
  </si>
  <si>
    <t>Exhibit MEG-11</t>
  </si>
  <si>
    <t>Docket UG-200586</t>
  </si>
  <si>
    <t>Exhibit MEG-9</t>
  </si>
  <si>
    <t>Exhibit MEG-8</t>
  </si>
  <si>
    <t>Exhibit MEG-7</t>
  </si>
  <si>
    <t>Exhibit MEG-6</t>
  </si>
  <si>
    <t>Exhibit MEG-5</t>
  </si>
  <si>
    <t>Exhibit MEG-4</t>
  </si>
  <si>
    <t>Exhibit MEG-10</t>
  </si>
  <si>
    <t xml:space="preserve">Page 1 of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</si>
</sst>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2"/>
    </font>
    <font>
      <vertAlign val="superscript"/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vertAlign val="superscript"/>
      <sz val="12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0" xfId="2" applyNumberFormat="1" applyFont="1"/>
    <xf numFmtId="166" fontId="3" fillId="0" borderId="0" xfId="3" applyNumberFormat="1" applyFont="1"/>
    <xf numFmtId="10" fontId="3" fillId="0" borderId="0" xfId="0" applyNumberFormat="1" applyFont="1"/>
    <xf numFmtId="166" fontId="3" fillId="0" borderId="0" xfId="0" applyNumberFormat="1" applyFont="1"/>
    <xf numFmtId="10" fontId="3" fillId="0" borderId="1" xfId="0" applyNumberFormat="1" applyFont="1" applyBorder="1"/>
    <xf numFmtId="166" fontId="3" fillId="0" borderId="1" xfId="3" applyNumberFormat="1" applyFont="1" applyBorder="1"/>
    <xf numFmtId="166" fontId="3" fillId="0" borderId="2" xfId="0" applyNumberFormat="1" applyFont="1" applyBorder="1"/>
    <xf numFmtId="166" fontId="3" fillId="0" borderId="3" xfId="0" applyNumberFormat="1" applyFont="1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5" fontId="0" fillId="0" borderId="3" xfId="0" applyNumberFormat="1" applyBorder="1"/>
    <xf numFmtId="0" fontId="4" fillId="0" borderId="0" xfId="0" applyFont="1"/>
    <xf numFmtId="10" fontId="0" fillId="0" borderId="0" xfId="3" applyNumberFormat="1" applyFont="1" applyAlignment="1">
      <alignment horizontal="center"/>
    </xf>
    <xf numFmtId="165" fontId="0" fillId="0" borderId="3" xfId="2" applyNumberFormat="1" applyFont="1" applyBorder="1"/>
    <xf numFmtId="164" fontId="0" fillId="0" borderId="0" xfId="1" applyNumberFormat="1" applyFont="1" applyBorder="1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0" fontId="6" fillId="0" borderId="0" xfId="0" applyFont="1"/>
    <xf numFmtId="10" fontId="0" fillId="0" borderId="0" xfId="3" applyNumberFormat="1" applyFont="1"/>
    <xf numFmtId="10" fontId="0" fillId="0" borderId="0" xfId="0" applyNumberFormat="1"/>
    <xf numFmtId="165" fontId="0" fillId="0" borderId="1" xfId="2" applyNumberFormat="1" applyFont="1" applyBorder="1"/>
    <xf numFmtId="10" fontId="0" fillId="0" borderId="1" xfId="3" applyNumberFormat="1" applyFon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165" fontId="0" fillId="0" borderId="0" xfId="2" applyNumberFormat="1" applyFont="1" applyBorder="1"/>
    <xf numFmtId="49" fontId="0" fillId="0" borderId="0" xfId="0" applyNumberFormat="1"/>
    <xf numFmtId="0" fontId="0" fillId="0" borderId="0" xfId="0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41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/>
    <xf numFmtId="37" fontId="0" fillId="0" borderId="0" xfId="0" applyNumberFormat="1"/>
    <xf numFmtId="0" fontId="8" fillId="0" borderId="0" xfId="0" applyFont="1" applyAlignment="1">
      <alignment horizontal="center"/>
    </xf>
    <xf numFmtId="5" fontId="0" fillId="0" borderId="0" xfId="0" applyNumberFormat="1"/>
    <xf numFmtId="3" fontId="0" fillId="0" borderId="0" xfId="0" applyNumberFormat="1" applyAlignment="1">
      <alignment horizontal="center"/>
    </xf>
    <xf numFmtId="9" fontId="0" fillId="0" borderId="0" xfId="0" quotePrefix="1" applyNumberFormat="1"/>
    <xf numFmtId="37" fontId="0" fillId="0" borderId="1" xfId="0" applyNumberFormat="1" applyBorder="1"/>
    <xf numFmtId="41" fontId="0" fillId="0" borderId="1" xfId="0" applyNumberFormat="1" applyBorder="1"/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0" xfId="0" applyFont="1"/>
    <xf numFmtId="41" fontId="9" fillId="0" borderId="0" xfId="0" applyNumberFormat="1" applyFont="1"/>
    <xf numFmtId="0" fontId="10" fillId="0" borderId="0" xfId="0" applyFont="1"/>
    <xf numFmtId="10" fontId="10" fillId="0" borderId="0" xfId="0" quotePrefix="1" applyNumberFormat="1" applyFont="1" applyAlignment="1">
      <alignment horizontal="right"/>
    </xf>
    <xf numFmtId="0" fontId="11" fillId="0" borderId="0" xfId="0" applyFont="1"/>
    <xf numFmtId="41" fontId="11" fillId="0" borderId="0" xfId="0" applyNumberFormat="1" applyFont="1"/>
    <xf numFmtId="41" fontId="10" fillId="0" borderId="0" xfId="0" applyNumberFormat="1" applyFont="1"/>
    <xf numFmtId="10" fontId="10" fillId="0" borderId="0" xfId="0" applyNumberFormat="1" applyFont="1"/>
    <xf numFmtId="49" fontId="10" fillId="0" borderId="0" xfId="0" applyNumberFormat="1" applyFont="1"/>
    <xf numFmtId="0" fontId="10" fillId="0" borderId="0" xfId="0" quotePrefix="1" applyFont="1" applyAlignment="1">
      <alignment horizontal="right"/>
    </xf>
    <xf numFmtId="164" fontId="0" fillId="0" borderId="0" xfId="0" applyNumberFormat="1" applyBorder="1"/>
    <xf numFmtId="0" fontId="0" fillId="0" borderId="1" xfId="0" applyFill="1" applyBorder="1" applyAlignment="1">
      <alignment horizontal="center"/>
    </xf>
    <xf numFmtId="165" fontId="0" fillId="0" borderId="5" xfId="2" applyNumberFormat="1" applyFont="1" applyBorder="1"/>
    <xf numFmtId="166" fontId="0" fillId="0" borderId="1" xfId="0" applyNumberFormat="1" applyBorder="1"/>
    <xf numFmtId="9" fontId="0" fillId="0" borderId="1" xfId="0" applyNumberFormat="1" applyBorder="1"/>
    <xf numFmtId="165" fontId="0" fillId="0" borderId="5" xfId="0" applyNumberFormat="1" applyBorder="1"/>
    <xf numFmtId="37" fontId="3" fillId="0" borderId="0" xfId="0" applyNumberFormat="1" applyFont="1"/>
    <xf numFmtId="165" fontId="0" fillId="0" borderId="6" xfId="2" applyNumberFormat="1" applyFont="1" applyBorder="1"/>
    <xf numFmtId="166" fontId="0" fillId="0" borderId="0" xfId="0" applyNumberFormat="1" applyBorder="1"/>
    <xf numFmtId="9" fontId="0" fillId="0" borderId="0" xfId="0" applyNumberFormat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0" applyNumberFormat="1" applyBorder="1"/>
    <xf numFmtId="0" fontId="8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3" xfId="0" applyNumberFormat="1" applyBorder="1"/>
    <xf numFmtId="44" fontId="0" fillId="0" borderId="0" xfId="0" applyNumberFormat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/>
  </cellXfs>
  <cellStyles count="8">
    <cellStyle name="Comma" xfId="1" builtinId="3"/>
    <cellStyle name="Comma 49" xfId="6"/>
    <cellStyle name="Currency" xfId="2" builtinId="4"/>
    <cellStyle name="Normal" xfId="0" builtinId="0"/>
    <cellStyle name="Normal 91" xfId="5"/>
    <cellStyle name="Normal 92" xfId="4"/>
    <cellStyle name="Normal 93" xfId="7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K17" sqref="K17"/>
    </sheetView>
  </sheetViews>
  <sheetFormatPr defaultRowHeight="15.6" x14ac:dyDescent="0.3"/>
  <cols>
    <col min="1" max="1" width="4.3984375" bestFit="1" customWidth="1"/>
    <col min="2" max="2" width="33.796875" bestFit="1" customWidth="1"/>
    <col min="3" max="3" width="8.8984375" bestFit="1" customWidth="1"/>
    <col min="4" max="4" width="12.296875" bestFit="1" customWidth="1"/>
    <col min="5" max="5" width="1.69921875" customWidth="1"/>
    <col min="6" max="6" width="13.3984375" bestFit="1" customWidth="1"/>
    <col min="7" max="7" width="1.796875" customWidth="1"/>
    <col min="8" max="8" width="12.296875" customWidth="1"/>
    <col min="9" max="9" width="11.296875" bestFit="1" customWidth="1"/>
    <col min="12" max="12" width="13.59765625" bestFit="1" customWidth="1"/>
    <col min="13" max="13" width="13.09765625" customWidth="1"/>
    <col min="14" max="14" width="9.59765625" bestFit="1" customWidth="1"/>
  </cols>
  <sheetData>
    <row r="1" spans="1:12" x14ac:dyDescent="0.3">
      <c r="H1" s="34" t="s">
        <v>207</v>
      </c>
    </row>
    <row r="2" spans="1:12" x14ac:dyDescent="0.3">
      <c r="A2" s="4"/>
      <c r="B2" s="4"/>
      <c r="C2" s="4"/>
      <c r="D2" s="4"/>
      <c r="E2" s="4"/>
      <c r="F2" s="4"/>
      <c r="G2" s="4"/>
      <c r="H2" s="34" t="s">
        <v>205</v>
      </c>
    </row>
    <row r="3" spans="1:12" x14ac:dyDescent="0.3">
      <c r="A3" s="4"/>
      <c r="B3" s="4"/>
      <c r="C3" s="4"/>
      <c r="D3" s="4"/>
      <c r="E3" s="4"/>
      <c r="F3" s="4"/>
      <c r="G3" s="4"/>
      <c r="H3" s="34" t="s">
        <v>206</v>
      </c>
    </row>
    <row r="4" spans="1:12" x14ac:dyDescent="0.3">
      <c r="A4" s="91" t="s">
        <v>9</v>
      </c>
      <c r="B4" s="91"/>
      <c r="C4" s="91"/>
      <c r="D4" s="91"/>
      <c r="E4" s="91"/>
      <c r="F4" s="91"/>
      <c r="G4" s="91"/>
      <c r="H4" s="91"/>
    </row>
    <row r="5" spans="1:12" x14ac:dyDescent="0.3">
      <c r="A5" s="92" t="s">
        <v>10</v>
      </c>
      <c r="B5" s="92"/>
      <c r="C5" s="92"/>
      <c r="D5" s="92"/>
      <c r="E5" s="92"/>
      <c r="F5" s="92"/>
      <c r="G5" s="92"/>
      <c r="H5" s="92"/>
    </row>
    <row r="6" spans="1:12" x14ac:dyDescent="0.3">
      <c r="A6" s="92" t="s">
        <v>34</v>
      </c>
      <c r="B6" s="92"/>
      <c r="C6" s="92"/>
      <c r="D6" s="92"/>
      <c r="E6" s="92"/>
      <c r="F6" s="92"/>
      <c r="G6" s="92"/>
      <c r="H6" s="92"/>
    </row>
    <row r="7" spans="1:12" x14ac:dyDescent="0.3">
      <c r="A7" s="4"/>
      <c r="B7" s="4"/>
      <c r="C7" s="4"/>
      <c r="D7" s="4"/>
      <c r="E7" s="4"/>
      <c r="F7" s="4"/>
      <c r="G7" s="4"/>
    </row>
    <row r="8" spans="1:12" x14ac:dyDescent="0.3">
      <c r="A8" s="4"/>
      <c r="B8" s="4"/>
      <c r="C8" s="4"/>
      <c r="D8" s="4"/>
      <c r="E8" s="4"/>
      <c r="F8" s="4"/>
      <c r="G8" s="4"/>
    </row>
    <row r="9" spans="1:12" x14ac:dyDescent="0.3">
      <c r="A9" s="4"/>
      <c r="B9" s="4"/>
      <c r="C9" s="4"/>
      <c r="D9" s="4"/>
      <c r="E9" s="4"/>
      <c r="F9" s="4"/>
      <c r="G9" s="4"/>
    </row>
    <row r="10" spans="1:12" x14ac:dyDescent="0.3">
      <c r="A10" s="88" t="s">
        <v>11</v>
      </c>
      <c r="B10" s="88"/>
      <c r="C10" s="88"/>
      <c r="D10" s="88" t="s">
        <v>187</v>
      </c>
      <c r="E10" s="88"/>
      <c r="G10" s="88"/>
      <c r="H10" s="88" t="s">
        <v>13</v>
      </c>
    </row>
    <row r="11" spans="1:12" x14ac:dyDescent="0.3">
      <c r="A11" s="6" t="s">
        <v>14</v>
      </c>
      <c r="B11" s="6" t="s">
        <v>15</v>
      </c>
      <c r="C11" s="6" t="s">
        <v>67</v>
      </c>
      <c r="D11" s="6" t="s">
        <v>188</v>
      </c>
      <c r="F11" s="6" t="s">
        <v>3</v>
      </c>
      <c r="G11" s="6"/>
      <c r="H11" s="6" t="s">
        <v>16</v>
      </c>
    </row>
    <row r="12" spans="1:12" x14ac:dyDescent="0.3">
      <c r="A12" s="88"/>
      <c r="B12" s="4"/>
      <c r="C12" s="4"/>
      <c r="F12" s="4"/>
      <c r="G12" s="4"/>
    </row>
    <row r="13" spans="1:12" x14ac:dyDescent="0.3">
      <c r="A13" s="88">
        <v>1</v>
      </c>
      <c r="B13" t="s">
        <v>189</v>
      </c>
      <c r="C13" s="4"/>
      <c r="D13" s="7">
        <f>+'MEG-4 Results of Operations'!E28</f>
        <v>23971336</v>
      </c>
      <c r="F13" s="7">
        <v>460643303</v>
      </c>
      <c r="G13" s="4"/>
      <c r="H13" s="7">
        <f>+'MEG-4 Results of Operations'!I28</f>
        <v>14281136.851038788</v>
      </c>
      <c r="L13" s="7"/>
    </row>
    <row r="14" spans="1:12" x14ac:dyDescent="0.3">
      <c r="A14" s="87">
        <v>2</v>
      </c>
      <c r="B14" t="s">
        <v>190</v>
      </c>
      <c r="C14" s="87" t="s">
        <v>199</v>
      </c>
      <c r="D14" s="2">
        <f>+'MEG-5 Plant in Service'!G35</f>
        <v>2790998</v>
      </c>
      <c r="F14" s="2">
        <f>+'MEG-5 Plant in Service'!G19</f>
        <v>-64780798</v>
      </c>
      <c r="H14" s="45">
        <f>+'MEG-4 Results of Operations'!W24</f>
        <v>-10172129.249187388</v>
      </c>
    </row>
    <row r="15" spans="1:12" x14ac:dyDescent="0.3">
      <c r="A15" s="87">
        <v>3</v>
      </c>
      <c r="B15" t="s">
        <v>191</v>
      </c>
      <c r="C15" s="87" t="s">
        <v>200</v>
      </c>
      <c r="D15" s="2">
        <f>+'MEG-6 Payroll'!I26</f>
        <v>946893.92821867508</v>
      </c>
      <c r="F15" s="2"/>
      <c r="H15" s="45">
        <f>+'MEG-4 Results of Operations'!W23</f>
        <v>-1254475.3612299487</v>
      </c>
      <c r="L15" s="24"/>
    </row>
    <row r="16" spans="1:12" x14ac:dyDescent="0.3">
      <c r="A16" s="87">
        <v>4</v>
      </c>
      <c r="B16" t="s">
        <v>192</v>
      </c>
      <c r="C16" s="87" t="s">
        <v>201</v>
      </c>
      <c r="D16" s="2">
        <f>+'MEG-7 Incentive Compensation'!I29</f>
        <v>478566.7360149998</v>
      </c>
      <c r="F16" s="2"/>
      <c r="H16" s="45">
        <f>+'MEG-4 Results of Operations'!W18</f>
        <v>-634019.38491535978</v>
      </c>
    </row>
    <row r="17" spans="1:14" x14ac:dyDescent="0.3">
      <c r="A17" s="87">
        <v>5</v>
      </c>
      <c r="B17" t="s">
        <v>193</v>
      </c>
      <c r="C17" s="87" t="s">
        <v>202</v>
      </c>
      <c r="D17" s="2">
        <f>+'MEG-8 Depreciation Rates'!H23</f>
        <v>807695</v>
      </c>
      <c r="F17" s="2">
        <f>+'MEG-8 Depreciation Rates'!H30</f>
        <v>0</v>
      </c>
      <c r="H17" s="45">
        <f>+'MEG-4 Results of Operations'!W16</f>
        <v>-1273573.1114235898</v>
      </c>
    </row>
    <row r="18" spans="1:14" x14ac:dyDescent="0.3">
      <c r="A18" s="87">
        <v>6</v>
      </c>
      <c r="B18" t="s">
        <v>194</v>
      </c>
      <c r="C18" s="87" t="s">
        <v>198</v>
      </c>
      <c r="D18" s="2">
        <f>+'MEG-9 Interest Coord. Adj'!H27</f>
        <v>-268558.90024213819</v>
      </c>
      <c r="F18" s="2"/>
      <c r="H18" s="45">
        <f>+'MEG-4 Results of Operations'!W22</f>
        <v>355795.53084747674</v>
      </c>
    </row>
    <row r="19" spans="1:14" x14ac:dyDescent="0.3">
      <c r="A19" s="87">
        <v>7</v>
      </c>
      <c r="B19" t="s">
        <v>183</v>
      </c>
      <c r="C19" s="87" t="s">
        <v>197</v>
      </c>
      <c r="D19" s="2">
        <f>+'MEG-10 Directors'' Fees'!H21</f>
        <v>138396.71090000001</v>
      </c>
      <c r="F19" s="2"/>
      <c r="H19" s="45">
        <f>+'MEG-4 Results of Operations'!W19</f>
        <v>-183352.19539714308</v>
      </c>
    </row>
    <row r="20" spans="1:14" x14ac:dyDescent="0.3">
      <c r="A20" s="87">
        <v>8</v>
      </c>
      <c r="B20" s="4" t="s">
        <v>195</v>
      </c>
      <c r="C20" s="87" t="s">
        <v>203</v>
      </c>
      <c r="D20" s="16"/>
      <c r="F20" s="16"/>
      <c r="H20" s="16">
        <f>+'MEG-4 Results of Operations'!W12</f>
        <v>-3520077.7035439629</v>
      </c>
    </row>
    <row r="21" spans="1:14" x14ac:dyDescent="0.3">
      <c r="A21" s="87"/>
      <c r="B21" s="4"/>
      <c r="C21" s="87"/>
      <c r="D21" s="21"/>
      <c r="F21" s="21"/>
      <c r="H21" s="45"/>
    </row>
    <row r="22" spans="1:14" ht="16.2" thickBot="1" x14ac:dyDescent="0.35">
      <c r="A22" s="87">
        <v>9</v>
      </c>
      <c r="B22" s="4" t="s">
        <v>196</v>
      </c>
      <c r="D22" s="69">
        <f>SUM(D13:D20)</f>
        <v>28865327.474891536</v>
      </c>
      <c r="F22" s="69">
        <f>SUM(F13:F20)</f>
        <v>395862505</v>
      </c>
      <c r="H22" s="69">
        <f>SUM(H13:H21)</f>
        <v>-2400694.6238111276</v>
      </c>
    </row>
    <row r="23" spans="1:14" ht="16.2" thickTop="1" x14ac:dyDescent="0.3"/>
    <row r="30" spans="1:14" x14ac:dyDescent="0.3">
      <c r="L30" s="26"/>
      <c r="M30" s="26"/>
      <c r="N30" s="45"/>
    </row>
    <row r="32" spans="1:14" x14ac:dyDescent="0.3">
      <c r="L32" s="26"/>
      <c r="M32" s="26"/>
      <c r="N32" s="45"/>
    </row>
    <row r="34" spans="12:14" x14ac:dyDescent="0.3">
      <c r="L34" s="24"/>
      <c r="M34" s="26"/>
      <c r="N34" s="45"/>
    </row>
    <row r="36" spans="12:14" x14ac:dyDescent="0.3">
      <c r="L36" s="24"/>
    </row>
  </sheetData>
  <mergeCells count="3">
    <mergeCell ref="A4:H4"/>
    <mergeCell ref="A5:H5"/>
    <mergeCell ref="A6:H6"/>
  </mergeCells>
  <pageMargins left="0.7" right="0.7" top="0.75" bottom="0.7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opLeftCell="A13" workbookViewId="0">
      <selection activeCell="C44" sqref="C44"/>
    </sheetView>
  </sheetViews>
  <sheetFormatPr defaultRowHeight="15.6" x14ac:dyDescent="0.3"/>
  <cols>
    <col min="1" max="1" width="8" customWidth="1"/>
    <col min="2" max="2" width="1.3984375" customWidth="1"/>
    <col min="3" max="3" width="26.8984375" customWidth="1"/>
    <col min="4" max="4" width="3.296875" bestFit="1" customWidth="1"/>
    <col min="5" max="5" width="13.59765625" customWidth="1"/>
    <col min="6" max="6" width="1.09765625" customWidth="1"/>
    <col min="7" max="7" width="13.19921875" customWidth="1"/>
    <col min="8" max="8" width="1.09765625" customWidth="1"/>
    <col min="9" max="9" width="12.796875" customWidth="1"/>
    <col min="10" max="10" width="1.09765625" customWidth="1"/>
    <col min="11" max="11" width="11.296875" bestFit="1" customWidth="1"/>
    <col min="12" max="12" width="1.09765625" customWidth="1"/>
    <col min="13" max="13" width="13.19921875" customWidth="1"/>
    <col min="14" max="14" width="3.3984375" customWidth="1"/>
    <col min="15" max="15" width="12.296875" bestFit="1" customWidth="1"/>
    <col min="16" max="16" width="1.09765625" customWidth="1"/>
    <col min="17" max="17" width="13.3984375" bestFit="1" customWidth="1"/>
    <col min="18" max="18" width="1.09765625" customWidth="1"/>
    <col min="19" max="19" width="12.296875" customWidth="1"/>
    <col min="20" max="20" width="1.09765625" customWidth="1"/>
    <col min="21" max="21" width="15.09765625" bestFit="1" customWidth="1"/>
    <col min="22" max="22" width="0.69921875" customWidth="1"/>
    <col min="23" max="23" width="13.09765625" bestFit="1" customWidth="1"/>
  </cols>
  <sheetData>
    <row r="1" spans="1:23" x14ac:dyDescent="0.3">
      <c r="W1" s="34" t="s">
        <v>207</v>
      </c>
    </row>
    <row r="2" spans="1:23" x14ac:dyDescent="0.3">
      <c r="W2" s="100" t="s">
        <v>215</v>
      </c>
    </row>
    <row r="3" spans="1:23" x14ac:dyDescent="0.3">
      <c r="W3" s="34" t="s">
        <v>206</v>
      </c>
    </row>
    <row r="4" spans="1:23" x14ac:dyDescent="0.3">
      <c r="A4" s="91" t="s">
        <v>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x14ac:dyDescent="0.3">
      <c r="A5" s="95" t="s">
        <v>173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x14ac:dyDescent="0.3">
      <c r="A6" s="95" t="s">
        <v>35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8" spans="1:23" x14ac:dyDescent="0.3">
      <c r="E8" s="96"/>
      <c r="F8" s="96"/>
      <c r="G8" s="96"/>
      <c r="H8" s="96"/>
      <c r="I8" s="96"/>
      <c r="K8" s="1"/>
      <c r="L8" s="1"/>
      <c r="M8" s="1"/>
      <c r="N8" s="37"/>
      <c r="O8" s="95" t="s">
        <v>80</v>
      </c>
      <c r="P8" s="95"/>
      <c r="Q8" s="95"/>
      <c r="R8" s="95"/>
      <c r="S8" s="95"/>
      <c r="T8" s="1"/>
      <c r="U8" s="1" t="s">
        <v>81</v>
      </c>
      <c r="V8" s="1"/>
      <c r="W8" s="1" t="s">
        <v>82</v>
      </c>
    </row>
    <row r="9" spans="1:23" ht="18.600000000000001" x14ac:dyDescent="0.3">
      <c r="A9" s="1" t="s">
        <v>99</v>
      </c>
      <c r="B9" s="1"/>
      <c r="E9" s="93" t="s">
        <v>204</v>
      </c>
      <c r="F9" s="93"/>
      <c r="G9" s="93"/>
      <c r="H9" s="93"/>
      <c r="I9" s="93"/>
      <c r="K9" s="94" t="s">
        <v>83</v>
      </c>
      <c r="L9" s="94"/>
      <c r="M9" s="94"/>
      <c r="N9" s="37"/>
      <c r="O9" s="94" t="s">
        <v>84</v>
      </c>
      <c r="P9" s="94"/>
      <c r="Q9" s="94"/>
      <c r="R9" s="94"/>
      <c r="S9" s="94"/>
      <c r="T9" s="1"/>
      <c r="U9" s="1" t="s">
        <v>85</v>
      </c>
      <c r="V9" s="1"/>
      <c r="W9" s="1" t="s">
        <v>86</v>
      </c>
    </row>
    <row r="10" spans="1:23" x14ac:dyDescent="0.3">
      <c r="A10" s="15" t="s">
        <v>87</v>
      </c>
      <c r="B10" s="1"/>
      <c r="C10" s="15" t="s">
        <v>88</v>
      </c>
      <c r="D10" s="1"/>
      <c r="E10" s="39" t="s">
        <v>89</v>
      </c>
      <c r="F10" s="40"/>
      <c r="G10" s="39" t="s">
        <v>3</v>
      </c>
      <c r="H10" s="40"/>
      <c r="I10" s="15" t="s">
        <v>90</v>
      </c>
      <c r="K10" s="15" t="s">
        <v>91</v>
      </c>
      <c r="L10" s="1"/>
      <c r="M10" s="41" t="s">
        <v>3</v>
      </c>
      <c r="N10" s="37"/>
      <c r="O10" s="39" t="s">
        <v>89</v>
      </c>
      <c r="P10" s="40"/>
      <c r="Q10" s="39" t="s">
        <v>3</v>
      </c>
      <c r="R10" s="40"/>
      <c r="S10" s="15" t="s">
        <v>90</v>
      </c>
      <c r="T10" s="1"/>
      <c r="U10" s="15" t="s">
        <v>92</v>
      </c>
      <c r="V10" s="1"/>
      <c r="W10" s="15" t="s">
        <v>93</v>
      </c>
    </row>
    <row r="11" spans="1:23" x14ac:dyDescent="0.3">
      <c r="E11" s="3"/>
      <c r="F11" s="42"/>
      <c r="G11" s="42"/>
      <c r="H11" s="42"/>
      <c r="N11" s="37"/>
      <c r="Q11" s="25"/>
    </row>
    <row r="12" spans="1:23" x14ac:dyDescent="0.3">
      <c r="B12" s="43"/>
      <c r="C12" t="s">
        <v>171</v>
      </c>
      <c r="D12" s="37" t="s">
        <v>0</v>
      </c>
      <c r="E12" s="3">
        <v>20804385</v>
      </c>
      <c r="F12" s="42"/>
      <c r="G12" s="3">
        <v>374226392</v>
      </c>
      <c r="H12" s="3"/>
      <c r="I12" s="3">
        <f>((G12*0.07544)-E12)/0.754813492144073</f>
        <v>9839853.2747243755</v>
      </c>
      <c r="J12" s="3"/>
      <c r="K12" s="3"/>
      <c r="L12" s="3"/>
      <c r="M12" s="3"/>
      <c r="O12" s="3">
        <f>+E12</f>
        <v>20804385</v>
      </c>
      <c r="P12" s="3"/>
      <c r="Q12" s="3">
        <f>+G12</f>
        <v>374226392</v>
      </c>
      <c r="R12" s="3"/>
      <c r="S12" s="3">
        <f>((Q12*'MEG-11 Cost of Capital'!F28)-O12)/0.754813492144073</f>
        <v>6319775.5711804125</v>
      </c>
      <c r="T12" s="3"/>
      <c r="U12" s="46" t="s">
        <v>95</v>
      </c>
      <c r="V12" s="3"/>
      <c r="W12" s="3">
        <f t="shared" ref="W12:W25" si="0">+S12-I12</f>
        <v>-3520077.7035439629</v>
      </c>
    </row>
    <row r="13" spans="1:23" x14ac:dyDescent="0.3">
      <c r="A13" s="76" t="s">
        <v>100</v>
      </c>
      <c r="B13" s="43"/>
      <c r="C13" t="s">
        <v>110</v>
      </c>
      <c r="D13" s="44"/>
      <c r="E13" s="45">
        <v>-2192117</v>
      </c>
      <c r="F13" s="24"/>
      <c r="G13" s="45">
        <v>0</v>
      </c>
      <c r="H13" s="24"/>
      <c r="I13" s="45">
        <f t="shared" ref="I13:I25" si="1">((G13*0.07544)-E13)/0.754813492144073</f>
        <v>2904183.6464438629</v>
      </c>
      <c r="K13" s="45"/>
      <c r="L13" s="45"/>
      <c r="M13" s="45"/>
      <c r="N13" s="37"/>
      <c r="O13" s="42">
        <f>+E13+K13</f>
        <v>-2192117</v>
      </c>
      <c r="P13" s="42"/>
      <c r="Q13" s="42">
        <f>+G13+M13</f>
        <v>0</v>
      </c>
      <c r="R13" s="24"/>
      <c r="S13" s="45">
        <f>((Q13*'MEG-11 Cost of Capital'!F$28)-O13)/0.754813492144073</f>
        <v>2904183.6464438629</v>
      </c>
      <c r="U13" s="46" t="s">
        <v>94</v>
      </c>
      <c r="V13" s="1"/>
      <c r="W13" s="45">
        <f t="shared" si="0"/>
        <v>0</v>
      </c>
    </row>
    <row r="14" spans="1:23" x14ac:dyDescent="0.3">
      <c r="A14" s="76" t="s">
        <v>101</v>
      </c>
      <c r="B14" s="43"/>
      <c r="C14" t="s">
        <v>111</v>
      </c>
      <c r="D14" s="44"/>
      <c r="E14" s="45">
        <v>21876</v>
      </c>
      <c r="F14" s="24"/>
      <c r="G14" s="45">
        <v>0</v>
      </c>
      <c r="H14" s="24"/>
      <c r="I14" s="45">
        <f t="shared" si="1"/>
        <v>-28981.993866935911</v>
      </c>
      <c r="K14" s="45"/>
      <c r="L14" s="45"/>
      <c r="M14" s="45"/>
      <c r="N14" s="37"/>
      <c r="O14" s="42">
        <f t="shared" ref="O14:O17" si="2">+E14+K14</f>
        <v>21876</v>
      </c>
      <c r="P14" s="42"/>
      <c r="Q14" s="42">
        <f t="shared" ref="Q14:Q17" si="3">+G14+M14</f>
        <v>0</v>
      </c>
      <c r="R14" s="24"/>
      <c r="S14" s="45">
        <f>((Q14*'MEG-11 Cost of Capital'!F$28)-O14)/0.754813492144073</f>
        <v>-28981.993866935911</v>
      </c>
      <c r="U14" s="46" t="s">
        <v>94</v>
      </c>
      <c r="V14" s="1"/>
      <c r="W14" s="45">
        <f t="shared" si="0"/>
        <v>0</v>
      </c>
    </row>
    <row r="15" spans="1:23" x14ac:dyDescent="0.3">
      <c r="A15" s="76" t="s">
        <v>102</v>
      </c>
      <c r="B15" s="43"/>
      <c r="C15" t="s">
        <v>112</v>
      </c>
      <c r="D15" s="44"/>
      <c r="E15" s="45">
        <v>11263913</v>
      </c>
      <c r="F15" s="24"/>
      <c r="G15" s="45">
        <v>0</v>
      </c>
      <c r="H15" s="24"/>
      <c r="I15" s="45">
        <f t="shared" si="1"/>
        <v>-14922776.44376027</v>
      </c>
      <c r="K15" s="45"/>
      <c r="L15" s="45"/>
      <c r="M15" s="45"/>
      <c r="N15" s="37"/>
      <c r="O15" s="42">
        <f>+E15</f>
        <v>11263913</v>
      </c>
      <c r="P15" s="42"/>
      <c r="Q15" s="42">
        <f>+G15</f>
        <v>0</v>
      </c>
      <c r="R15" s="24"/>
      <c r="S15" s="45">
        <f>((Q15*'MEG-11 Cost of Capital'!F$28)-O15)/0.754813492144073</f>
        <v>-14922776.44376027</v>
      </c>
      <c r="U15" s="46" t="s">
        <v>94</v>
      </c>
      <c r="V15" s="1"/>
      <c r="W15" s="45">
        <f t="shared" si="0"/>
        <v>0</v>
      </c>
    </row>
    <row r="16" spans="1:23" x14ac:dyDescent="0.3">
      <c r="A16" s="76" t="s">
        <v>103</v>
      </c>
      <c r="B16" s="43"/>
      <c r="C16" t="s">
        <v>113</v>
      </c>
      <c r="D16" s="44"/>
      <c r="E16" s="45">
        <v>-1620083</v>
      </c>
      <c r="F16" s="24"/>
      <c r="G16" s="45">
        <v>21636113</v>
      </c>
      <c r="H16" s="24"/>
      <c r="I16" s="45">
        <f t="shared" si="1"/>
        <v>4308761.5663595265</v>
      </c>
      <c r="K16" s="45">
        <f>+O16-E16</f>
        <v>807694</v>
      </c>
      <c r="L16" s="45"/>
      <c r="M16" s="45">
        <v>0</v>
      </c>
      <c r="N16" s="37" t="s">
        <v>36</v>
      </c>
      <c r="O16" s="42">
        <f>+'MEG-8 Depreciation Rates'!D23</f>
        <v>-812389</v>
      </c>
      <c r="P16" s="42"/>
      <c r="Q16" s="42">
        <f>+'MEG-8 Depreciation Rates'!D30</f>
        <v>21636112</v>
      </c>
      <c r="R16" s="24"/>
      <c r="S16" s="45">
        <f>((Q16*'MEG-11 Cost of Capital'!F$28)-O16)/0.754813492144073</f>
        <v>3035188.4549359367</v>
      </c>
      <c r="U16" s="46" t="s">
        <v>95</v>
      </c>
      <c r="V16" s="1"/>
      <c r="W16" s="45">
        <f t="shared" si="0"/>
        <v>-1273573.1114235898</v>
      </c>
    </row>
    <row r="17" spans="1:23" x14ac:dyDescent="0.3">
      <c r="A17" s="76" t="s">
        <v>104</v>
      </c>
      <c r="B17" s="43"/>
      <c r="C17" t="s">
        <v>114</v>
      </c>
      <c r="D17" s="44"/>
      <c r="E17" s="45">
        <v>-68514</v>
      </c>
      <c r="F17" s="24"/>
      <c r="G17" s="45">
        <v>0</v>
      </c>
      <c r="H17" s="24"/>
      <c r="I17" s="45">
        <f t="shared" si="1"/>
        <v>90769.442667729338</v>
      </c>
      <c r="K17" s="45"/>
      <c r="L17" s="45"/>
      <c r="M17" s="45"/>
      <c r="N17" s="37"/>
      <c r="O17" s="42">
        <f t="shared" si="2"/>
        <v>-68514</v>
      </c>
      <c r="P17" s="42"/>
      <c r="Q17" s="42">
        <f t="shared" si="3"/>
        <v>0</v>
      </c>
      <c r="R17" s="24"/>
      <c r="S17" s="45">
        <f>((Q17*'MEG-11 Cost of Capital'!F$28)-O17)/0.754813492144073</f>
        <v>90769.442667729338</v>
      </c>
      <c r="U17" s="46" t="s">
        <v>94</v>
      </c>
      <c r="V17" s="1"/>
      <c r="W17" s="45">
        <f t="shared" si="0"/>
        <v>0</v>
      </c>
    </row>
    <row r="18" spans="1:23" x14ac:dyDescent="0.3">
      <c r="A18" s="76" t="s">
        <v>105</v>
      </c>
      <c r="B18" s="43"/>
      <c r="C18" t="s">
        <v>115</v>
      </c>
      <c r="D18" s="44"/>
      <c r="E18" s="45">
        <v>972281</v>
      </c>
      <c r="F18" s="24"/>
      <c r="G18" s="45">
        <v>0</v>
      </c>
      <c r="H18" s="24"/>
      <c r="I18" s="45">
        <f t="shared" si="1"/>
        <v>-1288107.6055466407</v>
      </c>
      <c r="K18" s="45">
        <f>+O18-E18</f>
        <v>478566.38601499982</v>
      </c>
      <c r="L18" s="45"/>
      <c r="M18" s="45">
        <v>0</v>
      </c>
      <c r="N18" s="37" t="s">
        <v>7</v>
      </c>
      <c r="O18" s="42">
        <f>+'MEG-7 Incentive Compensation'!E29</f>
        <v>1450847.3860149998</v>
      </c>
      <c r="P18" s="42"/>
      <c r="Q18" s="42">
        <v>0</v>
      </c>
      <c r="R18" s="24"/>
      <c r="S18" s="45">
        <f>((Q18*'MEG-11 Cost of Capital'!F$28)-O18)/0.754813492144073</f>
        <v>-1922126.9904620005</v>
      </c>
      <c r="U18" s="46" t="s">
        <v>95</v>
      </c>
      <c r="V18" s="1"/>
      <c r="W18" s="45">
        <f t="shared" si="0"/>
        <v>-634019.38491535978</v>
      </c>
    </row>
    <row r="19" spans="1:23" x14ac:dyDescent="0.3">
      <c r="A19" s="78" t="s">
        <v>172</v>
      </c>
      <c r="B19" s="43"/>
      <c r="C19" t="s">
        <v>183</v>
      </c>
      <c r="D19" s="44"/>
      <c r="E19" s="45">
        <v>0</v>
      </c>
      <c r="F19" s="24"/>
      <c r="G19" s="45">
        <v>0</v>
      </c>
      <c r="H19" s="24"/>
      <c r="I19" s="45">
        <f t="shared" si="1"/>
        <v>0</v>
      </c>
      <c r="K19" s="45">
        <f>+O19-E19</f>
        <v>138396.71090000001</v>
      </c>
      <c r="L19" s="45"/>
      <c r="M19" s="45">
        <v>0</v>
      </c>
      <c r="N19" s="37" t="s">
        <v>185</v>
      </c>
      <c r="O19" s="42">
        <f>+'MEG-10 Directors'' Fees'!D21</f>
        <v>138396.71090000001</v>
      </c>
      <c r="P19" s="42"/>
      <c r="Q19" s="42">
        <v>0</v>
      </c>
      <c r="R19" s="24"/>
      <c r="S19" s="45">
        <f>((Q19*'MEG-11 Cost of Capital'!F$28)-O19)/0.754813492144073</f>
        <v>-183352.19539714308</v>
      </c>
      <c r="U19" s="46" t="s">
        <v>95</v>
      </c>
      <c r="V19" s="78"/>
      <c r="W19" s="45">
        <f t="shared" ref="W19" si="4">+S19-I19</f>
        <v>-183352.19539714308</v>
      </c>
    </row>
    <row r="20" spans="1:23" x14ac:dyDescent="0.3">
      <c r="B20" s="43"/>
      <c r="D20" s="44"/>
      <c r="E20" s="45"/>
      <c r="F20" s="47"/>
      <c r="G20" s="45"/>
      <c r="H20" s="24"/>
      <c r="I20" s="45"/>
      <c r="K20" s="45"/>
      <c r="L20" s="45"/>
      <c r="M20" s="45"/>
      <c r="N20" s="37"/>
      <c r="O20" s="42"/>
      <c r="P20" s="42"/>
      <c r="Q20" s="42"/>
      <c r="R20" s="24"/>
      <c r="S20" s="45"/>
      <c r="U20" s="46"/>
      <c r="V20" s="1"/>
      <c r="W20" s="45"/>
    </row>
    <row r="21" spans="1:23" x14ac:dyDescent="0.3">
      <c r="A21" t="s">
        <v>96</v>
      </c>
      <c r="B21" s="43"/>
      <c r="D21" s="44"/>
      <c r="E21" s="45"/>
      <c r="F21" s="24"/>
      <c r="G21" s="45"/>
      <c r="H21" s="24"/>
      <c r="I21" s="45"/>
      <c r="K21" s="45"/>
      <c r="L21" s="45"/>
      <c r="M21" s="45"/>
      <c r="N21" s="37"/>
      <c r="O21" s="42"/>
      <c r="P21" s="42"/>
      <c r="Q21" s="42"/>
      <c r="R21" s="24"/>
      <c r="S21" s="45"/>
      <c r="U21" s="46"/>
      <c r="V21" s="1"/>
      <c r="W21" s="45"/>
    </row>
    <row r="22" spans="1:23" x14ac:dyDescent="0.3">
      <c r="A22" s="76" t="s">
        <v>106</v>
      </c>
      <c r="B22" s="43"/>
      <c r="C22" t="s">
        <v>116</v>
      </c>
      <c r="D22" s="44"/>
      <c r="E22" s="45">
        <v>-91861</v>
      </c>
      <c r="F22" s="42"/>
      <c r="G22" s="45">
        <v>0</v>
      </c>
      <c r="H22" s="42"/>
      <c r="I22" s="45">
        <f t="shared" si="1"/>
        <v>121700.26232449258</v>
      </c>
      <c r="K22" s="45">
        <f>+O22-E22</f>
        <v>-268559.26712823816</v>
      </c>
      <c r="L22" s="45"/>
      <c r="M22" s="45"/>
      <c r="N22" s="37" t="s">
        <v>97</v>
      </c>
      <c r="O22" s="42">
        <f>+'MEG-9 Interest Coord. Adj'!D27</f>
        <v>-360420.26712823816</v>
      </c>
      <c r="P22" s="42"/>
      <c r="Q22" s="42">
        <f t="shared" ref="Q22:Q25" si="5">+G22+M22</f>
        <v>0</v>
      </c>
      <c r="R22" s="42"/>
      <c r="S22" s="45">
        <f>((Q22*'MEG-11 Cost of Capital'!F$28)-O22)/0.754813492144073</f>
        <v>477495.7931719693</v>
      </c>
      <c r="U22" s="46" t="s">
        <v>95</v>
      </c>
      <c r="V22" s="1"/>
      <c r="W22" s="45">
        <f t="shared" si="0"/>
        <v>355795.53084747674</v>
      </c>
    </row>
    <row r="23" spans="1:23" x14ac:dyDescent="0.3">
      <c r="A23" s="76" t="s">
        <v>107</v>
      </c>
      <c r="B23" s="48"/>
      <c r="C23" t="s">
        <v>117</v>
      </c>
      <c r="D23" s="44"/>
      <c r="E23" s="45">
        <v>-1596205</v>
      </c>
      <c r="F23" s="42"/>
      <c r="G23" s="45">
        <v>0</v>
      </c>
      <c r="H23" s="42"/>
      <c r="I23" s="45">
        <f t="shared" si="1"/>
        <v>2114701.2031620238</v>
      </c>
      <c r="J23" s="49"/>
      <c r="K23" s="70">
        <f>+O23-E23</f>
        <v>946894.92821867508</v>
      </c>
      <c r="L23" s="45"/>
      <c r="M23" s="45">
        <f>+Q23-G23</f>
        <v>0</v>
      </c>
      <c r="N23" s="37" t="s">
        <v>6</v>
      </c>
      <c r="O23" s="42">
        <f>+'MEG-6 Payroll'!E26</f>
        <v>-649310.07178132492</v>
      </c>
      <c r="P23" s="42"/>
      <c r="Q23" s="42">
        <v>0</v>
      </c>
      <c r="R23" s="42"/>
      <c r="S23" s="45">
        <f>((Q23*'MEG-11 Cost of Capital'!F$28)-O23)/0.754813492144073</f>
        <v>860225.8419320751</v>
      </c>
      <c r="U23" s="46" t="s">
        <v>95</v>
      </c>
      <c r="W23" s="45">
        <f t="shared" si="0"/>
        <v>-1254475.3612299487</v>
      </c>
    </row>
    <row r="24" spans="1:23" x14ac:dyDescent="0.3">
      <c r="A24" s="76" t="s">
        <v>108</v>
      </c>
      <c r="B24" s="1"/>
      <c r="C24" t="s">
        <v>118</v>
      </c>
      <c r="E24" s="45">
        <v>-2790997</v>
      </c>
      <c r="F24" s="42"/>
      <c r="G24" s="45">
        <v>64780798</v>
      </c>
      <c r="H24" s="42"/>
      <c r="I24" s="45">
        <f t="shared" si="1"/>
        <v>10172129.249187388</v>
      </c>
      <c r="J24" s="30"/>
      <c r="K24" s="45">
        <f>+O24-E24</f>
        <v>2790997</v>
      </c>
      <c r="L24" s="45"/>
      <c r="M24" s="45">
        <f t="shared" ref="M24" si="6">-G24</f>
        <v>-64780798</v>
      </c>
      <c r="N24" s="37" t="s">
        <v>4</v>
      </c>
      <c r="O24" s="42">
        <f>+'MEG-5 Plant in Service'!C35</f>
        <v>0</v>
      </c>
      <c r="P24" s="42"/>
      <c r="Q24" s="42">
        <f>+'MEG-5 Plant in Service'!C19</f>
        <v>0</v>
      </c>
      <c r="R24" s="42"/>
      <c r="S24" s="45">
        <f>((Q24*'MEG-11 Cost of Capital'!F$28)-O24)/0.754813492144073</f>
        <v>0</v>
      </c>
      <c r="U24" s="46" t="s">
        <v>95</v>
      </c>
      <c r="W24" s="45">
        <f t="shared" si="0"/>
        <v>-10172129.249187388</v>
      </c>
    </row>
    <row r="25" spans="1:23" x14ac:dyDescent="0.3">
      <c r="A25" s="76" t="s">
        <v>109</v>
      </c>
      <c r="B25" s="1"/>
      <c r="C25" t="s">
        <v>119</v>
      </c>
      <c r="E25" s="45">
        <v>-731342</v>
      </c>
      <c r="F25" s="42"/>
      <c r="G25" s="45">
        <v>0</v>
      </c>
      <c r="H25" s="42"/>
      <c r="I25" s="45">
        <f t="shared" si="1"/>
        <v>968904.24934323656</v>
      </c>
      <c r="J25" s="30"/>
      <c r="K25" s="45">
        <v>0</v>
      </c>
      <c r="L25" s="45"/>
      <c r="M25" s="45">
        <v>0</v>
      </c>
      <c r="N25" s="37"/>
      <c r="O25" s="42">
        <f t="shared" ref="O25" si="7">+E25+K25</f>
        <v>-731342</v>
      </c>
      <c r="P25" s="42"/>
      <c r="Q25" s="42">
        <f t="shared" si="5"/>
        <v>0</v>
      </c>
      <c r="R25" s="42"/>
      <c r="S25" s="45">
        <f>((Q25*'MEG-11 Cost of Capital'!F$28)-O25)/0.754813492144073</f>
        <v>968904.24934323656</v>
      </c>
      <c r="U25" s="46" t="s">
        <v>94</v>
      </c>
      <c r="W25" s="45">
        <f t="shared" si="0"/>
        <v>0</v>
      </c>
    </row>
    <row r="26" spans="1:23" x14ac:dyDescent="0.3">
      <c r="B26" s="43"/>
      <c r="D26" s="44"/>
      <c r="E26" s="50"/>
      <c r="F26" s="42"/>
      <c r="G26" s="50"/>
      <c r="H26" s="42"/>
      <c r="I26" s="50"/>
      <c r="J26" s="49"/>
      <c r="K26" s="50"/>
      <c r="L26" s="45"/>
      <c r="M26" s="50"/>
      <c r="N26" s="37"/>
      <c r="O26" s="51"/>
      <c r="P26" s="42"/>
      <c r="Q26" s="51"/>
      <c r="R26" s="42"/>
      <c r="S26" s="50"/>
      <c r="U26" s="46"/>
      <c r="V26" s="1"/>
      <c r="W26" s="45"/>
    </row>
    <row r="27" spans="1:23" ht="16.2" thickBot="1" x14ac:dyDescent="0.35">
      <c r="B27" s="43"/>
      <c r="D27" s="44"/>
      <c r="E27" s="45"/>
      <c r="F27" s="42"/>
      <c r="G27" s="45"/>
      <c r="H27" s="42"/>
      <c r="I27" s="45"/>
      <c r="N27" s="37"/>
      <c r="O27" s="42"/>
      <c r="P27" s="42"/>
      <c r="Q27" s="42"/>
      <c r="R27" s="42"/>
      <c r="S27" s="45"/>
      <c r="U27" s="1"/>
      <c r="V27" s="1"/>
      <c r="W27" s="45"/>
    </row>
    <row r="28" spans="1:23" ht="16.8" thickTop="1" thickBot="1" x14ac:dyDescent="0.35">
      <c r="A28" s="43"/>
      <c r="B28" s="43"/>
      <c r="C28" t="s">
        <v>98</v>
      </c>
      <c r="D28" s="44"/>
      <c r="E28" s="71">
        <f>SUM(E12:E27)</f>
        <v>23971336</v>
      </c>
      <c r="F28" s="42">
        <f>SUM(F12:F26)</f>
        <v>0</v>
      </c>
      <c r="G28" s="71">
        <f>SUM(G12:G27)</f>
        <v>460643303</v>
      </c>
      <c r="H28" s="42">
        <f>SUM(H12:H26)</f>
        <v>0</v>
      </c>
      <c r="I28" s="71">
        <f>SUM(I12:I27)</f>
        <v>14281136.851038788</v>
      </c>
      <c r="K28" s="71">
        <f>SUM(K12:K27)</f>
        <v>4893989.7580054365</v>
      </c>
      <c r="L28" s="42"/>
      <c r="M28" s="71">
        <f>SUM(M12:M27)</f>
        <v>-64780798</v>
      </c>
      <c r="N28" s="37"/>
      <c r="O28" s="71">
        <f>SUM(O12:O27)</f>
        <v>28865325.758005437</v>
      </c>
      <c r="P28" s="42"/>
      <c r="Q28" s="71">
        <f>SUM(Q12:Q27)</f>
        <v>395862504</v>
      </c>
      <c r="R28" s="42"/>
      <c r="S28" s="71">
        <f>SUM(S12:S27)</f>
        <v>-2400694.6238111281</v>
      </c>
      <c r="U28" s="1"/>
      <c r="V28" s="1"/>
      <c r="W28" s="71">
        <f>SUM(W12:W27)</f>
        <v>-16681831.474849913</v>
      </c>
    </row>
    <row r="29" spans="1:23" ht="16.2" thickTop="1" x14ac:dyDescent="0.3">
      <c r="A29" s="43"/>
      <c r="B29" s="43"/>
      <c r="D29" s="44"/>
      <c r="E29" s="36"/>
      <c r="F29" s="42"/>
      <c r="G29" s="42"/>
      <c r="H29" s="42"/>
      <c r="I29" s="42"/>
      <c r="K29" s="42"/>
      <c r="L29" s="42"/>
      <c r="M29" s="42"/>
      <c r="N29" s="37"/>
      <c r="O29" s="42"/>
      <c r="P29" s="42"/>
      <c r="Q29" s="42"/>
      <c r="R29" s="42"/>
      <c r="S29" s="42"/>
      <c r="U29" s="1"/>
      <c r="V29" s="1"/>
      <c r="W29" s="42"/>
    </row>
    <row r="30" spans="1:23" ht="16.2" thickBot="1" x14ac:dyDescent="0.35">
      <c r="A30" s="1"/>
      <c r="B30" s="52" t="s">
        <v>80</v>
      </c>
      <c r="C30" s="53"/>
      <c r="D30" s="54"/>
      <c r="E30" s="55"/>
      <c r="F30" s="42"/>
      <c r="G30" s="42"/>
      <c r="H30" s="42"/>
      <c r="I30" s="30"/>
      <c r="K30" s="42"/>
      <c r="N30" s="37"/>
      <c r="O30" s="42"/>
      <c r="P30" s="42"/>
      <c r="Q30" s="42"/>
      <c r="R30" s="42"/>
      <c r="S30" s="45"/>
    </row>
    <row r="31" spans="1:23" x14ac:dyDescent="0.3">
      <c r="A31" s="56"/>
      <c r="B31" s="57" t="s">
        <v>0</v>
      </c>
      <c r="C31" s="56" t="s">
        <v>161</v>
      </c>
      <c r="D31" s="58"/>
      <c r="E31" s="59"/>
      <c r="F31" s="60"/>
      <c r="G31" s="60"/>
      <c r="H31" s="60"/>
      <c r="I31" s="61"/>
      <c r="J31" s="56"/>
      <c r="K31" s="56"/>
      <c r="L31" s="56"/>
      <c r="M31" s="56"/>
      <c r="N31" s="62"/>
      <c r="O31" s="60"/>
      <c r="P31" s="60"/>
      <c r="Q31" s="60"/>
      <c r="R31" s="60"/>
      <c r="S31" s="60"/>
      <c r="T31" s="56"/>
      <c r="U31" s="56"/>
      <c r="V31" s="56"/>
      <c r="W31" s="56"/>
    </row>
    <row r="32" spans="1:23" x14ac:dyDescent="0.3">
      <c r="A32" s="56"/>
      <c r="B32" s="63" t="s">
        <v>4</v>
      </c>
      <c r="C32" s="56" t="s">
        <v>162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62"/>
      <c r="O32" s="56"/>
      <c r="P32" s="56"/>
      <c r="Q32" s="56"/>
      <c r="R32" s="56"/>
      <c r="S32" s="56"/>
      <c r="T32" s="56"/>
      <c r="U32" s="56"/>
      <c r="V32" s="56"/>
      <c r="W32" s="56"/>
    </row>
    <row r="33" spans="1:23" x14ac:dyDescent="0.3">
      <c r="A33" s="56"/>
      <c r="B33" s="63" t="s">
        <v>6</v>
      </c>
      <c r="C33" s="56" t="s">
        <v>168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62"/>
      <c r="O33" s="56"/>
      <c r="P33" s="56"/>
      <c r="Q33" s="56"/>
      <c r="R33" s="56"/>
      <c r="S33" s="56"/>
      <c r="T33" s="56"/>
      <c r="U33" s="56"/>
      <c r="V33" s="56"/>
      <c r="W33" s="56"/>
    </row>
    <row r="34" spans="1:23" x14ac:dyDescent="0.3">
      <c r="A34" s="56"/>
      <c r="B34" s="63" t="s">
        <v>7</v>
      </c>
      <c r="C34" s="56" t="s">
        <v>169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62"/>
      <c r="O34" s="56"/>
      <c r="P34" s="56"/>
      <c r="Q34" s="56"/>
      <c r="R34" s="56"/>
      <c r="S34" s="56"/>
      <c r="T34" s="56"/>
      <c r="U34" s="56"/>
      <c r="V34" s="56"/>
      <c r="W34" s="56"/>
    </row>
    <row r="35" spans="1:23" x14ac:dyDescent="0.3">
      <c r="A35" s="56"/>
      <c r="B35" s="63" t="s">
        <v>36</v>
      </c>
      <c r="C35" s="56" t="s">
        <v>163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2"/>
      <c r="O35" s="56"/>
      <c r="P35" s="56"/>
      <c r="Q35" s="56"/>
      <c r="R35" s="56"/>
      <c r="S35" s="56"/>
      <c r="T35" s="56"/>
      <c r="U35" s="56"/>
      <c r="V35" s="56"/>
      <c r="W35" s="56"/>
    </row>
    <row r="36" spans="1:23" x14ac:dyDescent="0.3">
      <c r="A36" s="56"/>
      <c r="B36" s="63" t="s">
        <v>97</v>
      </c>
      <c r="C36" s="56" t="s">
        <v>170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62"/>
      <c r="O36" s="56"/>
      <c r="P36" s="56"/>
      <c r="Q36" s="56"/>
      <c r="R36" s="56"/>
      <c r="S36" s="56"/>
      <c r="T36" s="56"/>
      <c r="U36" s="56"/>
      <c r="V36" s="56"/>
      <c r="W36" s="56"/>
    </row>
    <row r="37" spans="1:23" x14ac:dyDescent="0.3">
      <c r="A37" s="56"/>
      <c r="B37" s="63" t="s">
        <v>185</v>
      </c>
      <c r="C37" s="56" t="s">
        <v>186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62"/>
      <c r="O37" s="56"/>
      <c r="P37" s="56"/>
      <c r="Q37" s="56"/>
      <c r="R37" s="56"/>
      <c r="S37" s="56"/>
      <c r="T37" s="56"/>
      <c r="U37" s="56"/>
      <c r="V37" s="56"/>
      <c r="W37" s="56"/>
    </row>
    <row r="38" spans="1:23" x14ac:dyDescent="0.3">
      <c r="A38" s="56"/>
      <c r="B38" s="6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62"/>
      <c r="O38" s="56"/>
      <c r="P38" s="56"/>
      <c r="Q38" s="56"/>
      <c r="R38" s="56"/>
      <c r="S38" s="56"/>
      <c r="T38" s="56"/>
      <c r="U38" s="56"/>
      <c r="V38" s="56"/>
      <c r="W38" s="56"/>
    </row>
  </sheetData>
  <mergeCells count="8">
    <mergeCell ref="E9:I9"/>
    <mergeCell ref="K9:M9"/>
    <mergeCell ref="O9:S9"/>
    <mergeCell ref="A4:W4"/>
    <mergeCell ref="A5:W5"/>
    <mergeCell ref="A6:W6"/>
    <mergeCell ref="E8:I8"/>
    <mergeCell ref="O8:S8"/>
  </mergeCells>
  <pageMargins left="0.7" right="0.7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25" workbookViewId="0">
      <selection activeCell="G57" sqref="A1:G57"/>
    </sheetView>
  </sheetViews>
  <sheetFormatPr defaultRowHeight="15.6" x14ac:dyDescent="0.3"/>
  <cols>
    <col min="1" max="1" width="6.19921875" bestFit="1" customWidth="1"/>
    <col min="2" max="2" width="38.296875" customWidth="1"/>
    <col min="3" max="3" width="12.796875" bestFit="1" customWidth="1"/>
    <col min="4" max="4" width="3.69921875" customWidth="1"/>
    <col min="5" max="5" width="13.59765625" customWidth="1"/>
    <col min="6" max="6" width="3.5" customWidth="1"/>
    <col min="7" max="7" width="15.5" customWidth="1"/>
    <col min="8" max="9" width="12" bestFit="1" customWidth="1"/>
  </cols>
  <sheetData>
    <row r="1" spans="1:7" x14ac:dyDescent="0.3">
      <c r="G1" s="34" t="s">
        <v>209</v>
      </c>
    </row>
    <row r="2" spans="1:7" x14ac:dyDescent="0.3">
      <c r="A2" s="4"/>
      <c r="G2" s="34" t="s">
        <v>214</v>
      </c>
    </row>
    <row r="3" spans="1:7" x14ac:dyDescent="0.3">
      <c r="A3" s="4"/>
      <c r="G3" s="34" t="s">
        <v>206</v>
      </c>
    </row>
    <row r="4" spans="1:7" x14ac:dyDescent="0.3">
      <c r="A4" s="91" t="s">
        <v>9</v>
      </c>
      <c r="B4" s="91"/>
      <c r="C4" s="91"/>
      <c r="D4" s="91"/>
      <c r="E4" s="91"/>
      <c r="F4" s="91"/>
      <c r="G4" s="91"/>
    </row>
    <row r="5" spans="1:7" x14ac:dyDescent="0.3">
      <c r="A5" s="92" t="s">
        <v>37</v>
      </c>
      <c r="B5" s="92"/>
      <c r="C5" s="92"/>
      <c r="D5" s="92"/>
      <c r="E5" s="92"/>
      <c r="F5" s="92"/>
      <c r="G5" s="92"/>
    </row>
    <row r="6" spans="1:7" x14ac:dyDescent="0.3">
      <c r="A6" s="92" t="s">
        <v>34</v>
      </c>
      <c r="B6" s="92"/>
      <c r="C6" s="92"/>
      <c r="D6" s="92"/>
      <c r="E6" s="92"/>
      <c r="F6" s="92"/>
      <c r="G6" s="92"/>
    </row>
    <row r="7" spans="1:7" x14ac:dyDescent="0.3">
      <c r="A7" s="4"/>
    </row>
    <row r="8" spans="1:7" x14ac:dyDescent="0.3">
      <c r="A8" s="4"/>
    </row>
    <row r="9" spans="1:7" x14ac:dyDescent="0.3">
      <c r="A9" s="1"/>
      <c r="B9" s="1"/>
      <c r="C9" s="1" t="s">
        <v>127</v>
      </c>
      <c r="G9" s="1" t="s">
        <v>31</v>
      </c>
    </row>
    <row r="10" spans="1:7" x14ac:dyDescent="0.3">
      <c r="A10" s="1" t="s">
        <v>11</v>
      </c>
      <c r="B10" s="1"/>
      <c r="C10" s="1" t="s">
        <v>8</v>
      </c>
      <c r="D10" s="1"/>
      <c r="E10" s="1" t="s">
        <v>128</v>
      </c>
      <c r="G10" s="1" t="s">
        <v>153</v>
      </c>
    </row>
    <row r="11" spans="1:7" x14ac:dyDescent="0.3">
      <c r="A11" s="15" t="s">
        <v>14</v>
      </c>
      <c r="B11" s="15" t="s">
        <v>15</v>
      </c>
      <c r="C11" s="15" t="s">
        <v>31</v>
      </c>
      <c r="D11" s="75"/>
      <c r="E11" s="75" t="s">
        <v>31</v>
      </c>
      <c r="F11" s="86"/>
      <c r="G11" s="65" t="s">
        <v>154</v>
      </c>
    </row>
    <row r="12" spans="1:7" x14ac:dyDescent="0.3">
      <c r="A12" s="1"/>
    </row>
    <row r="13" spans="1:7" x14ac:dyDescent="0.3">
      <c r="A13" s="46">
        <v>1</v>
      </c>
      <c r="B13" t="s">
        <v>17</v>
      </c>
      <c r="C13" s="3">
        <v>0</v>
      </c>
      <c r="E13" s="3">
        <v>66105637</v>
      </c>
      <c r="G13" s="26">
        <f>+C13-E13</f>
        <v>-66105637</v>
      </c>
    </row>
    <row r="14" spans="1:7" x14ac:dyDescent="0.3">
      <c r="A14" s="46"/>
    </row>
    <row r="15" spans="1:7" x14ac:dyDescent="0.3">
      <c r="A15" s="46">
        <v>2</v>
      </c>
      <c r="B15" t="s">
        <v>38</v>
      </c>
      <c r="C15" s="2">
        <v>0</v>
      </c>
      <c r="E15" s="2">
        <v>-1347529</v>
      </c>
      <c r="G15" s="2">
        <f>+C15-E15</f>
        <v>1347529</v>
      </c>
    </row>
    <row r="16" spans="1:7" x14ac:dyDescent="0.3">
      <c r="A16" s="46"/>
      <c r="C16" s="2"/>
      <c r="E16" s="2"/>
      <c r="G16" s="2"/>
    </row>
    <row r="17" spans="1:9" x14ac:dyDescent="0.3">
      <c r="A17" s="46">
        <v>3</v>
      </c>
      <c r="B17" t="s">
        <v>18</v>
      </c>
      <c r="C17" s="16">
        <v>0</v>
      </c>
      <c r="E17" s="16">
        <v>22690</v>
      </c>
      <c r="G17" s="16">
        <f>+C17-E17</f>
        <v>-22690</v>
      </c>
    </row>
    <row r="18" spans="1:9" x14ac:dyDescent="0.3">
      <c r="A18" s="46"/>
      <c r="I18" s="2"/>
    </row>
    <row r="19" spans="1:9" ht="16.2" thickBot="1" x14ac:dyDescent="0.35">
      <c r="A19" s="46">
        <v>4</v>
      </c>
      <c r="B19" t="s">
        <v>19</v>
      </c>
      <c r="C19" s="17">
        <f>SUM(C13:C18)</f>
        <v>0</v>
      </c>
      <c r="E19" s="17">
        <f>SUM(E13:E18)</f>
        <v>64780798</v>
      </c>
      <c r="G19" s="17">
        <f>SUM(G13:G18)</f>
        <v>-64780798</v>
      </c>
    </row>
    <row r="20" spans="1:9" ht="16.2" thickTop="1" x14ac:dyDescent="0.3">
      <c r="A20" s="46"/>
    </row>
    <row r="21" spans="1:9" x14ac:dyDescent="0.3">
      <c r="A21" s="46">
        <v>5</v>
      </c>
      <c r="B21" t="s">
        <v>32</v>
      </c>
      <c r="C21" s="26">
        <v>0</v>
      </c>
      <c r="E21" s="3">
        <v>1281027</v>
      </c>
      <c r="G21" s="3">
        <f>+C21-E21</f>
        <v>-1281027</v>
      </c>
      <c r="H21" s="26"/>
    </row>
    <row r="22" spans="1:9" x14ac:dyDescent="0.3">
      <c r="A22" s="46"/>
      <c r="C22" s="3"/>
      <c r="E22" s="3"/>
      <c r="G22" s="3"/>
    </row>
    <row r="23" spans="1:9" x14ac:dyDescent="0.3">
      <c r="A23" s="46">
        <v>6</v>
      </c>
      <c r="B23" t="s">
        <v>126</v>
      </c>
      <c r="C23" s="2">
        <v>0</v>
      </c>
      <c r="D23" s="2"/>
      <c r="E23" s="2">
        <v>51907</v>
      </c>
      <c r="F23" s="2"/>
      <c r="G23" s="2">
        <f>+C23-E23</f>
        <v>-51907</v>
      </c>
    </row>
    <row r="24" spans="1:9" x14ac:dyDescent="0.3">
      <c r="A24" s="46"/>
      <c r="C24" s="2"/>
      <c r="D24" s="2"/>
      <c r="E24" s="2"/>
      <c r="F24" s="2"/>
      <c r="G24" s="2"/>
    </row>
    <row r="25" spans="1:9" x14ac:dyDescent="0.3">
      <c r="A25" s="46">
        <v>7</v>
      </c>
      <c r="B25" t="s">
        <v>2</v>
      </c>
      <c r="C25" s="2">
        <v>0</v>
      </c>
      <c r="D25" s="2"/>
      <c r="E25" s="2">
        <v>5150</v>
      </c>
      <c r="F25" s="2"/>
      <c r="G25" s="2">
        <f>+C25-E25</f>
        <v>-5150</v>
      </c>
    </row>
    <row r="26" spans="1:9" x14ac:dyDescent="0.3">
      <c r="A26" s="46"/>
    </row>
    <row r="27" spans="1:9" x14ac:dyDescent="0.3">
      <c r="A27" s="46">
        <v>8</v>
      </c>
      <c r="B27" t="s">
        <v>40</v>
      </c>
      <c r="C27" s="2">
        <v>0</v>
      </c>
      <c r="E27" s="2">
        <v>2695059</v>
      </c>
      <c r="G27" s="2">
        <f>+C27-E27</f>
        <v>-2695059</v>
      </c>
    </row>
    <row r="28" spans="1:9" x14ac:dyDescent="0.3">
      <c r="A28" s="46"/>
      <c r="E28" s="2"/>
      <c r="G28" s="2"/>
    </row>
    <row r="29" spans="1:9" x14ac:dyDescent="0.3">
      <c r="A29" s="46">
        <v>9</v>
      </c>
      <c r="B29" t="s">
        <v>21</v>
      </c>
      <c r="C29" s="64">
        <v>0</v>
      </c>
      <c r="E29" s="21">
        <v>765625</v>
      </c>
      <c r="G29" s="26">
        <f>+C29-E29</f>
        <v>-765625</v>
      </c>
    </row>
    <row r="30" spans="1:9" x14ac:dyDescent="0.3">
      <c r="A30" s="46"/>
      <c r="C30" s="64"/>
      <c r="E30" s="2"/>
      <c r="G30" s="2"/>
    </row>
    <row r="31" spans="1:9" ht="18.600000000000001" x14ac:dyDescent="0.3">
      <c r="A31" s="46">
        <v>10</v>
      </c>
      <c r="B31" t="s">
        <v>156</v>
      </c>
      <c r="C31" s="64">
        <v>0</v>
      </c>
      <c r="E31" s="2">
        <v>554284</v>
      </c>
      <c r="G31" s="26">
        <f>+C31-E31</f>
        <v>-554284</v>
      </c>
      <c r="H31" s="24"/>
    </row>
    <row r="32" spans="1:9" x14ac:dyDescent="0.3">
      <c r="A32" s="46"/>
      <c r="E32" s="26"/>
    </row>
    <row r="33" spans="1:7" x14ac:dyDescent="0.3">
      <c r="A33" s="46">
        <v>11</v>
      </c>
      <c r="B33" t="s">
        <v>52</v>
      </c>
      <c r="C33" s="27">
        <f>+C23+C25+C27+C29+C31</f>
        <v>0</v>
      </c>
      <c r="E33" s="27">
        <f>+E23+E25+E27+E29+E31</f>
        <v>4072025</v>
      </c>
      <c r="G33" s="27">
        <f>+G23+G25+G27+G29+G31</f>
        <v>-4072025</v>
      </c>
    </row>
    <row r="34" spans="1:7" x14ac:dyDescent="0.3">
      <c r="A34" s="46"/>
    </row>
    <row r="35" spans="1:7" ht="16.2" thickBot="1" x14ac:dyDescent="0.35">
      <c r="A35" s="46">
        <v>12</v>
      </c>
      <c r="B35" t="s">
        <v>20</v>
      </c>
      <c r="C35" s="17">
        <f>+C21-C33</f>
        <v>0</v>
      </c>
      <c r="E35" s="17">
        <f>+E21-E33</f>
        <v>-2790998</v>
      </c>
      <c r="G35" s="17">
        <f>+G21-G33</f>
        <v>2790998</v>
      </c>
    </row>
    <row r="36" spans="1:7" ht="37.799999999999997" customHeight="1" thickTop="1" x14ac:dyDescent="0.3">
      <c r="A36" s="46"/>
    </row>
    <row r="37" spans="1:7" ht="47.4" customHeight="1" x14ac:dyDescent="0.3">
      <c r="A37" s="35" t="s">
        <v>50</v>
      </c>
      <c r="B37" s="97" t="s">
        <v>174</v>
      </c>
      <c r="C37" s="97"/>
      <c r="D37" s="97"/>
      <c r="E37" s="97"/>
      <c r="F37" s="97"/>
      <c r="G37" s="97"/>
    </row>
    <row r="38" spans="1:7" x14ac:dyDescent="0.3">
      <c r="A38" s="1"/>
    </row>
    <row r="39" spans="1:7" x14ac:dyDescent="0.3">
      <c r="A39" s="1"/>
      <c r="B39" t="str">
        <f>+B21</f>
        <v>Revenue</v>
      </c>
      <c r="E39" s="3">
        <f>+E21</f>
        <v>1281027</v>
      </c>
    </row>
    <row r="40" spans="1:7" x14ac:dyDescent="0.3">
      <c r="A40" s="1"/>
      <c r="B40" t="str">
        <f>+B23</f>
        <v>Revenue Taxes</v>
      </c>
      <c r="E40" s="2">
        <f>+E23</f>
        <v>51907</v>
      </c>
    </row>
    <row r="41" spans="1:7" x14ac:dyDescent="0.3">
      <c r="A41" s="1"/>
      <c r="B41" t="str">
        <f>+B25</f>
        <v>Customer Accounts</v>
      </c>
      <c r="E41" s="2">
        <f>+E25</f>
        <v>5150</v>
      </c>
    </row>
    <row r="42" spans="1:7" x14ac:dyDescent="0.3">
      <c r="A42" s="1"/>
      <c r="B42" t="str">
        <f>+B27</f>
        <v>Depreciation &amp; Amortization Exp.</v>
      </c>
      <c r="E42" s="2">
        <f>+E27</f>
        <v>2695059</v>
      </c>
    </row>
    <row r="43" spans="1:7" x14ac:dyDescent="0.3">
      <c r="A43" s="1"/>
      <c r="B43" t="str">
        <f>+B29</f>
        <v>Taxes Other Than Income Tax</v>
      </c>
      <c r="E43" s="16">
        <f>+E29</f>
        <v>765625</v>
      </c>
    </row>
    <row r="44" spans="1:7" x14ac:dyDescent="0.3">
      <c r="A44" s="1"/>
      <c r="B44" t="s">
        <v>157</v>
      </c>
      <c r="E44" s="3">
        <f>+E39-SUM(E40:E43)</f>
        <v>-2236714</v>
      </c>
    </row>
    <row r="45" spans="1:7" x14ac:dyDescent="0.3">
      <c r="A45" s="1"/>
      <c r="B45" t="s">
        <v>158</v>
      </c>
      <c r="E45" s="3">
        <f>+E44*0.21</f>
        <v>-469709.94</v>
      </c>
    </row>
    <row r="46" spans="1:7" x14ac:dyDescent="0.3">
      <c r="A46" s="1"/>
      <c r="B46" t="s">
        <v>159</v>
      </c>
      <c r="E46" s="31">
        <v>554284</v>
      </c>
    </row>
    <row r="47" spans="1:7" ht="16.2" thickBot="1" x14ac:dyDescent="0.35">
      <c r="A47" s="1"/>
      <c r="B47" t="s">
        <v>160</v>
      </c>
      <c r="E47" s="69">
        <f>+E45-E46</f>
        <v>-1023993.94</v>
      </c>
      <c r="G47" s="24"/>
    </row>
    <row r="48" spans="1:7" ht="16.2" thickTop="1" x14ac:dyDescent="0.3">
      <c r="A48" s="1"/>
      <c r="E48" s="26"/>
      <c r="G48" s="24"/>
    </row>
    <row r="49" spans="1:7" x14ac:dyDescent="0.3">
      <c r="A49" s="1"/>
      <c r="E49" s="26"/>
      <c r="G49" s="24"/>
    </row>
    <row r="50" spans="1:7" x14ac:dyDescent="0.3">
      <c r="A50" s="1"/>
      <c r="E50" s="26"/>
      <c r="G50" s="24"/>
    </row>
    <row r="51" spans="1:7" x14ac:dyDescent="0.3">
      <c r="A51" s="1"/>
      <c r="B51" s="18" t="s">
        <v>66</v>
      </c>
      <c r="D51" s="2"/>
    </row>
    <row r="52" spans="1:7" x14ac:dyDescent="0.3">
      <c r="A52" s="1">
        <v>13</v>
      </c>
      <c r="B52" t="s">
        <v>79</v>
      </c>
      <c r="E52" s="26">
        <v>10321227</v>
      </c>
    </row>
    <row r="53" spans="1:7" x14ac:dyDescent="0.3">
      <c r="A53" s="1">
        <v>14</v>
      </c>
      <c r="B53" t="s">
        <v>65</v>
      </c>
      <c r="C53" s="26">
        <f>24915118</f>
        <v>24915118</v>
      </c>
      <c r="D53" s="2"/>
    </row>
    <row r="54" spans="1:7" x14ac:dyDescent="0.3">
      <c r="A54" s="1">
        <v>15</v>
      </c>
      <c r="B54" t="s">
        <v>62</v>
      </c>
      <c r="C54" s="16">
        <f>2932910</f>
        <v>2932910</v>
      </c>
      <c r="D54" s="2"/>
    </row>
    <row r="55" spans="1:7" x14ac:dyDescent="0.3">
      <c r="A55" s="1">
        <v>16</v>
      </c>
      <c r="B55" t="s">
        <v>63</v>
      </c>
      <c r="C55" s="26">
        <f>SUM(C53:C54)</f>
        <v>27848028</v>
      </c>
      <c r="D55" s="2"/>
    </row>
    <row r="56" spans="1:7" x14ac:dyDescent="0.3">
      <c r="A56" s="1">
        <v>17</v>
      </c>
      <c r="B56" t="s">
        <v>64</v>
      </c>
      <c r="E56" s="26">
        <f>-C55*0.75</f>
        <v>-20886021</v>
      </c>
    </row>
  </sheetData>
  <mergeCells count="4">
    <mergeCell ref="B37:G37"/>
    <mergeCell ref="A4:G4"/>
    <mergeCell ref="A5:G5"/>
    <mergeCell ref="A6:G6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6" workbookViewId="0">
      <selection activeCell="K18" sqref="K18"/>
    </sheetView>
  </sheetViews>
  <sheetFormatPr defaultRowHeight="15.6" x14ac:dyDescent="0.3"/>
  <cols>
    <col min="1" max="1" width="6.19921875" bestFit="1" customWidth="1"/>
    <col min="2" max="2" width="28.3984375" customWidth="1"/>
    <col min="3" max="3" width="11.296875" bestFit="1" customWidth="1"/>
    <col min="4" max="4" width="7.5" bestFit="1" customWidth="1"/>
    <col min="5" max="5" width="10.5" bestFit="1" customWidth="1"/>
    <col min="6" max="6" width="1.59765625" customWidth="1"/>
    <col min="7" max="7" width="12" bestFit="1" customWidth="1"/>
    <col min="8" max="8" width="1.19921875" customWidth="1"/>
    <col min="9" max="9" width="14.69921875" customWidth="1"/>
  </cols>
  <sheetData>
    <row r="1" spans="1:9" x14ac:dyDescent="0.3">
      <c r="I1" s="34" t="s">
        <v>209</v>
      </c>
    </row>
    <row r="2" spans="1:9" x14ac:dyDescent="0.3">
      <c r="A2" s="4"/>
      <c r="I2" s="34" t="s">
        <v>213</v>
      </c>
    </row>
    <row r="3" spans="1:9" x14ac:dyDescent="0.3">
      <c r="A3" s="4"/>
      <c r="I3" s="34" t="s">
        <v>206</v>
      </c>
    </row>
    <row r="4" spans="1:9" x14ac:dyDescent="0.3">
      <c r="A4" s="91" t="s">
        <v>9</v>
      </c>
      <c r="B4" s="91"/>
      <c r="C4" s="91"/>
      <c r="D4" s="91"/>
      <c r="E4" s="91"/>
      <c r="F4" s="91"/>
      <c r="G4" s="91"/>
      <c r="H4" s="91"/>
      <c r="I4" s="91"/>
    </row>
    <row r="5" spans="1:9" x14ac:dyDescent="0.3">
      <c r="A5" s="92" t="s">
        <v>41</v>
      </c>
      <c r="B5" s="92"/>
      <c r="C5" s="92"/>
      <c r="D5" s="92"/>
      <c r="E5" s="92"/>
      <c r="F5" s="92"/>
      <c r="G5" s="92"/>
      <c r="H5" s="92"/>
      <c r="I5" s="92"/>
    </row>
    <row r="6" spans="1:9" x14ac:dyDescent="0.3">
      <c r="A6" s="92" t="s">
        <v>34</v>
      </c>
      <c r="B6" s="92"/>
      <c r="C6" s="92"/>
      <c r="D6" s="92"/>
      <c r="E6" s="92"/>
      <c r="F6" s="92"/>
      <c r="G6" s="92"/>
      <c r="H6" s="92"/>
      <c r="I6" s="92"/>
    </row>
    <row r="7" spans="1:9" x14ac:dyDescent="0.3">
      <c r="A7" s="4"/>
    </row>
    <row r="8" spans="1:9" x14ac:dyDescent="0.3">
      <c r="A8" s="4"/>
      <c r="D8" s="1" t="s">
        <v>48</v>
      </c>
      <c r="E8" s="1" t="s">
        <v>48</v>
      </c>
    </row>
    <row r="9" spans="1:9" x14ac:dyDescent="0.3">
      <c r="A9" s="1"/>
      <c r="B9" s="1"/>
      <c r="C9" s="1">
        <v>2019</v>
      </c>
      <c r="D9" s="1">
        <v>2020</v>
      </c>
      <c r="E9" s="1">
        <v>2020</v>
      </c>
      <c r="G9" s="1" t="s">
        <v>99</v>
      </c>
      <c r="H9" s="38"/>
      <c r="I9" s="1" t="s">
        <v>31</v>
      </c>
    </row>
    <row r="10" spans="1:9" x14ac:dyDescent="0.3">
      <c r="A10" s="1" t="s">
        <v>11</v>
      </c>
      <c r="B10" s="1"/>
      <c r="C10" s="1" t="s">
        <v>44</v>
      </c>
      <c r="D10" s="1" t="s">
        <v>46</v>
      </c>
      <c r="E10" s="1" t="s">
        <v>44</v>
      </c>
      <c r="G10" s="1" t="s">
        <v>39</v>
      </c>
      <c r="H10" s="38"/>
      <c r="I10" s="1" t="s">
        <v>153</v>
      </c>
    </row>
    <row r="11" spans="1:9" ht="18.600000000000001" x14ac:dyDescent="0.3">
      <c r="A11" s="15" t="s">
        <v>14</v>
      </c>
      <c r="B11" s="15" t="s">
        <v>15</v>
      </c>
      <c r="C11" s="15" t="s">
        <v>47</v>
      </c>
      <c r="D11" s="75" t="s">
        <v>16</v>
      </c>
      <c r="E11" s="75" t="s">
        <v>45</v>
      </c>
      <c r="F11" s="86"/>
      <c r="G11" s="65" t="s">
        <v>129</v>
      </c>
      <c r="H11" s="65"/>
      <c r="I11" s="65" t="s">
        <v>154</v>
      </c>
    </row>
    <row r="12" spans="1:9" x14ac:dyDescent="0.3">
      <c r="A12" s="1"/>
    </row>
    <row r="13" spans="1:9" x14ac:dyDescent="0.3">
      <c r="A13" s="46"/>
      <c r="B13" s="18" t="s">
        <v>68</v>
      </c>
    </row>
    <row r="14" spans="1:9" x14ac:dyDescent="0.3">
      <c r="A14" s="46">
        <v>1</v>
      </c>
      <c r="B14" t="s">
        <v>42</v>
      </c>
      <c r="C14" s="3">
        <v>9796448.2300000004</v>
      </c>
      <c r="D14" s="19">
        <v>0.03</v>
      </c>
      <c r="E14" s="3">
        <f>+C14*D14</f>
        <v>293893.44689999998</v>
      </c>
      <c r="G14" s="3"/>
      <c r="H14" s="3"/>
      <c r="I14" s="25"/>
    </row>
    <row r="15" spans="1:9" x14ac:dyDescent="0.3">
      <c r="A15" s="46"/>
    </row>
    <row r="16" spans="1:9" x14ac:dyDescent="0.3">
      <c r="A16" s="46">
        <v>2</v>
      </c>
      <c r="B16" t="s">
        <v>43</v>
      </c>
      <c r="C16" s="2">
        <v>10235928.27</v>
      </c>
      <c r="D16" s="19">
        <v>0.03</v>
      </c>
      <c r="E16" s="21">
        <f>+C16*+D16</f>
        <v>307077.8481</v>
      </c>
      <c r="G16" s="21"/>
      <c r="H16" s="21"/>
      <c r="I16" s="25"/>
    </row>
    <row r="17" spans="1:9" x14ac:dyDescent="0.3">
      <c r="A17" s="46"/>
      <c r="C17" s="2"/>
      <c r="D17" s="19"/>
      <c r="E17" s="21"/>
      <c r="G17" s="21"/>
      <c r="H17" s="21"/>
    </row>
    <row r="18" spans="1:9" x14ac:dyDescent="0.3">
      <c r="A18" s="46">
        <v>3</v>
      </c>
      <c r="B18" t="s">
        <v>51</v>
      </c>
      <c r="C18" s="2">
        <v>5832196.1399999997</v>
      </c>
      <c r="D18" s="19">
        <v>0.03</v>
      </c>
      <c r="E18" s="16">
        <f>+C18*D18</f>
        <v>174965.88419999997</v>
      </c>
      <c r="G18" s="21"/>
      <c r="H18" s="21"/>
      <c r="I18" s="25"/>
    </row>
    <row r="19" spans="1:9" x14ac:dyDescent="0.3">
      <c r="A19" s="46"/>
    </row>
    <row r="20" spans="1:9" x14ac:dyDescent="0.3">
      <c r="A20" s="46">
        <v>4</v>
      </c>
      <c r="B20" t="s">
        <v>132</v>
      </c>
      <c r="C20" s="3"/>
      <c r="E20" s="3">
        <f>+E14+E16+E18</f>
        <v>775937.1791999999</v>
      </c>
      <c r="G20" s="3">
        <f>13283+904453+231211+57097+705685</f>
        <v>1911729</v>
      </c>
      <c r="H20" s="3"/>
      <c r="I20" s="3">
        <f>+E20-G20</f>
        <v>-1135791.8208000001</v>
      </c>
    </row>
    <row r="21" spans="1:9" x14ac:dyDescent="0.3">
      <c r="A21" s="46"/>
      <c r="C21" s="26"/>
    </row>
    <row r="22" spans="1:9" x14ac:dyDescent="0.3">
      <c r="A22" s="46">
        <v>6</v>
      </c>
      <c r="B22" t="s">
        <v>49</v>
      </c>
      <c r="E22" s="36">
        <f>(E14+E16)*0.0765</f>
        <v>45974.304067499994</v>
      </c>
      <c r="F22" s="22"/>
      <c r="G22" s="36">
        <v>108841</v>
      </c>
      <c r="H22" s="36"/>
      <c r="I22" s="26">
        <f>+E22-G22</f>
        <v>-62866.695932500006</v>
      </c>
    </row>
    <row r="23" spans="1:9" x14ac:dyDescent="0.3">
      <c r="A23" s="46"/>
      <c r="E23" s="36"/>
      <c r="G23" s="36"/>
      <c r="H23" s="36"/>
    </row>
    <row r="24" spans="1:9" x14ac:dyDescent="0.3">
      <c r="A24" s="46">
        <v>7</v>
      </c>
      <c r="B24" t="s">
        <v>125</v>
      </c>
      <c r="E24" s="31">
        <f>-(E20+E22)*0.21</f>
        <v>-172601.41148617497</v>
      </c>
      <c r="G24" s="31">
        <v>-424366</v>
      </c>
      <c r="H24" s="36"/>
      <c r="I24" s="27">
        <f>+E24-G24</f>
        <v>251764.58851382503</v>
      </c>
    </row>
    <row r="25" spans="1:9" x14ac:dyDescent="0.3">
      <c r="A25" s="46"/>
      <c r="E25" s="36"/>
      <c r="G25" s="36"/>
      <c r="H25" s="36"/>
    </row>
    <row r="26" spans="1:9" ht="16.2" thickBot="1" x14ac:dyDescent="0.35">
      <c r="A26" s="46">
        <v>8</v>
      </c>
      <c r="B26" t="s">
        <v>133</v>
      </c>
      <c r="E26" s="20">
        <f>-SUM(E20:E24)</f>
        <v>-649310.07178132492</v>
      </c>
      <c r="G26" s="20">
        <f>-SUM(G20:G24)</f>
        <v>-1596204</v>
      </c>
      <c r="H26" s="36"/>
      <c r="I26" s="20">
        <f>+E26-G26</f>
        <v>946893.92821867508</v>
      </c>
    </row>
    <row r="27" spans="1:9" ht="16.2" thickTop="1" x14ac:dyDescent="0.3">
      <c r="A27" s="1"/>
    </row>
    <row r="28" spans="1:9" x14ac:dyDescent="0.3">
      <c r="A28" s="76"/>
    </row>
    <row r="29" spans="1:9" x14ac:dyDescent="0.3">
      <c r="A29" s="1"/>
    </row>
    <row r="30" spans="1:9" ht="31.2" customHeight="1" x14ac:dyDescent="0.3">
      <c r="A30" s="83" t="s">
        <v>50</v>
      </c>
      <c r="B30" s="98" t="s">
        <v>131</v>
      </c>
      <c r="C30" s="98"/>
      <c r="D30" s="98"/>
      <c r="E30" s="98"/>
      <c r="F30" s="98"/>
      <c r="G30" s="98"/>
      <c r="H30" s="98"/>
      <c r="I30" s="98"/>
    </row>
    <row r="31" spans="1:9" x14ac:dyDescent="0.3">
      <c r="A31" s="83"/>
      <c r="B31" s="83"/>
      <c r="C31" s="83"/>
      <c r="D31" s="83"/>
      <c r="E31" s="83"/>
      <c r="F31" s="83"/>
      <c r="G31" s="83"/>
      <c r="H31" s="83"/>
      <c r="I31" s="83"/>
    </row>
    <row r="32" spans="1:9" ht="64.8" customHeight="1" x14ac:dyDescent="0.3">
      <c r="A32" s="83" t="s">
        <v>130</v>
      </c>
      <c r="B32" s="98" t="s">
        <v>175</v>
      </c>
      <c r="C32" s="98"/>
      <c r="D32" s="98"/>
      <c r="E32" s="98"/>
      <c r="F32" s="98"/>
      <c r="G32" s="98"/>
      <c r="H32" s="98"/>
      <c r="I32" s="98"/>
    </row>
    <row r="40" ht="31.2" customHeight="1" x14ac:dyDescent="0.3"/>
  </sheetData>
  <mergeCells count="5">
    <mergeCell ref="B30:I30"/>
    <mergeCell ref="B32:I32"/>
    <mergeCell ref="A4:I4"/>
    <mergeCell ref="A5:I5"/>
    <mergeCell ref="A6:I6"/>
  </mergeCells>
  <pageMargins left="0.7" right="0.7" top="0.75" bottom="0.75" header="0.3" footer="0.3"/>
  <pageSetup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K18" sqref="K18"/>
    </sheetView>
  </sheetViews>
  <sheetFormatPr defaultRowHeight="15.6" x14ac:dyDescent="0.3"/>
  <cols>
    <col min="1" max="1" width="6.296875" customWidth="1"/>
    <col min="2" max="2" width="39.5" customWidth="1"/>
    <col min="3" max="3" width="11.296875" bestFit="1" customWidth="1"/>
    <col min="4" max="4" width="3.296875" customWidth="1"/>
    <col min="5" max="5" width="12" bestFit="1" customWidth="1"/>
    <col min="6" max="6" width="1.796875" customWidth="1"/>
    <col min="7" max="7" width="12" bestFit="1" customWidth="1"/>
    <col min="8" max="8" width="1.8984375" customWidth="1"/>
    <col min="9" max="9" width="10.5" bestFit="1" customWidth="1"/>
  </cols>
  <sheetData>
    <row r="1" spans="1:9" x14ac:dyDescent="0.3">
      <c r="I1" s="34" t="s">
        <v>209</v>
      </c>
    </row>
    <row r="2" spans="1:9" x14ac:dyDescent="0.3">
      <c r="A2" s="4"/>
      <c r="I2" s="34" t="s">
        <v>212</v>
      </c>
    </row>
    <row r="3" spans="1:9" x14ac:dyDescent="0.3">
      <c r="A3" s="4"/>
      <c r="I3" s="34" t="s">
        <v>206</v>
      </c>
    </row>
    <row r="4" spans="1:9" x14ac:dyDescent="0.3">
      <c r="A4" s="91" t="s">
        <v>9</v>
      </c>
      <c r="B4" s="91"/>
      <c r="C4" s="91"/>
      <c r="D4" s="91"/>
      <c r="E4" s="91"/>
      <c r="F4" s="91"/>
      <c r="G4" s="91"/>
      <c r="H4" s="91"/>
      <c r="I4" s="91"/>
    </row>
    <row r="5" spans="1:9" x14ac:dyDescent="0.3">
      <c r="A5" s="92" t="s">
        <v>53</v>
      </c>
      <c r="B5" s="92"/>
      <c r="C5" s="92"/>
      <c r="D5" s="92"/>
      <c r="E5" s="92"/>
      <c r="F5" s="92"/>
      <c r="G5" s="92"/>
      <c r="H5" s="92"/>
      <c r="I5" s="92"/>
    </row>
    <row r="6" spans="1:9" x14ac:dyDescent="0.3">
      <c r="A6" s="92" t="s">
        <v>34</v>
      </c>
      <c r="B6" s="92"/>
      <c r="C6" s="92"/>
      <c r="D6" s="92"/>
      <c r="E6" s="92"/>
      <c r="F6" s="92"/>
      <c r="G6" s="92"/>
      <c r="H6" s="92"/>
      <c r="I6" s="92"/>
    </row>
    <row r="7" spans="1:9" x14ac:dyDescent="0.3">
      <c r="A7" s="4"/>
    </row>
    <row r="8" spans="1:9" x14ac:dyDescent="0.3">
      <c r="A8" s="4"/>
      <c r="D8" s="1"/>
      <c r="E8" s="1"/>
    </row>
    <row r="9" spans="1:9" x14ac:dyDescent="0.3">
      <c r="A9" s="1"/>
      <c r="B9" s="1"/>
      <c r="C9" s="1"/>
      <c r="D9" s="1"/>
      <c r="E9" s="1"/>
      <c r="G9" s="1" t="s">
        <v>99</v>
      </c>
      <c r="I9" s="1" t="s">
        <v>31</v>
      </c>
    </row>
    <row r="10" spans="1:9" x14ac:dyDescent="0.3">
      <c r="A10" s="1" t="s">
        <v>11</v>
      </c>
      <c r="B10" s="1"/>
      <c r="C10" s="1"/>
      <c r="D10" s="1"/>
      <c r="E10" s="1" t="s">
        <v>48</v>
      </c>
      <c r="G10" s="1" t="s">
        <v>31</v>
      </c>
      <c r="I10" s="1" t="s">
        <v>153</v>
      </c>
    </row>
    <row r="11" spans="1:9" x14ac:dyDescent="0.3">
      <c r="A11" s="15" t="s">
        <v>14</v>
      </c>
      <c r="B11" s="15" t="s">
        <v>15</v>
      </c>
      <c r="C11" s="15"/>
      <c r="D11" s="15"/>
      <c r="E11" s="75" t="s">
        <v>31</v>
      </c>
      <c r="F11" s="86"/>
      <c r="G11" s="75" t="s">
        <v>178</v>
      </c>
      <c r="H11" s="86"/>
      <c r="I11" s="65" t="s">
        <v>154</v>
      </c>
    </row>
    <row r="12" spans="1:9" x14ac:dyDescent="0.3">
      <c r="E12" s="3"/>
    </row>
    <row r="13" spans="1:9" x14ac:dyDescent="0.3">
      <c r="A13" s="46">
        <v>1</v>
      </c>
      <c r="B13" t="s">
        <v>165</v>
      </c>
      <c r="E13" s="3">
        <v>2890621</v>
      </c>
    </row>
    <row r="14" spans="1:9" x14ac:dyDescent="0.3">
      <c r="A14" s="46"/>
      <c r="E14" s="2"/>
    </row>
    <row r="15" spans="1:9" ht="18.600000000000001" x14ac:dyDescent="0.3">
      <c r="A15" s="46">
        <v>2</v>
      </c>
      <c r="B15" t="s">
        <v>166</v>
      </c>
      <c r="E15" s="16">
        <v>-1162983</v>
      </c>
      <c r="G15" s="3">
        <v>-1230735</v>
      </c>
    </row>
    <row r="16" spans="1:9" x14ac:dyDescent="0.3">
      <c r="A16" s="46"/>
      <c r="E16" s="21"/>
    </row>
    <row r="17" spans="1:9" x14ac:dyDescent="0.3">
      <c r="A17" s="46">
        <v>3</v>
      </c>
      <c r="B17" t="s">
        <v>61</v>
      </c>
      <c r="E17" s="3">
        <f>+E13+E15</f>
        <v>1727638</v>
      </c>
      <c r="G17" s="29"/>
    </row>
    <row r="18" spans="1:9" x14ac:dyDescent="0.3">
      <c r="A18" s="46"/>
      <c r="G18" s="29"/>
    </row>
    <row r="19" spans="1:9" x14ac:dyDescent="0.3">
      <c r="A19" s="46">
        <v>4</v>
      </c>
      <c r="B19" t="s">
        <v>134</v>
      </c>
      <c r="E19" s="16">
        <v>1101969</v>
      </c>
      <c r="G19" s="29"/>
    </row>
    <row r="20" spans="1:9" x14ac:dyDescent="0.3">
      <c r="A20" s="46"/>
    </row>
    <row r="21" spans="1:9" x14ac:dyDescent="0.3">
      <c r="A21" s="46">
        <v>5</v>
      </c>
      <c r="B21" t="s">
        <v>164</v>
      </c>
      <c r="E21" s="31">
        <f>+E19-E17</f>
        <v>-625669</v>
      </c>
    </row>
    <row r="22" spans="1:9" x14ac:dyDescent="0.3">
      <c r="A22" s="46"/>
      <c r="E22" s="36"/>
    </row>
    <row r="23" spans="1:9" x14ac:dyDescent="0.3">
      <c r="A23" s="46">
        <v>6</v>
      </c>
      <c r="B23" t="s">
        <v>155</v>
      </c>
      <c r="E23" s="36">
        <f>+E15+E21</f>
        <v>-1788652</v>
      </c>
      <c r="G23" s="26">
        <f>+G15</f>
        <v>-1230735</v>
      </c>
      <c r="I23" s="26">
        <f>+E23-G23</f>
        <v>-557917</v>
      </c>
    </row>
    <row r="24" spans="1:9" x14ac:dyDescent="0.3">
      <c r="A24" s="46"/>
    </row>
    <row r="25" spans="1:9" x14ac:dyDescent="0.3">
      <c r="A25" s="46">
        <v>7</v>
      </c>
      <c r="B25" t="s">
        <v>49</v>
      </c>
      <c r="E25" s="21">
        <f>+(+E21)*0.0765</f>
        <v>-47863.678500000002</v>
      </c>
      <c r="I25" s="24">
        <f>+E25-G25</f>
        <v>-47863.678500000002</v>
      </c>
    </row>
    <row r="26" spans="1:9" x14ac:dyDescent="0.3">
      <c r="A26" s="46"/>
    </row>
    <row r="27" spans="1:9" x14ac:dyDescent="0.3">
      <c r="A27" s="46">
        <v>8</v>
      </c>
      <c r="B27" t="s">
        <v>125</v>
      </c>
      <c r="E27" s="16">
        <f>-(E23+E25)*0.21</f>
        <v>385668.29248499998</v>
      </c>
      <c r="G27" s="16">
        <f>-G23*0.21</f>
        <v>258454.34999999998</v>
      </c>
      <c r="I27" s="16">
        <f>+E27-G27</f>
        <v>127213.94248500001</v>
      </c>
    </row>
    <row r="28" spans="1:9" x14ac:dyDescent="0.3">
      <c r="A28" s="46"/>
    </row>
    <row r="29" spans="1:9" ht="16.2" thickBot="1" x14ac:dyDescent="0.35">
      <c r="A29" s="46">
        <v>9</v>
      </c>
      <c r="B29" t="s">
        <v>135</v>
      </c>
      <c r="E29" s="17">
        <f>-SUM(E23:E27)</f>
        <v>1450847.3860149998</v>
      </c>
      <c r="G29" s="17">
        <f>-SUM(G23:G27)</f>
        <v>972280.65</v>
      </c>
      <c r="I29" s="17">
        <f>+E29-G29</f>
        <v>478566.7360149998</v>
      </c>
    </row>
    <row r="30" spans="1:9" ht="16.2" thickTop="1" x14ac:dyDescent="0.3">
      <c r="A30" s="46"/>
      <c r="E30" s="80"/>
      <c r="G30" s="80"/>
      <c r="I30" s="80"/>
    </row>
    <row r="31" spans="1:9" x14ac:dyDescent="0.3">
      <c r="A31" s="81"/>
    </row>
    <row r="32" spans="1:9" x14ac:dyDescent="0.3">
      <c r="A32" s="83" t="s">
        <v>50</v>
      </c>
      <c r="B32" s="83" t="s">
        <v>167</v>
      </c>
    </row>
    <row r="33" spans="1:5" x14ac:dyDescent="0.3">
      <c r="A33" s="81"/>
    </row>
    <row r="35" spans="1:5" x14ac:dyDescent="0.3">
      <c r="A35" s="1"/>
    </row>
    <row r="36" spans="1:5" x14ac:dyDescent="0.3">
      <c r="B36" t="s">
        <v>55</v>
      </c>
    </row>
    <row r="37" spans="1:5" x14ac:dyDescent="0.3">
      <c r="A37" s="1"/>
      <c r="B37" t="s">
        <v>56</v>
      </c>
      <c r="C37" s="3">
        <v>863819.06</v>
      </c>
      <c r="E37" s="29">
        <f>+C37/C$40</f>
        <v>0.5</v>
      </c>
    </row>
    <row r="38" spans="1:5" x14ac:dyDescent="0.3">
      <c r="B38" t="s">
        <v>57</v>
      </c>
      <c r="C38" s="3">
        <v>576167.31000000006</v>
      </c>
      <c r="E38" s="29">
        <f>+C38/C$40</f>
        <v>0.33349999825194876</v>
      </c>
    </row>
    <row r="39" spans="1:5" x14ac:dyDescent="0.3">
      <c r="B39" t="s">
        <v>58</v>
      </c>
      <c r="C39" s="31">
        <v>287651.75</v>
      </c>
      <c r="E39" s="32">
        <f>+C39/C$40</f>
        <v>0.16650000174805124</v>
      </c>
    </row>
    <row r="40" spans="1:5" x14ac:dyDescent="0.3">
      <c r="B40" t="s">
        <v>5</v>
      </c>
      <c r="C40" s="3">
        <f>SUM(C37:C39)</f>
        <v>1727638.12</v>
      </c>
      <c r="E40" s="30">
        <f>SUM(E37:E39)</f>
        <v>1</v>
      </c>
    </row>
    <row r="41" spans="1:5" x14ac:dyDescent="0.3">
      <c r="B41" t="s">
        <v>59</v>
      </c>
      <c r="C41" s="3">
        <f>+C40*1.04^2</f>
        <v>1868613.3905920002</v>
      </c>
    </row>
    <row r="42" spans="1:5" x14ac:dyDescent="0.3">
      <c r="B42" t="s">
        <v>60</v>
      </c>
      <c r="C42" s="3">
        <f>+E17-C41</f>
        <v>-140975.39059200021</v>
      </c>
    </row>
    <row r="43" spans="1:5" x14ac:dyDescent="0.3">
      <c r="C43" s="3"/>
    </row>
  </sheetData>
  <mergeCells count="3">
    <mergeCell ref="A4:I4"/>
    <mergeCell ref="A5:I5"/>
    <mergeCell ref="A6:I6"/>
  </mergeCells>
  <pageMargins left="0.7" right="0.7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25" workbookViewId="0">
      <selection activeCell="B40" sqref="B40"/>
    </sheetView>
  </sheetViews>
  <sheetFormatPr defaultRowHeight="15.6" x14ac:dyDescent="0.3"/>
  <cols>
    <col min="1" max="1" width="6.796875" bestFit="1" customWidth="1"/>
    <col min="2" max="2" width="46.3984375" customWidth="1"/>
    <col min="3" max="3" width="2.3984375" customWidth="1"/>
    <col min="4" max="4" width="12.296875" bestFit="1" customWidth="1"/>
    <col min="5" max="5" width="3.59765625" customWidth="1"/>
    <col min="6" max="6" width="12.296875" bestFit="1" customWidth="1"/>
    <col min="7" max="7" width="2.8984375" customWidth="1"/>
    <col min="8" max="8" width="13.59765625" customWidth="1"/>
  </cols>
  <sheetData>
    <row r="1" spans="1:8" x14ac:dyDescent="0.3">
      <c r="H1" s="34" t="s">
        <v>209</v>
      </c>
    </row>
    <row r="2" spans="1:8" x14ac:dyDescent="0.3">
      <c r="H2" s="34" t="s">
        <v>211</v>
      </c>
    </row>
    <row r="3" spans="1:8" x14ac:dyDescent="0.3">
      <c r="A3" s="4"/>
      <c r="H3" s="34" t="s">
        <v>206</v>
      </c>
    </row>
    <row r="4" spans="1:8" x14ac:dyDescent="0.3">
      <c r="A4" s="91" t="s">
        <v>9</v>
      </c>
      <c r="B4" s="91"/>
      <c r="C4" s="91"/>
      <c r="D4" s="91"/>
      <c r="E4" s="91"/>
      <c r="F4" s="91"/>
      <c r="G4" s="91"/>
      <c r="H4" s="91"/>
    </row>
    <row r="5" spans="1:8" x14ac:dyDescent="0.3">
      <c r="A5" s="92" t="s">
        <v>54</v>
      </c>
      <c r="B5" s="92"/>
      <c r="C5" s="92"/>
      <c r="D5" s="92"/>
      <c r="E5" s="92"/>
      <c r="F5" s="92"/>
      <c r="G5" s="92"/>
      <c r="H5" s="92"/>
    </row>
    <row r="6" spans="1:8" x14ac:dyDescent="0.3">
      <c r="A6" s="92" t="s">
        <v>34</v>
      </c>
      <c r="B6" s="92"/>
      <c r="C6" s="92"/>
      <c r="D6" s="92"/>
      <c r="E6" s="92"/>
      <c r="F6" s="92"/>
      <c r="G6" s="92"/>
      <c r="H6" s="92"/>
    </row>
    <row r="7" spans="1:8" x14ac:dyDescent="0.3">
      <c r="A7" s="4"/>
    </row>
    <row r="8" spans="1:8" x14ac:dyDescent="0.3">
      <c r="A8" s="4"/>
      <c r="C8" s="1"/>
      <c r="D8" s="1"/>
    </row>
    <row r="9" spans="1:8" x14ac:dyDescent="0.3">
      <c r="A9" s="1"/>
      <c r="B9" s="1"/>
      <c r="C9" s="1"/>
      <c r="D9" s="1"/>
      <c r="H9" s="1" t="s">
        <v>31</v>
      </c>
    </row>
    <row r="10" spans="1:8" x14ac:dyDescent="0.3">
      <c r="A10" s="1" t="s">
        <v>11</v>
      </c>
      <c r="B10" s="1"/>
      <c r="C10" s="1"/>
      <c r="D10" s="1" t="s">
        <v>48</v>
      </c>
      <c r="F10" s="1" t="s">
        <v>99</v>
      </c>
      <c r="H10" s="1" t="s">
        <v>153</v>
      </c>
    </row>
    <row r="11" spans="1:8" ht="18.600000000000001" x14ac:dyDescent="0.3">
      <c r="A11" s="15" t="s">
        <v>14</v>
      </c>
      <c r="B11" s="75" t="s">
        <v>15</v>
      </c>
      <c r="C11" s="86"/>
      <c r="D11" s="75" t="s">
        <v>136</v>
      </c>
      <c r="E11" s="86"/>
      <c r="F11" s="75" t="s">
        <v>138</v>
      </c>
      <c r="G11" s="86"/>
      <c r="H11" s="65" t="s">
        <v>154</v>
      </c>
    </row>
    <row r="12" spans="1:8" x14ac:dyDescent="0.3">
      <c r="D12" s="3"/>
    </row>
    <row r="13" spans="1:8" x14ac:dyDescent="0.3">
      <c r="A13" s="46">
        <v>1</v>
      </c>
      <c r="B13" t="s">
        <v>1</v>
      </c>
      <c r="D13" s="3">
        <v>923295</v>
      </c>
      <c r="F13" s="3">
        <v>923295</v>
      </c>
      <c r="H13" s="26">
        <f>+D13-F13</f>
        <v>0</v>
      </c>
    </row>
    <row r="14" spans="1:8" x14ac:dyDescent="0.3">
      <c r="A14" s="46"/>
      <c r="D14" s="3"/>
      <c r="F14" s="3"/>
    </row>
    <row r="15" spans="1:8" x14ac:dyDescent="0.3">
      <c r="A15" s="46">
        <v>2</v>
      </c>
      <c r="B15" t="s">
        <v>126</v>
      </c>
      <c r="D15" s="2">
        <v>37412</v>
      </c>
      <c r="F15" s="2">
        <v>37412</v>
      </c>
      <c r="H15" s="24">
        <f>+D15-F15</f>
        <v>0</v>
      </c>
    </row>
    <row r="16" spans="1:8" x14ac:dyDescent="0.3">
      <c r="A16" s="46"/>
      <c r="D16" s="2"/>
      <c r="F16" s="2"/>
    </row>
    <row r="17" spans="1:8" x14ac:dyDescent="0.3">
      <c r="A17" s="46">
        <v>3</v>
      </c>
      <c r="B17" t="s">
        <v>2</v>
      </c>
      <c r="D17" s="2">
        <v>3712</v>
      </c>
      <c r="F17" s="2">
        <v>3712</v>
      </c>
      <c r="H17" s="24">
        <f>+D17-F17</f>
        <v>0</v>
      </c>
    </row>
    <row r="18" spans="1:8" x14ac:dyDescent="0.3">
      <c r="A18" s="46"/>
      <c r="D18" s="2"/>
      <c r="F18" s="2"/>
    </row>
    <row r="19" spans="1:8" x14ac:dyDescent="0.3">
      <c r="A19" s="46">
        <v>4</v>
      </c>
      <c r="B19" t="s">
        <v>140</v>
      </c>
      <c r="D19" s="2">
        <v>1910512</v>
      </c>
      <c r="E19" s="3"/>
      <c r="F19" s="2">
        <v>2932910</v>
      </c>
      <c r="H19" s="24">
        <f>+D19-F19</f>
        <v>-1022398</v>
      </c>
    </row>
    <row r="20" spans="1:8" x14ac:dyDescent="0.3">
      <c r="A20" s="46"/>
      <c r="D20" s="2"/>
      <c r="F20" s="2"/>
    </row>
    <row r="21" spans="1:8" x14ac:dyDescent="0.3">
      <c r="A21" s="46">
        <v>5</v>
      </c>
      <c r="B21" t="s">
        <v>125</v>
      </c>
      <c r="D21" s="16">
        <v>-215952</v>
      </c>
      <c r="F21" s="16">
        <v>-430655</v>
      </c>
      <c r="H21" s="23">
        <f>+D21-F21</f>
        <v>214703</v>
      </c>
    </row>
    <row r="22" spans="1:8" x14ac:dyDescent="0.3">
      <c r="A22" s="46"/>
    </row>
    <row r="23" spans="1:8" ht="16.2" thickBot="1" x14ac:dyDescent="0.35">
      <c r="A23" s="46">
        <v>6</v>
      </c>
      <c r="B23" t="s">
        <v>137</v>
      </c>
      <c r="D23" s="20">
        <f>+D13-SUM(D15:D21)</f>
        <v>-812389</v>
      </c>
      <c r="F23" s="20">
        <f>+F13-SUM(F15:F21)</f>
        <v>-1620084</v>
      </c>
      <c r="H23" s="17">
        <f>+D23-F23</f>
        <v>807695</v>
      </c>
    </row>
    <row r="24" spans="1:8" ht="16.2" thickTop="1" x14ac:dyDescent="0.3">
      <c r="A24" s="46"/>
      <c r="D24" s="36"/>
      <c r="F24" s="36"/>
    </row>
    <row r="25" spans="1:8" x14ac:dyDescent="0.3">
      <c r="A25" s="46">
        <v>7</v>
      </c>
      <c r="B25" t="s">
        <v>17</v>
      </c>
      <c r="D25" s="3">
        <v>31077329</v>
      </c>
      <c r="E25" s="3"/>
      <c r="F25" s="3">
        <v>31077329</v>
      </c>
      <c r="H25" s="26">
        <f t="shared" ref="H25:H30" si="0">+D25-F25</f>
        <v>0</v>
      </c>
    </row>
    <row r="26" spans="1:8" x14ac:dyDescent="0.3">
      <c r="A26" s="46">
        <v>8</v>
      </c>
      <c r="B26" t="s">
        <v>38</v>
      </c>
      <c r="D26" s="2">
        <v>-7438117</v>
      </c>
      <c r="E26" s="2"/>
      <c r="F26" s="2">
        <v>-7438117</v>
      </c>
      <c r="H26" s="24">
        <f t="shared" si="0"/>
        <v>0</v>
      </c>
    </row>
    <row r="27" spans="1:8" x14ac:dyDescent="0.3">
      <c r="A27" s="46">
        <v>9</v>
      </c>
      <c r="B27" t="s">
        <v>141</v>
      </c>
      <c r="D27" s="2">
        <v>44862</v>
      </c>
      <c r="E27" s="2"/>
      <c r="F27" s="2">
        <v>44862</v>
      </c>
      <c r="H27" s="24">
        <f t="shared" si="0"/>
        <v>0</v>
      </c>
    </row>
    <row r="28" spans="1:8" x14ac:dyDescent="0.3">
      <c r="A28" s="46">
        <v>10</v>
      </c>
      <c r="B28" t="s">
        <v>142</v>
      </c>
      <c r="D28" s="2">
        <v>-2047962</v>
      </c>
      <c r="E28" s="2"/>
      <c r="F28" s="2">
        <v>-2047962</v>
      </c>
      <c r="H28" s="24">
        <f t="shared" si="0"/>
        <v>0</v>
      </c>
    </row>
    <row r="29" spans="1:8" x14ac:dyDescent="0.3">
      <c r="A29" s="46">
        <v>11</v>
      </c>
      <c r="B29" t="s">
        <v>143</v>
      </c>
      <c r="D29" s="16">
        <v>0</v>
      </c>
      <c r="F29" s="16">
        <v>0</v>
      </c>
      <c r="H29" s="23">
        <f t="shared" si="0"/>
        <v>0</v>
      </c>
    </row>
    <row r="30" spans="1:8" ht="16.2" thickBot="1" x14ac:dyDescent="0.35">
      <c r="A30" s="46">
        <v>12</v>
      </c>
      <c r="B30" t="s">
        <v>144</v>
      </c>
      <c r="D30" s="66">
        <f>SUM(D25:D29)</f>
        <v>21636112</v>
      </c>
      <c r="F30" s="66">
        <f>SUM(F25:F29)</f>
        <v>21636112</v>
      </c>
      <c r="H30" s="69">
        <f t="shared" si="0"/>
        <v>0</v>
      </c>
    </row>
    <row r="31" spans="1:8" ht="16.2" thickTop="1" x14ac:dyDescent="0.3">
      <c r="A31" s="46"/>
      <c r="D31" s="36"/>
      <c r="F31" s="36"/>
      <c r="H31" s="80"/>
    </row>
    <row r="32" spans="1:8" x14ac:dyDescent="0.3">
      <c r="A32" s="46"/>
      <c r="D32" s="36"/>
      <c r="F32" s="36"/>
      <c r="H32" s="80"/>
    </row>
    <row r="33" spans="1:8" x14ac:dyDescent="0.3">
      <c r="A33" s="1"/>
      <c r="D33" s="36"/>
    </row>
    <row r="34" spans="1:8" x14ac:dyDescent="0.3">
      <c r="A34" s="1"/>
    </row>
    <row r="35" spans="1:8" ht="30.6" customHeight="1" x14ac:dyDescent="0.3">
      <c r="A35" s="82" t="s">
        <v>69</v>
      </c>
      <c r="B35" s="99" t="s">
        <v>176</v>
      </c>
      <c r="C35" s="99"/>
      <c r="D35" s="99"/>
      <c r="E35" s="99"/>
      <c r="F35" s="99"/>
      <c r="G35" s="99"/>
      <c r="H35" s="99"/>
    </row>
    <row r="36" spans="1:8" x14ac:dyDescent="0.3">
      <c r="A36" s="84"/>
      <c r="B36" s="85"/>
      <c r="C36" s="85"/>
      <c r="D36" s="85"/>
      <c r="E36" s="85"/>
      <c r="F36" s="85"/>
      <c r="G36" s="85"/>
      <c r="H36" s="85"/>
    </row>
    <row r="37" spans="1:8" ht="31.8" customHeight="1" x14ac:dyDescent="0.3">
      <c r="A37" s="82" t="s">
        <v>139</v>
      </c>
      <c r="B37" s="98" t="s">
        <v>177</v>
      </c>
      <c r="C37" s="98"/>
      <c r="D37" s="98"/>
      <c r="E37" s="98"/>
      <c r="F37" s="98"/>
      <c r="G37" s="98"/>
      <c r="H37" s="98"/>
    </row>
  </sheetData>
  <mergeCells count="5">
    <mergeCell ref="A4:H4"/>
    <mergeCell ref="A5:H5"/>
    <mergeCell ref="A6:H6"/>
    <mergeCell ref="B35:H35"/>
    <mergeCell ref="B37:H37"/>
  </mergeCells>
  <pageMargins left="0.7" right="0.7" top="0.75" bottom="0.75" header="0.3" footer="0.3"/>
  <pageSetup scale="8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D32" sqref="D32"/>
    </sheetView>
  </sheetViews>
  <sheetFormatPr defaultRowHeight="15.6" x14ac:dyDescent="0.3"/>
  <cols>
    <col min="1" max="1" width="5" customWidth="1"/>
    <col min="2" max="2" width="38.3984375" customWidth="1"/>
    <col min="3" max="3" width="1.3984375" customWidth="1"/>
    <col min="4" max="4" width="13.3984375" bestFit="1" customWidth="1"/>
    <col min="5" max="5" width="3.5" customWidth="1"/>
    <col min="6" max="6" width="13.3984375" bestFit="1" customWidth="1"/>
    <col min="7" max="7" width="3.3984375" customWidth="1"/>
    <col min="8" max="8" width="12.8984375" customWidth="1"/>
  </cols>
  <sheetData>
    <row r="1" spans="1:8" x14ac:dyDescent="0.3">
      <c r="H1" s="34" t="s">
        <v>209</v>
      </c>
    </row>
    <row r="2" spans="1:8" x14ac:dyDescent="0.3">
      <c r="H2" s="34" t="s">
        <v>210</v>
      </c>
    </row>
    <row r="3" spans="1:8" x14ac:dyDescent="0.3">
      <c r="A3" s="4"/>
      <c r="H3" s="34" t="s">
        <v>206</v>
      </c>
    </row>
    <row r="4" spans="1:8" x14ac:dyDescent="0.3">
      <c r="A4" s="91" t="s">
        <v>9</v>
      </c>
      <c r="B4" s="91"/>
      <c r="C4" s="91"/>
      <c r="D4" s="91"/>
      <c r="E4" s="91"/>
      <c r="F4" s="91"/>
      <c r="G4" s="91"/>
      <c r="H4" s="91"/>
    </row>
    <row r="5" spans="1:8" x14ac:dyDescent="0.3">
      <c r="A5" s="92" t="s">
        <v>145</v>
      </c>
      <c r="B5" s="92"/>
      <c r="C5" s="92"/>
      <c r="D5" s="92"/>
      <c r="E5" s="92"/>
      <c r="F5" s="92"/>
      <c r="G5" s="92"/>
      <c r="H5" s="92"/>
    </row>
    <row r="6" spans="1:8" x14ac:dyDescent="0.3">
      <c r="A6" s="92" t="s">
        <v>34</v>
      </c>
      <c r="B6" s="92"/>
      <c r="C6" s="92"/>
      <c r="D6" s="92"/>
      <c r="E6" s="92"/>
      <c r="F6" s="92"/>
      <c r="G6" s="92"/>
      <c r="H6" s="92"/>
    </row>
    <row r="7" spans="1:8" x14ac:dyDescent="0.3">
      <c r="A7" s="4"/>
    </row>
    <row r="8" spans="1:8" x14ac:dyDescent="0.3">
      <c r="A8" s="4"/>
      <c r="D8" s="1"/>
    </row>
    <row r="9" spans="1:8" x14ac:dyDescent="0.3">
      <c r="A9" s="1"/>
      <c r="B9" s="1"/>
      <c r="C9" s="1"/>
      <c r="D9" s="1"/>
      <c r="H9" s="1" t="s">
        <v>31</v>
      </c>
    </row>
    <row r="10" spans="1:8" x14ac:dyDescent="0.3">
      <c r="A10" s="1" t="s">
        <v>11</v>
      </c>
      <c r="B10" s="1"/>
      <c r="C10" s="1"/>
      <c r="D10" s="1" t="s">
        <v>48</v>
      </c>
      <c r="F10" s="1" t="s">
        <v>99</v>
      </c>
      <c r="H10" s="1" t="s">
        <v>153</v>
      </c>
    </row>
    <row r="11" spans="1:8" ht="18.600000000000001" x14ac:dyDescent="0.3">
      <c r="A11" s="15" t="s">
        <v>14</v>
      </c>
      <c r="B11" s="15" t="s">
        <v>15</v>
      </c>
      <c r="C11" s="15"/>
      <c r="D11" s="75" t="s">
        <v>136</v>
      </c>
      <c r="E11" s="86"/>
      <c r="F11" s="75" t="s">
        <v>138</v>
      </c>
      <c r="G11" s="86"/>
      <c r="H11" s="65" t="s">
        <v>154</v>
      </c>
    </row>
    <row r="12" spans="1:8" x14ac:dyDescent="0.3">
      <c r="A12" s="38"/>
      <c r="D12" s="3"/>
    </row>
    <row r="13" spans="1:8" x14ac:dyDescent="0.3">
      <c r="A13" s="46">
        <v>1</v>
      </c>
      <c r="B13" t="s">
        <v>3</v>
      </c>
      <c r="D13" s="3">
        <f>+'MEG-4 Results of Operations'!Q28</f>
        <v>395862504</v>
      </c>
      <c r="F13" s="3">
        <v>460643303</v>
      </c>
    </row>
    <row r="14" spans="1:8" x14ac:dyDescent="0.3">
      <c r="A14" s="46"/>
      <c r="D14" s="3"/>
      <c r="F14" s="3"/>
    </row>
    <row r="15" spans="1:8" x14ac:dyDescent="0.3">
      <c r="A15" s="46">
        <v>2</v>
      </c>
      <c r="B15" t="s">
        <v>146</v>
      </c>
      <c r="D15" s="67">
        <f>+'MEG-11 Cost of Capital'!F26</f>
        <v>2.4150014000000001E-2</v>
      </c>
      <c r="F15" s="67">
        <f>+'MEG-11 Cost of Capital'!F14</f>
        <v>2.3529999999999999E-2</v>
      </c>
    </row>
    <row r="16" spans="1:8" x14ac:dyDescent="0.3">
      <c r="A16" s="46"/>
      <c r="D16" s="72"/>
      <c r="F16" s="72"/>
    </row>
    <row r="17" spans="1:8" x14ac:dyDescent="0.3">
      <c r="A17" s="46">
        <v>3</v>
      </c>
      <c r="B17" t="s">
        <v>147</v>
      </c>
      <c r="D17" s="3">
        <f>+D13*D15</f>
        <v>9560085.0136750564</v>
      </c>
      <c r="F17" s="3">
        <f>+F13*F15</f>
        <v>10838936.91959</v>
      </c>
    </row>
    <row r="18" spans="1:8" x14ac:dyDescent="0.3">
      <c r="A18" s="46"/>
      <c r="D18" s="3"/>
      <c r="F18" s="3"/>
    </row>
    <row r="19" spans="1:8" x14ac:dyDescent="0.3">
      <c r="A19" s="46">
        <v>4</v>
      </c>
      <c r="B19" t="s">
        <v>148</v>
      </c>
      <c r="D19" s="16">
        <v>11276372</v>
      </c>
      <c r="F19" s="16">
        <v>11276372</v>
      </c>
    </row>
    <row r="20" spans="1:8" x14ac:dyDescent="0.3">
      <c r="A20" s="46"/>
      <c r="D20" s="21"/>
      <c r="F20" s="21"/>
    </row>
    <row r="21" spans="1:8" x14ac:dyDescent="0.3">
      <c r="A21" s="46">
        <v>5</v>
      </c>
      <c r="B21" t="s">
        <v>149</v>
      </c>
      <c r="D21" s="24">
        <f>+D17-D19</f>
        <v>-1716286.9863249436</v>
      </c>
      <c r="F21" s="24">
        <f>+F17-F19</f>
        <v>-437435.08040999994</v>
      </c>
    </row>
    <row r="22" spans="1:8" x14ac:dyDescent="0.3">
      <c r="A22" s="46"/>
      <c r="D22" s="24"/>
      <c r="F22" s="24"/>
    </row>
    <row r="23" spans="1:8" x14ac:dyDescent="0.3">
      <c r="A23" s="46">
        <v>6</v>
      </c>
      <c r="B23" t="s">
        <v>150</v>
      </c>
      <c r="D23" s="68">
        <v>0.21</v>
      </c>
      <c r="F23" s="68">
        <v>0.21</v>
      </c>
    </row>
    <row r="24" spans="1:8" x14ac:dyDescent="0.3">
      <c r="A24" s="46"/>
      <c r="D24" s="73"/>
      <c r="F24" s="73"/>
    </row>
    <row r="25" spans="1:8" ht="16.2" thickBot="1" x14ac:dyDescent="0.35">
      <c r="A25" s="46">
        <v>7</v>
      </c>
      <c r="B25" t="s">
        <v>151</v>
      </c>
      <c r="D25" s="20">
        <f>-D21*D23</f>
        <v>360420.26712823816</v>
      </c>
      <c r="F25" s="20">
        <f>-F21*F23</f>
        <v>91861.36688609999</v>
      </c>
      <c r="H25" s="26">
        <f>+D25-F25</f>
        <v>268558.90024213819</v>
      </c>
    </row>
    <row r="26" spans="1:8" ht="16.2" thickTop="1" x14ac:dyDescent="0.3">
      <c r="A26" s="46"/>
    </row>
    <row r="27" spans="1:8" ht="16.2" thickBot="1" x14ac:dyDescent="0.35">
      <c r="A27" s="46">
        <v>8</v>
      </c>
      <c r="B27" t="s">
        <v>152</v>
      </c>
      <c r="D27" s="20">
        <f>-D25</f>
        <v>-360420.26712823816</v>
      </c>
      <c r="F27" s="20">
        <f>-F25</f>
        <v>-91861.36688609999</v>
      </c>
      <c r="H27" s="20">
        <f>+D27-F27</f>
        <v>-268558.90024213819</v>
      </c>
    </row>
    <row r="28" spans="1:8" ht="16.2" thickTop="1" x14ac:dyDescent="0.3">
      <c r="A28" s="46"/>
    </row>
    <row r="29" spans="1:8" x14ac:dyDescent="0.3">
      <c r="A29" s="38"/>
    </row>
    <row r="30" spans="1:8" x14ac:dyDescent="0.3">
      <c r="A30" s="38"/>
    </row>
  </sheetData>
  <mergeCells count="3">
    <mergeCell ref="A4:H4"/>
    <mergeCell ref="A5:H5"/>
    <mergeCell ref="A6:H6"/>
  </mergeCells>
  <pageMargins left="0.7" right="0.7" top="0.75" bottom="0.75" header="0.3" footer="0.3"/>
  <pageSetup scale="9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H3" sqref="H3"/>
    </sheetView>
  </sheetViews>
  <sheetFormatPr defaultRowHeight="15.6" x14ac:dyDescent="0.3"/>
  <cols>
    <col min="1" max="1" width="5" customWidth="1"/>
    <col min="2" max="2" width="35.296875" customWidth="1"/>
    <col min="3" max="3" width="1.3984375" customWidth="1"/>
    <col min="4" max="4" width="13.09765625" bestFit="1" customWidth="1"/>
    <col min="5" max="5" width="2" customWidth="1"/>
    <col min="6" max="6" width="9.796875" bestFit="1" customWidth="1"/>
    <col min="7" max="7" width="1.8984375" customWidth="1"/>
    <col min="8" max="8" width="12.8984375" customWidth="1"/>
  </cols>
  <sheetData>
    <row r="1" spans="1:8" x14ac:dyDescent="0.3">
      <c r="H1" s="34" t="s">
        <v>209</v>
      </c>
    </row>
    <row r="2" spans="1:8" x14ac:dyDescent="0.3">
      <c r="H2" s="34" t="s">
        <v>216</v>
      </c>
    </row>
    <row r="3" spans="1:8" x14ac:dyDescent="0.3">
      <c r="A3" s="4"/>
      <c r="H3" s="34" t="s">
        <v>217</v>
      </c>
    </row>
    <row r="4" spans="1:8" x14ac:dyDescent="0.3">
      <c r="A4" s="91" t="s">
        <v>9</v>
      </c>
      <c r="B4" s="91"/>
      <c r="C4" s="91"/>
      <c r="D4" s="91"/>
      <c r="E4" s="91"/>
      <c r="F4" s="91"/>
      <c r="G4" s="91"/>
      <c r="H4" s="91"/>
    </row>
    <row r="5" spans="1:8" x14ac:dyDescent="0.3">
      <c r="A5" s="92" t="s">
        <v>179</v>
      </c>
      <c r="B5" s="92"/>
      <c r="C5" s="92"/>
      <c r="D5" s="92"/>
      <c r="E5" s="92"/>
      <c r="F5" s="92"/>
      <c r="G5" s="92"/>
      <c r="H5" s="92"/>
    </row>
    <row r="6" spans="1:8" x14ac:dyDescent="0.3">
      <c r="A6" s="92" t="s">
        <v>34</v>
      </c>
      <c r="B6" s="92"/>
      <c r="C6" s="92"/>
      <c r="D6" s="92"/>
      <c r="E6" s="92"/>
      <c r="F6" s="92"/>
      <c r="G6" s="92"/>
      <c r="H6" s="92"/>
    </row>
    <row r="7" spans="1:8" x14ac:dyDescent="0.3">
      <c r="A7" s="4"/>
    </row>
    <row r="8" spans="1:8" x14ac:dyDescent="0.3">
      <c r="A8" s="4"/>
      <c r="D8" s="78"/>
    </row>
    <row r="9" spans="1:8" x14ac:dyDescent="0.3">
      <c r="A9" s="78"/>
      <c r="B9" s="78"/>
      <c r="C9" s="78"/>
      <c r="D9" s="78"/>
      <c r="H9" s="78" t="s">
        <v>31</v>
      </c>
    </row>
    <row r="10" spans="1:8" x14ac:dyDescent="0.3">
      <c r="A10" s="78" t="s">
        <v>11</v>
      </c>
      <c r="B10" s="78"/>
      <c r="C10" s="78"/>
      <c r="D10" s="78" t="s">
        <v>48</v>
      </c>
      <c r="F10" s="78" t="s">
        <v>99</v>
      </c>
      <c r="H10" s="78" t="s">
        <v>153</v>
      </c>
    </row>
    <row r="11" spans="1:8" x14ac:dyDescent="0.3">
      <c r="A11" s="77" t="s">
        <v>14</v>
      </c>
      <c r="B11" s="77" t="s">
        <v>15</v>
      </c>
      <c r="C11" s="77"/>
      <c r="D11" s="77" t="s">
        <v>31</v>
      </c>
      <c r="E11" s="86"/>
      <c r="F11" s="77" t="s">
        <v>31</v>
      </c>
      <c r="G11" s="86"/>
      <c r="H11" s="65" t="s">
        <v>154</v>
      </c>
    </row>
    <row r="12" spans="1:8" x14ac:dyDescent="0.3">
      <c r="A12" s="78"/>
      <c r="D12" s="3"/>
    </row>
    <row r="13" spans="1:8" x14ac:dyDescent="0.3">
      <c r="A13" s="46">
        <v>1</v>
      </c>
      <c r="B13" t="s">
        <v>180</v>
      </c>
      <c r="D13" s="3">
        <v>350371.42</v>
      </c>
      <c r="F13" s="3">
        <v>350371.42</v>
      </c>
    </row>
    <row r="14" spans="1:8" x14ac:dyDescent="0.3">
      <c r="A14" s="78"/>
    </row>
    <row r="15" spans="1:8" x14ac:dyDescent="0.3">
      <c r="A15" s="78">
        <v>2</v>
      </c>
      <c r="B15" t="s">
        <v>181</v>
      </c>
      <c r="D15" s="16">
        <f>+D13/2</f>
        <v>175185.71</v>
      </c>
      <c r="F15" s="27">
        <f>+F13</f>
        <v>350371.42</v>
      </c>
    </row>
    <row r="16" spans="1:8" x14ac:dyDescent="0.3">
      <c r="A16" s="78"/>
    </row>
    <row r="17" spans="1:8" x14ac:dyDescent="0.3">
      <c r="A17" s="78">
        <v>3</v>
      </c>
      <c r="B17" t="s">
        <v>182</v>
      </c>
      <c r="D17" s="80">
        <f>+D15-D13</f>
        <v>-175185.71</v>
      </c>
      <c r="E17" s="22"/>
      <c r="F17" s="90">
        <f>+F15-F13</f>
        <v>0</v>
      </c>
      <c r="G17" s="22"/>
      <c r="H17" s="80">
        <f>+D17-F17</f>
        <v>-175185.71</v>
      </c>
    </row>
    <row r="18" spans="1:8" x14ac:dyDescent="0.3">
      <c r="A18" s="78"/>
    </row>
    <row r="19" spans="1:8" x14ac:dyDescent="0.3">
      <c r="A19" s="78">
        <v>4</v>
      </c>
      <c r="B19" t="s">
        <v>184</v>
      </c>
      <c r="D19" s="16">
        <f>-D17*0.21</f>
        <v>36788.999099999994</v>
      </c>
      <c r="F19" s="16">
        <f>-F17*0.21</f>
        <v>0</v>
      </c>
      <c r="H19" s="16">
        <f>-H17*0.21</f>
        <v>36788.999099999994</v>
      </c>
    </row>
    <row r="20" spans="1:8" x14ac:dyDescent="0.3">
      <c r="A20" s="78"/>
    </row>
    <row r="21" spans="1:8" ht="16.2" thickBot="1" x14ac:dyDescent="0.35">
      <c r="A21" s="78">
        <v>5</v>
      </c>
      <c r="B21" t="s">
        <v>133</v>
      </c>
      <c r="D21" s="17">
        <f>-D17-D19</f>
        <v>138396.71090000001</v>
      </c>
      <c r="F21" s="89">
        <f>-F17-F19</f>
        <v>0</v>
      </c>
      <c r="H21" s="17">
        <f>-H17-H19</f>
        <v>138396.71090000001</v>
      </c>
    </row>
    <row r="22" spans="1:8" ht="16.2" thickTop="1" x14ac:dyDescent="0.3"/>
  </sheetData>
  <mergeCells count="3">
    <mergeCell ref="A4:H4"/>
    <mergeCell ref="A5:H5"/>
    <mergeCell ref="A6:H6"/>
  </mergeCells>
  <pageMargins left="0.7" right="0.7" top="0.75" bottom="0.75" header="0.3" footer="0.3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46" workbookViewId="0">
      <selection activeCell="K18" sqref="K18"/>
    </sheetView>
  </sheetViews>
  <sheetFormatPr defaultRowHeight="15.6" x14ac:dyDescent="0.3"/>
  <cols>
    <col min="1" max="1" width="6.796875" bestFit="1" customWidth="1"/>
    <col min="2" max="2" width="29.19921875" customWidth="1"/>
    <col min="5" max="5" width="3.3984375" customWidth="1"/>
    <col min="7" max="7" width="11.3984375" customWidth="1"/>
    <col min="8" max="8" width="1.796875" customWidth="1"/>
    <col min="9" max="9" width="12.69921875" customWidth="1"/>
  </cols>
  <sheetData>
    <row r="1" spans="1:9" x14ac:dyDescent="0.3">
      <c r="I1" s="34" t="s">
        <v>207</v>
      </c>
    </row>
    <row r="2" spans="1:9" x14ac:dyDescent="0.3">
      <c r="A2" s="4"/>
      <c r="B2" s="4"/>
      <c r="C2" s="4"/>
      <c r="D2" s="4"/>
      <c r="E2" s="4"/>
      <c r="F2" s="4"/>
      <c r="G2" s="4"/>
      <c r="H2" s="4"/>
      <c r="I2" s="33" t="s">
        <v>208</v>
      </c>
    </row>
    <row r="3" spans="1:9" x14ac:dyDescent="0.3">
      <c r="A3" s="4"/>
      <c r="B3" s="4"/>
      <c r="C3" s="4"/>
      <c r="D3" s="4"/>
      <c r="E3" s="4"/>
      <c r="F3" s="4"/>
      <c r="G3" s="4"/>
      <c r="H3" s="4"/>
      <c r="I3" s="34" t="s">
        <v>206</v>
      </c>
    </row>
    <row r="4" spans="1:9" x14ac:dyDescent="0.3">
      <c r="A4" s="91" t="s">
        <v>9</v>
      </c>
      <c r="B4" s="91"/>
      <c r="C4" s="91"/>
      <c r="D4" s="91"/>
      <c r="E4" s="91"/>
      <c r="F4" s="91"/>
      <c r="G4" s="91"/>
      <c r="H4" s="91"/>
      <c r="I4" s="91"/>
    </row>
    <row r="5" spans="1:9" x14ac:dyDescent="0.3">
      <c r="A5" s="92" t="s">
        <v>22</v>
      </c>
      <c r="B5" s="92"/>
      <c r="C5" s="92"/>
      <c r="D5" s="92"/>
      <c r="E5" s="92"/>
      <c r="F5" s="92"/>
      <c r="G5" s="92"/>
      <c r="H5" s="92"/>
      <c r="I5" s="92"/>
    </row>
    <row r="6" spans="1:9" x14ac:dyDescent="0.3">
      <c r="A6" s="92" t="s">
        <v>34</v>
      </c>
      <c r="B6" s="92"/>
      <c r="C6" s="92"/>
      <c r="D6" s="92"/>
      <c r="E6" s="92"/>
      <c r="F6" s="92"/>
      <c r="G6" s="92"/>
      <c r="H6" s="92"/>
      <c r="I6" s="92"/>
    </row>
    <row r="7" spans="1:9" x14ac:dyDescent="0.3">
      <c r="A7" s="4"/>
      <c r="B7" s="4"/>
      <c r="C7" s="4"/>
      <c r="D7" s="4"/>
      <c r="E7" s="4"/>
      <c r="F7" s="4"/>
      <c r="G7" s="4"/>
      <c r="H7" s="4"/>
      <c r="I7" s="4"/>
    </row>
    <row r="8" spans="1:9" x14ac:dyDescent="0.3">
      <c r="A8" s="4"/>
      <c r="B8" s="4"/>
      <c r="C8" s="4"/>
      <c r="D8" s="4"/>
      <c r="E8" s="4"/>
      <c r="F8" s="4"/>
      <c r="G8" s="4"/>
      <c r="H8" s="4"/>
      <c r="I8" s="4"/>
    </row>
    <row r="9" spans="1:9" x14ac:dyDescent="0.3">
      <c r="A9" s="4"/>
      <c r="B9" s="5"/>
      <c r="C9" s="5"/>
      <c r="D9" s="5"/>
      <c r="E9" s="74"/>
      <c r="F9" s="5" t="s">
        <v>23</v>
      </c>
      <c r="G9" s="5" t="s">
        <v>32</v>
      </c>
      <c r="H9" s="74"/>
      <c r="I9" s="5" t="s">
        <v>12</v>
      </c>
    </row>
    <row r="10" spans="1:9" x14ac:dyDescent="0.3">
      <c r="A10" s="5" t="s">
        <v>11</v>
      </c>
      <c r="B10" s="5"/>
      <c r="C10" s="5" t="s">
        <v>24</v>
      </c>
      <c r="D10" s="5"/>
      <c r="E10" s="74"/>
      <c r="F10" s="5" t="s">
        <v>25</v>
      </c>
      <c r="G10" s="5" t="s">
        <v>33</v>
      </c>
      <c r="H10" s="74"/>
      <c r="I10" s="5" t="s">
        <v>23</v>
      </c>
    </row>
    <row r="11" spans="1:9" ht="18.600000000000001" x14ac:dyDescent="0.3">
      <c r="A11" s="6" t="s">
        <v>14</v>
      </c>
      <c r="B11" s="6" t="s">
        <v>15</v>
      </c>
      <c r="C11" s="6" t="s">
        <v>26</v>
      </c>
      <c r="D11" s="6" t="s">
        <v>27</v>
      </c>
      <c r="E11" s="6"/>
      <c r="F11" s="6" t="s">
        <v>24</v>
      </c>
      <c r="G11" s="6" t="s">
        <v>71</v>
      </c>
      <c r="H11" s="6"/>
      <c r="I11" s="6" t="s">
        <v>27</v>
      </c>
    </row>
    <row r="12" spans="1:9" x14ac:dyDescent="0.3">
      <c r="A12" s="5"/>
      <c r="B12" s="4"/>
      <c r="C12" s="4"/>
      <c r="D12" s="4"/>
      <c r="E12" s="4"/>
      <c r="F12" s="4"/>
      <c r="G12" s="4"/>
      <c r="H12" s="4"/>
      <c r="I12" s="4"/>
    </row>
    <row r="13" spans="1:9" ht="18.600000000000001" x14ac:dyDescent="0.3">
      <c r="A13" s="5"/>
      <c r="B13" s="28" t="s">
        <v>70</v>
      </c>
      <c r="C13" s="4"/>
      <c r="D13" s="4"/>
      <c r="E13" s="4"/>
      <c r="F13" s="4"/>
      <c r="G13" s="4"/>
      <c r="H13" s="4"/>
      <c r="I13" s="4"/>
    </row>
    <row r="14" spans="1:9" x14ac:dyDescent="0.3">
      <c r="A14" s="79">
        <v>1</v>
      </c>
      <c r="B14" s="4" t="s">
        <v>28</v>
      </c>
      <c r="C14" s="9">
        <v>0.496</v>
      </c>
      <c r="D14" s="8">
        <v>4.7446000000000002E-2</v>
      </c>
      <c r="E14" s="8"/>
      <c r="F14" s="10">
        <f>+ROUND(C14*D14,5)</f>
        <v>2.3529999999999999E-2</v>
      </c>
      <c r="G14" s="4">
        <f>1/0.955460116638067</f>
        <v>1.0466161617699474</v>
      </c>
      <c r="H14" s="4"/>
      <c r="I14" s="8">
        <f>+F14*G14</f>
        <v>2.4626878286446861E-2</v>
      </c>
    </row>
    <row r="15" spans="1:9" x14ac:dyDescent="0.3">
      <c r="A15" s="79">
        <v>2</v>
      </c>
      <c r="B15" s="4" t="s">
        <v>29</v>
      </c>
      <c r="C15" s="11">
        <v>0.504</v>
      </c>
      <c r="D15" s="9">
        <v>0.10299999999999999</v>
      </c>
      <c r="E15" s="9"/>
      <c r="F15" s="12">
        <f>+ROUND(C15*D15,5)</f>
        <v>5.1909999999999998E-2</v>
      </c>
      <c r="G15" s="4">
        <f>1/0.754813492144073</f>
        <v>1.3248305845189208</v>
      </c>
      <c r="H15" s="4"/>
      <c r="I15" s="12">
        <f>+F15*G15</f>
        <v>6.8771955642377175E-2</v>
      </c>
    </row>
    <row r="16" spans="1:9" x14ac:dyDescent="0.3">
      <c r="A16" s="79">
        <v>3</v>
      </c>
      <c r="B16" s="4" t="s">
        <v>30</v>
      </c>
      <c r="C16" s="9">
        <f>+C14+C15</f>
        <v>1</v>
      </c>
      <c r="D16" s="4"/>
      <c r="E16" s="4"/>
      <c r="F16" s="10">
        <f>+F14+F15</f>
        <v>7.5439999999999993E-2</v>
      </c>
      <c r="G16" s="4"/>
      <c r="H16" s="4"/>
      <c r="I16" s="10">
        <f>SUM(I14:I15)</f>
        <v>9.3398833928824032E-2</v>
      </c>
    </row>
    <row r="17" spans="1:9" x14ac:dyDescent="0.3">
      <c r="A17" s="79"/>
      <c r="B17" s="4"/>
      <c r="C17" s="4"/>
      <c r="D17" s="4"/>
      <c r="E17" s="4"/>
      <c r="F17" s="4"/>
      <c r="G17" s="4"/>
      <c r="H17" s="4"/>
      <c r="I17" s="4"/>
    </row>
    <row r="18" spans="1:9" x14ac:dyDescent="0.3">
      <c r="A18" s="79"/>
      <c r="B18" s="28" t="s">
        <v>78</v>
      </c>
      <c r="C18" s="4"/>
      <c r="D18" s="4"/>
      <c r="E18" s="4"/>
      <c r="F18" s="4"/>
      <c r="G18" s="4"/>
      <c r="H18" s="4"/>
      <c r="I18" s="4"/>
    </row>
    <row r="19" spans="1:9" x14ac:dyDescent="0.3">
      <c r="A19" s="79">
        <v>4</v>
      </c>
      <c r="B19" s="4" t="s">
        <v>28</v>
      </c>
      <c r="C19" s="9">
        <v>0.50900000000000001</v>
      </c>
      <c r="D19" s="8">
        <f>+D14</f>
        <v>4.7446000000000002E-2</v>
      </c>
      <c r="E19" s="8"/>
      <c r="F19" s="10">
        <f>+C19*D19</f>
        <v>2.4150014000000001E-2</v>
      </c>
      <c r="G19" s="4">
        <f>+G14</f>
        <v>1.0466161617699474</v>
      </c>
      <c r="H19" s="4"/>
      <c r="I19" s="8">
        <f>+F19*G19</f>
        <v>2.5275794959370497E-2</v>
      </c>
    </row>
    <row r="20" spans="1:9" x14ac:dyDescent="0.3">
      <c r="A20" s="79">
        <v>5</v>
      </c>
      <c r="B20" s="4" t="s">
        <v>29</v>
      </c>
      <c r="C20" s="11">
        <v>0.49099999999999999</v>
      </c>
      <c r="D20" s="9">
        <v>0.10299999999999999</v>
      </c>
      <c r="E20" s="9"/>
      <c r="F20" s="12">
        <f>+C20*D20</f>
        <v>5.0572999999999993E-2</v>
      </c>
      <c r="G20" s="4">
        <f>+G15</f>
        <v>1.3248305845189208</v>
      </c>
      <c r="H20" s="4"/>
      <c r="I20" s="12">
        <f>+F20*G20</f>
        <v>6.7000657150875373E-2</v>
      </c>
    </row>
    <row r="21" spans="1:9" x14ac:dyDescent="0.3">
      <c r="A21" s="79">
        <v>6</v>
      </c>
      <c r="B21" s="4" t="s">
        <v>30</v>
      </c>
      <c r="C21" s="9">
        <f>+C19+C20</f>
        <v>1</v>
      </c>
      <c r="D21" s="4"/>
      <c r="E21" s="4"/>
      <c r="F21" s="13">
        <f>+F19+F20</f>
        <v>7.472301399999999E-2</v>
      </c>
      <c r="G21" s="4"/>
      <c r="H21" s="4"/>
      <c r="I21" s="13">
        <f>SUM(I19:I20)</f>
        <v>9.2276452110245877E-2</v>
      </c>
    </row>
    <row r="22" spans="1:9" x14ac:dyDescent="0.3">
      <c r="A22" s="79"/>
      <c r="B22" s="4"/>
      <c r="C22" s="4"/>
      <c r="D22" s="4"/>
      <c r="E22" s="4"/>
      <c r="F22" s="4"/>
      <c r="G22" s="4"/>
      <c r="H22" s="4"/>
      <c r="I22" s="4"/>
    </row>
    <row r="23" spans="1:9" ht="16.2" thickBot="1" x14ac:dyDescent="0.35">
      <c r="A23" s="79">
        <v>7</v>
      </c>
      <c r="B23" s="4" t="s">
        <v>77</v>
      </c>
      <c r="C23" s="4"/>
      <c r="D23" s="4"/>
      <c r="E23" s="4"/>
      <c r="F23" s="14">
        <f>+F21-F16</f>
        <v>-7.1698600000000279E-4</v>
      </c>
      <c r="G23" s="4"/>
      <c r="H23" s="4"/>
      <c r="I23" s="14">
        <f>+I21-I16</f>
        <v>-1.1223818185781553E-3</v>
      </c>
    </row>
    <row r="24" spans="1:9" ht="16.2" thickTop="1" x14ac:dyDescent="0.3">
      <c r="A24" s="79"/>
      <c r="B24" s="4"/>
      <c r="C24" s="4"/>
      <c r="D24" s="4"/>
      <c r="E24" s="4"/>
      <c r="F24" s="4"/>
      <c r="G24" s="4"/>
      <c r="H24" s="4"/>
      <c r="I24" s="4"/>
    </row>
    <row r="25" spans="1:9" x14ac:dyDescent="0.3">
      <c r="A25" s="79"/>
      <c r="B25" s="28" t="s">
        <v>76</v>
      </c>
      <c r="C25" s="4"/>
      <c r="D25" s="4"/>
      <c r="E25" s="4"/>
      <c r="F25" s="4"/>
      <c r="G25" s="4"/>
      <c r="H25" s="4"/>
      <c r="I25" s="4"/>
    </row>
    <row r="26" spans="1:9" x14ac:dyDescent="0.3">
      <c r="A26" s="79">
        <v>8</v>
      </c>
      <c r="B26" s="4" t="s">
        <v>28</v>
      </c>
      <c r="C26" s="9">
        <f>+C19</f>
        <v>0.50900000000000001</v>
      </c>
      <c r="D26" s="8">
        <f>+D19</f>
        <v>4.7446000000000002E-2</v>
      </c>
      <c r="E26" s="8"/>
      <c r="F26" s="10">
        <f>+C26*D26</f>
        <v>2.4150014000000001E-2</v>
      </c>
      <c r="G26" s="4">
        <f>+G14</f>
        <v>1.0466161617699474</v>
      </c>
      <c r="H26" s="4"/>
      <c r="I26" s="8">
        <f>+F26*G26</f>
        <v>2.5275794959370497E-2</v>
      </c>
    </row>
    <row r="27" spans="1:9" x14ac:dyDescent="0.3">
      <c r="A27" s="79">
        <v>9</v>
      </c>
      <c r="B27" s="4" t="s">
        <v>29</v>
      </c>
      <c r="C27" s="11">
        <f>+C20</f>
        <v>0.49099999999999999</v>
      </c>
      <c r="D27" s="9">
        <v>0.09</v>
      </c>
      <c r="E27" s="9"/>
      <c r="F27" s="12">
        <f>+C27*D27</f>
        <v>4.419E-2</v>
      </c>
      <c r="G27" s="4">
        <f>+G15</f>
        <v>1.3248305845189208</v>
      </c>
      <c r="H27" s="4"/>
      <c r="I27" s="12">
        <f>+F27*G27</f>
        <v>5.8544263529891109E-2</v>
      </c>
    </row>
    <row r="28" spans="1:9" x14ac:dyDescent="0.3">
      <c r="A28" s="79">
        <v>10</v>
      </c>
      <c r="B28" s="4" t="s">
        <v>30</v>
      </c>
      <c r="C28" s="9">
        <f>+C26+C27</f>
        <v>1</v>
      </c>
      <c r="D28" s="4"/>
      <c r="E28" s="4"/>
      <c r="F28" s="13">
        <f>SUM(F26:F27)</f>
        <v>6.8340014000000004E-2</v>
      </c>
      <c r="G28" s="4"/>
      <c r="H28" s="4"/>
      <c r="I28" s="13">
        <f>SUM(I26:I27)</f>
        <v>8.3820058489261606E-2</v>
      </c>
    </row>
    <row r="29" spans="1:9" x14ac:dyDescent="0.3">
      <c r="A29" s="79"/>
      <c r="B29" s="4"/>
      <c r="C29" s="4"/>
      <c r="D29" s="4"/>
      <c r="E29" s="4"/>
      <c r="F29" s="4"/>
      <c r="G29" s="4"/>
      <c r="H29" s="4"/>
      <c r="I29" s="4"/>
    </row>
    <row r="30" spans="1:9" ht="16.2" thickBot="1" x14ac:dyDescent="0.35">
      <c r="A30" s="79">
        <v>11</v>
      </c>
      <c r="B30" s="4" t="s">
        <v>75</v>
      </c>
      <c r="C30" s="4"/>
      <c r="D30" s="4"/>
      <c r="E30" s="4"/>
      <c r="F30" s="14">
        <f>+F28-F21</f>
        <v>-6.3829999999999859E-3</v>
      </c>
      <c r="G30" s="4"/>
      <c r="H30" s="4"/>
      <c r="I30" s="14">
        <f>+I28-I21</f>
        <v>-8.4563936209842705E-3</v>
      </c>
    </row>
    <row r="31" spans="1:9" ht="16.2" thickTop="1" x14ac:dyDescent="0.3">
      <c r="A31" s="79"/>
    </row>
    <row r="33" spans="1:9" x14ac:dyDescent="0.3">
      <c r="A33" s="81" t="s">
        <v>69</v>
      </c>
      <c r="B33" s="81" t="s">
        <v>73</v>
      </c>
      <c r="C33" s="81"/>
      <c r="D33" s="81"/>
      <c r="E33" s="81"/>
      <c r="F33" s="81"/>
    </row>
    <row r="34" spans="1:9" x14ac:dyDescent="0.3">
      <c r="A34" s="81" t="s">
        <v>72</v>
      </c>
      <c r="B34" s="81" t="s">
        <v>74</v>
      </c>
      <c r="C34" s="81"/>
      <c r="D34" s="81"/>
      <c r="E34" s="81"/>
      <c r="F34" s="81"/>
    </row>
    <row r="36" spans="1:9" x14ac:dyDescent="0.3">
      <c r="C36" t="s">
        <v>123</v>
      </c>
    </row>
    <row r="37" spans="1:9" x14ac:dyDescent="0.3">
      <c r="B37" s="28" t="s">
        <v>120</v>
      </c>
      <c r="C37" s="4" t="s">
        <v>124</v>
      </c>
      <c r="D37" s="4"/>
      <c r="E37" s="4"/>
      <c r="F37" s="4"/>
      <c r="G37" s="4"/>
      <c r="H37" s="4"/>
      <c r="I37" s="4"/>
    </row>
    <row r="38" spans="1:9" x14ac:dyDescent="0.3">
      <c r="B38" s="4" t="s">
        <v>28</v>
      </c>
      <c r="C38" s="9">
        <f>+AVERAGE(50.9%,53.4%)</f>
        <v>0.52150000000000007</v>
      </c>
      <c r="D38" s="8">
        <v>4.7446000000000002E-2</v>
      </c>
      <c r="E38" s="8"/>
      <c r="F38" s="10">
        <f>+ROUND(C38*D38,5)</f>
        <v>2.4740000000000002E-2</v>
      </c>
      <c r="G38" s="4">
        <f>1/0.955460116638067</f>
        <v>1.0466161617699474</v>
      </c>
      <c r="H38" s="4"/>
      <c r="I38" s="8">
        <f>+F38*G38</f>
        <v>2.5893283842188503E-2</v>
      </c>
    </row>
    <row r="39" spans="1:9" x14ac:dyDescent="0.3">
      <c r="B39" s="4" t="s">
        <v>29</v>
      </c>
      <c r="C39" s="11">
        <f>+AVERAGE(49.1%,46.6%)</f>
        <v>0.47850000000000004</v>
      </c>
      <c r="D39" s="9">
        <v>9.2999999999999999E-2</v>
      </c>
      <c r="E39" s="9"/>
      <c r="F39" s="12">
        <f>+ROUND(C39*D39,5)</f>
        <v>4.4499999999999998E-2</v>
      </c>
      <c r="G39" s="4">
        <f>1/0.754813492144073</f>
        <v>1.3248305845189208</v>
      </c>
      <c r="H39" s="4"/>
      <c r="I39" s="12">
        <f>+F39*G39</f>
        <v>5.8954961011091975E-2</v>
      </c>
    </row>
    <row r="40" spans="1:9" x14ac:dyDescent="0.3">
      <c r="B40" s="4" t="s">
        <v>30</v>
      </c>
      <c r="C40" s="9">
        <f>+C38+C39</f>
        <v>1</v>
      </c>
      <c r="D40" s="4"/>
      <c r="E40" s="4"/>
      <c r="F40" s="10">
        <f>+F38+F39</f>
        <v>6.9239999999999996E-2</v>
      </c>
      <c r="G40" s="4"/>
      <c r="H40" s="4"/>
      <c r="I40" s="10">
        <f>SUM(I38:I39)</f>
        <v>8.4848244853280477E-2</v>
      </c>
    </row>
    <row r="41" spans="1:9" x14ac:dyDescent="0.3">
      <c r="B41" s="4"/>
      <c r="C41" s="4"/>
      <c r="D41" s="4"/>
      <c r="E41" s="4"/>
      <c r="F41" s="4"/>
      <c r="G41" s="4"/>
      <c r="H41" s="4"/>
      <c r="I41" s="4"/>
    </row>
    <row r="42" spans="1:9" x14ac:dyDescent="0.3">
      <c r="B42" s="28" t="s">
        <v>121</v>
      </c>
      <c r="C42" s="4"/>
      <c r="D42" s="4"/>
      <c r="E42" s="4"/>
      <c r="F42" s="4"/>
      <c r="G42" s="4"/>
      <c r="H42" s="4"/>
      <c r="I42" s="4"/>
    </row>
    <row r="43" spans="1:9" x14ac:dyDescent="0.3">
      <c r="B43" s="4" t="s">
        <v>28</v>
      </c>
      <c r="C43" s="9">
        <v>0.496</v>
      </c>
      <c r="D43" s="8">
        <f>+D38</f>
        <v>4.7446000000000002E-2</v>
      </c>
      <c r="E43" s="8"/>
      <c r="F43" s="10">
        <f>+C43*D43</f>
        <v>2.3533215999999999E-2</v>
      </c>
      <c r="G43" s="4">
        <f>+G38</f>
        <v>1.0466161617699474</v>
      </c>
      <c r="H43" s="4"/>
      <c r="I43" s="8">
        <f>+F43*G43</f>
        <v>2.4630244204023113E-2</v>
      </c>
    </row>
    <row r="44" spans="1:9" x14ac:dyDescent="0.3">
      <c r="B44" s="4" t="s">
        <v>29</v>
      </c>
      <c r="C44" s="11">
        <v>0.504</v>
      </c>
      <c r="D44" s="9">
        <v>0.10299999999999999</v>
      </c>
      <c r="E44" s="9"/>
      <c r="F44" s="12">
        <f>+C44*D44</f>
        <v>5.1912E-2</v>
      </c>
      <c r="G44" s="4">
        <f>+G39</f>
        <v>1.3248305845189208</v>
      </c>
      <c r="H44" s="4"/>
      <c r="I44" s="12">
        <f>+F44*G44</f>
        <v>6.8774605303546218E-2</v>
      </c>
    </row>
    <row r="45" spans="1:9" x14ac:dyDescent="0.3">
      <c r="B45" s="4" t="s">
        <v>30</v>
      </c>
      <c r="C45" s="9">
        <f>+C43+C44</f>
        <v>1</v>
      </c>
      <c r="D45" s="4"/>
      <c r="E45" s="4"/>
      <c r="F45" s="13">
        <f>+F43+F44</f>
        <v>7.5445215999999996E-2</v>
      </c>
      <c r="G45" s="4"/>
      <c r="H45" s="4"/>
      <c r="I45" s="13">
        <f>SUM(I43:I44)</f>
        <v>9.3404849507569332E-2</v>
      </c>
    </row>
    <row r="46" spans="1:9" x14ac:dyDescent="0.3">
      <c r="B46" s="4"/>
      <c r="C46" s="4"/>
      <c r="D46" s="4"/>
      <c r="E46" s="4"/>
      <c r="F46" s="4"/>
      <c r="G46" s="4"/>
      <c r="H46" s="4"/>
      <c r="I46" s="4"/>
    </row>
    <row r="47" spans="1:9" ht="16.2" thickBot="1" x14ac:dyDescent="0.35">
      <c r="B47" s="4" t="s">
        <v>122</v>
      </c>
      <c r="C47" s="4"/>
      <c r="D47" s="4"/>
      <c r="E47" s="4"/>
      <c r="F47" s="14">
        <f>+F45-F40</f>
        <v>6.2052159999999995E-3</v>
      </c>
      <c r="G47" s="4"/>
      <c r="H47" s="4"/>
      <c r="I47" s="14">
        <f>+I45-I40</f>
        <v>8.5566046542888546E-3</v>
      </c>
    </row>
    <row r="48" spans="1:9" ht="16.2" thickTop="1" x14ac:dyDescent="0.3">
      <c r="B48" s="4"/>
      <c r="C48" s="4"/>
      <c r="D48" s="4"/>
      <c r="E48" s="4"/>
      <c r="F48" s="4"/>
      <c r="G48" s="4"/>
      <c r="H48" s="4"/>
      <c r="I48" s="4"/>
    </row>
  </sheetData>
  <mergeCells count="3">
    <mergeCell ref="A4:I4"/>
    <mergeCell ref="A5:I5"/>
    <mergeCell ref="A6:I6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32DF5D9-0ABD-41B2-833B-14D8E9DD8845}"/>
</file>

<file path=customXml/itemProps2.xml><?xml version="1.0" encoding="utf-8"?>
<ds:datastoreItem xmlns:ds="http://schemas.openxmlformats.org/officeDocument/2006/customXml" ds:itemID="{243F7125-FD20-4FFB-AE9A-D414339C2279}"/>
</file>

<file path=customXml/itemProps3.xml><?xml version="1.0" encoding="utf-8"?>
<ds:datastoreItem xmlns:ds="http://schemas.openxmlformats.org/officeDocument/2006/customXml" ds:itemID="{ADDF2D25-3985-4987-8D6C-CC7A5D3A87B7}"/>
</file>

<file path=customXml/itemProps4.xml><?xml version="1.0" encoding="utf-8"?>
<ds:datastoreItem xmlns:ds="http://schemas.openxmlformats.org/officeDocument/2006/customXml" ds:itemID="{24065DA9-F2CA-469E-839F-9837817584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MEG-3 Summary</vt:lpstr>
      <vt:lpstr>MEG-4 Results of Operations</vt:lpstr>
      <vt:lpstr>MEG-5 Plant in Service</vt:lpstr>
      <vt:lpstr>MEG-6 Payroll</vt:lpstr>
      <vt:lpstr>MEG-7 Incentive Compensation</vt:lpstr>
      <vt:lpstr>MEG-8 Depreciation Rates</vt:lpstr>
      <vt:lpstr>MEG-9 Interest Coord. Adj</vt:lpstr>
      <vt:lpstr>MEG-10 Directors' Fees</vt:lpstr>
      <vt:lpstr>MEG-11 Cost of Capital</vt:lpstr>
      <vt:lpstr>'MEG-7 Incentive Compensation'!_Toc505140266</vt:lpstr>
      <vt:lpstr>'MEG-10 Directors'' Fees'!Print_Area</vt:lpstr>
      <vt:lpstr>'MEG-11 Cost of Capital'!Print_Area</vt:lpstr>
      <vt:lpstr>'MEG-3 Summary'!Print_Area</vt:lpstr>
      <vt:lpstr>'MEG-4 Results of Operations'!Print_Area</vt:lpstr>
      <vt:lpstr>'MEG-5 Plant in Service'!Print_Area</vt:lpstr>
      <vt:lpstr>'MEG-6 Payroll'!Print_Area</vt:lpstr>
      <vt:lpstr>'MEG-7 Incentive Compensation'!Print_Area</vt:lpstr>
      <vt:lpstr>'MEG-8 Depreciation Rates'!Print_Area</vt:lpstr>
      <vt:lpstr>'MEG-9 Interest Coord. Adj'!Print_Area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Mak, Chanda (ATG)</cp:lastModifiedBy>
  <cp:lastPrinted>2020-11-19T00:40:27Z</cp:lastPrinted>
  <dcterms:created xsi:type="dcterms:W3CDTF">2020-09-14T22:04:43Z</dcterms:created>
  <dcterms:modified xsi:type="dcterms:W3CDTF">2020-11-19T00:40:42Z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