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metadata.xml" ContentType="application/vnd.openxmlformats-officedocument.spreadsheetml.sheetMetadata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asmr\AppData\Local\Temp\Workshare\rabd3vrm.rdy\16\"/>
    </mc:Choice>
  </mc:AlternateContent>
  <xr:revisionPtr revIDLastSave="0" documentId="13_ncr:1_{77A5D33A-35C2-424C-9B5A-8C19725338FF}" xr6:coauthVersionLast="46" xr6:coauthVersionMax="47" xr10:uidLastSave="{00000000-0000-0000-0000-000000000000}"/>
  <bookViews>
    <workbookView xWindow="3120" yWindow="3120" windowWidth="18000" windowHeight="9360" tabRatio="776" firstSheet="5" activeTab="8" xr2:uid="{00000000-000D-0000-FFFF-FFFF00000000}"/>
  </bookViews>
  <sheets>
    <sheet name="Summary - 65" sheetId="1" r:id="rId1"/>
    <sheet name="Summary - 60" sheetId="4" r:id="rId2"/>
    <sheet name="Data" sheetId="2" r:id="rId3"/>
    <sheet name="Normals" sheetId="3" r:id="rId4"/>
    <sheet name="503 - 65" sheetId="5" state="hidden" r:id="rId5"/>
    <sheet name="1981-2010 Normals --&gt;" sheetId="19" r:id="rId6"/>
    <sheet name="503 - 60a" sheetId="6" r:id="rId7"/>
    <sheet name="504 - 65" sheetId="7" state="hidden" r:id="rId8"/>
    <sheet name="504 - 60a" sheetId="8" r:id="rId9"/>
    <sheet name="1991-2020 Normals --&gt;" sheetId="13" r:id="rId10"/>
    <sheet name="503 - 60b" sheetId="14" r:id="rId11"/>
    <sheet name="504 - 60b" sheetId="15" r:id="rId12"/>
    <sheet name="101 - 65" sheetId="9" state="hidden" r:id="rId13"/>
    <sheet name="101 - 60" sheetId="10" state="hidden" r:id="rId14"/>
    <sheet name="104 - 65" sheetId="11" state="hidden" r:id="rId15"/>
    <sheet name="104 - 60" sheetId="12" state="hidden" r:id="rId16"/>
  </sheets>
  <externalReferences>
    <externalReference r:id="rId17"/>
  </externalReferences>
  <definedNames>
    <definedName name="first_day">'[1]Historic Data'!$K$3</definedName>
    <definedName name="_xlnm.Print_Area" localSheetId="1">'Summary - 60'!$G$2:$N$35,'Summary - 60'!$Z$2:$AG$56</definedName>
    <definedName name="_xlnm.Print_Area" localSheetId="0">'Summary - 65'!$G$2:$N$35,'Summary - 65'!$Z$2:$AG$56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3" l="1"/>
  <c r="P31" i="3"/>
  <c r="Q31" i="3"/>
  <c r="R31" i="3"/>
  <c r="S31" i="3"/>
  <c r="T31" i="3"/>
  <c r="N31" i="3"/>
  <c r="F30" i="3"/>
  <c r="G30" i="3"/>
  <c r="H30" i="3"/>
  <c r="I30" i="3"/>
  <c r="J30" i="3"/>
  <c r="K30" i="3"/>
  <c r="E30" i="3"/>
  <c r="O30" i="3"/>
  <c r="P30" i="3"/>
  <c r="Q30" i="3"/>
  <c r="R30" i="3"/>
  <c r="S30" i="3"/>
  <c r="T30" i="3"/>
  <c r="N30" i="3"/>
  <c r="A21" i="15" l="1"/>
  <c r="A22" i="15" s="1"/>
  <c r="X19" i="15"/>
  <c r="Y19" i="15" s="1"/>
  <c r="Q5" i="15"/>
  <c r="Q4" i="15"/>
  <c r="X4" i="15" s="1"/>
  <c r="Y4" i="15" s="1"/>
  <c r="A21" i="14"/>
  <c r="C21" i="14" s="1"/>
  <c r="Q4" i="14"/>
  <c r="X19" i="14" s="1"/>
  <c r="A22" i="14" l="1"/>
  <c r="R4" i="15"/>
  <c r="C22" i="15"/>
  <c r="A23" i="15"/>
  <c r="D21" i="15"/>
  <c r="X5" i="15"/>
  <c r="Y5" i="15" s="1"/>
  <c r="R5" i="15"/>
  <c r="X20" i="15"/>
  <c r="Y20" i="15" s="1"/>
  <c r="Q6" i="15"/>
  <c r="Q20" i="15"/>
  <c r="R20" i="15" s="1"/>
  <c r="Q19" i="15"/>
  <c r="R19" i="15" s="1"/>
  <c r="C21" i="15"/>
  <c r="Y19" i="14"/>
  <c r="AE19" i="14"/>
  <c r="Q5" i="14"/>
  <c r="Q19" i="14"/>
  <c r="R19" i="14" s="1"/>
  <c r="R4" i="14"/>
  <c r="X4" i="14"/>
  <c r="A23" i="14"/>
  <c r="A5" i="2"/>
  <c r="J5" i="2" s="1"/>
  <c r="S5" i="15" l="1"/>
  <c r="V5" i="15"/>
  <c r="U5" i="15"/>
  <c r="C22" i="14"/>
  <c r="D21" i="14"/>
  <c r="V4" i="15"/>
  <c r="U4" i="15"/>
  <c r="S4" i="15"/>
  <c r="T4" i="15"/>
  <c r="T4" i="14"/>
  <c r="U4" i="14"/>
  <c r="S4" i="14"/>
  <c r="V4" i="14"/>
  <c r="X6" i="15"/>
  <c r="Y6" i="15" s="1"/>
  <c r="Q7" i="15"/>
  <c r="Q21" i="15"/>
  <c r="R21" i="15" s="1"/>
  <c r="X21" i="15"/>
  <c r="Y21" i="15" s="1"/>
  <c r="R6" i="15"/>
  <c r="A24" i="15"/>
  <c r="C23" i="15"/>
  <c r="D22" i="15"/>
  <c r="T5" i="15" s="1"/>
  <c r="X20" i="14"/>
  <c r="R5" i="14"/>
  <c r="Q20" i="14"/>
  <c r="R20" i="14" s="1"/>
  <c r="X5" i="14"/>
  <c r="Q6" i="14"/>
  <c r="A24" i="14"/>
  <c r="C23" i="14"/>
  <c r="D22" i="14"/>
  <c r="Y4" i="14"/>
  <c r="AE4" i="14"/>
  <c r="AK5" i="2"/>
  <c r="A6" i="2"/>
  <c r="AB5" i="2"/>
  <c r="S5" i="2"/>
  <c r="K21" i="4"/>
  <c r="K15" i="4"/>
  <c r="V5" i="14" l="1"/>
  <c r="T5" i="14"/>
  <c r="U5" i="14"/>
  <c r="S5" i="14"/>
  <c r="V6" i="15"/>
  <c r="X22" i="15"/>
  <c r="Y22" i="15" s="1"/>
  <c r="Q8" i="15"/>
  <c r="Q22" i="15"/>
  <c r="R22" i="15" s="1"/>
  <c r="R7" i="15"/>
  <c r="X7" i="15"/>
  <c r="Y7" i="15" s="1"/>
  <c r="A25" i="15"/>
  <c r="C24" i="15"/>
  <c r="D23" i="15"/>
  <c r="U6" i="15" s="1"/>
  <c r="Q21" i="14"/>
  <c r="R21" i="14" s="1"/>
  <c r="R6" i="14"/>
  <c r="X21" i="14"/>
  <c r="X6" i="14"/>
  <c r="Q7" i="14"/>
  <c r="Y5" i="14"/>
  <c r="AE5" i="14"/>
  <c r="C24" i="14"/>
  <c r="D23" i="14"/>
  <c r="A25" i="14"/>
  <c r="AE20" i="14"/>
  <c r="Y20" i="14"/>
  <c r="AH4" i="14"/>
  <c r="AG4" i="14"/>
  <c r="AI4" i="14"/>
  <c r="AF4" i="15"/>
  <c r="AG4" i="15"/>
  <c r="AH4" i="15"/>
  <c r="AI4" i="15"/>
  <c r="S6" i="2"/>
  <c r="AB6" i="2"/>
  <c r="A7" i="2"/>
  <c r="J6" i="2"/>
  <c r="AT5" i="2"/>
  <c r="A20" i="7"/>
  <c r="Q4" i="7"/>
  <c r="Q5" i="7" s="1"/>
  <c r="A20" i="5"/>
  <c r="C20" i="5" s="1"/>
  <c r="Q4" i="5"/>
  <c r="S6" i="15" l="1"/>
  <c r="T6" i="15"/>
  <c r="S6" i="14"/>
  <c r="T6" i="14"/>
  <c r="U6" i="14"/>
  <c r="V6" i="14"/>
  <c r="AF4" i="14"/>
  <c r="AL4" i="14" s="1"/>
  <c r="AL4" i="15"/>
  <c r="D24" i="15"/>
  <c r="S7" i="15" s="1"/>
  <c r="A26" i="15"/>
  <c r="C25" i="15"/>
  <c r="X23" i="15"/>
  <c r="Y23" i="15" s="1"/>
  <c r="X8" i="15"/>
  <c r="Y8" i="15" s="1"/>
  <c r="Q23" i="15"/>
  <c r="R23" i="15" s="1"/>
  <c r="Q9" i="15"/>
  <c r="R8" i="15"/>
  <c r="X22" i="14"/>
  <c r="R7" i="14"/>
  <c r="Q22" i="14"/>
  <c r="R22" i="14" s="1"/>
  <c r="Q8" i="14"/>
  <c r="X7" i="14"/>
  <c r="Y6" i="14"/>
  <c r="AE6" i="14"/>
  <c r="AE21" i="14"/>
  <c r="Y21" i="14"/>
  <c r="A26" i="14"/>
  <c r="C25" i="14"/>
  <c r="D24" i="14"/>
  <c r="J7" i="2"/>
  <c r="S7" i="2"/>
  <c r="A8" i="2"/>
  <c r="AB7" i="2"/>
  <c r="AF5" i="15"/>
  <c r="AG5" i="15"/>
  <c r="AH5" i="15"/>
  <c r="AI5" i="15"/>
  <c r="AF5" i="14"/>
  <c r="AG5" i="14"/>
  <c r="AH5" i="14"/>
  <c r="AT6" i="2"/>
  <c r="AI5" i="14"/>
  <c r="AK6" i="2"/>
  <c r="A21" i="5"/>
  <c r="A22" i="5" s="1"/>
  <c r="A21" i="7"/>
  <c r="D20" i="7" s="1"/>
  <c r="C20" i="7"/>
  <c r="R4" i="7"/>
  <c r="Q20" i="7"/>
  <c r="R20" i="7" s="1"/>
  <c r="X5" i="7"/>
  <c r="Y5" i="7" s="1"/>
  <c r="X20" i="7"/>
  <c r="Y20" i="7" s="1"/>
  <c r="R5" i="7"/>
  <c r="Q19" i="7"/>
  <c r="R19" i="7" s="1"/>
  <c r="X19" i="7"/>
  <c r="Y19" i="7" s="1"/>
  <c r="X4" i="7"/>
  <c r="Y4" i="7" s="1"/>
  <c r="Q6" i="7"/>
  <c r="X19" i="5"/>
  <c r="Y19" i="5" s="1"/>
  <c r="X4" i="5"/>
  <c r="Y4" i="5" s="1"/>
  <c r="R4" i="5"/>
  <c r="Q5" i="5"/>
  <c r="Q19" i="5"/>
  <c r="R19" i="5" s="1"/>
  <c r="V7" i="14" l="1"/>
  <c r="S7" i="14"/>
  <c r="T7" i="14"/>
  <c r="U7" i="14"/>
  <c r="V7" i="15"/>
  <c r="T7" i="15"/>
  <c r="U7" i="15"/>
  <c r="AC4" i="15"/>
  <c r="V19" i="15" s="1"/>
  <c r="AC19" i="15" s="1"/>
  <c r="AI19" i="15" s="1"/>
  <c r="AC4" i="14"/>
  <c r="V19" i="14" s="1"/>
  <c r="AC19" i="14" s="1"/>
  <c r="AI19" i="14" s="1"/>
  <c r="AB4" i="15"/>
  <c r="U19" i="15" s="1"/>
  <c r="AB19" i="15" s="1"/>
  <c r="AH19" i="15" s="1"/>
  <c r="AB4" i="14"/>
  <c r="U19" i="14" s="1"/>
  <c r="AB19" i="14" s="1"/>
  <c r="AH19" i="14" s="1"/>
  <c r="AA4" i="15"/>
  <c r="T19" i="15" s="1"/>
  <c r="AA19" i="15" s="1"/>
  <c r="AG19" i="15" s="1"/>
  <c r="AA4" i="14"/>
  <c r="T19" i="14" s="1"/>
  <c r="AA19" i="14" s="1"/>
  <c r="AG19" i="14" s="1"/>
  <c r="Z4" i="15"/>
  <c r="S19" i="15" s="1"/>
  <c r="Z19" i="15" s="1"/>
  <c r="AF19" i="15" s="1"/>
  <c r="Z4" i="14"/>
  <c r="S19" i="14" s="1"/>
  <c r="Z19" i="14" s="1"/>
  <c r="AF19" i="14" s="1"/>
  <c r="AL5" i="15"/>
  <c r="Q24" i="15"/>
  <c r="R24" i="15" s="1"/>
  <c r="X9" i="15"/>
  <c r="Y9" i="15" s="1"/>
  <c r="X24" i="15"/>
  <c r="Y24" i="15" s="1"/>
  <c r="Q10" i="15"/>
  <c r="R9" i="15"/>
  <c r="D25" i="15"/>
  <c r="S8" i="15" s="1"/>
  <c r="A27" i="15"/>
  <c r="C26" i="15"/>
  <c r="Y7" i="14"/>
  <c r="AE7" i="14"/>
  <c r="Q23" i="14"/>
  <c r="R23" i="14" s="1"/>
  <c r="X23" i="14"/>
  <c r="Q9" i="14"/>
  <c r="R8" i="14"/>
  <c r="X8" i="14"/>
  <c r="AL5" i="14"/>
  <c r="AE22" i="14"/>
  <c r="Y22" i="14"/>
  <c r="C26" i="14"/>
  <c r="D25" i="14"/>
  <c r="A27" i="14"/>
  <c r="AF6" i="14"/>
  <c r="AG6" i="14"/>
  <c r="AH6" i="14"/>
  <c r="AT7" i="2"/>
  <c r="AI6" i="14"/>
  <c r="AK7" i="2"/>
  <c r="C21" i="5"/>
  <c r="AF6" i="15"/>
  <c r="AG6" i="15"/>
  <c r="AI6" i="15"/>
  <c r="AH6" i="15"/>
  <c r="AB8" i="2"/>
  <c r="A9" i="2"/>
  <c r="J8" i="2"/>
  <c r="S8" i="2"/>
  <c r="D20" i="5"/>
  <c r="S4" i="5" s="1" a="1"/>
  <c r="S4" i="5" s="1"/>
  <c r="A22" i="7"/>
  <c r="C22" i="7" s="1"/>
  <c r="C21" i="7"/>
  <c r="V4" i="7"/>
  <c r="U4" i="7"/>
  <c r="S4" i="7"/>
  <c r="T4" i="7"/>
  <c r="X21" i="7"/>
  <c r="Y21" i="7" s="1"/>
  <c r="Q7" i="7"/>
  <c r="Q21" i="7"/>
  <c r="R21" i="7" s="1"/>
  <c r="X6" i="7"/>
  <c r="Y6" i="7" s="1"/>
  <c r="R6" i="7"/>
  <c r="X5" i="5"/>
  <c r="Y5" i="5" s="1"/>
  <c r="X20" i="5"/>
  <c r="Y20" i="5" s="1"/>
  <c r="R5" i="5"/>
  <c r="Q6" i="5"/>
  <c r="Q20" i="5"/>
  <c r="R20" i="5" s="1"/>
  <c r="A23" i="5"/>
  <c r="D21" i="5"/>
  <c r="C22" i="5"/>
  <c r="T8" i="15" l="1"/>
  <c r="U8" i="15"/>
  <c r="V8" i="15"/>
  <c r="S8" i="14"/>
  <c r="T8" i="14"/>
  <c r="V8" i="14"/>
  <c r="U8" i="14"/>
  <c r="S9" i="15"/>
  <c r="Z5" i="15"/>
  <c r="S20" i="15" s="1"/>
  <c r="Z20" i="15" s="1"/>
  <c r="AF20" i="15" s="1"/>
  <c r="Z5" i="14"/>
  <c r="S20" i="14" s="1"/>
  <c r="Z20" i="14" s="1"/>
  <c r="AF20" i="14" s="1"/>
  <c r="AB5" i="15"/>
  <c r="U20" i="15" s="1"/>
  <c r="AB20" i="15" s="1"/>
  <c r="AH20" i="15" s="1"/>
  <c r="AB5" i="14"/>
  <c r="U20" i="14" s="1"/>
  <c r="AB20" i="14" s="1"/>
  <c r="AH20" i="14" s="1"/>
  <c r="AA5" i="15"/>
  <c r="T20" i="15" s="1"/>
  <c r="AA20" i="15" s="1"/>
  <c r="AG20" i="15" s="1"/>
  <c r="AA5" i="14"/>
  <c r="T20" i="14" s="1"/>
  <c r="AA20" i="14" s="1"/>
  <c r="AG20" i="14" s="1"/>
  <c r="AC5" i="15"/>
  <c r="V20" i="15" s="1"/>
  <c r="AC20" i="15" s="1"/>
  <c r="AI20" i="15" s="1"/>
  <c r="AC5" i="14"/>
  <c r="V20" i="14" s="1"/>
  <c r="AC20" i="14" s="1"/>
  <c r="AI20" i="14" s="1"/>
  <c r="Q25" i="15"/>
  <c r="R25" i="15" s="1"/>
  <c r="Q11" i="15"/>
  <c r="R10" i="15"/>
  <c r="X25" i="15"/>
  <c r="Y25" i="15" s="1"/>
  <c r="X10" i="15"/>
  <c r="Y10" i="15" s="1"/>
  <c r="C27" i="15"/>
  <c r="D26" i="15"/>
  <c r="T9" i="15" s="1"/>
  <c r="A28" i="15"/>
  <c r="AL6" i="15"/>
  <c r="Y8" i="14"/>
  <c r="AE8" i="14"/>
  <c r="X24" i="14"/>
  <c r="R9" i="14"/>
  <c r="Q24" i="14"/>
  <c r="R24" i="14" s="1"/>
  <c r="Q10" i="14"/>
  <c r="X9" i="14"/>
  <c r="Y23" i="14"/>
  <c r="AE23" i="14"/>
  <c r="A28" i="14"/>
  <c r="C27" i="14"/>
  <c r="D26" i="14"/>
  <c r="AL6" i="14"/>
  <c r="A23" i="7"/>
  <c r="AK8" i="2"/>
  <c r="T4" i="5"/>
  <c r="U4" i="5"/>
  <c r="AB9" i="2"/>
  <c r="J9" i="2"/>
  <c r="A10" i="2"/>
  <c r="S9" i="2"/>
  <c r="V4" i="5"/>
  <c r="AF7" i="15"/>
  <c r="AG7" i="15"/>
  <c r="AH7" i="15"/>
  <c r="AI7" i="15"/>
  <c r="AF7" i="14"/>
  <c r="AG7" i="14"/>
  <c r="AI7" i="14"/>
  <c r="AH7" i="14"/>
  <c r="AT8" i="2"/>
  <c r="D21" i="7"/>
  <c r="T5" i="7"/>
  <c r="U5" i="7"/>
  <c r="U5" i="5"/>
  <c r="V5" i="5"/>
  <c r="S5" i="5"/>
  <c r="T5" i="5"/>
  <c r="S5" i="7"/>
  <c r="V5" i="7"/>
  <c r="Q8" i="7"/>
  <c r="X22" i="7"/>
  <c r="Y22" i="7" s="1"/>
  <c r="X7" i="7"/>
  <c r="Y7" i="7" s="1"/>
  <c r="R7" i="7"/>
  <c r="Q22" i="7"/>
  <c r="R22" i="7" s="1"/>
  <c r="A24" i="7"/>
  <c r="D22" i="7"/>
  <c r="V6" i="7" s="1"/>
  <c r="C23" i="7"/>
  <c r="Q21" i="5"/>
  <c r="R21" i="5" s="1"/>
  <c r="X6" i="5"/>
  <c r="Y6" i="5" s="1"/>
  <c r="R6" i="5"/>
  <c r="X21" i="5"/>
  <c r="Y21" i="5" s="1"/>
  <c r="Q7" i="5"/>
  <c r="C23" i="5"/>
  <c r="D22" i="5"/>
  <c r="A24" i="5"/>
  <c r="V9" i="14" l="1"/>
  <c r="T9" i="14"/>
  <c r="U9" i="14"/>
  <c r="S9" i="14"/>
  <c r="T10" i="15"/>
  <c r="U9" i="15"/>
  <c r="V9" i="15"/>
  <c r="AC6" i="15"/>
  <c r="V21" i="15" s="1"/>
  <c r="AC21" i="15" s="1"/>
  <c r="AI21" i="15" s="1"/>
  <c r="AC6" i="14"/>
  <c r="V21" i="14" s="1"/>
  <c r="AC21" i="14" s="1"/>
  <c r="AI21" i="14" s="1"/>
  <c r="AB6" i="15"/>
  <c r="U21" i="15" s="1"/>
  <c r="AB21" i="15" s="1"/>
  <c r="AH21" i="15" s="1"/>
  <c r="AB6" i="14"/>
  <c r="U21" i="14" s="1"/>
  <c r="AB21" i="14" s="1"/>
  <c r="AH21" i="14" s="1"/>
  <c r="AA6" i="15"/>
  <c r="T21" i="15" s="1"/>
  <c r="AA21" i="15" s="1"/>
  <c r="AG21" i="15" s="1"/>
  <c r="AA6" i="14"/>
  <c r="T21" i="14" s="1"/>
  <c r="AA21" i="14" s="1"/>
  <c r="AG21" i="14" s="1"/>
  <c r="Z6" i="15"/>
  <c r="S21" i="15" s="1"/>
  <c r="Z21" i="15" s="1"/>
  <c r="AF21" i="15" s="1"/>
  <c r="Z6" i="14"/>
  <c r="S21" i="14" s="1"/>
  <c r="Z21" i="14" s="1"/>
  <c r="AF21" i="14" s="1"/>
  <c r="AL7" i="15"/>
  <c r="Q12" i="15"/>
  <c r="R11" i="15"/>
  <c r="Q26" i="15"/>
  <c r="R26" i="15" s="1"/>
  <c r="X11" i="15"/>
  <c r="Y11" i="15" s="1"/>
  <c r="X26" i="15"/>
  <c r="Y26" i="15" s="1"/>
  <c r="D27" i="15"/>
  <c r="V10" i="15" s="1"/>
  <c r="C28" i="15"/>
  <c r="A29" i="15"/>
  <c r="Y9" i="14"/>
  <c r="AE9" i="14"/>
  <c r="Q25" i="14"/>
  <c r="R25" i="14" s="1"/>
  <c r="R10" i="14"/>
  <c r="X25" i="14"/>
  <c r="X10" i="14"/>
  <c r="Q11" i="14"/>
  <c r="C28" i="14"/>
  <c r="D27" i="14"/>
  <c r="A29" i="14"/>
  <c r="AL7" i="14"/>
  <c r="AE24" i="14"/>
  <c r="Y24" i="14"/>
  <c r="AF8" i="14"/>
  <c r="AG8" i="14"/>
  <c r="AH8" i="14"/>
  <c r="AT9" i="2"/>
  <c r="AI8" i="14"/>
  <c r="S10" i="2"/>
  <c r="AB10" i="2"/>
  <c r="A11" i="2"/>
  <c r="J10" i="2"/>
  <c r="AK9" i="2"/>
  <c r="AF8" i="15"/>
  <c r="AG8" i="15"/>
  <c r="AI8" i="15"/>
  <c r="AH8" i="15"/>
  <c r="U6" i="5"/>
  <c r="S6" i="5"/>
  <c r="T6" i="5"/>
  <c r="V6" i="5"/>
  <c r="T6" i="7"/>
  <c r="S6" i="7"/>
  <c r="U6" i="7"/>
  <c r="Q23" i="7"/>
  <c r="R23" i="7" s="1"/>
  <c r="Q9" i="7"/>
  <c r="X23" i="7"/>
  <c r="Y23" i="7" s="1"/>
  <c r="X8" i="7"/>
  <c r="Y8" i="7" s="1"/>
  <c r="R8" i="7"/>
  <c r="A25" i="7"/>
  <c r="D23" i="7"/>
  <c r="T7" i="7" s="1"/>
  <c r="C24" i="7"/>
  <c r="C24" i="5"/>
  <c r="D23" i="5"/>
  <c r="A25" i="5"/>
  <c r="X7" i="5"/>
  <c r="Y7" i="5" s="1"/>
  <c r="Q22" i="5"/>
  <c r="R22" i="5" s="1"/>
  <c r="R7" i="5"/>
  <c r="X22" i="5"/>
  <c r="Y22" i="5" s="1"/>
  <c r="Q8" i="5"/>
  <c r="S10" i="14" l="1"/>
  <c r="T10" i="14"/>
  <c r="U10" i="14"/>
  <c r="V10" i="14"/>
  <c r="S10" i="15"/>
  <c r="U10" i="15"/>
  <c r="V11" i="15"/>
  <c r="AL8" i="15"/>
  <c r="Z7" i="15"/>
  <c r="S22" i="15" s="1"/>
  <c r="Z22" i="15" s="1"/>
  <c r="AF22" i="15" s="1"/>
  <c r="Z7" i="14"/>
  <c r="S22" i="14" s="1"/>
  <c r="Z22" i="14" s="1"/>
  <c r="AF22" i="14" s="1"/>
  <c r="AB7" i="15"/>
  <c r="U22" i="15" s="1"/>
  <c r="AB22" i="15" s="1"/>
  <c r="AH22" i="15" s="1"/>
  <c r="AB7" i="14"/>
  <c r="U22" i="14" s="1"/>
  <c r="AB22" i="14" s="1"/>
  <c r="AH22" i="14" s="1"/>
  <c r="AC7" i="15"/>
  <c r="V22" i="15" s="1"/>
  <c r="AC22" i="15" s="1"/>
  <c r="AI22" i="15" s="1"/>
  <c r="AC7" i="14"/>
  <c r="V22" i="14" s="1"/>
  <c r="AC22" i="14" s="1"/>
  <c r="AI22" i="14" s="1"/>
  <c r="AA7" i="15"/>
  <c r="T22" i="15" s="1"/>
  <c r="AA22" i="15" s="1"/>
  <c r="AG22" i="15" s="1"/>
  <c r="AA7" i="14"/>
  <c r="T22" i="14" s="1"/>
  <c r="AA22" i="14" s="1"/>
  <c r="AG22" i="14" s="1"/>
  <c r="A30" i="15"/>
  <c r="D28" i="15"/>
  <c r="U11" i="15" s="1"/>
  <c r="C29" i="15"/>
  <c r="X27" i="15"/>
  <c r="Y27" i="15" s="1"/>
  <c r="X12" i="15"/>
  <c r="Y12" i="15" s="1"/>
  <c r="Q27" i="15"/>
  <c r="R27" i="15" s="1"/>
  <c r="R12" i="15"/>
  <c r="Q13" i="15"/>
  <c r="Y10" i="14"/>
  <c r="AE10" i="14"/>
  <c r="Y25" i="14"/>
  <c r="AE25" i="14"/>
  <c r="X26" i="14"/>
  <c r="R11" i="14"/>
  <c r="Q26" i="14"/>
  <c r="R26" i="14" s="1"/>
  <c r="X11" i="14"/>
  <c r="Q12" i="14"/>
  <c r="AL8" i="14"/>
  <c r="A30" i="14"/>
  <c r="C29" i="14"/>
  <c r="D28" i="14"/>
  <c r="AF9" i="14"/>
  <c r="AG9" i="14"/>
  <c r="AH9" i="14"/>
  <c r="AT10" i="2"/>
  <c r="AI9" i="14"/>
  <c r="AF9" i="15"/>
  <c r="AG9" i="15"/>
  <c r="AI9" i="15"/>
  <c r="AH9" i="15"/>
  <c r="AK10" i="2"/>
  <c r="J11" i="2"/>
  <c r="S11" i="2"/>
  <c r="AB11" i="2"/>
  <c r="A12" i="2"/>
  <c r="V7" i="7"/>
  <c r="S7" i="7"/>
  <c r="U7" i="7"/>
  <c r="U7" i="5"/>
  <c r="S7" i="5"/>
  <c r="T7" i="5"/>
  <c r="V7" i="5"/>
  <c r="C25" i="7"/>
  <c r="A26" i="7"/>
  <c r="D24" i="7"/>
  <c r="T8" i="7" s="1"/>
  <c r="Q10" i="7"/>
  <c r="Q24" i="7"/>
  <c r="R24" i="7" s="1"/>
  <c r="X9" i="7"/>
  <c r="Y9" i="7" s="1"/>
  <c r="X24" i="7"/>
  <c r="Y24" i="7" s="1"/>
  <c r="R9" i="7"/>
  <c r="X23" i="5"/>
  <c r="Y23" i="5" s="1"/>
  <c r="X8" i="5"/>
  <c r="Y8" i="5" s="1"/>
  <c r="R8" i="5"/>
  <c r="Q23" i="5"/>
  <c r="R23" i="5" s="1"/>
  <c r="Q9" i="5"/>
  <c r="A26" i="5"/>
  <c r="D24" i="5"/>
  <c r="C25" i="5"/>
  <c r="S11" i="15" l="1"/>
  <c r="T11" i="15"/>
  <c r="V11" i="14"/>
  <c r="S11" i="14"/>
  <c r="T11" i="14"/>
  <c r="U11" i="14"/>
  <c r="AA8" i="15"/>
  <c r="T23" i="15" s="1"/>
  <c r="AA23" i="15" s="1"/>
  <c r="AG23" i="15" s="1"/>
  <c r="AA8" i="14"/>
  <c r="T23" i="14" s="1"/>
  <c r="AA23" i="14" s="1"/>
  <c r="AG23" i="14" s="1"/>
  <c r="Z8" i="15"/>
  <c r="S23" i="15" s="1"/>
  <c r="Z23" i="15" s="1"/>
  <c r="AF23" i="15" s="1"/>
  <c r="Z8" i="14"/>
  <c r="S23" i="14" s="1"/>
  <c r="Z23" i="14" s="1"/>
  <c r="AF23" i="14" s="1"/>
  <c r="AB8" i="15"/>
  <c r="U23" i="15" s="1"/>
  <c r="AB23" i="15" s="1"/>
  <c r="AH23" i="15" s="1"/>
  <c r="AB8" i="14"/>
  <c r="U23" i="14" s="1"/>
  <c r="AB23" i="14" s="1"/>
  <c r="AH23" i="14" s="1"/>
  <c r="AC8" i="15"/>
  <c r="V23" i="15" s="1"/>
  <c r="AC23" i="15" s="1"/>
  <c r="AI23" i="15" s="1"/>
  <c r="AC8" i="14"/>
  <c r="V23" i="14" s="1"/>
  <c r="AC23" i="14" s="1"/>
  <c r="AI23" i="14" s="1"/>
  <c r="AL9" i="15"/>
  <c r="X28" i="15"/>
  <c r="Y28" i="15" s="1"/>
  <c r="X13" i="15"/>
  <c r="Y13" i="15" s="1"/>
  <c r="R13" i="15"/>
  <c r="Q14" i="15"/>
  <c r="Q28" i="15"/>
  <c r="R28" i="15" s="1"/>
  <c r="C30" i="15"/>
  <c r="D29" i="15"/>
  <c r="V12" i="15" s="1"/>
  <c r="A31" i="15"/>
  <c r="Q27" i="14"/>
  <c r="R27" i="14" s="1"/>
  <c r="X27" i="14"/>
  <c r="Q13" i="14"/>
  <c r="R12" i="14"/>
  <c r="X12" i="14"/>
  <c r="AL9" i="14"/>
  <c r="Y11" i="14"/>
  <c r="AE11" i="14"/>
  <c r="C30" i="14"/>
  <c r="D29" i="14"/>
  <c r="A31" i="14"/>
  <c r="AE26" i="14"/>
  <c r="Y26" i="14"/>
  <c r="AB12" i="2"/>
  <c r="A13" i="2"/>
  <c r="J12" i="2"/>
  <c r="S12" i="2"/>
  <c r="AF10" i="15"/>
  <c r="AG10" i="15"/>
  <c r="AI10" i="15"/>
  <c r="AH10" i="15"/>
  <c r="AF10" i="14"/>
  <c r="AG10" i="14"/>
  <c r="AT11" i="2"/>
  <c r="AH10" i="14"/>
  <c r="AI10" i="14"/>
  <c r="AK11" i="2"/>
  <c r="U8" i="7"/>
  <c r="S8" i="7"/>
  <c r="U8" i="5"/>
  <c r="T8" i="5"/>
  <c r="V8" i="5"/>
  <c r="S8" i="5"/>
  <c r="V8" i="7"/>
  <c r="X25" i="7"/>
  <c r="Y25" i="7" s="1"/>
  <c r="Q11" i="7"/>
  <c r="Q25" i="7"/>
  <c r="R25" i="7" s="1"/>
  <c r="X10" i="7"/>
  <c r="Y10" i="7" s="1"/>
  <c r="R10" i="7"/>
  <c r="C26" i="7"/>
  <c r="A27" i="7"/>
  <c r="D25" i="7"/>
  <c r="V9" i="7" s="1"/>
  <c r="A27" i="5"/>
  <c r="D25" i="5"/>
  <c r="C26" i="5"/>
  <c r="X9" i="5"/>
  <c r="Y9" i="5" s="1"/>
  <c r="X24" i="5"/>
  <c r="Y24" i="5" s="1"/>
  <c r="R9" i="5"/>
  <c r="Q10" i="5"/>
  <c r="Q24" i="5"/>
  <c r="R24" i="5" s="1"/>
  <c r="S12" i="14" l="1"/>
  <c r="T12" i="14"/>
  <c r="V12" i="14"/>
  <c r="U12" i="14"/>
  <c r="T12" i="15"/>
  <c r="S12" i="15"/>
  <c r="U12" i="15"/>
  <c r="AL10" i="15"/>
  <c r="AC9" i="15"/>
  <c r="V24" i="15" s="1"/>
  <c r="AC24" i="15" s="1"/>
  <c r="AI24" i="15" s="1"/>
  <c r="AC9" i="14"/>
  <c r="V24" i="14" s="1"/>
  <c r="AC24" i="14" s="1"/>
  <c r="AI24" i="14" s="1"/>
  <c r="AB9" i="15"/>
  <c r="U24" i="15" s="1"/>
  <c r="AB24" i="15" s="1"/>
  <c r="AH24" i="15" s="1"/>
  <c r="AB9" i="14"/>
  <c r="U24" i="14" s="1"/>
  <c r="AB24" i="14" s="1"/>
  <c r="AH24" i="14" s="1"/>
  <c r="AA9" i="15"/>
  <c r="T24" i="15" s="1"/>
  <c r="AA24" i="15" s="1"/>
  <c r="AG24" i="15" s="1"/>
  <c r="AA9" i="14"/>
  <c r="T24" i="14" s="1"/>
  <c r="AA24" i="14" s="1"/>
  <c r="AG24" i="14" s="1"/>
  <c r="Z9" i="15"/>
  <c r="S24" i="15" s="1"/>
  <c r="Z24" i="15" s="1"/>
  <c r="AF24" i="15" s="1"/>
  <c r="Z9" i="14"/>
  <c r="S24" i="14" s="1"/>
  <c r="Z24" i="14" s="1"/>
  <c r="AF24" i="14" s="1"/>
  <c r="X14" i="15"/>
  <c r="Y14" i="15" s="1"/>
  <c r="Q29" i="15"/>
  <c r="R29" i="15" s="1"/>
  <c r="Q15" i="15"/>
  <c r="R14" i="15"/>
  <c r="X29" i="15"/>
  <c r="Y29" i="15" s="1"/>
  <c r="D30" i="15"/>
  <c r="S13" i="15" s="1"/>
  <c r="C31" i="15"/>
  <c r="A32" i="15"/>
  <c r="AL10" i="14"/>
  <c r="Y12" i="14"/>
  <c r="AE12" i="14"/>
  <c r="A32" i="14"/>
  <c r="C31" i="14"/>
  <c r="D30" i="14"/>
  <c r="X28" i="14"/>
  <c r="R13" i="14"/>
  <c r="Q28" i="14"/>
  <c r="R28" i="14" s="1"/>
  <c r="X13" i="14"/>
  <c r="Q14" i="14"/>
  <c r="Y27" i="14"/>
  <c r="AE27" i="14"/>
  <c r="AF11" i="14"/>
  <c r="AG11" i="14"/>
  <c r="AH11" i="14"/>
  <c r="AI11" i="14"/>
  <c r="AT12" i="2"/>
  <c r="AK12" i="2"/>
  <c r="AF11" i="15"/>
  <c r="AG11" i="15"/>
  <c r="AH11" i="15"/>
  <c r="AI11" i="15"/>
  <c r="AB13" i="2"/>
  <c r="J13" i="2"/>
  <c r="S13" i="2"/>
  <c r="A14" i="2"/>
  <c r="U9" i="7"/>
  <c r="T9" i="7"/>
  <c r="U9" i="5"/>
  <c r="V9" i="5"/>
  <c r="S9" i="5"/>
  <c r="T9" i="5"/>
  <c r="S9" i="7"/>
  <c r="Q12" i="7"/>
  <c r="X26" i="7"/>
  <c r="Y26" i="7" s="1"/>
  <c r="X11" i="7"/>
  <c r="Y11" i="7" s="1"/>
  <c r="R11" i="7"/>
  <c r="Q26" i="7"/>
  <c r="R26" i="7" s="1"/>
  <c r="A28" i="7"/>
  <c r="D26" i="7"/>
  <c r="T10" i="7" s="1"/>
  <c r="C27" i="7"/>
  <c r="C27" i="5"/>
  <c r="A28" i="5"/>
  <c r="D26" i="5"/>
  <c r="Q25" i="5"/>
  <c r="R25" i="5" s="1"/>
  <c r="X10" i="5"/>
  <c r="Y10" i="5" s="1"/>
  <c r="R10" i="5"/>
  <c r="Q11" i="5"/>
  <c r="X25" i="5"/>
  <c r="Y25" i="5" s="1"/>
  <c r="U13" i="15" l="1"/>
  <c r="V13" i="15"/>
  <c r="T13" i="15"/>
  <c r="V13" i="14"/>
  <c r="T13" i="14"/>
  <c r="U13" i="14"/>
  <c r="S13" i="14"/>
  <c r="AL11" i="15"/>
  <c r="AB10" i="15"/>
  <c r="U25" i="15" s="1"/>
  <c r="AB25" i="15" s="1"/>
  <c r="AH25" i="15" s="1"/>
  <c r="AB10" i="14"/>
  <c r="U25" i="14" s="1"/>
  <c r="AB25" i="14" s="1"/>
  <c r="AH25" i="14" s="1"/>
  <c r="AC10" i="15"/>
  <c r="V25" i="15" s="1"/>
  <c r="AC25" i="15" s="1"/>
  <c r="AI25" i="15" s="1"/>
  <c r="AC10" i="14"/>
  <c r="V25" i="14" s="1"/>
  <c r="AC25" i="14" s="1"/>
  <c r="AI25" i="14" s="1"/>
  <c r="AA10" i="15"/>
  <c r="T25" i="15" s="1"/>
  <c r="AA25" i="15" s="1"/>
  <c r="AG25" i="15" s="1"/>
  <c r="AA10" i="14"/>
  <c r="T25" i="14" s="1"/>
  <c r="AA25" i="14" s="1"/>
  <c r="AG25" i="14" s="1"/>
  <c r="Z10" i="15"/>
  <c r="S25" i="15" s="1"/>
  <c r="Z25" i="15" s="1"/>
  <c r="AF25" i="15" s="1"/>
  <c r="Z10" i="14"/>
  <c r="S25" i="14" s="1"/>
  <c r="Z25" i="14" s="1"/>
  <c r="AF25" i="14" s="1"/>
  <c r="AL11" i="14"/>
  <c r="A33" i="15"/>
  <c r="D32" i="15" s="1"/>
  <c r="C32" i="15"/>
  <c r="D31" i="15"/>
  <c r="V14" i="15" s="1"/>
  <c r="X30" i="15"/>
  <c r="Y30" i="15" s="1"/>
  <c r="Q30" i="15"/>
  <c r="R30" i="15" s="1"/>
  <c r="R15" i="15"/>
  <c r="X15" i="15"/>
  <c r="Y15" i="15" s="1"/>
  <c r="AE28" i="14"/>
  <c r="Y28" i="14"/>
  <c r="Y13" i="14"/>
  <c r="AE13" i="14"/>
  <c r="C32" i="14"/>
  <c r="D31" i="14"/>
  <c r="A33" i="14"/>
  <c r="D32" i="14" s="1"/>
  <c r="Q29" i="14"/>
  <c r="R29" i="14" s="1"/>
  <c r="R14" i="14"/>
  <c r="X29" i="14"/>
  <c r="X14" i="14"/>
  <c r="Q15" i="14"/>
  <c r="S14" i="2"/>
  <c r="AB14" i="2"/>
  <c r="A15" i="2"/>
  <c r="J14" i="2"/>
  <c r="AF12" i="14"/>
  <c r="AG12" i="14"/>
  <c r="AH12" i="14"/>
  <c r="AT13" i="2"/>
  <c r="AI12" i="14"/>
  <c r="AK13" i="2"/>
  <c r="AF12" i="15"/>
  <c r="AG12" i="15"/>
  <c r="AH12" i="15"/>
  <c r="AI12" i="15"/>
  <c r="V10" i="7"/>
  <c r="S10" i="7"/>
  <c r="U10" i="7"/>
  <c r="U10" i="5"/>
  <c r="S10" i="5"/>
  <c r="T10" i="5"/>
  <c r="V10" i="5"/>
  <c r="Q27" i="7"/>
  <c r="R27" i="7" s="1"/>
  <c r="Q13" i="7"/>
  <c r="X27" i="7"/>
  <c r="Y27" i="7" s="1"/>
  <c r="X12" i="7"/>
  <c r="Y12" i="7" s="1"/>
  <c r="R12" i="7"/>
  <c r="A29" i="7"/>
  <c r="D27" i="7"/>
  <c r="S11" i="7" s="1"/>
  <c r="C28" i="7"/>
  <c r="X11" i="5"/>
  <c r="Y11" i="5" s="1"/>
  <c r="Q26" i="5"/>
  <c r="R26" i="5" s="1"/>
  <c r="R11" i="5"/>
  <c r="X26" i="5"/>
  <c r="Y26" i="5" s="1"/>
  <c r="Q12" i="5"/>
  <c r="C28" i="5"/>
  <c r="D27" i="5"/>
  <c r="A29" i="5"/>
  <c r="S14" i="14" l="1"/>
  <c r="T14" i="14"/>
  <c r="U14" i="14"/>
  <c r="V14" i="14"/>
  <c r="S14" i="15"/>
  <c r="S15" i="15"/>
  <c r="U15" i="15"/>
  <c r="T15" i="15"/>
  <c r="V15" i="15"/>
  <c r="T14" i="15"/>
  <c r="U14" i="15"/>
  <c r="Z11" i="15"/>
  <c r="S26" i="15" s="1"/>
  <c r="Z26" i="15" s="1"/>
  <c r="AF26" i="15" s="1"/>
  <c r="Z11" i="14"/>
  <c r="S26" i="14" s="1"/>
  <c r="Z26" i="14" s="1"/>
  <c r="AF26" i="14" s="1"/>
  <c r="AC11" i="15"/>
  <c r="V26" i="15" s="1"/>
  <c r="AC26" i="15" s="1"/>
  <c r="AI26" i="15" s="1"/>
  <c r="AC11" i="14"/>
  <c r="V26" i="14" s="1"/>
  <c r="AC26" i="14" s="1"/>
  <c r="AI26" i="14" s="1"/>
  <c r="AA11" i="15"/>
  <c r="T26" i="15" s="1"/>
  <c r="AA26" i="15" s="1"/>
  <c r="AG26" i="15" s="1"/>
  <c r="AA11" i="14"/>
  <c r="T26" i="14" s="1"/>
  <c r="AA26" i="14" s="1"/>
  <c r="AG26" i="14" s="1"/>
  <c r="AB11" i="15"/>
  <c r="U26" i="15" s="1"/>
  <c r="AB26" i="15" s="1"/>
  <c r="AH26" i="15" s="1"/>
  <c r="AB11" i="14"/>
  <c r="U26" i="14" s="1"/>
  <c r="AB26" i="14" s="1"/>
  <c r="AH26" i="14" s="1"/>
  <c r="AL12" i="15"/>
  <c r="X30" i="14"/>
  <c r="R15" i="14"/>
  <c r="Q30" i="14"/>
  <c r="R30" i="14" s="1"/>
  <c r="X15" i="14"/>
  <c r="Y29" i="14"/>
  <c r="AE29" i="14"/>
  <c r="AL12" i="14"/>
  <c r="Y14" i="14"/>
  <c r="AE14" i="14"/>
  <c r="AF13" i="15"/>
  <c r="AG13" i="15"/>
  <c r="AH13" i="15"/>
  <c r="AI13" i="15"/>
  <c r="AF13" i="14"/>
  <c r="AG13" i="14"/>
  <c r="AH13" i="14"/>
  <c r="AT14" i="2"/>
  <c r="AI13" i="14"/>
  <c r="AK14" i="2"/>
  <c r="J15" i="2"/>
  <c r="AB15" i="2"/>
  <c r="A16" i="2"/>
  <c r="S15" i="2"/>
  <c r="U11" i="7"/>
  <c r="V11" i="7"/>
  <c r="U11" i="5"/>
  <c r="S11" i="5"/>
  <c r="T11" i="5"/>
  <c r="V11" i="5"/>
  <c r="T11" i="7"/>
  <c r="C29" i="7"/>
  <c r="A30" i="7"/>
  <c r="D28" i="7"/>
  <c r="T12" i="7" s="1"/>
  <c r="Q14" i="7"/>
  <c r="Q28" i="7"/>
  <c r="R28" i="7" s="1"/>
  <c r="X13" i="7"/>
  <c r="Y13" i="7" s="1"/>
  <c r="X28" i="7"/>
  <c r="Y28" i="7" s="1"/>
  <c r="R13" i="7"/>
  <c r="X27" i="5"/>
  <c r="Y27" i="5" s="1"/>
  <c r="X12" i="5"/>
  <c r="Y12" i="5" s="1"/>
  <c r="R12" i="5"/>
  <c r="Q13" i="5"/>
  <c r="Q27" i="5"/>
  <c r="R27" i="5" s="1"/>
  <c r="A30" i="5"/>
  <c r="D28" i="5"/>
  <c r="C29" i="5"/>
  <c r="V15" i="14" l="1"/>
  <c r="S15" i="14"/>
  <c r="T15" i="14"/>
  <c r="U15" i="14"/>
  <c r="AC12" i="15"/>
  <c r="V27" i="15" s="1"/>
  <c r="AC27" i="15" s="1"/>
  <c r="AI27" i="15" s="1"/>
  <c r="AC12" i="14"/>
  <c r="V27" i="14" s="1"/>
  <c r="AC27" i="14" s="1"/>
  <c r="AI27" i="14" s="1"/>
  <c r="AA12" i="15"/>
  <c r="T27" i="15" s="1"/>
  <c r="AA27" i="15" s="1"/>
  <c r="AG27" i="15" s="1"/>
  <c r="AA12" i="14"/>
  <c r="T27" i="14" s="1"/>
  <c r="AA27" i="14" s="1"/>
  <c r="AG27" i="14" s="1"/>
  <c r="Z12" i="15"/>
  <c r="S27" i="15" s="1"/>
  <c r="Z27" i="15" s="1"/>
  <c r="AF27" i="15" s="1"/>
  <c r="Z12" i="14"/>
  <c r="S27" i="14" s="1"/>
  <c r="Z27" i="14" s="1"/>
  <c r="AF27" i="14" s="1"/>
  <c r="AB12" i="15"/>
  <c r="U27" i="15" s="1"/>
  <c r="AB27" i="15" s="1"/>
  <c r="AH27" i="15" s="1"/>
  <c r="AB12" i="14"/>
  <c r="U27" i="14" s="1"/>
  <c r="AB27" i="14" s="1"/>
  <c r="AH27" i="14" s="1"/>
  <c r="AL13" i="15"/>
  <c r="Y15" i="14"/>
  <c r="AE15" i="14"/>
  <c r="AE30" i="14"/>
  <c r="Y30" i="14"/>
  <c r="AL13" i="14"/>
  <c r="AF14" i="14"/>
  <c r="AG14" i="14"/>
  <c r="AT15" i="2"/>
  <c r="AH14" i="14"/>
  <c r="AI14" i="14"/>
  <c r="AF14" i="15"/>
  <c r="AG14" i="15"/>
  <c r="AI14" i="15"/>
  <c r="AH14" i="15"/>
  <c r="AK15" i="2"/>
  <c r="AB16" i="2"/>
  <c r="A17" i="2"/>
  <c r="J16" i="2"/>
  <c r="S16" i="2"/>
  <c r="U12" i="7"/>
  <c r="U12" i="5"/>
  <c r="T12" i="5"/>
  <c r="V12" i="5"/>
  <c r="S12" i="5"/>
  <c r="S12" i="7"/>
  <c r="V12" i="7"/>
  <c r="X29" i="7"/>
  <c r="Y29" i="7" s="1"/>
  <c r="Q15" i="7"/>
  <c r="Q29" i="7"/>
  <c r="R29" i="7" s="1"/>
  <c r="X14" i="7"/>
  <c r="Y14" i="7" s="1"/>
  <c r="R14" i="7"/>
  <c r="C30" i="7"/>
  <c r="A31" i="7"/>
  <c r="D29" i="7"/>
  <c r="V13" i="7" s="1"/>
  <c r="A31" i="5"/>
  <c r="D29" i="5"/>
  <c r="C30" i="5"/>
  <c r="X13" i="5"/>
  <c r="Y13" i="5" s="1"/>
  <c r="X28" i="5"/>
  <c r="Y28" i="5" s="1"/>
  <c r="R13" i="5"/>
  <c r="Q14" i="5"/>
  <c r="Q28" i="5"/>
  <c r="R28" i="5" s="1"/>
  <c r="AL14" i="15" l="1"/>
  <c r="AC13" i="15"/>
  <c r="V28" i="15" s="1"/>
  <c r="AC28" i="15" s="1"/>
  <c r="AI28" i="15" s="1"/>
  <c r="AC13" i="14"/>
  <c r="V28" i="14" s="1"/>
  <c r="AC28" i="14" s="1"/>
  <c r="AI28" i="14" s="1"/>
  <c r="Z13" i="15"/>
  <c r="S28" i="15" s="1"/>
  <c r="Z28" i="15" s="1"/>
  <c r="AF28" i="15" s="1"/>
  <c r="Z13" i="14"/>
  <c r="S28" i="14" s="1"/>
  <c r="Z28" i="14" s="1"/>
  <c r="AF28" i="14" s="1"/>
  <c r="AB13" i="15"/>
  <c r="U28" i="15" s="1"/>
  <c r="AB28" i="15" s="1"/>
  <c r="AH28" i="15" s="1"/>
  <c r="AB13" i="14"/>
  <c r="U28" i="14" s="1"/>
  <c r="AB28" i="14" s="1"/>
  <c r="AH28" i="14" s="1"/>
  <c r="AA13" i="15"/>
  <c r="T28" i="15" s="1"/>
  <c r="AA28" i="15" s="1"/>
  <c r="AG28" i="15" s="1"/>
  <c r="AA13" i="14"/>
  <c r="T28" i="14" s="1"/>
  <c r="AA28" i="14" s="1"/>
  <c r="AG28" i="14" s="1"/>
  <c r="AL14" i="14"/>
  <c r="J17" i="2"/>
  <c r="AB17" i="2"/>
  <c r="A18" i="2"/>
  <c r="S17" i="2"/>
  <c r="AF15" i="14"/>
  <c r="AG15" i="14"/>
  <c r="AH15" i="14"/>
  <c r="AT16" i="2"/>
  <c r="AI15" i="14"/>
  <c r="AK16" i="2"/>
  <c r="AF15" i="15"/>
  <c r="AG15" i="15"/>
  <c r="AH15" i="15"/>
  <c r="AI15" i="15"/>
  <c r="U13" i="7"/>
  <c r="T13" i="7"/>
  <c r="S13" i="7"/>
  <c r="U13" i="5"/>
  <c r="V13" i="5"/>
  <c r="S13" i="5"/>
  <c r="T13" i="5"/>
  <c r="X30" i="7"/>
  <c r="Y30" i="7" s="1"/>
  <c r="X15" i="7"/>
  <c r="Y15" i="7" s="1"/>
  <c r="Q30" i="7"/>
  <c r="R30" i="7" s="1"/>
  <c r="R15" i="7"/>
  <c r="A32" i="7"/>
  <c r="D31" i="7" s="1"/>
  <c r="D30" i="7"/>
  <c r="S14" i="7" s="1"/>
  <c r="C31" i="7"/>
  <c r="Q29" i="5"/>
  <c r="R29" i="5" s="1"/>
  <c r="X14" i="5"/>
  <c r="Y14" i="5" s="1"/>
  <c r="R14" i="5"/>
  <c r="X29" i="5"/>
  <c r="Y29" i="5" s="1"/>
  <c r="Q15" i="5"/>
  <c r="C31" i="5"/>
  <c r="A32" i="5"/>
  <c r="D31" i="5" s="1"/>
  <c r="D30" i="5"/>
  <c r="AL15" i="15" l="1"/>
  <c r="AC14" i="15"/>
  <c r="V29" i="15" s="1"/>
  <c r="AC29" i="15" s="1"/>
  <c r="AI29" i="15" s="1"/>
  <c r="AC14" i="14"/>
  <c r="V29" i="14" s="1"/>
  <c r="AC29" i="14" s="1"/>
  <c r="AI29" i="14" s="1"/>
  <c r="AA14" i="15"/>
  <c r="T29" i="15" s="1"/>
  <c r="AA29" i="15" s="1"/>
  <c r="AG29" i="15" s="1"/>
  <c r="AA14" i="14"/>
  <c r="T29" i="14" s="1"/>
  <c r="AA29" i="14" s="1"/>
  <c r="AG29" i="14" s="1"/>
  <c r="AB14" i="15"/>
  <c r="U29" i="15" s="1"/>
  <c r="AB29" i="15" s="1"/>
  <c r="AH29" i="15" s="1"/>
  <c r="AB14" i="14"/>
  <c r="U29" i="14" s="1"/>
  <c r="AB29" i="14" s="1"/>
  <c r="AH29" i="14" s="1"/>
  <c r="Z14" i="15"/>
  <c r="S29" i="15" s="1"/>
  <c r="Z29" i="15" s="1"/>
  <c r="AF29" i="15" s="1"/>
  <c r="Z14" i="14"/>
  <c r="S29" i="14" s="1"/>
  <c r="Z29" i="14" s="1"/>
  <c r="AF29" i="14" s="1"/>
  <c r="AL15" i="14"/>
  <c r="AK17" i="2"/>
  <c r="AT17" i="2"/>
  <c r="S18" i="2"/>
  <c r="J18" i="2"/>
  <c r="AB18" i="2"/>
  <c r="A19" i="2"/>
  <c r="T14" i="7"/>
  <c r="U14" i="7"/>
  <c r="V14" i="7"/>
  <c r="U15" i="7"/>
  <c r="S15" i="7"/>
  <c r="T15" i="7"/>
  <c r="V15" i="7"/>
  <c r="U14" i="5"/>
  <c r="S14" i="5"/>
  <c r="T14" i="5"/>
  <c r="V14" i="5"/>
  <c r="X15" i="5"/>
  <c r="Y15" i="5" s="1"/>
  <c r="Q30" i="5"/>
  <c r="R30" i="5" s="1"/>
  <c r="R15" i="5"/>
  <c r="X30" i="5"/>
  <c r="Y30" i="5" s="1"/>
  <c r="AB15" i="15" l="1"/>
  <c r="U30" i="15" s="1"/>
  <c r="AB30" i="15" s="1"/>
  <c r="AH30" i="15" s="1"/>
  <c r="AB15" i="14"/>
  <c r="U30" i="14" s="1"/>
  <c r="AB30" i="14" s="1"/>
  <c r="AH30" i="14" s="1"/>
  <c r="AC15" i="15"/>
  <c r="V30" i="15" s="1"/>
  <c r="AC30" i="15" s="1"/>
  <c r="AI30" i="15" s="1"/>
  <c r="AC15" i="14"/>
  <c r="V30" i="14" s="1"/>
  <c r="AC30" i="14" s="1"/>
  <c r="AI30" i="14" s="1"/>
  <c r="AA15" i="15"/>
  <c r="T30" i="15" s="1"/>
  <c r="AA30" i="15" s="1"/>
  <c r="AG30" i="15" s="1"/>
  <c r="AA15" i="14"/>
  <c r="T30" i="14" s="1"/>
  <c r="AA30" i="14" s="1"/>
  <c r="AG30" i="14" s="1"/>
  <c r="Z15" i="15"/>
  <c r="S30" i="15" s="1"/>
  <c r="Z30" i="15" s="1"/>
  <c r="AF30" i="15" s="1"/>
  <c r="Z15" i="14"/>
  <c r="S30" i="14" s="1"/>
  <c r="Z30" i="14" s="1"/>
  <c r="AF30" i="14" s="1"/>
  <c r="AB19" i="2"/>
  <c r="S19" i="2"/>
  <c r="J19" i="2"/>
  <c r="AK18" i="2"/>
  <c r="AT18" i="2"/>
  <c r="U15" i="5"/>
  <c r="S15" i="5"/>
  <c r="T15" i="5"/>
  <c r="V15" i="5"/>
  <c r="A21" i="8"/>
  <c r="A22" i="8" s="1"/>
  <c r="C22" i="8" s="1"/>
  <c r="Q4" i="8"/>
  <c r="Q19" i="8" s="1"/>
  <c r="R19" i="8" s="1"/>
  <c r="Q4" i="6"/>
  <c r="R4" i="6" s="1"/>
  <c r="AK19" i="2" l="1"/>
  <c r="AT19" i="2"/>
  <c r="X4" i="8"/>
  <c r="Y4" i="8" s="1"/>
  <c r="Q19" i="6"/>
  <c r="R19" i="6" s="1"/>
  <c r="X19" i="8"/>
  <c r="Y19" i="8" s="1"/>
  <c r="R4" i="8"/>
  <c r="C21" i="8"/>
  <c r="X19" i="6"/>
  <c r="Q5" i="6"/>
  <c r="X4" i="6"/>
  <c r="A23" i="8"/>
  <c r="D21" i="8"/>
  <c r="Q5" i="8"/>
  <c r="Y4" i="6" l="1"/>
  <c r="AE4" i="6"/>
  <c r="Y19" i="6"/>
  <c r="AE19" i="6"/>
  <c r="T4" i="8"/>
  <c r="AG4" i="8" s="1"/>
  <c r="V4" i="8"/>
  <c r="AI4" i="8" s="1"/>
  <c r="Q20" i="6"/>
  <c r="R20" i="6" s="1"/>
  <c r="R5" i="6"/>
  <c r="X20" i="6"/>
  <c r="Q6" i="6"/>
  <c r="X5" i="6"/>
  <c r="Q6" i="8"/>
  <c r="Q20" i="8"/>
  <c r="R20" i="8" s="1"/>
  <c r="X20" i="8"/>
  <c r="Y20" i="8" s="1"/>
  <c r="X5" i="8"/>
  <c r="Y5" i="8" s="1"/>
  <c r="R5" i="8"/>
  <c r="C23" i="8"/>
  <c r="A24" i="8"/>
  <c r="D22" i="8"/>
  <c r="S4" i="8"/>
  <c r="AF4" i="8" s="1"/>
  <c r="U4" i="8"/>
  <c r="AH4" i="8" s="1"/>
  <c r="AL4" i="8" l="1"/>
  <c r="Y20" i="6"/>
  <c r="AE20" i="6"/>
  <c r="Y5" i="6"/>
  <c r="AE5" i="6"/>
  <c r="X6" i="6"/>
  <c r="Q21" i="6"/>
  <c r="R21" i="6" s="1"/>
  <c r="R6" i="6"/>
  <c r="X21" i="6"/>
  <c r="Q7" i="6"/>
  <c r="A25" i="8"/>
  <c r="D23" i="8"/>
  <c r="C24" i="8"/>
  <c r="U5" i="8"/>
  <c r="AH5" i="8" s="1"/>
  <c r="T5" i="8"/>
  <c r="AG5" i="8" s="1"/>
  <c r="V5" i="8"/>
  <c r="AI5" i="8" s="1"/>
  <c r="S5" i="8"/>
  <c r="AF5" i="8" s="1"/>
  <c r="X21" i="8"/>
  <c r="Y21" i="8" s="1"/>
  <c r="Q7" i="8"/>
  <c r="Q21" i="8"/>
  <c r="R21" i="8" s="1"/>
  <c r="R6" i="8"/>
  <c r="X6" i="8"/>
  <c r="Y6" i="8" s="1"/>
  <c r="AL5" i="8" l="1"/>
  <c r="Y6" i="6"/>
  <c r="AE6" i="6"/>
  <c r="Y21" i="6"/>
  <c r="AE21" i="6"/>
  <c r="X7" i="6"/>
  <c r="Q22" i="6"/>
  <c r="R22" i="6" s="1"/>
  <c r="R7" i="6"/>
  <c r="X22" i="6"/>
  <c r="Q8" i="6"/>
  <c r="U6" i="8"/>
  <c r="AH6" i="8" s="1"/>
  <c r="T6" i="8"/>
  <c r="AG6" i="8" s="1"/>
  <c r="S6" i="8"/>
  <c r="AF6" i="8" s="1"/>
  <c r="V6" i="8"/>
  <c r="AI6" i="8" s="1"/>
  <c r="Q8" i="8"/>
  <c r="X22" i="8"/>
  <c r="Y22" i="8" s="1"/>
  <c r="Q22" i="8"/>
  <c r="R22" i="8" s="1"/>
  <c r="X7" i="8"/>
  <c r="Y7" i="8" s="1"/>
  <c r="R7" i="8"/>
  <c r="A26" i="8"/>
  <c r="D24" i="8"/>
  <c r="C25" i="8"/>
  <c r="AL6" i="8" l="1"/>
  <c r="Y7" i="6"/>
  <c r="AE7" i="6"/>
  <c r="Y22" i="6"/>
  <c r="AE22" i="6"/>
  <c r="R8" i="6"/>
  <c r="X23" i="6"/>
  <c r="Q9" i="6"/>
  <c r="X8" i="6"/>
  <c r="Q23" i="6"/>
  <c r="R23" i="6" s="1"/>
  <c r="Q23" i="8"/>
  <c r="R23" i="8" s="1"/>
  <c r="Q9" i="8"/>
  <c r="R8" i="8"/>
  <c r="X8" i="8"/>
  <c r="Y8" i="8" s="1"/>
  <c r="X23" i="8"/>
  <c r="Y23" i="8" s="1"/>
  <c r="C26" i="8"/>
  <c r="A27" i="8"/>
  <c r="D25" i="8"/>
  <c r="U7" i="8"/>
  <c r="AH7" i="8" s="1"/>
  <c r="T7" i="8"/>
  <c r="AG7" i="8" s="1"/>
  <c r="V7" i="8"/>
  <c r="AI7" i="8" s="1"/>
  <c r="S7" i="8"/>
  <c r="AF7" i="8" s="1"/>
  <c r="AL7" i="8" l="1"/>
  <c r="Y8" i="6"/>
  <c r="AE8" i="6"/>
  <c r="Y23" i="6"/>
  <c r="AE23" i="6"/>
  <c r="Q10" i="6"/>
  <c r="Q24" i="6"/>
  <c r="R24" i="6" s="1"/>
  <c r="R9" i="6"/>
  <c r="X24" i="6"/>
  <c r="X9" i="6"/>
  <c r="C27" i="8"/>
  <c r="D26" i="8"/>
  <c r="A28" i="8"/>
  <c r="U8" i="8"/>
  <c r="AH8" i="8" s="1"/>
  <c r="T8" i="8"/>
  <c r="AG8" i="8" s="1"/>
  <c r="S8" i="8"/>
  <c r="AF8" i="8" s="1"/>
  <c r="V8" i="8"/>
  <c r="AI8" i="8" s="1"/>
  <c r="Q10" i="8"/>
  <c r="Q24" i="8"/>
  <c r="R24" i="8" s="1"/>
  <c r="X24" i="8"/>
  <c r="Y24" i="8" s="1"/>
  <c r="X9" i="8"/>
  <c r="Y9" i="8" s="1"/>
  <c r="R9" i="8"/>
  <c r="AL8" i="8" l="1"/>
  <c r="Y24" i="6"/>
  <c r="AE24" i="6"/>
  <c r="Y9" i="6"/>
  <c r="AE9" i="6"/>
  <c r="Q11" i="6"/>
  <c r="X10" i="6"/>
  <c r="Q25" i="6"/>
  <c r="R25" i="6" s="1"/>
  <c r="R10" i="6"/>
  <c r="X25" i="6"/>
  <c r="U9" i="8"/>
  <c r="AH9" i="8" s="1"/>
  <c r="T9" i="8"/>
  <c r="AG9" i="8" s="1"/>
  <c r="V9" i="8"/>
  <c r="AI9" i="8" s="1"/>
  <c r="S9" i="8"/>
  <c r="AF9" i="8" s="1"/>
  <c r="X25" i="8"/>
  <c r="Y25" i="8" s="1"/>
  <c r="Q11" i="8"/>
  <c r="R10" i="8"/>
  <c r="X10" i="8"/>
  <c r="Y10" i="8" s="1"/>
  <c r="Q25" i="8"/>
  <c r="R25" i="8" s="1"/>
  <c r="A29" i="8"/>
  <c r="D27" i="8"/>
  <c r="C28" i="8"/>
  <c r="AL9" i="8" l="1"/>
  <c r="Y10" i="6"/>
  <c r="AE10" i="6"/>
  <c r="Y25" i="6"/>
  <c r="AE25" i="6"/>
  <c r="Q12" i="6"/>
  <c r="X11" i="6"/>
  <c r="Q26" i="6"/>
  <c r="R26" i="6" s="1"/>
  <c r="R11" i="6"/>
  <c r="X26" i="6"/>
  <c r="A30" i="8"/>
  <c r="D28" i="8"/>
  <c r="C29" i="8"/>
  <c r="U10" i="8"/>
  <c r="AH10" i="8" s="1"/>
  <c r="T10" i="8"/>
  <c r="AG10" i="8" s="1"/>
  <c r="S10" i="8"/>
  <c r="AF10" i="8" s="1"/>
  <c r="V10" i="8"/>
  <c r="AI10" i="8" s="1"/>
  <c r="Q12" i="8"/>
  <c r="X26" i="8"/>
  <c r="Y26" i="8" s="1"/>
  <c r="Q26" i="8"/>
  <c r="R26" i="8" s="1"/>
  <c r="X11" i="8"/>
  <c r="Y11" i="8" s="1"/>
  <c r="R11" i="8"/>
  <c r="AL10" i="8" l="1"/>
  <c r="Y11" i="6"/>
  <c r="AE11" i="6"/>
  <c r="Y26" i="6"/>
  <c r="AE26" i="6"/>
  <c r="Q13" i="6"/>
  <c r="R12" i="6"/>
  <c r="X27" i="6"/>
  <c r="X12" i="6"/>
  <c r="Q27" i="6"/>
  <c r="R27" i="6" s="1"/>
  <c r="U11" i="8"/>
  <c r="AH11" i="8" s="1"/>
  <c r="T11" i="8"/>
  <c r="AG11" i="8" s="1"/>
  <c r="V11" i="8"/>
  <c r="AI11" i="8" s="1"/>
  <c r="S11" i="8"/>
  <c r="AF11" i="8" s="1"/>
  <c r="Q27" i="8"/>
  <c r="R27" i="8" s="1"/>
  <c r="Q13" i="8"/>
  <c r="Q14" i="8" s="1"/>
  <c r="R14" i="8" s="1"/>
  <c r="X27" i="8"/>
  <c r="Y27" i="8" s="1"/>
  <c r="R12" i="8"/>
  <c r="X12" i="8"/>
  <c r="Y12" i="8" s="1"/>
  <c r="C30" i="8"/>
  <c r="A31" i="8"/>
  <c r="D29" i="8"/>
  <c r="AL11" i="8" l="1"/>
  <c r="Y12" i="6"/>
  <c r="AE12" i="6"/>
  <c r="Y27" i="6"/>
  <c r="AE27" i="6"/>
  <c r="Q14" i="6"/>
  <c r="Q28" i="6"/>
  <c r="R28" i="6" s="1"/>
  <c r="R13" i="6"/>
  <c r="X28" i="6"/>
  <c r="X13" i="6"/>
  <c r="C31" i="8"/>
  <c r="A32" i="8"/>
  <c r="D30" i="8"/>
  <c r="U12" i="8"/>
  <c r="AH12" i="8" s="1"/>
  <c r="T12" i="8"/>
  <c r="AG12" i="8" s="1"/>
  <c r="S12" i="8"/>
  <c r="AF12" i="8" s="1"/>
  <c r="V12" i="8"/>
  <c r="AI12" i="8" s="1"/>
  <c r="Q28" i="8"/>
  <c r="R28" i="8" s="1"/>
  <c r="X28" i="8"/>
  <c r="Y28" i="8" s="1"/>
  <c r="X13" i="8"/>
  <c r="Y13" i="8" s="1"/>
  <c r="R13" i="8"/>
  <c r="AL12" i="8" l="1"/>
  <c r="Y28" i="6"/>
  <c r="AE28" i="6"/>
  <c r="Y13" i="6"/>
  <c r="AE13" i="6"/>
  <c r="Q15" i="6"/>
  <c r="X14" i="6"/>
  <c r="Q29" i="6"/>
  <c r="R29" i="6" s="1"/>
  <c r="R14" i="6"/>
  <c r="X29" i="6"/>
  <c r="A33" i="8"/>
  <c r="D32" i="8" s="1"/>
  <c r="D31" i="8"/>
  <c r="C32" i="8"/>
  <c r="U13" i="8"/>
  <c r="AH13" i="8" s="1"/>
  <c r="T13" i="8"/>
  <c r="AG13" i="8" s="1"/>
  <c r="V13" i="8"/>
  <c r="AI13" i="8" s="1"/>
  <c r="S13" i="8"/>
  <c r="AF13" i="8" s="1"/>
  <c r="X29" i="8"/>
  <c r="Y29" i="8" s="1"/>
  <c r="Q15" i="8"/>
  <c r="Q29" i="8"/>
  <c r="R29" i="8" s="1"/>
  <c r="X14" i="8"/>
  <c r="Y14" i="8" s="1"/>
  <c r="AL13" i="8" l="1"/>
  <c r="Y14" i="6"/>
  <c r="AE14" i="6"/>
  <c r="Y29" i="6"/>
  <c r="AE29" i="6"/>
  <c r="X15" i="6"/>
  <c r="Q30" i="6"/>
  <c r="R30" i="6" s="1"/>
  <c r="R15" i="6"/>
  <c r="X30" i="6"/>
  <c r="X30" i="8"/>
  <c r="Y30" i="8" s="1"/>
  <c r="Q30" i="8"/>
  <c r="R30" i="8" s="1"/>
  <c r="X15" i="8"/>
  <c r="Y15" i="8" s="1"/>
  <c r="R15" i="8"/>
  <c r="U14" i="8"/>
  <c r="AH14" i="8" s="1"/>
  <c r="T14" i="8"/>
  <c r="AG14" i="8" s="1"/>
  <c r="S14" i="8"/>
  <c r="AF14" i="8" s="1"/>
  <c r="V14" i="8"/>
  <c r="AI14" i="8" s="1"/>
  <c r="AL14" i="8" l="1"/>
  <c r="Y30" i="6"/>
  <c r="AE30" i="6"/>
  <c r="Y15" i="6"/>
  <c r="AE15" i="6"/>
  <c r="U15" i="8"/>
  <c r="AH15" i="8" s="1"/>
  <c r="T15" i="8"/>
  <c r="AG15" i="8" s="1"/>
  <c r="V15" i="8"/>
  <c r="AI15" i="8" s="1"/>
  <c r="S15" i="8"/>
  <c r="AF15" i="8" s="1"/>
  <c r="AL15" i="8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H6" i="1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50" i="4" s="1"/>
  <c r="H6" i="4" s="1"/>
  <c r="A21" i="6" l="1"/>
  <c r="A22" i="6" s="1"/>
  <c r="A23" i="6" s="1"/>
  <c r="D22" i="6" s="1"/>
  <c r="C21" i="6" l="1"/>
  <c r="C22" i="6"/>
  <c r="A24" i="6"/>
  <c r="C23" i="6"/>
  <c r="A25" i="6" l="1"/>
  <c r="C24" i="6"/>
  <c r="A26" i="6" l="1"/>
  <c r="C25" i="6"/>
  <c r="A27" i="6" l="1"/>
  <c r="C26" i="6"/>
  <c r="D21" i="6"/>
  <c r="S4" i="6" l="1"/>
  <c r="AF4" i="6" s="1"/>
  <c r="Z4" i="6"/>
  <c r="Z4" i="5" a="1"/>
  <c r="Z4" i="5" s="1"/>
  <c r="AA4" i="6"/>
  <c r="AB4" i="6"/>
  <c r="V4" i="6"/>
  <c r="AI4" i="6" s="1"/>
  <c r="T4" i="6"/>
  <c r="AG4" i="6" s="1"/>
  <c r="U4" i="6"/>
  <c r="AH4" i="6" s="1"/>
  <c r="AC4" i="6"/>
  <c r="AC4" i="8"/>
  <c r="V19" i="8" s="1"/>
  <c r="Z4" i="8"/>
  <c r="S19" i="8" s="1"/>
  <c r="A28" i="6"/>
  <c r="C27" i="6"/>
  <c r="AL4" i="6" l="1"/>
  <c r="S19" i="6"/>
  <c r="Z19" i="6" s="1"/>
  <c r="AF19" i="6" s="1"/>
  <c r="Z19" i="8"/>
  <c r="AF19" i="8" s="1"/>
  <c r="AB5" i="6"/>
  <c r="V19" i="6"/>
  <c r="AB4" i="8"/>
  <c r="U19" i="8" s="1"/>
  <c r="T19" i="6"/>
  <c r="AA4" i="8"/>
  <c r="T19" i="8" s="1"/>
  <c r="AA5" i="8"/>
  <c r="T20" i="8" s="1"/>
  <c r="AA20" i="8" s="1"/>
  <c r="AG20" i="8" s="1"/>
  <c r="V5" i="6"/>
  <c r="AI5" i="6" s="1"/>
  <c r="S5" i="6"/>
  <c r="AF5" i="6" s="1"/>
  <c r="U5" i="6"/>
  <c r="AH5" i="6" s="1"/>
  <c r="T5" i="6"/>
  <c r="AG5" i="6" s="1"/>
  <c r="AC5" i="6"/>
  <c r="AC5" i="8"/>
  <c r="V20" i="8" s="1"/>
  <c r="AC20" i="8" s="1"/>
  <c r="AI20" i="8" s="1"/>
  <c r="AA5" i="6"/>
  <c r="U19" i="6"/>
  <c r="AB19" i="6" s="1"/>
  <c r="AH19" i="6" s="1"/>
  <c r="Z5" i="6"/>
  <c r="Z5" i="8"/>
  <c r="S20" i="8" s="1"/>
  <c r="Z20" i="8" s="1"/>
  <c r="AF20" i="8" s="1"/>
  <c r="AC4" i="7"/>
  <c r="V19" i="7" s="1"/>
  <c r="AC4" i="5"/>
  <c r="V19" i="5" s="1"/>
  <c r="AA4" i="7"/>
  <c r="T19" i="7" s="1"/>
  <c r="AA4" i="5"/>
  <c r="T19" i="5" s="1"/>
  <c r="AB4" i="7"/>
  <c r="U19" i="7" s="1"/>
  <c r="AB4" i="5"/>
  <c r="U19" i="5" s="1"/>
  <c r="Z4" i="7"/>
  <c r="S19" i="7" s="1"/>
  <c r="S19" i="5"/>
  <c r="A29" i="6"/>
  <c r="C28" i="6"/>
  <c r="D23" i="6"/>
  <c r="AL5" i="6" l="1"/>
  <c r="S20" i="6"/>
  <c r="Z6" i="6"/>
  <c r="U20" i="6"/>
  <c r="AB20" i="6" s="1"/>
  <c r="AH20" i="6" s="1"/>
  <c r="T20" i="6"/>
  <c r="AA20" i="6" s="1"/>
  <c r="AG20" i="6" s="1"/>
  <c r="AB5" i="8"/>
  <c r="U20" i="8" s="1"/>
  <c r="AB20" i="8" s="1"/>
  <c r="AA6" i="6"/>
  <c r="AB6" i="6"/>
  <c r="AC6" i="6"/>
  <c r="Z20" i="6"/>
  <c r="AF20" i="6" s="1"/>
  <c r="AB5" i="7"/>
  <c r="U20" i="7" s="1"/>
  <c r="AB20" i="7" s="1"/>
  <c r="AB5" i="5"/>
  <c r="U20" i="5" s="1"/>
  <c r="AB20" i="5" s="1"/>
  <c r="Z5" i="7"/>
  <c r="S20" i="7" s="1"/>
  <c r="Z20" i="7" s="1"/>
  <c r="Z5" i="5"/>
  <c r="S20" i="5" s="1"/>
  <c r="Z20" i="5" s="1" a="1"/>
  <c r="Z20" i="5" s="1"/>
  <c r="T6" i="6"/>
  <c r="AG6" i="6" s="1"/>
  <c r="V6" i="6"/>
  <c r="AI6" i="6" s="1"/>
  <c r="S6" i="6"/>
  <c r="AF6" i="6" s="1"/>
  <c r="U6" i="6"/>
  <c r="AH6" i="6" s="1"/>
  <c r="AC5" i="7"/>
  <c r="V20" i="7" s="1"/>
  <c r="AC20" i="7" s="1"/>
  <c r="AC5" i="5"/>
  <c r="V20" i="5" s="1"/>
  <c r="AC20" i="5" s="1"/>
  <c r="V20" i="6"/>
  <c r="AC20" i="6" s="1"/>
  <c r="AI20" i="6" s="1"/>
  <c r="AA6" i="8"/>
  <c r="T21" i="8" s="1"/>
  <c r="AA21" i="8" s="1"/>
  <c r="AG21" i="8" s="1"/>
  <c r="AA5" i="7"/>
  <c r="T20" i="7" s="1"/>
  <c r="AA20" i="7" s="1"/>
  <c r="AA5" i="5"/>
  <c r="T20" i="5" s="1"/>
  <c r="AA20" i="5" s="1"/>
  <c r="A30" i="6"/>
  <c r="C29" i="6"/>
  <c r="D24" i="6"/>
  <c r="AL6" i="6" l="1"/>
  <c r="D7" i="4"/>
  <c r="AH20" i="8"/>
  <c r="S21" i="6"/>
  <c r="Z21" i="6" s="1"/>
  <c r="AF21" i="6" s="1"/>
  <c r="Z6" i="8"/>
  <c r="S21" i="8" s="1"/>
  <c r="Z21" i="8" s="1"/>
  <c r="AF21" i="8" s="1"/>
  <c r="AB7" i="8"/>
  <c r="U22" i="8" s="1"/>
  <c r="AB22" i="8" s="1"/>
  <c r="AH22" i="8" s="1"/>
  <c r="Z7" i="6"/>
  <c r="T21" i="6"/>
  <c r="AA21" i="6" s="1"/>
  <c r="AG21" i="6" s="1"/>
  <c r="AC6" i="8"/>
  <c r="V21" i="8" s="1"/>
  <c r="AC21" i="8" s="1"/>
  <c r="AI21" i="8" s="1"/>
  <c r="AB6" i="8"/>
  <c r="U21" i="8" s="1"/>
  <c r="AB21" i="8" s="1"/>
  <c r="AH21" i="8" s="1"/>
  <c r="C7" i="4"/>
  <c r="V21" i="6"/>
  <c r="AC21" i="6" s="1"/>
  <c r="AI21" i="6" s="1"/>
  <c r="AB6" i="7"/>
  <c r="U21" i="7" s="1"/>
  <c r="AB21" i="7" s="1"/>
  <c r="AB6" i="5"/>
  <c r="U21" i="5" s="1"/>
  <c r="AB21" i="5" s="1"/>
  <c r="Z6" i="7"/>
  <c r="S21" i="7" s="1"/>
  <c r="Z21" i="7" s="1"/>
  <c r="Z6" i="5"/>
  <c r="S21" i="5" s="1"/>
  <c r="Z21" i="5" s="1"/>
  <c r="C7" i="1"/>
  <c r="D7" i="1"/>
  <c r="AC6" i="7"/>
  <c r="V21" i="7" s="1"/>
  <c r="AC21" i="7" s="1"/>
  <c r="AC6" i="5"/>
  <c r="V21" i="5" s="1"/>
  <c r="AC21" i="5" s="1"/>
  <c r="AA6" i="7"/>
  <c r="T21" i="7" s="1"/>
  <c r="AA21" i="7" s="1"/>
  <c r="AA6" i="5"/>
  <c r="T21" i="5" s="1"/>
  <c r="AA21" i="5" s="1"/>
  <c r="AC7" i="6"/>
  <c r="AC7" i="8"/>
  <c r="V22" i="8" s="1"/>
  <c r="AC22" i="8" s="1"/>
  <c r="AI22" i="8" s="1"/>
  <c r="T7" i="6"/>
  <c r="AG7" i="6" s="1"/>
  <c r="V7" i="6"/>
  <c r="AI7" i="6" s="1"/>
  <c r="S7" i="6"/>
  <c r="AF7" i="6" s="1"/>
  <c r="U7" i="6"/>
  <c r="AH7" i="6" s="1"/>
  <c r="AA7" i="6"/>
  <c r="AA7" i="8"/>
  <c r="T22" i="8" s="1"/>
  <c r="AA22" i="8" s="1"/>
  <c r="AG22" i="8" s="1"/>
  <c r="U21" i="6"/>
  <c r="AB21" i="6" s="1"/>
  <c r="AH21" i="6" s="1"/>
  <c r="A31" i="6"/>
  <c r="C30" i="6"/>
  <c r="D25" i="6"/>
  <c r="AL7" i="6" l="1"/>
  <c r="AB7" i="6"/>
  <c r="AB8" i="6"/>
  <c r="AA8" i="8"/>
  <c r="T23" i="8" s="1"/>
  <c r="AA23" i="8" s="1"/>
  <c r="AG23" i="8" s="1"/>
  <c r="T22" i="6"/>
  <c r="AA22" i="6" s="1"/>
  <c r="AG22" i="6" s="1"/>
  <c r="D8" i="4"/>
  <c r="Z7" i="8"/>
  <c r="S22" i="8" s="1"/>
  <c r="Z22" i="8" s="1"/>
  <c r="V22" i="6"/>
  <c r="AC22" i="6" s="1"/>
  <c r="AI22" i="6" s="1"/>
  <c r="C8" i="4"/>
  <c r="U22" i="6"/>
  <c r="AB22" i="6" s="1"/>
  <c r="AH22" i="6" s="1"/>
  <c r="AB8" i="8"/>
  <c r="U23" i="8" s="1"/>
  <c r="AB23" i="8" s="1"/>
  <c r="AH23" i="8" s="1"/>
  <c r="Z8" i="6"/>
  <c r="Z8" i="8"/>
  <c r="S23" i="8" s="1"/>
  <c r="Z23" i="8" s="1"/>
  <c r="AF23" i="8" s="1"/>
  <c r="AB7" i="7"/>
  <c r="U22" i="7" s="1"/>
  <c r="AB22" i="7" s="1"/>
  <c r="AB7" i="5"/>
  <c r="U22" i="5" s="1"/>
  <c r="AB22" i="5" s="1"/>
  <c r="C8" i="1"/>
  <c r="Z7" i="7"/>
  <c r="S22" i="7" s="1"/>
  <c r="Z22" i="7" s="1"/>
  <c r="Z7" i="5"/>
  <c r="S22" i="5" s="1"/>
  <c r="Z22" i="5" s="1"/>
  <c r="S22" i="6"/>
  <c r="Z22" i="6" s="1"/>
  <c r="AF22" i="6" s="1"/>
  <c r="D8" i="1"/>
  <c r="AC8" i="6"/>
  <c r="AC8" i="8"/>
  <c r="V23" i="8" s="1"/>
  <c r="AC23" i="8" s="1"/>
  <c r="AI23" i="8" s="1"/>
  <c r="S8" i="6"/>
  <c r="AF8" i="6" s="1"/>
  <c r="T8" i="6"/>
  <c r="AG8" i="6" s="1"/>
  <c r="V8" i="6"/>
  <c r="AI8" i="6" s="1"/>
  <c r="U8" i="6"/>
  <c r="AH8" i="6" s="1"/>
  <c r="AC7" i="7"/>
  <c r="V22" i="7" s="1"/>
  <c r="AC22" i="7" s="1"/>
  <c r="AC7" i="5"/>
  <c r="V22" i="5" s="1"/>
  <c r="AC22" i="5" s="1"/>
  <c r="AA7" i="7"/>
  <c r="T22" i="7" s="1"/>
  <c r="AA22" i="7" s="1"/>
  <c r="AA7" i="5"/>
  <c r="T22" i="5" s="1"/>
  <c r="AA22" i="5" s="1"/>
  <c r="A32" i="6"/>
  <c r="C31" i="6"/>
  <c r="D26" i="6"/>
  <c r="AL8" i="6" l="1"/>
  <c r="D9" i="4"/>
  <c r="AF22" i="8"/>
  <c r="AA8" i="6"/>
  <c r="T23" i="6" s="1"/>
  <c r="AA23" i="6" s="1"/>
  <c r="AG23" i="6" s="1"/>
  <c r="AA9" i="6"/>
  <c r="AC9" i="6"/>
  <c r="AB9" i="8"/>
  <c r="U24" i="8" s="1"/>
  <c r="AB24" i="8" s="1"/>
  <c r="AH24" i="8" s="1"/>
  <c r="U23" i="6"/>
  <c r="AB23" i="6" s="1"/>
  <c r="AH23" i="6" s="1"/>
  <c r="V23" i="6"/>
  <c r="AC23" i="6" s="1"/>
  <c r="AI23" i="6" s="1"/>
  <c r="C9" i="4"/>
  <c r="C9" i="1"/>
  <c r="AB8" i="7"/>
  <c r="U23" i="7" s="1"/>
  <c r="AB23" i="7" s="1"/>
  <c r="AB8" i="5"/>
  <c r="U23" i="5" s="1"/>
  <c r="AB23" i="5" s="1"/>
  <c r="S9" i="6"/>
  <c r="AF9" i="6" s="1"/>
  <c r="T9" i="6"/>
  <c r="AG9" i="6" s="1"/>
  <c r="V9" i="6"/>
  <c r="AI9" i="6" s="1"/>
  <c r="U9" i="6"/>
  <c r="AH9" i="6" s="1"/>
  <c r="D9" i="1"/>
  <c r="Z8" i="7"/>
  <c r="S23" i="7" s="1"/>
  <c r="Z23" i="7" s="1"/>
  <c r="Z8" i="5"/>
  <c r="S23" i="5" s="1"/>
  <c r="Z23" i="5" s="1"/>
  <c r="AB9" i="6"/>
  <c r="AC8" i="7"/>
  <c r="V23" i="7" s="1"/>
  <c r="AC23" i="7" s="1"/>
  <c r="AC8" i="5"/>
  <c r="V23" i="5" s="1"/>
  <c r="AC23" i="5" s="1"/>
  <c r="Z9" i="6"/>
  <c r="Z9" i="8"/>
  <c r="S24" i="8" s="1"/>
  <c r="Z24" i="8" s="1"/>
  <c r="AF24" i="8" s="1"/>
  <c r="S23" i="6"/>
  <c r="Z23" i="6" s="1"/>
  <c r="AF23" i="6" s="1"/>
  <c r="AA8" i="7"/>
  <c r="T23" i="7" s="1"/>
  <c r="AA23" i="7" s="1"/>
  <c r="AA8" i="5"/>
  <c r="T23" i="5" s="1"/>
  <c r="AA23" i="5" s="1"/>
  <c r="D10" i="4"/>
  <c r="A33" i="6"/>
  <c r="C32" i="6"/>
  <c r="D27" i="6"/>
  <c r="AL9" i="6" l="1"/>
  <c r="Z10" i="6"/>
  <c r="AB10" i="8"/>
  <c r="U25" i="8" s="1"/>
  <c r="AB25" i="8" s="1"/>
  <c r="AH25" i="8" s="1"/>
  <c r="AA9" i="8"/>
  <c r="T24" i="8" s="1"/>
  <c r="AA24" i="8" s="1"/>
  <c r="AG24" i="8" s="1"/>
  <c r="AC9" i="8"/>
  <c r="V24" i="8" s="1"/>
  <c r="AC24" i="8" s="1"/>
  <c r="AI24" i="8" s="1"/>
  <c r="U24" i="6"/>
  <c r="AB24" i="6" s="1"/>
  <c r="AH24" i="6" s="1"/>
  <c r="S24" i="6"/>
  <c r="Z24" i="6" s="1"/>
  <c r="AF24" i="6" s="1"/>
  <c r="C10" i="4"/>
  <c r="AC10" i="6"/>
  <c r="AC10" i="8"/>
  <c r="V25" i="8" s="1"/>
  <c r="AC25" i="8" s="1"/>
  <c r="AI25" i="8" s="1"/>
  <c r="AC9" i="7"/>
  <c r="V24" i="7" s="1"/>
  <c r="AC24" i="7" s="1"/>
  <c r="AC9" i="5"/>
  <c r="V24" i="5" s="1"/>
  <c r="AC24" i="5" s="1"/>
  <c r="C10" i="1"/>
  <c r="AA10" i="6"/>
  <c r="AA10" i="8"/>
  <c r="T25" i="8" s="1"/>
  <c r="AA25" i="8" s="1"/>
  <c r="AG25" i="8" s="1"/>
  <c r="AA9" i="7"/>
  <c r="T24" i="7" s="1"/>
  <c r="AA24" i="7" s="1"/>
  <c r="AA9" i="5"/>
  <c r="T24" i="5" s="1"/>
  <c r="AA24" i="5" s="1"/>
  <c r="V24" i="6"/>
  <c r="AC24" i="6" s="1"/>
  <c r="AI24" i="6" s="1"/>
  <c r="D10" i="1"/>
  <c r="S10" i="6"/>
  <c r="AF10" i="6" s="1"/>
  <c r="U10" i="6"/>
  <c r="AH10" i="6" s="1"/>
  <c r="V10" i="6"/>
  <c r="AI10" i="6" s="1"/>
  <c r="AB9" i="7"/>
  <c r="U24" i="7" s="1"/>
  <c r="AB24" i="7" s="1"/>
  <c r="AB9" i="5"/>
  <c r="U24" i="5" s="1"/>
  <c r="AB24" i="5" s="1"/>
  <c r="Z9" i="7"/>
  <c r="S24" i="7" s="1"/>
  <c r="Z24" i="7" s="1"/>
  <c r="Z9" i="5"/>
  <c r="S24" i="5" s="1"/>
  <c r="Z24" i="5" s="1"/>
  <c r="T24" i="6"/>
  <c r="AA24" i="6" s="1"/>
  <c r="AG24" i="6" s="1"/>
  <c r="D28" i="6"/>
  <c r="AB10" i="6" l="1"/>
  <c r="U25" i="6" s="1"/>
  <c r="AB25" i="6" s="1"/>
  <c r="AH25" i="6" s="1"/>
  <c r="Z10" i="8"/>
  <c r="S25" i="8" s="1"/>
  <c r="Z25" i="8" s="1"/>
  <c r="AB11" i="8"/>
  <c r="U26" i="8" s="1"/>
  <c r="AB26" i="8" s="1"/>
  <c r="AH26" i="8" s="1"/>
  <c r="Z11" i="8"/>
  <c r="S26" i="8" s="1"/>
  <c r="Z26" i="8" s="1"/>
  <c r="AF26" i="8" s="1"/>
  <c r="D11" i="4"/>
  <c r="AC11" i="6"/>
  <c r="AA11" i="6"/>
  <c r="C11" i="4"/>
  <c r="AC10" i="7"/>
  <c r="V25" i="7" s="1"/>
  <c r="AC25" i="7" s="1"/>
  <c r="AC10" i="5"/>
  <c r="V25" i="5" s="1"/>
  <c r="AC25" i="5" s="1"/>
  <c r="AA10" i="7"/>
  <c r="T25" i="7" s="1"/>
  <c r="AA25" i="7" s="1"/>
  <c r="AA10" i="5"/>
  <c r="T25" i="5" s="1"/>
  <c r="AA25" i="5" s="1"/>
  <c r="AB11" i="6"/>
  <c r="C11" i="1"/>
  <c r="T11" i="6"/>
  <c r="AG11" i="6" s="1"/>
  <c r="V11" i="6"/>
  <c r="AI11" i="6" s="1"/>
  <c r="S11" i="6"/>
  <c r="AF11" i="6" s="1"/>
  <c r="D11" i="1"/>
  <c r="S25" i="6"/>
  <c r="Z25" i="6" s="1"/>
  <c r="AF25" i="6" s="1"/>
  <c r="AB10" i="7"/>
  <c r="U25" i="7" s="1"/>
  <c r="AB25" i="7" s="1"/>
  <c r="AB10" i="5"/>
  <c r="U25" i="5" s="1"/>
  <c r="AB25" i="5" s="1"/>
  <c r="Z10" i="7"/>
  <c r="S25" i="7" s="1"/>
  <c r="Z25" i="7" s="1"/>
  <c r="Z10" i="5"/>
  <c r="S25" i="5" s="1"/>
  <c r="Z25" i="5" s="1"/>
  <c r="V25" i="6"/>
  <c r="AC25" i="6" s="1"/>
  <c r="AI25" i="6" s="1"/>
  <c r="D29" i="6"/>
  <c r="T12" i="6" s="1"/>
  <c r="AG12" i="6" s="1"/>
  <c r="D12" i="4" l="1"/>
  <c r="AF25" i="8"/>
  <c r="Z11" i="6"/>
  <c r="S26" i="6" s="1"/>
  <c r="Z26" i="6" s="1"/>
  <c r="AF26" i="6" s="1"/>
  <c r="AB12" i="6"/>
  <c r="AC12" i="6"/>
  <c r="AA12" i="6"/>
  <c r="T27" i="6" s="1"/>
  <c r="AA27" i="6" s="1"/>
  <c r="AG27" i="6" s="1"/>
  <c r="AC11" i="8"/>
  <c r="V26" i="8" s="1"/>
  <c r="AC26" i="8" s="1"/>
  <c r="AI26" i="8" s="1"/>
  <c r="AA11" i="8"/>
  <c r="T26" i="8" s="1"/>
  <c r="AA26" i="8" s="1"/>
  <c r="AG26" i="8" s="1"/>
  <c r="T26" i="6"/>
  <c r="AA26" i="6" s="1"/>
  <c r="AG26" i="6" s="1"/>
  <c r="V26" i="6"/>
  <c r="AC26" i="6" s="1"/>
  <c r="AI26" i="6" s="1"/>
  <c r="AB11" i="7"/>
  <c r="U26" i="7" s="1"/>
  <c r="AB26" i="7" s="1"/>
  <c r="AB11" i="5"/>
  <c r="U26" i="5" s="1"/>
  <c r="AB26" i="5" s="1"/>
  <c r="AC12" i="8"/>
  <c r="V27" i="8" s="1"/>
  <c r="AC27" i="8" s="1"/>
  <c r="AI27" i="8" s="1"/>
  <c r="Z11" i="7"/>
  <c r="S26" i="7" s="1"/>
  <c r="Z26" i="7" s="1"/>
  <c r="Z11" i="5"/>
  <c r="S26" i="5" s="1"/>
  <c r="Z26" i="5" s="1"/>
  <c r="C12" i="1"/>
  <c r="AC11" i="7"/>
  <c r="V26" i="7" s="1"/>
  <c r="AC26" i="7" s="1"/>
  <c r="AC11" i="5"/>
  <c r="V26" i="5" s="1"/>
  <c r="AC26" i="5" s="1"/>
  <c r="AA11" i="7"/>
  <c r="T26" i="7" s="1"/>
  <c r="AA26" i="7" s="1"/>
  <c r="AA11" i="5"/>
  <c r="T26" i="5" s="1"/>
  <c r="AA26" i="5" s="1"/>
  <c r="D12" i="1"/>
  <c r="Z12" i="6"/>
  <c r="Z12" i="8"/>
  <c r="S27" i="8" s="1"/>
  <c r="Z27" i="8" s="1"/>
  <c r="AF27" i="8" s="1"/>
  <c r="D30" i="6"/>
  <c r="AA12" i="8" l="1"/>
  <c r="T27" i="8" s="1"/>
  <c r="AA27" i="8" s="1"/>
  <c r="AG27" i="8" s="1"/>
  <c r="AB12" i="8"/>
  <c r="U27" i="8" s="1"/>
  <c r="AB27" i="8" s="1"/>
  <c r="AH27" i="8" s="1"/>
  <c r="AC13" i="8"/>
  <c r="V28" i="8" s="1"/>
  <c r="AC28" i="8" s="1"/>
  <c r="AI28" i="8" s="1"/>
  <c r="Z13" i="6"/>
  <c r="D13" i="4"/>
  <c r="AB13" i="6"/>
  <c r="D13" i="1"/>
  <c r="AC12" i="7"/>
  <c r="V27" i="7" s="1"/>
  <c r="AC27" i="7" s="1"/>
  <c r="AC12" i="5"/>
  <c r="V27" i="5" s="1"/>
  <c r="AC27" i="5" s="1"/>
  <c r="AA12" i="7"/>
  <c r="T27" i="7" s="1"/>
  <c r="AA27" i="7" s="1"/>
  <c r="AA12" i="5"/>
  <c r="T27" i="5" s="1"/>
  <c r="AA27" i="5" s="1"/>
  <c r="C13" i="1"/>
  <c r="AB12" i="7"/>
  <c r="U27" i="7" s="1"/>
  <c r="AB27" i="7" s="1"/>
  <c r="AB12" i="5"/>
  <c r="U27" i="5" s="1"/>
  <c r="AB27" i="5" s="1"/>
  <c r="AA13" i="6"/>
  <c r="AA13" i="8"/>
  <c r="T28" i="8" s="1"/>
  <c r="AA28" i="8" s="1"/>
  <c r="AG28" i="8" s="1"/>
  <c r="Z12" i="7"/>
  <c r="S27" i="7" s="1"/>
  <c r="Z27" i="7" s="1"/>
  <c r="Z12" i="5"/>
  <c r="S27" i="5" s="1"/>
  <c r="Z27" i="5" s="1"/>
  <c r="D31" i="6"/>
  <c r="Z13" i="8" l="1"/>
  <c r="S28" i="8" s="1"/>
  <c r="Z28" i="8" s="1"/>
  <c r="AF28" i="8" s="1"/>
  <c r="D14" i="4"/>
  <c r="AC13" i="6"/>
  <c r="AC14" i="6"/>
  <c r="AB13" i="8"/>
  <c r="U28" i="8" s="1"/>
  <c r="AB28" i="8" s="1"/>
  <c r="AH28" i="8" s="1"/>
  <c r="AA14" i="6"/>
  <c r="AB14" i="6"/>
  <c r="C14" i="1"/>
  <c r="AA13" i="7"/>
  <c r="T28" i="7" s="1"/>
  <c r="AA28" i="7" s="1"/>
  <c r="AA13" i="5"/>
  <c r="T28" i="5" s="1"/>
  <c r="AA28" i="5" s="1"/>
  <c r="D14" i="1"/>
  <c r="Z14" i="6"/>
  <c r="Z14" i="8"/>
  <c r="S29" i="8" s="1"/>
  <c r="Z29" i="8" s="1"/>
  <c r="AF29" i="8" s="1"/>
  <c r="AB13" i="7"/>
  <c r="U28" i="7" s="1"/>
  <c r="AB28" i="7" s="1"/>
  <c r="AB13" i="5"/>
  <c r="U28" i="5" s="1"/>
  <c r="AB28" i="5" s="1"/>
  <c r="Z13" i="7"/>
  <c r="S28" i="7" s="1"/>
  <c r="Z28" i="7" s="1"/>
  <c r="Z13" i="5"/>
  <c r="S28" i="5" s="1"/>
  <c r="Z28" i="5" s="1"/>
  <c r="AC13" i="7"/>
  <c r="V28" i="7" s="1"/>
  <c r="AC28" i="7" s="1"/>
  <c r="AC13" i="5"/>
  <c r="V28" i="5" s="1"/>
  <c r="AC28" i="5" s="1"/>
  <c r="D32" i="6"/>
  <c r="D15" i="4" l="1"/>
  <c r="AC14" i="8"/>
  <c r="V29" i="8" s="1"/>
  <c r="AC29" i="8" s="1"/>
  <c r="AI29" i="8" s="1"/>
  <c r="AB14" i="8"/>
  <c r="U29" i="8" s="1"/>
  <c r="AB29" i="8" s="1"/>
  <c r="AH29" i="8" s="1"/>
  <c r="AA14" i="8"/>
  <c r="T29" i="8" s="1"/>
  <c r="AA29" i="8" s="1"/>
  <c r="AG29" i="8" s="1"/>
  <c r="C15" i="1"/>
  <c r="D15" i="1"/>
  <c r="AC14" i="7"/>
  <c r="V29" i="7" s="1"/>
  <c r="AC29" i="7" s="1"/>
  <c r="AC14" i="5"/>
  <c r="V29" i="5" s="1"/>
  <c r="AC29" i="5" s="1"/>
  <c r="AA14" i="7"/>
  <c r="T29" i="7" s="1"/>
  <c r="AA29" i="7" s="1"/>
  <c r="AA14" i="5"/>
  <c r="T29" i="5" s="1"/>
  <c r="AA29" i="5" s="1"/>
  <c r="T10" i="6"/>
  <c r="AG10" i="6" s="1"/>
  <c r="AL10" i="6" s="1"/>
  <c r="T15" i="6"/>
  <c r="AG15" i="6" s="1"/>
  <c r="U12" i="6"/>
  <c r="AH12" i="6" s="1"/>
  <c r="V12" i="6"/>
  <c r="AI12" i="6" s="1"/>
  <c r="T14" i="6"/>
  <c r="AG14" i="6" s="1"/>
  <c r="U11" i="6"/>
  <c r="AH11" i="6" s="1"/>
  <c r="AL11" i="6" s="1"/>
  <c r="U15" i="6"/>
  <c r="AH15" i="6" s="1"/>
  <c r="S12" i="6"/>
  <c r="AF12" i="6" s="1"/>
  <c r="S14" i="6"/>
  <c r="AF14" i="6" s="1"/>
  <c r="T13" i="6"/>
  <c r="AG13" i="6" s="1"/>
  <c r="S13" i="6"/>
  <c r="AF13" i="6" s="1"/>
  <c r="V15" i="6"/>
  <c r="AI15" i="6" s="1"/>
  <c r="V14" i="6"/>
  <c r="AI14" i="6" s="1"/>
  <c r="V13" i="6"/>
  <c r="AI13" i="6" s="1"/>
  <c r="U13" i="6"/>
  <c r="AH13" i="6" s="1"/>
  <c r="U14" i="6"/>
  <c r="AH14" i="6" s="1"/>
  <c r="S15" i="6"/>
  <c r="AF15" i="6" s="1"/>
  <c r="AB14" i="7"/>
  <c r="U29" i="7" s="1"/>
  <c r="AB29" i="7" s="1"/>
  <c r="AB14" i="5"/>
  <c r="U29" i="5" s="1"/>
  <c r="AB29" i="5" s="1"/>
  <c r="Z14" i="7"/>
  <c r="S29" i="7" s="1"/>
  <c r="Z29" i="7" s="1"/>
  <c r="Z14" i="5"/>
  <c r="S29" i="5" s="1"/>
  <c r="Z29" i="5" s="1"/>
  <c r="AL13" i="6" l="1"/>
  <c r="AL14" i="6"/>
  <c r="AL12" i="6"/>
  <c r="AL15" i="6"/>
  <c r="T29" i="6"/>
  <c r="AA29" i="6" s="1"/>
  <c r="AG29" i="6" s="1"/>
  <c r="T25" i="6"/>
  <c r="AA25" i="6" s="1"/>
  <c r="U29" i="6"/>
  <c r="AB29" i="6" s="1"/>
  <c r="AH29" i="6" s="1"/>
  <c r="S27" i="6"/>
  <c r="Z27" i="6" s="1"/>
  <c r="AF27" i="6" s="1"/>
  <c r="V27" i="6"/>
  <c r="AC27" i="6" s="1"/>
  <c r="AI27" i="6" s="1"/>
  <c r="V29" i="6"/>
  <c r="AC29" i="6" s="1"/>
  <c r="AI29" i="6" s="1"/>
  <c r="U28" i="6"/>
  <c r="AB28" i="6" s="1"/>
  <c r="AH28" i="6" s="1"/>
  <c r="U27" i="6"/>
  <c r="AB27" i="6" s="1"/>
  <c r="AH27" i="6" s="1"/>
  <c r="S29" i="6"/>
  <c r="Z29" i="6" s="1"/>
  <c r="AF29" i="6" s="1"/>
  <c r="S28" i="6"/>
  <c r="Z28" i="6" s="1"/>
  <c r="AF28" i="6" s="1"/>
  <c r="V28" i="6"/>
  <c r="AC28" i="6" s="1"/>
  <c r="AI28" i="6" s="1"/>
  <c r="T28" i="6"/>
  <c r="AA28" i="6" s="1"/>
  <c r="AG28" i="6" s="1"/>
  <c r="U26" i="6"/>
  <c r="AB26" i="6" s="1"/>
  <c r="D16" i="4"/>
  <c r="C16" i="1"/>
  <c r="D16" i="1"/>
  <c r="AB15" i="7"/>
  <c r="U30" i="7" s="1"/>
  <c r="AB30" i="7" s="1"/>
  <c r="AB15" i="5"/>
  <c r="U30" i="5" s="1"/>
  <c r="AB30" i="5" s="1"/>
  <c r="AA15" i="6"/>
  <c r="T30" i="6" s="1"/>
  <c r="AA30" i="6" s="1"/>
  <c r="AG30" i="6" s="1"/>
  <c r="AA15" i="8"/>
  <c r="T30" i="8" s="1"/>
  <c r="AA30" i="8" s="1"/>
  <c r="AG30" i="8" s="1"/>
  <c r="AC15" i="7"/>
  <c r="V30" i="7" s="1"/>
  <c r="AC30" i="7" s="1"/>
  <c r="AC15" i="5"/>
  <c r="V30" i="5" s="1"/>
  <c r="AC30" i="5" s="1"/>
  <c r="AA15" i="7"/>
  <c r="T30" i="7" s="1"/>
  <c r="AA30" i="7" s="1"/>
  <c r="AA15" i="5"/>
  <c r="T30" i="5" s="1"/>
  <c r="AA30" i="5" s="1"/>
  <c r="AB15" i="6"/>
  <c r="U30" i="6" s="1"/>
  <c r="AB30" i="6" s="1"/>
  <c r="AH30" i="6" s="1"/>
  <c r="AB15" i="8"/>
  <c r="U30" i="8" s="1"/>
  <c r="AB30" i="8" s="1"/>
  <c r="AH30" i="8" s="1"/>
  <c r="Z15" i="6"/>
  <c r="S30" i="6" s="1"/>
  <c r="Z30" i="6" s="1"/>
  <c r="AF30" i="6" s="1"/>
  <c r="Z15" i="8"/>
  <c r="S30" i="8" s="1"/>
  <c r="Z30" i="8" s="1"/>
  <c r="AF30" i="8" s="1"/>
  <c r="Z15" i="7"/>
  <c r="S30" i="7" s="1"/>
  <c r="Z30" i="7" s="1"/>
  <c r="Z15" i="5"/>
  <c r="S30" i="5" s="1"/>
  <c r="Z30" i="5" s="1"/>
  <c r="AC15" i="6"/>
  <c r="V30" i="6" s="1"/>
  <c r="AC30" i="6" s="1"/>
  <c r="AI30" i="6" s="1"/>
  <c r="AC15" i="8"/>
  <c r="V30" i="8" s="1"/>
  <c r="AC30" i="8" s="1"/>
  <c r="AI30" i="8" s="1"/>
  <c r="AA19" i="5"/>
  <c r="AB19" i="5"/>
  <c r="AC19" i="5"/>
  <c r="C13" i="4" l="1"/>
  <c r="AH26" i="6"/>
  <c r="C12" i="4"/>
  <c r="AG25" i="6"/>
  <c r="C14" i="4"/>
  <c r="C16" i="4"/>
  <c r="C15" i="4"/>
  <c r="D17" i="1"/>
  <c r="D17" i="4"/>
  <c r="C17" i="1"/>
  <c r="C17" i="4"/>
  <c r="Z19" i="5"/>
  <c r="C6" i="1" s="1"/>
  <c r="AC19" i="6"/>
  <c r="AI19" i="6" s="1"/>
  <c r="AA19" i="6"/>
  <c r="AB19" i="7"/>
  <c r="AC19" i="7"/>
  <c r="AA19" i="7"/>
  <c r="Z19" i="7"/>
  <c r="AG19" i="6" l="1"/>
  <c r="C6" i="4"/>
  <c r="D6" i="1"/>
  <c r="AA19" i="8"/>
  <c r="AG19" i="8" s="1"/>
  <c r="AC19" i="8"/>
  <c r="AI19" i="8" s="1"/>
  <c r="AB19" i="8"/>
  <c r="AH19" i="8" s="1"/>
  <c r="D6" i="4" l="1"/>
  <c r="E9" i="1"/>
  <c r="C18" i="1"/>
  <c r="L13" i="1" s="1"/>
  <c r="E8" i="1"/>
  <c r="E11" i="1"/>
  <c r="E12" i="1"/>
  <c r="E14" i="1"/>
  <c r="E16" i="1"/>
  <c r="E13" i="1"/>
  <c r="E17" i="1"/>
  <c r="E15" i="1"/>
  <c r="E7" i="1"/>
  <c r="E10" i="1"/>
  <c r="E6" i="1" l="1"/>
  <c r="E18" i="1" s="1"/>
  <c r="E12" i="4"/>
  <c r="E8" i="4"/>
  <c r="E9" i="4"/>
  <c r="E11" i="4"/>
  <c r="E10" i="4"/>
  <c r="E16" i="4"/>
  <c r="E7" i="4"/>
  <c r="E15" i="4"/>
  <c r="E14" i="4"/>
  <c r="M15" i="1"/>
  <c r="L28" i="1"/>
  <c r="E13" i="4"/>
  <c r="C18" i="4"/>
  <c r="E17" i="4"/>
  <c r="L13" i="4" l="1"/>
  <c r="L28" i="4" s="1"/>
  <c r="E6" i="4"/>
  <c r="E18" i="4" s="1"/>
  <c r="D18" i="4"/>
  <c r="L19" i="4" s="1"/>
  <c r="L31" i="4" s="1"/>
  <c r="M31" i="4" s="1"/>
  <c r="D18" i="1"/>
  <c r="L19" i="1" s="1"/>
  <c r="L23" i="1" s="1"/>
  <c r="M28" i="1"/>
  <c r="M15" i="4" l="1"/>
  <c r="L23" i="4"/>
  <c r="M21" i="4"/>
  <c r="L31" i="1"/>
  <c r="M31" i="1" s="1"/>
  <c r="M33" i="1" s="1"/>
  <c r="M21" i="1"/>
  <c r="M23" i="1" s="1"/>
  <c r="L33" i="4"/>
  <c r="M28" i="4"/>
  <c r="M33" i="4" s="1"/>
  <c r="M23" i="4" l="1"/>
  <c r="L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<sst xmlns="http://schemas.openxmlformats.org/spreadsheetml/2006/main" count="620" uniqueCount="99">
  <si>
    <t>.</t>
  </si>
  <si>
    <t>Cascade "Backcast" Methodology</t>
  </si>
  <si>
    <t>R/S 503</t>
  </si>
  <si>
    <t>R/S 504</t>
  </si>
  <si>
    <t>R/S 101</t>
  </si>
  <si>
    <t>R/S 104/111</t>
  </si>
  <si>
    <t>Weather</t>
  </si>
  <si>
    <t>Total</t>
  </si>
  <si>
    <t>Cascade Natural Gas Corporation</t>
  </si>
  <si>
    <t>Month</t>
  </si>
  <si>
    <t>Adj Therms</t>
  </si>
  <si>
    <t>Weather Normalization Adjustment</t>
  </si>
  <si>
    <t>State of Washington</t>
  </si>
  <si>
    <t>State of Oregon</t>
  </si>
  <si>
    <t>Line No.</t>
  </si>
  <si>
    <t>Description</t>
  </si>
  <si>
    <t>Therms</t>
  </si>
  <si>
    <t>Revenues</t>
  </si>
  <si>
    <t>Therm Adjustment</t>
  </si>
  <si>
    <t>Per Therm</t>
  </si>
  <si>
    <t>Revenue at Restating Rate</t>
  </si>
  <si>
    <t>Residential</t>
  </si>
  <si>
    <t>Rate Schedule No. 503</t>
  </si>
  <si>
    <t>503 -RES</t>
  </si>
  <si>
    <t>101 - RES</t>
  </si>
  <si>
    <t xml:space="preserve">    Therm Adjustment</t>
  </si>
  <si>
    <t>504 - COM</t>
  </si>
  <si>
    <t>104/11 - COM</t>
  </si>
  <si>
    <t>Totals</t>
  </si>
  <si>
    <t xml:space="preserve">    Revenue at Restating Rate</t>
  </si>
  <si>
    <t>Rate Schedule No. 101</t>
  </si>
  <si>
    <t>Gas Cost</t>
  </si>
  <si>
    <t>Commercial</t>
  </si>
  <si>
    <t>WACOG</t>
  </si>
  <si>
    <t>Rate Schedule No. 504</t>
  </si>
  <si>
    <t>503 - RES</t>
  </si>
  <si>
    <t>Rate Schedule No. 104/111</t>
  </si>
  <si>
    <t>Change in Gas Cost - Residential</t>
  </si>
  <si>
    <t xml:space="preserve">    (WACOG x Adjustment)</t>
  </si>
  <si>
    <t>Change in Gas Cost - Commercial</t>
  </si>
  <si>
    <t>Monthly WACOG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</si>
  <si>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</si>
  <si>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</si>
  <si>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</si>
  <si>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</si>
  <si>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</si>
  <si>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</si>
  <si>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</si>
  <si>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</si>
  <si>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</si>
  <si>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</si>
  <si>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</si>
  <si>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</si>
  <si>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DD</t>
  </si>
  <si>
    <t>Norm DD</t>
  </si>
  <si>
    <t>Bend</t>
  </si>
  <si>
    <t>Baker/Ont</t>
  </si>
  <si>
    <t>Pendleton</t>
  </si>
  <si>
    <t>Avg</t>
  </si>
  <si>
    <t>For Twelve Months Ended 12/31/2016</t>
  </si>
  <si>
    <t>Residential Customers</t>
  </si>
  <si>
    <t>Commercial Customers</t>
  </si>
  <si>
    <t>Bell</t>
  </si>
  <si>
    <t>Brem</t>
  </si>
  <si>
    <t>Walla</t>
  </si>
  <si>
    <t>Yakima</t>
  </si>
  <si>
    <t>Baker</t>
  </si>
  <si>
    <t>Pend</t>
  </si>
  <si>
    <t>60 Base</t>
  </si>
  <si>
    <t>65 Base</t>
  </si>
  <si>
    <t>Variable</t>
  </si>
  <si>
    <t>Estimate</t>
  </si>
  <si>
    <t>Intercept</t>
  </si>
  <si>
    <t>Days in Month</t>
  </si>
  <si>
    <t>Monthly Normals (1981-2010)</t>
  </si>
  <si>
    <t>Table 1</t>
  </si>
  <si>
    <t>Normal HDDs/Day</t>
  </si>
  <si>
    <t>Table 2</t>
  </si>
  <si>
    <t>Actual HDDs/Day</t>
  </si>
  <si>
    <t>Table 3</t>
  </si>
  <si>
    <t>(Normal HDDs/Day - Actual HDDs/Day) * β coefficient</t>
  </si>
  <si>
    <t>Table 4</t>
  </si>
  <si>
    <t>Adjustment</t>
  </si>
  <si>
    <t>Weather (65 Ref Temp)</t>
  </si>
  <si>
    <t>Weather (60 Ref Temp)</t>
  </si>
  <si>
    <t>Residential Therms/Customer/Day</t>
  </si>
  <si>
    <t>Commercial Therms/Customer/Day</t>
  </si>
  <si>
    <t>TREND</t>
  </si>
  <si>
    <t>ar1</t>
  </si>
  <si>
    <t>Monthly Normals (1991-2020)</t>
  </si>
  <si>
    <t>USW00024243</t>
  </si>
  <si>
    <t>Station</t>
  </si>
  <si>
    <t>ID</t>
  </si>
  <si>
    <t>USW00024160</t>
  </si>
  <si>
    <t>USW00094225</t>
  </si>
  <si>
    <t>USW00024217</t>
  </si>
  <si>
    <t>USW00024155</t>
  </si>
  <si>
    <t>USW00024230</t>
  </si>
  <si>
    <t>USW00024130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</si>
</sst>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0000"/>
    <numFmt numFmtId="168" formatCode="[$-409]mmm\-yy;@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"/>
      <family val="1"/>
    </font>
    <font>
      <sz val="10"/>
      <color rgb="FF0070C0"/>
      <name val="Times"/>
    </font>
    <font>
      <sz val="11"/>
      <name val="Times"/>
      <family val="1"/>
    </font>
    <font>
      <b/>
      <sz val="11"/>
      <name val="Times"/>
      <family val="1"/>
    </font>
    <font>
      <sz val="9"/>
      <name val="Times New Roman"/>
      <family val="1"/>
    </font>
    <font>
      <sz val="9"/>
      <name val="Times"/>
      <family val="1"/>
    </font>
    <font>
      <b/>
      <u/>
      <sz val="11"/>
      <name val="Times"/>
      <family val="1"/>
    </font>
    <font>
      <b/>
      <u/>
      <sz val="11"/>
      <name val="Times"/>
    </font>
    <font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Times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BB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2" applyNumberFormat="1" applyFont="1"/>
    <xf numFmtId="14" fontId="0" fillId="0" borderId="0" xfId="0" applyNumberFormat="1"/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centerContinuous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2" applyNumberFormat="1" applyFont="1" applyFill="1" applyAlignment="1">
      <alignment horizontal="centerContinuous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" fontId="7" fillId="4" borderId="9" xfId="0" applyNumberFormat="1" applyFont="1" applyFill="1" applyBorder="1" applyAlignment="1">
      <alignment horizontal="left"/>
    </xf>
    <xf numFmtId="17" fontId="0" fillId="0" borderId="4" xfId="0" applyNumberFormat="1" applyFill="1" applyBorder="1" applyAlignment="1">
      <alignment horizontal="left"/>
    </xf>
    <xf numFmtId="165" fontId="0" fillId="0" borderId="10" xfId="1" applyNumberFormat="1" applyFont="1" applyFill="1" applyBorder="1"/>
    <xf numFmtId="165" fontId="0" fillId="0" borderId="11" xfId="0" applyNumberFormat="1" applyFill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0" borderId="11" xfId="0" applyNumberFormat="1" applyBorder="1"/>
    <xf numFmtId="165" fontId="0" fillId="0" borderId="0" xfId="0" applyNumberFormat="1" applyBorder="1"/>
    <xf numFmtId="17" fontId="0" fillId="0" borderId="9" xfId="0" applyNumberFormat="1" applyFill="1" applyBorder="1" applyAlignment="1">
      <alignment horizontal="left"/>
    </xf>
    <xf numFmtId="0" fontId="3" fillId="2" borderId="0" xfId="0" applyFont="1" applyFill="1"/>
    <xf numFmtId="0" fontId="5" fillId="0" borderId="0" xfId="0" applyFont="1" applyFill="1"/>
    <xf numFmtId="164" fontId="5" fillId="0" borderId="0" xfId="2" applyNumberFormat="1" applyFont="1"/>
    <xf numFmtId="0" fontId="9" fillId="0" borderId="0" xfId="0" applyFont="1"/>
    <xf numFmtId="0" fontId="6" fillId="0" borderId="20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0" fillId="0" borderId="21" xfId="0" applyBorder="1"/>
    <xf numFmtId="0" fontId="5" fillId="0" borderId="0" xfId="0" applyFont="1" applyAlignment="1">
      <alignment horizontal="center"/>
    </xf>
    <xf numFmtId="0" fontId="6" fillId="0" borderId="0" xfId="0" applyFont="1"/>
    <xf numFmtId="166" fontId="0" fillId="0" borderId="0" xfId="0" applyNumberFormat="1" applyBorder="1"/>
    <xf numFmtId="164" fontId="0" fillId="0" borderId="10" xfId="2" applyNumberFormat="1" applyFont="1" applyBorder="1"/>
    <xf numFmtId="165" fontId="5" fillId="0" borderId="0" xfId="0" applyNumberFormat="1" applyFont="1"/>
    <xf numFmtId="0" fontId="0" fillId="0" borderId="0" xfId="0" applyBorder="1"/>
    <xf numFmtId="166" fontId="5" fillId="0" borderId="0" xfId="0" applyNumberFormat="1" applyFont="1" applyFill="1"/>
    <xf numFmtId="0" fontId="0" fillId="0" borderId="10" xfId="0" applyBorder="1"/>
    <xf numFmtId="165" fontId="0" fillId="0" borderId="15" xfId="0" applyNumberFormat="1" applyBorder="1"/>
    <xf numFmtId="0" fontId="0" fillId="0" borderId="22" xfId="0" applyFill="1" applyBorder="1"/>
    <xf numFmtId="165" fontId="8" fillId="0" borderId="23" xfId="1" applyNumberFormat="1" applyFont="1" applyFill="1" applyBorder="1"/>
    <xf numFmtId="165" fontId="8" fillId="0" borderId="24" xfId="1" applyNumberFormat="1" applyFont="1" applyFill="1" applyBorder="1"/>
    <xf numFmtId="165" fontId="0" fillId="0" borderId="0" xfId="0" applyNumberFormat="1"/>
    <xf numFmtId="0" fontId="0" fillId="0" borderId="22" xfId="0" applyBorder="1"/>
    <xf numFmtId="165" fontId="0" fillId="0" borderId="23" xfId="1" applyNumberFormat="1" applyFont="1" applyBorder="1"/>
    <xf numFmtId="165" fontId="0" fillId="0" borderId="25" xfId="0" applyNumberFormat="1" applyBorder="1"/>
    <xf numFmtId="166" fontId="5" fillId="0" borderId="0" xfId="0" applyNumberFormat="1" applyFont="1"/>
    <xf numFmtId="165" fontId="0" fillId="0" borderId="0" xfId="0" applyNumberFormat="1" applyFill="1"/>
    <xf numFmtId="0" fontId="0" fillId="0" borderId="26" xfId="0" applyBorder="1"/>
    <xf numFmtId="165" fontId="0" fillId="0" borderId="20" xfId="0" applyNumberFormat="1" applyBorder="1"/>
    <xf numFmtId="0" fontId="0" fillId="0" borderId="20" xfId="0" applyBorder="1"/>
    <xf numFmtId="164" fontId="0" fillId="0" borderId="14" xfId="2" applyNumberFormat="1" applyFont="1" applyBorder="1"/>
    <xf numFmtId="0" fontId="5" fillId="0" borderId="20" xfId="0" applyFont="1" applyBorder="1"/>
    <xf numFmtId="164" fontId="5" fillId="0" borderId="20" xfId="2" applyNumberFormat="1" applyFont="1" applyBorder="1"/>
    <xf numFmtId="0" fontId="10" fillId="0" borderId="27" xfId="0" applyFont="1" applyBorder="1"/>
    <xf numFmtId="0" fontId="5" fillId="0" borderId="27" xfId="0" applyFont="1" applyBorder="1"/>
    <xf numFmtId="0" fontId="5" fillId="0" borderId="27" xfId="0" applyFont="1" applyFill="1" applyBorder="1"/>
    <xf numFmtId="165" fontId="5" fillId="0" borderId="27" xfId="0" applyNumberFormat="1" applyFont="1" applyBorder="1"/>
    <xf numFmtId="164" fontId="5" fillId="0" borderId="27" xfId="2" applyNumberFormat="1" applyFont="1" applyBorder="1"/>
    <xf numFmtId="0" fontId="3" fillId="0" borderId="0" xfId="0" applyFont="1" applyFill="1"/>
    <xf numFmtId="0" fontId="3" fillId="4" borderId="0" xfId="0" applyFont="1" applyFill="1"/>
    <xf numFmtId="0" fontId="0" fillId="4" borderId="0" xfId="0" applyFill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166" fontId="3" fillId="0" borderId="0" xfId="2" applyNumberFormat="1" applyFont="1"/>
    <xf numFmtId="164" fontId="0" fillId="0" borderId="0" xfId="0" applyNumberFormat="1"/>
    <xf numFmtId="166" fontId="11" fillId="0" borderId="0" xfId="0" applyNumberFormat="1" applyFont="1" applyFill="1"/>
    <xf numFmtId="165" fontId="11" fillId="0" borderId="0" xfId="0" applyNumberFormat="1" applyFont="1"/>
    <xf numFmtId="164" fontId="5" fillId="0" borderId="0" xfId="2" applyNumberFormat="1" applyFont="1" applyBorder="1"/>
    <xf numFmtId="167" fontId="0" fillId="0" borderId="0" xfId="0" applyNumberFormat="1"/>
    <xf numFmtId="165" fontId="5" fillId="0" borderId="28" xfId="0" applyNumberFormat="1" applyFont="1" applyBorder="1"/>
    <xf numFmtId="164" fontId="5" fillId="0" borderId="28" xfId="2" applyNumberFormat="1" applyFont="1" applyBorder="1"/>
    <xf numFmtId="0" fontId="8" fillId="0" borderId="0" xfId="0" applyFont="1"/>
    <xf numFmtId="165" fontId="11" fillId="0" borderId="20" xfId="0" applyNumberFormat="1" applyFont="1" applyBorder="1"/>
    <xf numFmtId="164" fontId="11" fillId="0" borderId="0" xfId="2" applyNumberFormat="1" applyFont="1"/>
    <xf numFmtId="0" fontId="13" fillId="0" borderId="0" xfId="0" applyFont="1"/>
    <xf numFmtId="165" fontId="11" fillId="0" borderId="28" xfId="0" applyNumberFormat="1" applyFont="1" applyBorder="1"/>
    <xf numFmtId="167" fontId="8" fillId="0" borderId="0" xfId="0" applyNumberFormat="1" applyFont="1"/>
    <xf numFmtId="0" fontId="11" fillId="3" borderId="0" xfId="0" applyFont="1" applyFill="1"/>
    <xf numFmtId="166" fontId="3" fillId="2" borderId="0" xfId="2" applyNumberFormat="1" applyFont="1" applyFill="1"/>
    <xf numFmtId="0" fontId="12" fillId="3" borderId="0" xfId="0" applyFont="1" applyFill="1"/>
    <xf numFmtId="166" fontId="3" fillId="3" borderId="0" xfId="2" applyNumberFormat="1" applyFont="1" applyFill="1"/>
    <xf numFmtId="168" fontId="11" fillId="0" borderId="0" xfId="0" applyNumberFormat="1" applyFont="1"/>
    <xf numFmtId="165" fontId="11" fillId="0" borderId="0" xfId="1" applyNumberFormat="1" applyFont="1"/>
    <xf numFmtId="164" fontId="11" fillId="0" borderId="0" xfId="2" applyNumberFormat="1" applyFont="1" applyProtection="1"/>
    <xf numFmtId="0" fontId="7" fillId="0" borderId="0" xfId="0" applyFont="1"/>
    <xf numFmtId="0" fontId="11" fillId="2" borderId="0" xfId="0" applyFont="1" applyFill="1" applyAlignment="1">
      <alignment horizontal="center"/>
    </xf>
    <xf numFmtId="165" fontId="11" fillId="0" borderId="20" xfId="1" applyNumberFormat="1" applyFont="1" applyBorder="1"/>
    <xf numFmtId="166" fontId="11" fillId="0" borderId="0" xfId="0" applyNumberFormat="1" applyFont="1"/>
    <xf numFmtId="165" fontId="11" fillId="0" borderId="27" xfId="1" applyNumberFormat="1" applyFont="1" applyBorder="1"/>
    <xf numFmtId="164" fontId="11" fillId="0" borderId="27" xfId="2" applyNumberFormat="1" applyFont="1" applyBorder="1" applyProtection="1"/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5" fontId="0" fillId="0" borderId="0" xfId="1" applyNumberFormat="1" applyFont="1"/>
    <xf numFmtId="0" fontId="0" fillId="0" borderId="0" xfId="0" quotePrefix="1" applyAlignment="1">
      <alignment horizontal="left"/>
    </xf>
    <xf numFmtId="0" fontId="16" fillId="5" borderId="0" xfId="0" applyFont="1" applyFill="1"/>
    <xf numFmtId="0" fontId="16" fillId="6" borderId="0" xfId="0" applyNumberFormat="1" applyFont="1" applyFill="1" applyBorder="1" applyAlignment="1" applyProtection="1"/>
    <xf numFmtId="0" fontId="16" fillId="7" borderId="0" xfId="0" applyFont="1" applyFill="1"/>
    <xf numFmtId="14" fontId="16" fillId="5" borderId="0" xfId="0" applyNumberFormat="1" applyFont="1" applyFill="1"/>
    <xf numFmtId="0" fontId="16" fillId="0" borderId="0" xfId="0" applyFont="1"/>
    <xf numFmtId="0" fontId="0" fillId="8" borderId="0" xfId="0" applyFill="1"/>
    <xf numFmtId="0" fontId="0" fillId="5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6" fillId="0" borderId="0" xfId="0" applyFont="1" applyAlignment="1"/>
    <xf numFmtId="0" fontId="16" fillId="9" borderId="0" xfId="0" applyFont="1" applyFill="1"/>
    <xf numFmtId="1" fontId="16" fillId="6" borderId="0" xfId="0" applyNumberFormat="1" applyFont="1" applyFill="1" applyBorder="1" applyAlignment="1" applyProtection="1"/>
    <xf numFmtId="1" fontId="16" fillId="7" borderId="0" xfId="0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NumberFormat="1"/>
    <xf numFmtId="0" fontId="18" fillId="0" borderId="0" xfId="0" applyFont="1"/>
    <xf numFmtId="2" fontId="0" fillId="0" borderId="0" xfId="0" applyNumberFormat="1"/>
    <xf numFmtId="169" fontId="0" fillId="0" borderId="0" xfId="0" applyNumberFormat="1"/>
    <xf numFmtId="1" fontId="16" fillId="0" borderId="0" xfId="0" applyNumberFormat="1" applyFont="1"/>
    <xf numFmtId="1" fontId="0" fillId="0" borderId="0" xfId="0" applyNumberFormat="1" applyFill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12" Type="http://schemas.openxmlformats.org/officeDocument/2006/relationships/worksheet" Target="worksheets/sheet12.xml"/><Relationship Id="rId7" Type="http://schemas.openxmlformats.org/officeDocument/2006/relationships/worksheet" Target="worksheets/sheet7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9" Type="http://schemas.openxmlformats.org/officeDocument/2006/relationships/styles" Target="styles.xml"/><Relationship Id="rId10" Type="http://schemas.openxmlformats.org/officeDocument/2006/relationships/worksheet" Target="worksheets/sheet10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ept\Rates\WEATHER%20DATA\Weather%20Normalization\2016\WA%2065%20HDD%20NOAA\2016-12%20WA%20Weather%20Normalization%2065%20HDD%20-%20Copy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AL56"/>
  <sheetViews>
    <sheetView view="pageBreakPreview" zoomScale="90" zoomScaleNormal="90" zoomScaleSheetLayoutView="90" workbookViewId="0"/>
  </sheetViews>
  <sheetFormatPr defaultRowHeight="15" x14ac:dyDescent="0.25"/>
  <cols>
    <col min="1" max="1" width="1" customWidth="1"/>
    <col min="2" max="2" width="10.42578125" bestFit="1" customWidth="1"/>
    <col min="3" max="3" width="12.425781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2" t="s">
        <v>1</v>
      </c>
      <c r="V2" s="153"/>
      <c r="W2" s="153"/>
      <c r="X2" s="154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44" t="s">
        <v>5</v>
      </c>
      <c r="X3" s="17"/>
      <c r="Y3" s="142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143" t="s">
        <v>6</v>
      </c>
      <c r="X4" s="31" t="s">
        <v>7</v>
      </c>
      <c r="Y4" s="142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42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44197</v>
      </c>
      <c r="C6" s="45">
        <f>SUM('503 - 65'!Z19:AC19)</f>
        <v>19537732.408600003</v>
      </c>
      <c r="D6" s="45">
        <f>SUM('504 - 65'!Z19:AC19)</f>
        <v>11809051.604999999</v>
      </c>
      <c r="E6" s="46">
        <f>SUM(C6:D6)</f>
        <v>31346784.013599999</v>
      </c>
      <c r="G6" s="8"/>
      <c r="H6" s="36" t="str">
        <f>CONCATENATE("For Twelve Months Ended ",TEXT(B17,"mm/d/yyyy"))</f>
        <v>For Twelve Months Ended 12/1/2021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44228</v>
      </c>
      <c r="C7" s="45">
        <f>SUM('503 - 65'!Z20:AC20)</f>
        <v>15022966.883299999</v>
      </c>
      <c r="D7" s="45">
        <f>SUM('504 - 65'!Z20:AC20)</f>
        <v>8658889.9613999985</v>
      </c>
      <c r="E7" s="46">
        <f t="shared" ref="E7:E17" si="0">SUM(C7:D7)</f>
        <v>23681856.844699997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7" si="1">DATE(YEAR(B7),MONTH(B7)+1,1)</f>
        <v>44256</v>
      </c>
      <c r="C8" s="45">
        <f>SUM('503 - 65'!Z21:AC21)</f>
        <v>12456695.194</v>
      </c>
      <c r="D8" s="45">
        <f>SUM('504 - 65'!Z21:AC21)</f>
        <v>6231133.0373</v>
      </c>
      <c r="E8" s="46">
        <f t="shared" si="0"/>
        <v>18687828.2313</v>
      </c>
      <c r="G8" s="8"/>
      <c r="H8" s="20"/>
      <c r="I8" s="20"/>
      <c r="J8" s="20"/>
      <c r="K8" s="53"/>
      <c r="L8" s="20"/>
      <c r="M8" s="54"/>
      <c r="N8" s="8"/>
      <c r="P8" s="155" t="s">
        <v>11</v>
      </c>
      <c r="Q8" s="156"/>
      <c r="R8" s="156"/>
      <c r="S8" s="157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55" t="s">
        <v>8</v>
      </c>
      <c r="AJ8" s="156"/>
      <c r="AK8" s="156"/>
      <c r="AL8" s="157"/>
    </row>
    <row r="9" spans="2:38" x14ac:dyDescent="0.25">
      <c r="B9" s="51">
        <f t="shared" si="1"/>
        <v>44287</v>
      </c>
      <c r="C9" s="45">
        <f>SUM('503 - 65'!Z22:AC22)</f>
        <v>7361121.1242000004</v>
      </c>
      <c r="D9" s="45">
        <f>SUM('504 - 65'!Z22:AC22)</f>
        <v>2954536.9395000003</v>
      </c>
      <c r="E9" s="46">
        <f t="shared" si="0"/>
        <v>10315658.063700002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8" t="s">
        <v>59</v>
      </c>
      <c r="Q9" s="159"/>
      <c r="R9" s="159"/>
      <c r="S9" s="160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8" t="s">
        <v>11</v>
      </c>
      <c r="AJ9" s="159"/>
      <c r="AK9" s="159"/>
      <c r="AL9" s="160"/>
    </row>
    <row r="10" spans="2:38" x14ac:dyDescent="0.25">
      <c r="B10" s="51">
        <f t="shared" si="1"/>
        <v>44317</v>
      </c>
      <c r="C10" s="45">
        <f>SUM('503 - 65'!Z23:AC23)</f>
        <v>3480273.5801999997</v>
      </c>
      <c r="D10" s="45">
        <f>SUM('504 - 65'!Z23:AC23)</f>
        <v>1041029.2659</v>
      </c>
      <c r="E10" s="46">
        <f t="shared" si="0"/>
        <v>4521302.8460999997</v>
      </c>
      <c r="G10" s="8"/>
      <c r="H10" s="20"/>
      <c r="I10" s="20"/>
      <c r="J10" s="20"/>
      <c r="K10" s="53"/>
      <c r="L10" s="20"/>
      <c r="M10" s="54"/>
      <c r="N10" s="8"/>
      <c r="P10" s="59"/>
      <c r="Q10" s="161" t="s">
        <v>18</v>
      </c>
      <c r="R10" s="161" t="s">
        <v>19</v>
      </c>
      <c r="S10" s="162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61" t="s">
        <v>18</v>
      </c>
      <c r="AK10" s="161" t="s">
        <v>19</v>
      </c>
      <c r="AL10" s="162" t="s">
        <v>20</v>
      </c>
    </row>
    <row r="11" spans="2:38" x14ac:dyDescent="0.25">
      <c r="B11" s="51">
        <f t="shared" si="1"/>
        <v>44348</v>
      </c>
      <c r="C11" s="45">
        <f>SUM('503 - 65'!Z24:AC24)</f>
        <v>1531585.4687999999</v>
      </c>
      <c r="D11" s="45">
        <f>SUM('504 - 65'!Z24:AC24)</f>
        <v>0</v>
      </c>
      <c r="E11" s="46">
        <f t="shared" si="0"/>
        <v>1531585.4687999999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61"/>
      <c r="R11" s="161"/>
      <c r="S11" s="162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61"/>
      <c r="AK11" s="161"/>
      <c r="AL11" s="162"/>
    </row>
    <row r="12" spans="2:38" x14ac:dyDescent="0.25">
      <c r="B12" s="51">
        <f t="shared" si="1"/>
        <v>44378</v>
      </c>
      <c r="C12" s="45">
        <f>SUM('503 - 65'!Z25:AC25)</f>
        <v>825548.11200000008</v>
      </c>
      <c r="D12" s="45">
        <f>SUM('504 - 65'!Z25:AC25)</f>
        <v>0</v>
      </c>
      <c r="E12" s="46">
        <f t="shared" si="0"/>
        <v>825548.11200000008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44409</v>
      </c>
      <c r="C13" s="45">
        <f>SUM('503 - 65'!Z26:AC26)</f>
        <v>993896.39270000008</v>
      </c>
      <c r="D13" s="45">
        <f>SUM('504 - 65'!Z26:AC26)</f>
        <v>0</v>
      </c>
      <c r="E13" s="46">
        <f t="shared" si="0"/>
        <v>993896.39270000008</v>
      </c>
      <c r="G13" s="8"/>
      <c r="H13" s="60">
        <v>1</v>
      </c>
      <c r="I13" s="20" t="s">
        <v>25</v>
      </c>
      <c r="J13" s="20"/>
      <c r="K13" s="53"/>
      <c r="L13" s="64">
        <f>C18</f>
        <v>105223064.88910002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44440</v>
      </c>
      <c r="C14" s="45">
        <f>SUM('503 - 65'!Z27:AC27)</f>
        <v>1797976.7404</v>
      </c>
      <c r="D14" s="45">
        <f>SUM('504 - 65'!Z27:AC27)</f>
        <v>693406.78399999999</v>
      </c>
      <c r="E14" s="46">
        <f t="shared" si="0"/>
        <v>2491383.5244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44470</v>
      </c>
      <c r="C15" s="45">
        <f>SUM('503 - 65'!Z28:AC28)</f>
        <v>6525761.0579999993</v>
      </c>
      <c r="D15" s="45">
        <f>SUM('504 - 65'!Z28:AC28)</f>
        <v>3313438.2393</v>
      </c>
      <c r="E15" s="46">
        <f t="shared" si="0"/>
        <v>9839199.2972999997</v>
      </c>
      <c r="G15" s="8"/>
      <c r="H15" s="60">
        <v>2</v>
      </c>
      <c r="I15" s="20" t="s">
        <v>29</v>
      </c>
      <c r="J15" s="20"/>
      <c r="K15" s="66">
        <v>0.81515999999999988</v>
      </c>
      <c r="L15" s="20"/>
      <c r="M15" s="54">
        <f>ROUND(L13*K15,2)</f>
        <v>85773633.569999993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44501</v>
      </c>
      <c r="C16" s="45">
        <f>SUM('503 - 65'!Z29:AC29)</f>
        <v>14871414.130800001</v>
      </c>
      <c r="D16" s="45">
        <f>SUM('504 - 65'!Z29:AC29)</f>
        <v>7641693.268600001</v>
      </c>
      <c r="E16" s="46">
        <f t="shared" si="0"/>
        <v>22513107.399400003</v>
      </c>
      <c r="G16" s="8"/>
      <c r="H16" s="20"/>
      <c r="I16" s="20"/>
      <c r="J16" s="20"/>
      <c r="K16" s="53"/>
      <c r="L16" s="20"/>
      <c r="M16" s="54"/>
      <c r="N16" s="8"/>
      <c r="P16" s="158" t="s">
        <v>31</v>
      </c>
      <c r="Q16" s="159"/>
      <c r="R16" s="159"/>
      <c r="S16" s="160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8" t="s">
        <v>31</v>
      </c>
      <c r="AJ16" s="159"/>
      <c r="AK16" s="159"/>
      <c r="AL16" s="160"/>
    </row>
    <row r="17" spans="2:38" x14ac:dyDescent="0.25">
      <c r="B17" s="51">
        <f t="shared" si="1"/>
        <v>44531</v>
      </c>
      <c r="C17" s="45">
        <f>SUM('503 - 65'!Z30:AC30)</f>
        <v>20818093.796099994</v>
      </c>
      <c r="D17" s="45">
        <f>SUM('504 - 65'!Z30:AC30)</f>
        <v>11487294.972899999</v>
      </c>
      <c r="E17" s="46">
        <f t="shared" si="0"/>
        <v>32305388.768999994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105223064.88910002</v>
      </c>
      <c r="D18" s="70">
        <f>SUM(D6:D17)</f>
        <v>53830474.073899999</v>
      </c>
      <c r="E18" s="71">
        <f>SUM(E6:E17)</f>
        <v>159053538.963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53830474.073899999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27"/>
      <c r="C20" s="127"/>
      <c r="D20" s="127"/>
      <c r="E20" s="127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27"/>
      <c r="C21" s="127"/>
      <c r="D21" s="127"/>
      <c r="E21" s="127"/>
      <c r="G21" s="8"/>
      <c r="H21" s="60">
        <v>4</v>
      </c>
      <c r="I21" s="20" t="s">
        <v>29</v>
      </c>
      <c r="J21" s="20"/>
      <c r="K21" s="66">
        <v>0.7815700000000001</v>
      </c>
      <c r="L21" s="82"/>
      <c r="M21" s="83">
        <f>ROUND(L19*K21,2)</f>
        <v>42072283.619999997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127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127"/>
      <c r="C23" s="127"/>
      <c r="D23" s="127"/>
      <c r="E23" s="127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159053538.963</v>
      </c>
      <c r="M23" s="88">
        <f>SUM(M15,M21)</f>
        <v>127845917.19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127"/>
      <c r="C24" s="127"/>
      <c r="D24" s="127"/>
      <c r="E24" s="127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127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127"/>
      <c r="C26" s="127"/>
      <c r="D26" s="127"/>
      <c r="E26" s="127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127"/>
      <c r="C27" s="127"/>
      <c r="D27" s="127"/>
      <c r="E27" s="127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127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0.55267999999999995</v>
      </c>
      <c r="L28" s="99">
        <f>L13</f>
        <v>105223064.88910002</v>
      </c>
      <c r="M28" s="100">
        <f>ROUND(K28*L28,2)</f>
        <v>58154683.5</v>
      </c>
      <c r="N28" s="8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127"/>
      <c r="C29" s="127"/>
      <c r="D29" s="127"/>
      <c r="E29" s="127"/>
      <c r="G29" s="8"/>
      <c r="H29" s="20"/>
      <c r="I29" s="92"/>
      <c r="J29" s="92"/>
      <c r="K29" s="93"/>
      <c r="L29" s="92"/>
      <c r="M29" s="100"/>
      <c r="N29" s="8"/>
      <c r="U29" s="101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127"/>
      <c r="C30" s="127"/>
      <c r="D30" s="127"/>
      <c r="E30" s="127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127"/>
      <c r="C31" s="127"/>
      <c r="D31" s="127"/>
      <c r="E31" s="127"/>
      <c r="G31" s="8"/>
      <c r="H31" s="60"/>
      <c r="I31" s="92" t="s">
        <v>38</v>
      </c>
      <c r="J31" s="92"/>
      <c r="K31" s="98">
        <v>0.54978000000000005</v>
      </c>
      <c r="L31" s="105">
        <f>L19</f>
        <v>53830474.073899999</v>
      </c>
      <c r="M31" s="83">
        <f>ROUND(K31*L31,2)</f>
        <v>29594918.039999999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159053538.963</v>
      </c>
      <c r="M33" s="108">
        <f>SUM(M28,M31)</f>
        <v>87749601.539999992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5:33" ht="15.75" thickTop="1" x14ac:dyDescent="0.25">
      <c r="Z49" s="8"/>
      <c r="AG49" s="8"/>
    </row>
    <row r="50" spans="25:33" x14ac:dyDescent="0.25">
      <c r="Z50" s="123"/>
      <c r="AA50" s="124"/>
      <c r="AB50" s="125" t="s">
        <v>53</v>
      </c>
      <c r="AC50" s="126" t="s">
        <v>54</v>
      </c>
      <c r="AG50" s="8"/>
    </row>
    <row r="51" spans="25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5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5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5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5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5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P16:S16"/>
    <mergeCell ref="AI16:AL16"/>
    <mergeCell ref="Q10:Q11"/>
    <mergeCell ref="R10:R11"/>
    <mergeCell ref="S10:S11"/>
    <mergeCell ref="AJ10:AJ11"/>
    <mergeCell ref="AK10:AK11"/>
    <mergeCell ref="AL10:AL11"/>
    <mergeCell ref="U2:X2"/>
    <mergeCell ref="P8:S8"/>
    <mergeCell ref="AI8:AL8"/>
    <mergeCell ref="P9:S9"/>
    <mergeCell ref="AI9:AL9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AL56"/>
  <sheetViews>
    <sheetView view="pageBreakPreview" zoomScale="90" zoomScaleNormal="100" zoomScaleSheetLayoutView="90" workbookViewId="0">
      <selection activeCell="B1" sqref="B1"/>
    </sheetView>
  </sheetViews>
  <sheetFormatPr defaultRowHeight="15" x14ac:dyDescent="0.25"/>
  <cols>
    <col min="1" max="1" width="1" customWidth="1"/>
    <col min="2" max="2" width="11.5703125" bestFit="1" customWidth="1"/>
    <col min="3" max="3" width="16.1406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2" t="s">
        <v>1</v>
      </c>
      <c r="V2" s="153"/>
      <c r="W2" s="153"/>
      <c r="X2" s="154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6" t="s">
        <v>5</v>
      </c>
      <c r="X3" s="17"/>
      <c r="Y3" s="18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30" t="s">
        <v>6</v>
      </c>
      <c r="X4" s="31" t="s">
        <v>7</v>
      </c>
      <c r="Y4" s="18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8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44197</v>
      </c>
      <c r="C6" s="45">
        <f>SUM('503 - 60a'!Z19:AC19)</f>
        <v>3147199.4559777984</v>
      </c>
      <c r="D6" s="45">
        <f>SUM('504 - 60a'!Z19:AC19)</f>
        <v>1978487.5108373938</v>
      </c>
      <c r="E6" s="46">
        <f>SUM(C6:D6)</f>
        <v>5125686.9668151923</v>
      </c>
      <c r="G6" s="8"/>
      <c r="H6" s="36" t="str">
        <f>CONCATENATE("For Twelve Months Ended ",TEXT(B50,"mm/d/yyyy"))</f>
        <v>For Twelve Months Ended 12/31/2021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44228</v>
      </c>
      <c r="C7" s="45">
        <f>SUM('503 - 60a'!Z20:AC20)</f>
        <v>-1606484.0626691929</v>
      </c>
      <c r="D7" s="45">
        <f>SUM('504 - 60a'!Z20:AC20)</f>
        <v>-967441.25760635198</v>
      </c>
      <c r="E7" s="46">
        <f t="shared" ref="E7:E17" si="0">SUM(C7:D7)</f>
        <v>-2573925.3202755451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6" si="1">DATE(YEAR(B7),MONTH(B7)+1,1)</f>
        <v>44256</v>
      </c>
      <c r="C8" s="45">
        <f>SUM('503 - 60a'!Z21:AC21)</f>
        <v>-165368.38302770609</v>
      </c>
      <c r="D8" s="45">
        <f>SUM('504 - 60a'!Z21:AC21)</f>
        <v>-77823.224833207831</v>
      </c>
      <c r="E8" s="46">
        <f t="shared" si="0"/>
        <v>-243191.60786091391</v>
      </c>
      <c r="G8" s="8"/>
      <c r="H8" s="20"/>
      <c r="I8" s="20"/>
      <c r="J8" s="20"/>
      <c r="K8" s="53"/>
      <c r="L8" s="20"/>
      <c r="M8" s="54"/>
      <c r="N8" s="8"/>
      <c r="P8" s="155" t="s">
        <v>11</v>
      </c>
      <c r="Q8" s="156"/>
      <c r="R8" s="156"/>
      <c r="S8" s="157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55" t="s">
        <v>8</v>
      </c>
      <c r="AJ8" s="156"/>
      <c r="AK8" s="156"/>
      <c r="AL8" s="157"/>
    </row>
    <row r="9" spans="2:38" x14ac:dyDescent="0.25">
      <c r="B9" s="51">
        <f t="shared" si="1"/>
        <v>44287</v>
      </c>
      <c r="C9" s="45">
        <f>SUM('503 - 60a'!Z22:AC22)</f>
        <v>655493.16102043225</v>
      </c>
      <c r="D9" s="45">
        <f>SUM('504 - 60a'!Z22:AC22)</f>
        <v>309280.38299023395</v>
      </c>
      <c r="E9" s="46">
        <f t="shared" si="0"/>
        <v>964773.5440106662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8" t="s">
        <v>59</v>
      </c>
      <c r="Q9" s="159"/>
      <c r="R9" s="159"/>
      <c r="S9" s="160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8" t="s">
        <v>11</v>
      </c>
      <c r="AJ9" s="159"/>
      <c r="AK9" s="159"/>
      <c r="AL9" s="160"/>
    </row>
    <row r="10" spans="2:38" x14ac:dyDescent="0.25">
      <c r="B10" s="51">
        <f t="shared" si="1"/>
        <v>44317</v>
      </c>
      <c r="C10" s="45">
        <f>SUM('503 - 60a'!Z23:AC23)</f>
        <v>317008.23599441955</v>
      </c>
      <c r="D10" s="45">
        <f>SUM('504 - 60a'!Z23:AC23)</f>
        <v>-6159.9072495358851</v>
      </c>
      <c r="E10" s="46">
        <f t="shared" si="0"/>
        <v>310848.32874488365</v>
      </c>
      <c r="G10" s="8"/>
      <c r="H10" s="20"/>
      <c r="I10" s="20"/>
      <c r="J10" s="20"/>
      <c r="K10" s="53"/>
      <c r="L10" s="20"/>
      <c r="M10" s="54"/>
      <c r="N10" s="8"/>
      <c r="P10" s="59"/>
      <c r="Q10" s="161" t="s">
        <v>18</v>
      </c>
      <c r="R10" s="161" t="s">
        <v>19</v>
      </c>
      <c r="S10" s="162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61" t="s">
        <v>18</v>
      </c>
      <c r="AK10" s="161" t="s">
        <v>19</v>
      </c>
      <c r="AL10" s="162" t="s">
        <v>20</v>
      </c>
    </row>
    <row r="11" spans="2:38" x14ac:dyDescent="0.25">
      <c r="B11" s="51">
        <f t="shared" si="1"/>
        <v>44348</v>
      </c>
      <c r="C11" s="45">
        <f>SUM('503 - 60a'!Z24:AC24)</f>
        <v>267242.10670989478</v>
      </c>
      <c r="D11" s="45">
        <f>SUM('504 - 60a'!Z24:AC24)</f>
        <v>0</v>
      </c>
      <c r="E11" s="46">
        <f t="shared" si="0"/>
        <v>267242.10670989478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61"/>
      <c r="R11" s="161"/>
      <c r="S11" s="162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61"/>
      <c r="AK11" s="161"/>
      <c r="AL11" s="162"/>
    </row>
    <row r="12" spans="2:38" x14ac:dyDescent="0.25">
      <c r="B12" s="51">
        <f t="shared" si="1"/>
        <v>44378</v>
      </c>
      <c r="C12" s="45">
        <f>SUM('503 - 60a'!Z25:AC25)</f>
        <v>0</v>
      </c>
      <c r="D12" s="45">
        <f>SUM('504 - 60a'!Z25:AC25)</f>
        <v>0</v>
      </c>
      <c r="E12" s="46">
        <f t="shared" si="0"/>
        <v>0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44409</v>
      </c>
      <c r="C13" s="45">
        <f>SUM('503 - 60a'!Z26:AC26)</f>
        <v>-35114.687893661634</v>
      </c>
      <c r="D13" s="45">
        <f>SUM('504 - 60a'!Z26:AC26)</f>
        <v>0</v>
      </c>
      <c r="E13" s="46">
        <f t="shared" si="0"/>
        <v>-35114.687893661634</v>
      </c>
      <c r="G13" s="8"/>
      <c r="H13" s="60">
        <v>1</v>
      </c>
      <c r="I13" s="20" t="s">
        <v>25</v>
      </c>
      <c r="J13" s="20"/>
      <c r="K13" s="53"/>
      <c r="L13" s="64">
        <f>C18</f>
        <v>6418144.9874448935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44440</v>
      </c>
      <c r="C14" s="45">
        <f>SUM('503 - 60a'!Z27:AC27)</f>
        <v>363266.72966345318</v>
      </c>
      <c r="D14" s="45">
        <f>SUM('504 - 60a'!Z27:AC27)</f>
        <v>636292.1270660446</v>
      </c>
      <c r="E14" s="46">
        <f t="shared" si="0"/>
        <v>999558.85672949778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44470</v>
      </c>
      <c r="C15" s="45">
        <f>SUM('503 - 60a'!Z28:AC28)</f>
        <v>668817.8734872262</v>
      </c>
      <c r="D15" s="45">
        <f>SUM('504 - 60a'!Z28:AC28)</f>
        <v>445193.63682871661</v>
      </c>
      <c r="E15" s="46">
        <f t="shared" si="0"/>
        <v>1114011.5103159428</v>
      </c>
      <c r="G15" s="8"/>
      <c r="H15" s="60">
        <v>2</v>
      </c>
      <c r="I15" s="20" t="s">
        <v>29</v>
      </c>
      <c r="J15" s="20"/>
      <c r="K15" s="66">
        <f>+K28+0.29484</f>
        <v>0.79052999999999995</v>
      </c>
      <c r="L15" s="20"/>
      <c r="M15" s="54">
        <f>ROUND(L13*K15,2)</f>
        <v>5073736.16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44501</v>
      </c>
      <c r="C16" s="45">
        <f>SUM('503 - 60a'!Z29:AC29)</f>
        <v>3384413.4372255155</v>
      </c>
      <c r="D16" s="45">
        <f>SUM('504 - 60a'!Z29:AC29)</f>
        <v>1866017.8969381964</v>
      </c>
      <c r="E16" s="46">
        <f t="shared" si="0"/>
        <v>5250431.3341637123</v>
      </c>
      <c r="G16" s="8"/>
      <c r="H16" s="20"/>
      <c r="I16" s="20"/>
      <c r="J16" s="20"/>
      <c r="K16" s="53"/>
      <c r="L16" s="20"/>
      <c r="M16" s="54"/>
      <c r="N16" s="8"/>
      <c r="P16" s="158" t="s">
        <v>31</v>
      </c>
      <c r="Q16" s="159"/>
      <c r="R16" s="159"/>
      <c r="S16" s="160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8" t="s">
        <v>31</v>
      </c>
      <c r="AJ16" s="159"/>
      <c r="AK16" s="159"/>
      <c r="AL16" s="160"/>
    </row>
    <row r="17" spans="2:38" x14ac:dyDescent="0.25">
      <c r="B17" s="51">
        <f>DATE(YEAR(B16),MONTH(B16)+1,1)</f>
        <v>44531</v>
      </c>
      <c r="C17" s="45">
        <f>SUM('503 - 60a'!Z30:AC30)</f>
        <v>-578328.87904328573</v>
      </c>
      <c r="D17" s="45">
        <f>SUM('504 - 60a'!Z30:AC30)</f>
        <v>129892.9819537205</v>
      </c>
      <c r="E17" s="46">
        <f t="shared" si="0"/>
        <v>-448435.89708956523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6418144.9874448935</v>
      </c>
      <c r="D18" s="70">
        <f>SUM(D6:D17)</f>
        <v>4313740.14692521</v>
      </c>
      <c r="E18" s="71">
        <f>SUM(E6:E17)</f>
        <v>10731885.134370103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4313740.14692521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45"/>
      <c r="C20" s="151"/>
      <c r="D20" s="151"/>
      <c r="E20" s="145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45"/>
      <c r="C21" s="145"/>
      <c r="D21" s="145"/>
      <c r="E21" s="145"/>
      <c r="G21" s="8"/>
      <c r="H21" s="60">
        <v>4</v>
      </c>
      <c r="I21" s="20" t="s">
        <v>29</v>
      </c>
      <c r="J21" s="20"/>
      <c r="K21" s="66">
        <f>+K31+0.24608</f>
        <v>0.73912</v>
      </c>
      <c r="L21" s="82"/>
      <c r="M21" s="83">
        <f>ROUND(L19*K21,2)</f>
        <v>3188371.62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4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4"/>
      <c r="C23" s="127"/>
      <c r="D23" s="127"/>
      <c r="E23" s="145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10731885.134370103</v>
      </c>
      <c r="M23" s="88">
        <f>SUM(M15,M21)</f>
        <v>8262107.7800000003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4"/>
      <c r="C24" s="127"/>
      <c r="D24" s="127"/>
      <c r="E24" s="145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4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4"/>
      <c r="C26" s="127"/>
      <c r="D26" s="127"/>
      <c r="E26" s="145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4"/>
      <c r="C27" s="127"/>
      <c r="D27" s="127"/>
      <c r="E27" s="145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4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0.49569000000000002</v>
      </c>
      <c r="L28" s="99">
        <f>L13</f>
        <v>6418144.9874448935</v>
      </c>
      <c r="M28" s="100">
        <f>ROUND(K28*L28,2)</f>
        <v>3181410.29</v>
      </c>
      <c r="N28" s="8"/>
      <c r="V28" s="94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4"/>
      <c r="C29" s="127"/>
      <c r="D29" s="127"/>
      <c r="E29" s="145"/>
      <c r="G29" s="8"/>
      <c r="H29" s="20"/>
      <c r="I29" s="92"/>
      <c r="J29" s="92"/>
      <c r="K29" s="93"/>
      <c r="L29" s="92"/>
      <c r="M29" s="100"/>
      <c r="N29" s="8"/>
      <c r="Q29" s="146"/>
      <c r="U29" s="101"/>
      <c r="V29" s="94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4"/>
      <c r="C30" s="127"/>
      <c r="D30" s="127"/>
      <c r="E30" s="145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4"/>
      <c r="C31" s="127"/>
      <c r="D31" s="127"/>
      <c r="E31" s="127"/>
      <c r="G31" s="8"/>
      <c r="H31" s="60"/>
      <c r="I31" s="92" t="s">
        <v>38</v>
      </c>
      <c r="J31" s="92"/>
      <c r="K31" s="98">
        <v>0.49303999999999998</v>
      </c>
      <c r="L31" s="105">
        <f>L19</f>
        <v>4313740.14692521</v>
      </c>
      <c r="M31" s="83">
        <f>ROUND(K31*L31,2)</f>
        <v>2126846.44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10731885.134370103</v>
      </c>
      <c r="M33" s="108">
        <f>SUM(M28,M31)</f>
        <v>5308256.7300000004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C34" s="72"/>
      <c r="D34" s="72"/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:33" ht="15.75" thickTop="1" x14ac:dyDescent="0.25">
      <c r="Z49" s="8"/>
      <c r="AG49" s="8"/>
    </row>
    <row r="50" spans="2:33" x14ac:dyDescent="0.25">
      <c r="B50" s="4">
        <f>DATE(YEAR(B17),MONTH(B17)+1,DAY(B17)-1)</f>
        <v>44561</v>
      </c>
      <c r="Z50" s="123"/>
      <c r="AA50" s="124"/>
      <c r="AB50" s="125" t="s">
        <v>53</v>
      </c>
      <c r="AC50" s="126" t="s">
        <v>54</v>
      </c>
      <c r="AG50" s="8"/>
    </row>
    <row r="51" spans="2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P16:S16"/>
    <mergeCell ref="AI16:AL16"/>
    <mergeCell ref="Q10:Q11"/>
    <mergeCell ref="R10:R11"/>
    <mergeCell ref="S10:S11"/>
    <mergeCell ref="AJ10:AJ11"/>
    <mergeCell ref="AK10:AK11"/>
    <mergeCell ref="AL10:AL11"/>
    <mergeCell ref="U2:X2"/>
    <mergeCell ref="P8:S8"/>
    <mergeCell ref="AI8:AL8"/>
    <mergeCell ref="P9:S9"/>
    <mergeCell ref="AI9:AL9"/>
  </mergeCells>
  <pageMargins left="0.7" right="0.7" top="0.75" bottom="0.75" header="0.3" footer="0.3"/>
  <pageSetup scale="31" orientation="portrait" r:id="rId1"/>
  <colBreaks count="1" manualBreakCount="1">
    <brk id="14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27"/>
  <sheetViews>
    <sheetView workbookViewId="0">
      <selection sqref="A1:D2"/>
    </sheetView>
  </sheetViews>
  <sheetFormatPr defaultRowHeight="15" x14ac:dyDescent="0.25"/>
  <cols>
    <col min="1" max="1" width="9.42578125" bestFit="1" customWidth="1"/>
    <col min="2" max="2" width="9" bestFit="1" customWidth="1"/>
    <col min="3" max="4" width="8" bestFit="1" customWidth="1"/>
    <col min="5" max="5" width="9" bestFit="1" customWidth="1"/>
    <col min="6" max="8" width="8" bestFit="1" customWidth="1"/>
    <col min="9" max="9" width="1.42578125" customWidth="1"/>
    <col min="10" max="10" width="9.42578125" bestFit="1" customWidth="1"/>
    <col min="11" max="17" width="8" bestFit="1" customWidth="1"/>
    <col min="18" max="18" width="1.42578125" customWidth="1"/>
    <col min="19" max="19" width="9.42578125" bestFit="1" customWidth="1"/>
    <col min="20" max="22" width="6" bestFit="1" customWidth="1"/>
    <col min="23" max="23" width="6.7109375" bestFit="1" customWidth="1"/>
    <col min="24" max="24" width="6" bestFit="1" customWidth="1"/>
    <col min="25" max="25" width="5.42578125" bestFit="1" customWidth="1"/>
    <col min="26" max="26" width="6" bestFit="1" customWidth="1"/>
    <col min="27" max="27" width="1.42578125" customWidth="1"/>
    <col min="28" max="28" width="9.42578125" bestFit="1" customWidth="1"/>
    <col min="29" max="29" width="6" bestFit="1" customWidth="1"/>
    <col min="30" max="30" width="5" bestFit="1" customWidth="1"/>
    <col min="31" max="31" width="5.85546875" bestFit="1" customWidth="1"/>
    <col min="32" max="32" width="6.7109375" bestFit="1" customWidth="1"/>
    <col min="33" max="33" width="5" bestFit="1" customWidth="1"/>
    <col min="34" max="34" width="5.42578125" bestFit="1" customWidth="1"/>
    <col min="35" max="35" width="5" bestFit="1" customWidth="1"/>
    <col min="36" max="36" width="1.42578125" customWidth="1"/>
    <col min="37" max="37" width="9.42578125" bestFit="1" customWidth="1"/>
    <col min="38" max="40" width="6" bestFit="1" customWidth="1"/>
    <col min="41" max="41" width="6.7109375" bestFit="1" customWidth="1"/>
    <col min="42" max="42" width="6" bestFit="1" customWidth="1"/>
    <col min="43" max="43" width="7" bestFit="1" customWidth="1"/>
    <col min="44" max="44" width="6" bestFit="1" customWidth="1"/>
    <col min="45" max="45" width="1.42578125" customWidth="1"/>
    <col min="46" max="46" width="9.42578125" bestFit="1" customWidth="1"/>
    <col min="47" max="49" width="6" bestFit="1" customWidth="1"/>
    <col min="50" max="50" width="6.7109375" bestFit="1" customWidth="1"/>
    <col min="51" max="51" width="6" bestFit="1" customWidth="1"/>
    <col min="52" max="52" width="7" bestFit="1" customWidth="1"/>
    <col min="53" max="53" width="6" bestFit="1" customWidth="1"/>
  </cols>
  <sheetData>
    <row r="1" spans="1:53" x14ac:dyDescent="0.25">
      <c r="A1" s="163">
        <v>44197</v>
      </c>
      <c r="B1" s="164"/>
      <c r="C1" s="164"/>
      <c r="D1" s="164"/>
    </row>
    <row r="2" spans="1:53" x14ac:dyDescent="0.25">
      <c r="A2" s="164"/>
      <c r="B2" s="164"/>
      <c r="C2" s="164"/>
      <c r="D2" s="164"/>
    </row>
    <row r="3" spans="1:53" ht="23.25" x14ac:dyDescent="0.35">
      <c r="A3" s="138"/>
      <c r="B3" s="167" t="s">
        <v>85</v>
      </c>
      <c r="C3" s="167"/>
      <c r="D3" s="167"/>
      <c r="E3" s="167"/>
      <c r="F3" s="167"/>
      <c r="G3" s="167"/>
      <c r="H3" s="167"/>
      <c r="I3" s="139"/>
      <c r="K3" s="167" t="s">
        <v>86</v>
      </c>
      <c r="L3" s="167"/>
      <c r="M3" s="167"/>
      <c r="N3" s="167"/>
      <c r="O3" s="167"/>
      <c r="P3" s="167"/>
      <c r="Q3" s="167"/>
      <c r="R3" s="139"/>
      <c r="S3" s="166" t="s">
        <v>60</v>
      </c>
      <c r="T3" s="166"/>
      <c r="U3" s="166"/>
      <c r="V3" s="166"/>
      <c r="W3" s="166"/>
      <c r="X3" s="166"/>
      <c r="Y3" s="166"/>
      <c r="Z3" s="166"/>
      <c r="AA3" s="139"/>
      <c r="AB3" s="166" t="s">
        <v>61</v>
      </c>
      <c r="AC3" s="166"/>
      <c r="AD3" s="166"/>
      <c r="AE3" s="166"/>
      <c r="AF3" s="166"/>
      <c r="AG3" s="166"/>
      <c r="AH3" s="166"/>
      <c r="AI3" s="166"/>
      <c r="AJ3" s="139"/>
      <c r="AK3" s="165" t="s">
        <v>83</v>
      </c>
      <c r="AL3" s="165"/>
      <c r="AM3" s="165"/>
      <c r="AN3" s="165"/>
      <c r="AO3" s="165"/>
      <c r="AP3" s="165"/>
      <c r="AQ3" s="165"/>
      <c r="AR3" s="165"/>
      <c r="AS3" s="139"/>
      <c r="AT3" s="165" t="s">
        <v>84</v>
      </c>
      <c r="AU3" s="165"/>
      <c r="AV3" s="165"/>
      <c r="AW3" s="165"/>
      <c r="AX3" s="165"/>
      <c r="AY3" s="165"/>
      <c r="AZ3" s="165"/>
      <c r="BA3" s="165"/>
    </row>
    <row r="4" spans="1:53" x14ac:dyDescent="0.25">
      <c r="A4" s="129" t="s">
        <v>9</v>
      </c>
      <c r="B4" s="130" t="s">
        <v>62</v>
      </c>
      <c r="C4" s="130" t="s">
        <v>63</v>
      </c>
      <c r="D4" s="130" t="s">
        <v>64</v>
      </c>
      <c r="E4" s="130" t="s">
        <v>65</v>
      </c>
      <c r="F4" s="131" t="s">
        <v>55</v>
      </c>
      <c r="G4" s="131" t="s">
        <v>66</v>
      </c>
      <c r="H4" s="131" t="s">
        <v>67</v>
      </c>
      <c r="I4" s="139"/>
      <c r="J4" s="129" t="s">
        <v>9</v>
      </c>
      <c r="K4" s="130" t="s">
        <v>62</v>
      </c>
      <c r="L4" s="130" t="s">
        <v>63</v>
      </c>
      <c r="M4" s="130" t="s">
        <v>64</v>
      </c>
      <c r="N4" s="130" t="s">
        <v>65</v>
      </c>
      <c r="O4" s="131" t="s">
        <v>55</v>
      </c>
      <c r="P4" s="131" t="s">
        <v>66</v>
      </c>
      <c r="Q4" s="131" t="s">
        <v>67</v>
      </c>
      <c r="R4" s="139"/>
      <c r="S4" s="129" t="s">
        <v>9</v>
      </c>
      <c r="T4" s="130" t="s">
        <v>62</v>
      </c>
      <c r="U4" s="130" t="s">
        <v>63</v>
      </c>
      <c r="V4" s="130" t="s">
        <v>64</v>
      </c>
      <c r="W4" s="130" t="s">
        <v>65</v>
      </c>
      <c r="X4" s="131" t="s">
        <v>55</v>
      </c>
      <c r="Y4" s="131" t="s">
        <v>66</v>
      </c>
      <c r="Z4" s="131" t="s">
        <v>67</v>
      </c>
      <c r="AA4" s="139"/>
      <c r="AB4" s="129" t="s">
        <v>9</v>
      </c>
      <c r="AC4" s="130" t="s">
        <v>62</v>
      </c>
      <c r="AD4" s="130" t="s">
        <v>63</v>
      </c>
      <c r="AE4" s="130" t="s">
        <v>64</v>
      </c>
      <c r="AF4" s="130" t="s">
        <v>65</v>
      </c>
      <c r="AG4" s="131" t="s">
        <v>55</v>
      </c>
      <c r="AH4" s="131" t="s">
        <v>66</v>
      </c>
      <c r="AI4" s="131" t="s">
        <v>67</v>
      </c>
      <c r="AJ4" s="139"/>
      <c r="AK4" s="129" t="s">
        <v>9</v>
      </c>
      <c r="AL4" s="130" t="s">
        <v>62</v>
      </c>
      <c r="AM4" s="130" t="s">
        <v>63</v>
      </c>
      <c r="AN4" s="130" t="s">
        <v>64</v>
      </c>
      <c r="AO4" s="130" t="s">
        <v>65</v>
      </c>
      <c r="AP4" s="131" t="s">
        <v>55</v>
      </c>
      <c r="AQ4" s="131" t="s">
        <v>66</v>
      </c>
      <c r="AR4" s="131" t="s">
        <v>67</v>
      </c>
      <c r="AS4" s="139"/>
      <c r="AT4" s="129" t="s">
        <v>9</v>
      </c>
      <c r="AU4" s="130" t="s">
        <v>62</v>
      </c>
      <c r="AV4" s="130" t="s">
        <v>63</v>
      </c>
      <c r="AW4" s="130" t="s">
        <v>64</v>
      </c>
      <c r="AX4" s="130" t="s">
        <v>65</v>
      </c>
      <c r="AY4" s="131" t="s">
        <v>55</v>
      </c>
      <c r="AZ4" s="131" t="s">
        <v>66</v>
      </c>
      <c r="BA4" s="131" t="s">
        <v>67</v>
      </c>
    </row>
    <row r="5" spans="1:53" x14ac:dyDescent="0.25">
      <c r="A5" s="132">
        <f>A1</f>
        <v>44197</v>
      </c>
      <c r="B5" s="140">
        <v>8419157.254041506</v>
      </c>
      <c r="C5" s="140">
        <v>3836306.4393638624</v>
      </c>
      <c r="D5" s="140">
        <v>3865024.6935182442</v>
      </c>
      <c r="E5" s="140">
        <v>3011374.6130763874</v>
      </c>
      <c r="F5" s="141">
        <v>5712855.7080333699</v>
      </c>
      <c r="G5" s="141">
        <v>822325.80351067707</v>
      </c>
      <c r="H5" s="141">
        <v>1114637.4884559535</v>
      </c>
      <c r="I5" s="139"/>
      <c r="J5" s="132">
        <f>A5</f>
        <v>44197</v>
      </c>
      <c r="K5" s="140">
        <v>3820777.2307795417</v>
      </c>
      <c r="L5" s="140">
        <v>2279831.7945269099</v>
      </c>
      <c r="M5" s="140">
        <v>2739382.6871080687</v>
      </c>
      <c r="N5" s="140">
        <v>3695361.2875854797</v>
      </c>
      <c r="O5" s="141">
        <v>2835093.9979497204</v>
      </c>
      <c r="P5" s="141">
        <v>676488.42512556259</v>
      </c>
      <c r="Q5" s="141">
        <v>866235.57692471705</v>
      </c>
      <c r="R5" s="139"/>
      <c r="S5" s="132">
        <f>A5</f>
        <v>44197</v>
      </c>
      <c r="T5" s="133">
        <v>85878</v>
      </c>
      <c r="U5" s="133">
        <v>40846</v>
      </c>
      <c r="V5" s="133">
        <v>43393</v>
      </c>
      <c r="W5" s="133">
        <v>27630</v>
      </c>
      <c r="X5" s="133">
        <v>49621</v>
      </c>
      <c r="Y5" s="133">
        <v>7394</v>
      </c>
      <c r="Z5" s="133">
        <v>11757</v>
      </c>
      <c r="AA5" s="139"/>
      <c r="AB5" s="132">
        <f>A5</f>
        <v>44197</v>
      </c>
      <c r="AC5" s="133">
        <v>10378</v>
      </c>
      <c r="AD5" s="133">
        <v>5065</v>
      </c>
      <c r="AE5" s="133">
        <v>5787</v>
      </c>
      <c r="AF5" s="133">
        <v>5813</v>
      </c>
      <c r="AG5" s="133">
        <v>6975</v>
      </c>
      <c r="AH5" s="133">
        <v>1470</v>
      </c>
      <c r="AI5" s="133">
        <v>1926</v>
      </c>
      <c r="AJ5" s="139"/>
      <c r="AK5" s="132">
        <f>J5</f>
        <v>44197</v>
      </c>
      <c r="AL5" s="150"/>
      <c r="AM5" s="150"/>
      <c r="AN5" s="150"/>
      <c r="AO5" s="150"/>
      <c r="AP5" s="150"/>
      <c r="AQ5" s="150"/>
      <c r="AR5" s="150"/>
      <c r="AS5" s="139"/>
      <c r="AT5" s="132">
        <f>S5</f>
        <v>44197</v>
      </c>
      <c r="AU5" s="150">
        <v>528</v>
      </c>
      <c r="AV5" s="150">
        <v>516.5</v>
      </c>
      <c r="AW5" s="150">
        <v>626</v>
      </c>
      <c r="AX5" s="150">
        <v>742</v>
      </c>
      <c r="AY5" s="150">
        <v>731</v>
      </c>
      <c r="AZ5" s="150">
        <v>819</v>
      </c>
      <c r="BA5" s="150">
        <v>625.5</v>
      </c>
    </row>
    <row r="6" spans="1:53" x14ac:dyDescent="0.25">
      <c r="A6" s="132">
        <f>DATE(YEAR(A5),MONTH(A5)+1,1)</f>
        <v>44228</v>
      </c>
      <c r="B6" s="140">
        <v>8838670.1988722943</v>
      </c>
      <c r="C6" s="140">
        <v>4035679.4194018515</v>
      </c>
      <c r="D6" s="140">
        <v>3945072.6397542004</v>
      </c>
      <c r="E6" s="140">
        <v>2805874.7419716539</v>
      </c>
      <c r="F6" s="141">
        <v>5591507.7025377322</v>
      </c>
      <c r="G6" s="141">
        <v>715131.97978989535</v>
      </c>
      <c r="H6" s="141">
        <v>1021899.3176723722</v>
      </c>
      <c r="I6" s="139"/>
      <c r="J6" s="132">
        <f t="shared" ref="J6:J19" si="0">A6</f>
        <v>44228</v>
      </c>
      <c r="K6" s="140">
        <v>4071526.6090568923</v>
      </c>
      <c r="L6" s="140">
        <v>2388513.4612402874</v>
      </c>
      <c r="M6" s="140">
        <v>2813435.0522950939</v>
      </c>
      <c r="N6" s="140">
        <v>3446800.8774077259</v>
      </c>
      <c r="O6" s="141">
        <v>3044755.1157786688</v>
      </c>
      <c r="P6" s="141">
        <v>623953.85255440488</v>
      </c>
      <c r="Q6" s="141">
        <v>863618.03166692646</v>
      </c>
      <c r="R6" s="139"/>
      <c r="S6" s="132">
        <f t="shared" ref="S6:S19" si="1">A6</f>
        <v>44228</v>
      </c>
      <c r="T6" s="133">
        <v>85954</v>
      </c>
      <c r="U6" s="133">
        <v>40917</v>
      </c>
      <c r="V6" s="133">
        <v>43507</v>
      </c>
      <c r="W6" s="133">
        <v>27668</v>
      </c>
      <c r="X6" s="133">
        <v>49748</v>
      </c>
      <c r="Y6" s="133">
        <v>7399</v>
      </c>
      <c r="Z6" s="133">
        <v>11789</v>
      </c>
      <c r="AA6" s="139"/>
      <c r="AB6" s="132">
        <f t="shared" ref="AB6:AB19" si="2">A6</f>
        <v>44228</v>
      </c>
      <c r="AC6" s="133">
        <v>10390</v>
      </c>
      <c r="AD6" s="133">
        <v>5065</v>
      </c>
      <c r="AE6" s="133">
        <v>5798</v>
      </c>
      <c r="AF6" s="133">
        <v>5828</v>
      </c>
      <c r="AG6" s="133">
        <v>6981</v>
      </c>
      <c r="AH6" s="133">
        <v>1470</v>
      </c>
      <c r="AI6" s="133">
        <v>1922</v>
      </c>
      <c r="AJ6" s="139"/>
      <c r="AK6" s="132">
        <f t="shared" ref="AK6:AK19" si="3">J6</f>
        <v>44228</v>
      </c>
      <c r="AL6" s="150"/>
      <c r="AM6" s="150"/>
      <c r="AN6" s="150"/>
      <c r="AO6" s="150"/>
      <c r="AP6" s="150"/>
      <c r="AQ6" s="150"/>
      <c r="AR6" s="150"/>
      <c r="AS6" s="139"/>
      <c r="AT6" s="132">
        <f t="shared" ref="AT6:AT19" si="4">S6</f>
        <v>44228</v>
      </c>
      <c r="AU6" s="150">
        <v>599</v>
      </c>
      <c r="AV6" s="150">
        <v>524</v>
      </c>
      <c r="AW6" s="150">
        <v>706</v>
      </c>
      <c r="AX6" s="150">
        <v>705.5</v>
      </c>
      <c r="AY6" s="150">
        <v>703</v>
      </c>
      <c r="AZ6" s="150">
        <v>818</v>
      </c>
      <c r="BA6" s="150">
        <v>700.5</v>
      </c>
    </row>
    <row r="7" spans="1:53" x14ac:dyDescent="0.25">
      <c r="A7" s="132">
        <f>DATE(YEAR(A6),MONTH(A6)+1,1)</f>
        <v>44256</v>
      </c>
      <c r="B7" s="140">
        <v>6767790.7500057425</v>
      </c>
      <c r="C7" s="140">
        <v>3042691.4840746615</v>
      </c>
      <c r="D7" s="140">
        <v>2977172.1090265084</v>
      </c>
      <c r="E7" s="140">
        <v>2081940.6568930876</v>
      </c>
      <c r="F7" s="141">
        <v>3925402.092141727</v>
      </c>
      <c r="G7" s="141">
        <v>486421.2394361808</v>
      </c>
      <c r="H7" s="141">
        <v>715854.66842209199</v>
      </c>
      <c r="I7" s="139"/>
      <c r="J7" s="132">
        <f t="shared" si="0"/>
        <v>44256</v>
      </c>
      <c r="K7" s="140">
        <v>3289438.6136183236</v>
      </c>
      <c r="L7" s="140">
        <v>1919484.2799599909</v>
      </c>
      <c r="M7" s="140">
        <v>2155578.4770646929</v>
      </c>
      <c r="N7" s="140">
        <v>2517589.6293569924</v>
      </c>
      <c r="O7" s="141">
        <v>2255852.590532586</v>
      </c>
      <c r="P7" s="141">
        <v>433697.60368150158</v>
      </c>
      <c r="Q7" s="141">
        <v>613741.80578591267</v>
      </c>
      <c r="R7" s="139"/>
      <c r="S7" s="132">
        <f t="shared" si="1"/>
        <v>44256</v>
      </c>
      <c r="T7" s="133">
        <v>86008</v>
      </c>
      <c r="U7" s="133">
        <v>40957</v>
      </c>
      <c r="V7" s="133">
        <v>43648</v>
      </c>
      <c r="W7" s="133">
        <v>27667</v>
      </c>
      <c r="X7" s="133">
        <v>49885</v>
      </c>
      <c r="Y7" s="133">
        <v>7404</v>
      </c>
      <c r="Z7" s="133">
        <v>11807</v>
      </c>
      <c r="AA7" s="139"/>
      <c r="AB7" s="132">
        <f t="shared" si="2"/>
        <v>44256</v>
      </c>
      <c r="AC7" s="133">
        <v>10394</v>
      </c>
      <c r="AD7" s="133">
        <v>5065</v>
      </c>
      <c r="AE7" s="133">
        <v>5793</v>
      </c>
      <c r="AF7" s="133">
        <v>5808</v>
      </c>
      <c r="AG7" s="133">
        <v>6988</v>
      </c>
      <c r="AH7" s="133">
        <v>1469</v>
      </c>
      <c r="AI7" s="133">
        <v>1922</v>
      </c>
      <c r="AJ7" s="139"/>
      <c r="AK7" s="132">
        <f t="shared" si="3"/>
        <v>44256</v>
      </c>
      <c r="AL7" s="150"/>
      <c r="AM7" s="150"/>
      <c r="AN7" s="150"/>
      <c r="AO7" s="150"/>
      <c r="AP7" s="150"/>
      <c r="AQ7" s="150"/>
      <c r="AR7" s="150"/>
      <c r="AS7" s="139"/>
      <c r="AT7" s="132">
        <f t="shared" si="4"/>
        <v>44256</v>
      </c>
      <c r="AU7" s="150">
        <v>470.5</v>
      </c>
      <c r="AV7" s="150">
        <v>508.5</v>
      </c>
      <c r="AW7" s="150">
        <v>442</v>
      </c>
      <c r="AX7" s="150">
        <v>499.5</v>
      </c>
      <c r="AY7" s="150">
        <v>624.5</v>
      </c>
      <c r="AZ7" s="150">
        <v>630.5</v>
      </c>
      <c r="BA7" s="150">
        <v>453.5</v>
      </c>
    </row>
    <row r="8" spans="1:53" x14ac:dyDescent="0.25">
      <c r="A8" s="132">
        <f t="shared" ref="A8:A19" si="5">DATE(YEAR(A7),MONTH(A7)+1,1)</f>
        <v>44287</v>
      </c>
      <c r="B8" s="140">
        <v>4022639.9021823979</v>
      </c>
      <c r="C8" s="140">
        <v>1944417.6449319685</v>
      </c>
      <c r="D8" s="140">
        <v>1392370.0716475197</v>
      </c>
      <c r="E8" s="140">
        <v>1009356.3812381139</v>
      </c>
      <c r="F8" s="141">
        <v>2626067.5003485582</v>
      </c>
      <c r="G8" s="141">
        <v>283025.37367603462</v>
      </c>
      <c r="H8" s="141">
        <v>425696.12597540719</v>
      </c>
      <c r="I8" s="139"/>
      <c r="J8" s="132">
        <f t="shared" si="0"/>
        <v>44287</v>
      </c>
      <c r="K8" s="140">
        <v>1914090.7609468009</v>
      </c>
      <c r="L8" s="140">
        <v>1199432.189255333</v>
      </c>
      <c r="M8" s="140">
        <v>992852.95308413194</v>
      </c>
      <c r="N8" s="140">
        <v>1227710.0967137339</v>
      </c>
      <c r="O8" s="141">
        <v>1391740.0978811544</v>
      </c>
      <c r="P8" s="141">
        <v>225766.50187560247</v>
      </c>
      <c r="Q8" s="141">
        <v>343571.4002432432</v>
      </c>
      <c r="R8" s="139"/>
      <c r="S8" s="132">
        <f t="shared" si="1"/>
        <v>44287</v>
      </c>
      <c r="T8" s="133">
        <v>86027</v>
      </c>
      <c r="U8" s="133">
        <v>40991</v>
      </c>
      <c r="V8" s="133">
        <v>43717</v>
      </c>
      <c r="W8" s="133">
        <v>27602</v>
      </c>
      <c r="X8" s="133">
        <v>49992</v>
      </c>
      <c r="Y8" s="133">
        <v>7398</v>
      </c>
      <c r="Z8" s="133">
        <v>11796</v>
      </c>
      <c r="AA8" s="139"/>
      <c r="AB8" s="132">
        <f t="shared" si="2"/>
        <v>44287</v>
      </c>
      <c r="AC8" s="133">
        <v>10398</v>
      </c>
      <c r="AD8" s="133">
        <v>5062</v>
      </c>
      <c r="AE8" s="133">
        <v>5788</v>
      </c>
      <c r="AF8" s="133">
        <v>5795</v>
      </c>
      <c r="AG8" s="133">
        <v>6978</v>
      </c>
      <c r="AH8" s="133">
        <v>1464</v>
      </c>
      <c r="AI8" s="133">
        <v>1923</v>
      </c>
      <c r="AJ8" s="139"/>
      <c r="AK8" s="132">
        <f t="shared" si="3"/>
        <v>44287</v>
      </c>
      <c r="AL8" s="150"/>
      <c r="AM8" s="150"/>
      <c r="AN8" s="150"/>
      <c r="AO8" s="150"/>
      <c r="AP8" s="150"/>
      <c r="AQ8" s="150"/>
      <c r="AR8" s="150"/>
      <c r="AS8" s="139"/>
      <c r="AT8" s="132">
        <f t="shared" si="4"/>
        <v>44287</v>
      </c>
      <c r="AU8" s="150">
        <v>279</v>
      </c>
      <c r="AV8" s="150">
        <v>344</v>
      </c>
      <c r="AW8" s="150">
        <v>237.5</v>
      </c>
      <c r="AX8" s="150">
        <v>274</v>
      </c>
      <c r="AY8" s="150">
        <v>401</v>
      </c>
      <c r="AZ8" s="150">
        <v>472.5</v>
      </c>
      <c r="BA8" s="150">
        <v>283</v>
      </c>
    </row>
    <row r="9" spans="1:53" x14ac:dyDescent="0.25">
      <c r="A9" s="132">
        <f t="shared" si="5"/>
        <v>44317</v>
      </c>
      <c r="B9" s="140">
        <v>2668352.8949731588</v>
      </c>
      <c r="C9" s="140">
        <v>1209473.8643805473</v>
      </c>
      <c r="D9" s="140">
        <v>835472.87857620395</v>
      </c>
      <c r="E9" s="140">
        <v>583581.36207009002</v>
      </c>
      <c r="F9" s="141">
        <v>1919843.7603167666</v>
      </c>
      <c r="G9" s="141">
        <v>169286.05313587215</v>
      </c>
      <c r="H9" s="141">
        <v>243929.18654736126</v>
      </c>
      <c r="I9" s="139"/>
      <c r="J9" s="132">
        <f t="shared" si="0"/>
        <v>44317</v>
      </c>
      <c r="K9" s="140">
        <v>1518293.5358363644</v>
      </c>
      <c r="L9" s="140">
        <v>899998.81539863977</v>
      </c>
      <c r="M9" s="140">
        <v>783841.9490147446</v>
      </c>
      <c r="N9" s="140">
        <v>915361.69975025125</v>
      </c>
      <c r="O9" s="141">
        <v>1161110.9440981222</v>
      </c>
      <c r="P9" s="141">
        <v>161645.5485856836</v>
      </c>
      <c r="Q9" s="141">
        <v>264058.5073161943</v>
      </c>
      <c r="R9" s="139"/>
      <c r="S9" s="132">
        <f t="shared" si="1"/>
        <v>44317</v>
      </c>
      <c r="T9" s="133">
        <v>86061</v>
      </c>
      <c r="U9" s="133">
        <v>41027</v>
      </c>
      <c r="V9" s="133">
        <v>43765</v>
      </c>
      <c r="W9" s="133">
        <v>27546</v>
      </c>
      <c r="X9" s="133">
        <v>50072</v>
      </c>
      <c r="Y9" s="133">
        <v>7377</v>
      </c>
      <c r="Z9" s="133">
        <v>11778</v>
      </c>
      <c r="AA9" s="139"/>
      <c r="AB9" s="132">
        <f t="shared" si="2"/>
        <v>44317</v>
      </c>
      <c r="AC9" s="133">
        <v>10429</v>
      </c>
      <c r="AD9" s="133">
        <v>5061</v>
      </c>
      <c r="AE9" s="133">
        <v>5780</v>
      </c>
      <c r="AF9" s="133">
        <v>5774</v>
      </c>
      <c r="AG9" s="133">
        <v>6966</v>
      </c>
      <c r="AH9" s="133">
        <v>1457</v>
      </c>
      <c r="AI9" s="133">
        <v>1922</v>
      </c>
      <c r="AJ9" s="139"/>
      <c r="AK9" s="132">
        <f t="shared" si="3"/>
        <v>44317</v>
      </c>
      <c r="AL9" s="150"/>
      <c r="AM9" s="150"/>
      <c r="AN9" s="150"/>
      <c r="AO9" s="150"/>
      <c r="AP9" s="150"/>
      <c r="AQ9" s="150"/>
      <c r="AR9" s="150"/>
      <c r="AS9" s="139"/>
      <c r="AT9" s="132">
        <f t="shared" si="4"/>
        <v>44317</v>
      </c>
      <c r="AU9" s="150">
        <v>158.5</v>
      </c>
      <c r="AV9" s="150">
        <v>242.5</v>
      </c>
      <c r="AW9" s="150">
        <v>73.5</v>
      </c>
      <c r="AX9" s="150">
        <v>90</v>
      </c>
      <c r="AY9" s="150">
        <v>201</v>
      </c>
      <c r="AZ9" s="150">
        <v>279</v>
      </c>
      <c r="BA9" s="150">
        <v>102.5</v>
      </c>
    </row>
    <row r="10" spans="1:53" x14ac:dyDescent="0.25">
      <c r="A10" s="132">
        <f t="shared" si="5"/>
        <v>44348</v>
      </c>
      <c r="B10" s="140">
        <v>1628497.9282399565</v>
      </c>
      <c r="C10" s="140">
        <v>773770.32819210039</v>
      </c>
      <c r="D10" s="140">
        <v>459797.16189977789</v>
      </c>
      <c r="E10" s="140">
        <v>298432.18166816491</v>
      </c>
      <c r="F10" s="141">
        <v>1115123.1562714723</v>
      </c>
      <c r="G10" s="141">
        <v>84819.739077612932</v>
      </c>
      <c r="H10" s="141">
        <v>116973.10465091465</v>
      </c>
      <c r="I10" s="139"/>
      <c r="J10" s="132">
        <f t="shared" si="0"/>
        <v>44348</v>
      </c>
      <c r="K10" s="140">
        <v>845629.85965872125</v>
      </c>
      <c r="L10" s="140">
        <v>551529.32014960633</v>
      </c>
      <c r="M10" s="140">
        <v>443623.31549345131</v>
      </c>
      <c r="N10" s="140">
        <v>507223.50469822111</v>
      </c>
      <c r="O10" s="141">
        <v>656513.72135719203</v>
      </c>
      <c r="P10" s="141">
        <v>82795.281914498104</v>
      </c>
      <c r="Q10" s="141">
        <v>159277.9967283099</v>
      </c>
      <c r="R10" s="139"/>
      <c r="S10" s="132">
        <f t="shared" si="1"/>
        <v>44348</v>
      </c>
      <c r="T10" s="133">
        <v>85998</v>
      </c>
      <c r="U10" s="133">
        <v>41016</v>
      </c>
      <c r="V10" s="133">
        <v>43818</v>
      </c>
      <c r="W10" s="133">
        <v>27500</v>
      </c>
      <c r="X10" s="133">
        <v>50151</v>
      </c>
      <c r="Y10" s="133">
        <v>7362</v>
      </c>
      <c r="Z10" s="133">
        <v>11754</v>
      </c>
      <c r="AA10" s="139"/>
      <c r="AB10" s="132">
        <f t="shared" si="2"/>
        <v>44348</v>
      </c>
      <c r="AC10" s="133">
        <v>10432</v>
      </c>
      <c r="AD10" s="133">
        <v>5062</v>
      </c>
      <c r="AE10" s="133">
        <v>5781</v>
      </c>
      <c r="AF10" s="133">
        <v>5768</v>
      </c>
      <c r="AG10" s="133">
        <v>6940</v>
      </c>
      <c r="AH10" s="133">
        <v>1450</v>
      </c>
      <c r="AI10" s="133">
        <v>1918</v>
      </c>
      <c r="AJ10" s="139"/>
      <c r="AK10" s="132">
        <f t="shared" si="3"/>
        <v>44348</v>
      </c>
      <c r="AL10" s="150"/>
      <c r="AM10" s="150"/>
      <c r="AN10" s="150"/>
      <c r="AO10" s="150"/>
      <c r="AP10" s="150"/>
      <c r="AQ10" s="150"/>
      <c r="AR10" s="150"/>
      <c r="AS10" s="139"/>
      <c r="AT10" s="132">
        <f t="shared" si="4"/>
        <v>44348</v>
      </c>
      <c r="AU10" s="150">
        <v>32.5</v>
      </c>
      <c r="AV10" s="150">
        <v>44.5</v>
      </c>
      <c r="AW10" s="150">
        <v>9.5</v>
      </c>
      <c r="AX10" s="150">
        <v>14.5</v>
      </c>
      <c r="AY10" s="150">
        <v>65.5</v>
      </c>
      <c r="AZ10" s="150">
        <v>37.5</v>
      </c>
      <c r="BA10" s="150">
        <v>23.5</v>
      </c>
    </row>
    <row r="11" spans="1:53" x14ac:dyDescent="0.25">
      <c r="A11" s="132">
        <f t="shared" si="5"/>
        <v>44378</v>
      </c>
      <c r="B11" s="140">
        <v>1991878.3302022084</v>
      </c>
      <c r="C11" s="140">
        <v>863300.81344371941</v>
      </c>
      <c r="D11" s="140">
        <v>693900.45960480871</v>
      </c>
      <c r="E11" s="140">
        <v>397938.39674926351</v>
      </c>
      <c r="F11" s="141">
        <v>1241650.5722937626</v>
      </c>
      <c r="G11" s="141">
        <v>70895.765722505646</v>
      </c>
      <c r="H11" s="141">
        <v>143129.6619837317</v>
      </c>
      <c r="I11" s="139"/>
      <c r="J11" s="132">
        <f t="shared" si="0"/>
        <v>44378</v>
      </c>
      <c r="K11" s="140">
        <v>1271176.8487893955</v>
      </c>
      <c r="L11" s="140">
        <v>842116.99160616333</v>
      </c>
      <c r="M11" s="140">
        <v>737863.3249682961</v>
      </c>
      <c r="N11" s="140">
        <v>832014.83463614504</v>
      </c>
      <c r="O11" s="141">
        <v>838625.23478249309</v>
      </c>
      <c r="P11" s="141">
        <v>105726.86999864895</v>
      </c>
      <c r="Q11" s="141">
        <v>236077.89521885791</v>
      </c>
      <c r="R11" s="139"/>
      <c r="S11" s="132">
        <f t="shared" si="1"/>
        <v>44378</v>
      </c>
      <c r="T11" s="133">
        <v>85975</v>
      </c>
      <c r="U11" s="133">
        <v>41037</v>
      </c>
      <c r="V11" s="133">
        <v>43854</v>
      </c>
      <c r="W11" s="133">
        <v>27442</v>
      </c>
      <c r="X11" s="133">
        <v>50232</v>
      </c>
      <c r="Y11" s="133">
        <v>7345</v>
      </c>
      <c r="Z11" s="133">
        <v>11767</v>
      </c>
      <c r="AA11" s="139"/>
      <c r="AB11" s="132">
        <f t="shared" si="2"/>
        <v>44378</v>
      </c>
      <c r="AC11" s="133">
        <v>10437</v>
      </c>
      <c r="AD11" s="133">
        <v>5053</v>
      </c>
      <c r="AE11" s="133">
        <v>5783</v>
      </c>
      <c r="AF11" s="133">
        <v>5763</v>
      </c>
      <c r="AG11" s="133">
        <v>6938</v>
      </c>
      <c r="AH11" s="133">
        <v>1446</v>
      </c>
      <c r="AI11" s="133">
        <v>1910</v>
      </c>
      <c r="AJ11" s="139"/>
      <c r="AK11" s="132">
        <f t="shared" si="3"/>
        <v>44378</v>
      </c>
      <c r="AL11" s="150"/>
      <c r="AM11" s="150"/>
      <c r="AN11" s="150"/>
      <c r="AO11" s="150"/>
      <c r="AP11" s="150"/>
      <c r="AQ11" s="150"/>
      <c r="AR11" s="150"/>
      <c r="AS11" s="139"/>
      <c r="AT11" s="132">
        <f t="shared" si="4"/>
        <v>44378</v>
      </c>
      <c r="AU11" s="150">
        <v>0</v>
      </c>
      <c r="AV11" s="150">
        <v>2.5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</row>
    <row r="12" spans="1:53" x14ac:dyDescent="0.25">
      <c r="A12" s="132">
        <f t="shared" si="5"/>
        <v>44409</v>
      </c>
      <c r="B12" s="140">
        <v>1389658.6987336497</v>
      </c>
      <c r="C12" s="140">
        <v>587357.63612965005</v>
      </c>
      <c r="D12" s="140">
        <v>470907.14059317013</v>
      </c>
      <c r="E12" s="140">
        <v>287445.52454353013</v>
      </c>
      <c r="F12" s="141">
        <v>828019</v>
      </c>
      <c r="G12" s="141">
        <v>49465</v>
      </c>
      <c r="H12" s="141">
        <v>108114</v>
      </c>
      <c r="I12" s="139"/>
      <c r="J12" s="132">
        <f t="shared" si="0"/>
        <v>44409</v>
      </c>
      <c r="K12" s="140">
        <v>928732.44646688271</v>
      </c>
      <c r="L12" s="140">
        <v>617585.34037386428</v>
      </c>
      <c r="M12" s="140">
        <v>552616.09590844926</v>
      </c>
      <c r="N12" s="140">
        <v>637180.11725080374</v>
      </c>
      <c r="O12" s="141">
        <v>594076.10233954038</v>
      </c>
      <c r="P12" s="141">
        <v>84093.718308943557</v>
      </c>
      <c r="Q12" s="141">
        <v>195559.17935151613</v>
      </c>
      <c r="R12" s="139"/>
      <c r="S12" s="132">
        <f t="shared" si="1"/>
        <v>44409</v>
      </c>
      <c r="T12" s="133">
        <v>85999</v>
      </c>
      <c r="U12" s="133">
        <v>41112</v>
      </c>
      <c r="V12" s="133">
        <v>43915</v>
      </c>
      <c r="W12" s="133">
        <v>27455</v>
      </c>
      <c r="X12" s="133">
        <v>50358</v>
      </c>
      <c r="Y12" s="133">
        <v>7319</v>
      </c>
      <c r="Z12" s="133">
        <v>11737</v>
      </c>
      <c r="AA12" s="139"/>
      <c r="AB12" s="132">
        <f t="shared" si="2"/>
        <v>44409</v>
      </c>
      <c r="AC12" s="133">
        <v>10430</v>
      </c>
      <c r="AD12" s="133">
        <v>5054</v>
      </c>
      <c r="AE12" s="133">
        <v>5785</v>
      </c>
      <c r="AF12" s="133">
        <v>5760</v>
      </c>
      <c r="AG12" s="133">
        <v>6934</v>
      </c>
      <c r="AH12" s="133">
        <v>1444</v>
      </c>
      <c r="AI12" s="133">
        <v>1908</v>
      </c>
      <c r="AJ12" s="139"/>
      <c r="AK12" s="132">
        <f t="shared" si="3"/>
        <v>44409</v>
      </c>
      <c r="AL12" s="150"/>
      <c r="AM12" s="150"/>
      <c r="AN12" s="150"/>
      <c r="AO12" s="150"/>
      <c r="AP12" s="150"/>
      <c r="AQ12" s="150"/>
      <c r="AR12" s="150"/>
      <c r="AS12" s="139"/>
      <c r="AT12" s="132">
        <f t="shared" si="4"/>
        <v>44409</v>
      </c>
      <c r="AU12" s="150">
        <v>9</v>
      </c>
      <c r="AV12" s="150">
        <v>3.5</v>
      </c>
      <c r="AW12" s="150">
        <v>0</v>
      </c>
      <c r="AX12" s="150">
        <v>0.5</v>
      </c>
      <c r="AY12" s="150">
        <v>13</v>
      </c>
      <c r="AZ12" s="150">
        <v>23</v>
      </c>
      <c r="BA12" s="150">
        <v>0</v>
      </c>
    </row>
    <row r="13" spans="1:53" x14ac:dyDescent="0.25">
      <c r="A13" s="132">
        <f t="shared" si="5"/>
        <v>44440</v>
      </c>
      <c r="B13" s="140">
        <v>2051320.3363501648</v>
      </c>
      <c r="C13" s="140">
        <v>867917.28710243315</v>
      </c>
      <c r="D13" s="140">
        <v>663514.2258438014</v>
      </c>
      <c r="E13" s="140">
        <v>415144.15070360043</v>
      </c>
      <c r="F13" s="141">
        <v>961794</v>
      </c>
      <c r="G13" s="141">
        <v>78054</v>
      </c>
      <c r="H13" s="141">
        <v>124926</v>
      </c>
      <c r="I13" s="139"/>
      <c r="J13" s="132">
        <f t="shared" si="0"/>
        <v>44440</v>
      </c>
      <c r="K13" s="140">
        <v>1246550.2952331596</v>
      </c>
      <c r="L13" s="140">
        <v>800644.33160335198</v>
      </c>
      <c r="M13" s="140">
        <v>780971.81409864803</v>
      </c>
      <c r="N13" s="140">
        <v>874957.55906484043</v>
      </c>
      <c r="O13" s="141">
        <v>869738.36685938353</v>
      </c>
      <c r="P13" s="141">
        <v>131245.37043289258</v>
      </c>
      <c r="Q13" s="141">
        <v>288599.26270772389</v>
      </c>
      <c r="R13" s="139"/>
      <c r="S13" s="132">
        <f t="shared" si="1"/>
        <v>44440</v>
      </c>
      <c r="T13" s="133">
        <v>86120</v>
      </c>
      <c r="U13" s="133">
        <v>41201</v>
      </c>
      <c r="V13" s="133">
        <v>44034</v>
      </c>
      <c r="W13" s="133">
        <v>27510</v>
      </c>
      <c r="X13" s="133">
        <v>50498</v>
      </c>
      <c r="Y13" s="133">
        <v>7312</v>
      </c>
      <c r="Z13" s="133">
        <v>11724</v>
      </c>
      <c r="AA13" s="139"/>
      <c r="AB13" s="132">
        <f t="shared" si="2"/>
        <v>44440</v>
      </c>
      <c r="AC13" s="133">
        <v>10416</v>
      </c>
      <c r="AD13" s="133">
        <v>5053</v>
      </c>
      <c r="AE13" s="133">
        <v>5790</v>
      </c>
      <c r="AF13" s="133">
        <v>5765</v>
      </c>
      <c r="AG13" s="133">
        <v>6933</v>
      </c>
      <c r="AH13" s="133">
        <v>1450</v>
      </c>
      <c r="AI13" s="133">
        <v>1907</v>
      </c>
      <c r="AJ13" s="139"/>
      <c r="AK13" s="132">
        <f t="shared" si="3"/>
        <v>44440</v>
      </c>
      <c r="AL13" s="150"/>
      <c r="AM13" s="150"/>
      <c r="AN13" s="150"/>
      <c r="AO13" s="150"/>
      <c r="AP13" s="150"/>
      <c r="AQ13" s="150"/>
      <c r="AR13" s="150"/>
      <c r="AS13" s="139"/>
      <c r="AT13" s="132">
        <f t="shared" si="4"/>
        <v>44440</v>
      </c>
      <c r="AU13" s="150">
        <v>50</v>
      </c>
      <c r="AV13" s="150">
        <v>27.5</v>
      </c>
      <c r="AW13" s="150">
        <v>8</v>
      </c>
      <c r="AX13" s="150">
        <v>40.5</v>
      </c>
      <c r="AY13" s="150">
        <v>72</v>
      </c>
      <c r="AZ13" s="150">
        <v>168</v>
      </c>
      <c r="BA13" s="150">
        <v>25</v>
      </c>
    </row>
    <row r="14" spans="1:53" x14ac:dyDescent="0.25">
      <c r="A14" s="132">
        <f t="shared" si="5"/>
        <v>44470</v>
      </c>
      <c r="B14" s="140">
        <v>4772909.4947047951</v>
      </c>
      <c r="C14" s="140">
        <v>2159134.802665499</v>
      </c>
      <c r="D14" s="140">
        <v>1210582.2588568665</v>
      </c>
      <c r="E14" s="140">
        <v>892583.44377283962</v>
      </c>
      <c r="F14" s="141">
        <v>1654040</v>
      </c>
      <c r="G14" s="141">
        <v>170267</v>
      </c>
      <c r="H14" s="141">
        <v>213368</v>
      </c>
      <c r="I14" s="139"/>
      <c r="J14" s="132">
        <f t="shared" si="0"/>
        <v>44470</v>
      </c>
      <c r="K14" s="140">
        <v>2301591.2463128646</v>
      </c>
      <c r="L14" s="140">
        <v>1437982.4941264093</v>
      </c>
      <c r="M14" s="140">
        <v>1263690.9809988593</v>
      </c>
      <c r="N14" s="140">
        <v>1684347.2785618668</v>
      </c>
      <c r="O14" s="141">
        <v>1535887.6149495034</v>
      </c>
      <c r="P14" s="141">
        <v>254856.34893536652</v>
      </c>
      <c r="Q14" s="141">
        <v>432486.03611512989</v>
      </c>
      <c r="R14" s="139"/>
      <c r="S14" s="132">
        <f t="shared" si="1"/>
        <v>44470</v>
      </c>
      <c r="T14" s="133">
        <v>86352</v>
      </c>
      <c r="U14" s="133">
        <v>41327</v>
      </c>
      <c r="V14" s="133">
        <v>44218</v>
      </c>
      <c r="W14" s="133">
        <v>27755</v>
      </c>
      <c r="X14" s="133">
        <v>50708</v>
      </c>
      <c r="Y14" s="133">
        <v>7362</v>
      </c>
      <c r="Z14" s="133">
        <v>11820</v>
      </c>
      <c r="AA14" s="139"/>
      <c r="AB14" s="132">
        <f t="shared" si="2"/>
        <v>44470</v>
      </c>
      <c r="AC14" s="133">
        <v>10464</v>
      </c>
      <c r="AD14" s="133">
        <v>5065</v>
      </c>
      <c r="AE14" s="133">
        <v>5816</v>
      </c>
      <c r="AF14" s="133">
        <v>5790</v>
      </c>
      <c r="AG14" s="133">
        <v>6974</v>
      </c>
      <c r="AH14" s="133">
        <v>1451</v>
      </c>
      <c r="AI14" s="133">
        <v>1915</v>
      </c>
      <c r="AJ14" s="139"/>
      <c r="AK14" s="132">
        <f t="shared" si="3"/>
        <v>44470</v>
      </c>
      <c r="AL14" s="150"/>
      <c r="AM14" s="150"/>
      <c r="AN14" s="150"/>
      <c r="AO14" s="150"/>
      <c r="AP14" s="150"/>
      <c r="AQ14" s="150"/>
      <c r="AR14" s="150"/>
      <c r="AS14" s="139"/>
      <c r="AT14" s="132">
        <f t="shared" si="4"/>
        <v>44470</v>
      </c>
      <c r="AU14" s="150">
        <v>285</v>
      </c>
      <c r="AV14" s="150">
        <v>213.5</v>
      </c>
      <c r="AW14" s="150">
        <v>205</v>
      </c>
      <c r="AX14" s="150">
        <v>319.5</v>
      </c>
      <c r="AY14" s="150">
        <v>331.5</v>
      </c>
      <c r="AZ14" s="150">
        <v>416</v>
      </c>
      <c r="BA14" s="150">
        <v>241</v>
      </c>
    </row>
    <row r="15" spans="1:53" x14ac:dyDescent="0.25">
      <c r="A15" s="132">
        <f t="shared" si="5"/>
        <v>44501</v>
      </c>
      <c r="B15" s="140">
        <v>7392684.4613636937</v>
      </c>
      <c r="C15" s="140">
        <v>3515024.1862576054</v>
      </c>
      <c r="D15" s="140">
        <v>2224416.451164077</v>
      </c>
      <c r="E15" s="140">
        <v>1880934.9012146234</v>
      </c>
      <c r="F15" s="141">
        <v>2971134</v>
      </c>
      <c r="G15" s="141">
        <v>323648</v>
      </c>
      <c r="H15" s="141">
        <v>442843</v>
      </c>
      <c r="I15" s="139"/>
      <c r="J15" s="132">
        <f t="shared" si="0"/>
        <v>44501</v>
      </c>
      <c r="K15" s="140">
        <v>3264846.8005058905</v>
      </c>
      <c r="L15" s="140">
        <v>2081504.4045767677</v>
      </c>
      <c r="M15" s="140">
        <v>1777195.1146701337</v>
      </c>
      <c r="N15" s="140">
        <v>2404335.6802472076</v>
      </c>
      <c r="O15" s="141">
        <v>2442886.1136467922</v>
      </c>
      <c r="P15" s="141">
        <v>397871.28798507963</v>
      </c>
      <c r="Q15" s="141">
        <v>653188.59836812806</v>
      </c>
      <c r="R15" s="139"/>
      <c r="S15" s="132">
        <f t="shared" si="1"/>
        <v>44501</v>
      </c>
      <c r="T15" s="133">
        <v>86443</v>
      </c>
      <c r="U15" s="133">
        <v>41406</v>
      </c>
      <c r="V15" s="133">
        <v>44373</v>
      </c>
      <c r="W15" s="133">
        <v>27865</v>
      </c>
      <c r="X15" s="133">
        <v>50837</v>
      </c>
      <c r="Y15" s="133">
        <v>7397</v>
      </c>
      <c r="Z15" s="133">
        <v>11890</v>
      </c>
      <c r="AA15" s="139"/>
      <c r="AB15" s="132">
        <f t="shared" si="2"/>
        <v>44501</v>
      </c>
      <c r="AC15" s="133">
        <v>10500</v>
      </c>
      <c r="AD15" s="133">
        <v>5083</v>
      </c>
      <c r="AE15" s="133">
        <v>5845</v>
      </c>
      <c r="AF15" s="133">
        <v>5812</v>
      </c>
      <c r="AG15" s="133">
        <v>6995</v>
      </c>
      <c r="AH15" s="133">
        <v>1465</v>
      </c>
      <c r="AI15" s="133">
        <v>1930</v>
      </c>
      <c r="AJ15" s="139"/>
      <c r="AK15" s="132">
        <f t="shared" si="3"/>
        <v>44501</v>
      </c>
      <c r="AL15" s="150"/>
      <c r="AM15" s="150"/>
      <c r="AN15" s="150"/>
      <c r="AO15" s="150"/>
      <c r="AP15" s="150"/>
      <c r="AQ15" s="150"/>
      <c r="AR15" s="150"/>
      <c r="AS15" s="139"/>
      <c r="AT15" s="132">
        <f t="shared" si="4"/>
        <v>44501</v>
      </c>
      <c r="AU15" s="150">
        <v>391.5</v>
      </c>
      <c r="AV15" s="150">
        <v>327</v>
      </c>
      <c r="AW15" s="150">
        <v>444.5</v>
      </c>
      <c r="AX15" s="150">
        <v>544</v>
      </c>
      <c r="AY15" s="150">
        <v>478.5</v>
      </c>
      <c r="AZ15" s="150">
        <v>679</v>
      </c>
      <c r="BA15" s="150">
        <v>461</v>
      </c>
    </row>
    <row r="16" spans="1:53" x14ac:dyDescent="0.25">
      <c r="A16" s="132">
        <f t="shared" si="5"/>
        <v>44531</v>
      </c>
      <c r="B16" s="140">
        <v>11239824.840589954</v>
      </c>
      <c r="C16" s="140">
        <v>5182118.4499050044</v>
      </c>
      <c r="D16" s="140">
        <v>4232878.0091857314</v>
      </c>
      <c r="E16" s="140">
        <v>3375038.7003193088</v>
      </c>
      <c r="F16" s="141">
        <v>4425844</v>
      </c>
      <c r="G16" s="141">
        <v>653032</v>
      </c>
      <c r="H16" s="141">
        <v>852329</v>
      </c>
      <c r="I16" s="139"/>
      <c r="J16" s="132">
        <f t="shared" si="0"/>
        <v>44531</v>
      </c>
      <c r="K16" s="140">
        <v>5471182.9180712895</v>
      </c>
      <c r="L16" s="140">
        <v>3263567.1461469531</v>
      </c>
      <c r="M16" s="140">
        <v>3213770.7100397889</v>
      </c>
      <c r="N16" s="140">
        <v>4348083.2257419694</v>
      </c>
      <c r="O16" s="141">
        <v>3475311.128008645</v>
      </c>
      <c r="P16" s="141">
        <v>810385.4066041495</v>
      </c>
      <c r="Q16" s="141">
        <v>1081701.4653872056</v>
      </c>
      <c r="R16" s="139"/>
      <c r="S16" s="132">
        <f t="shared" si="1"/>
        <v>44531</v>
      </c>
      <c r="T16" s="133">
        <v>86568</v>
      </c>
      <c r="U16" s="133">
        <v>41550</v>
      </c>
      <c r="V16" s="133">
        <v>44471</v>
      </c>
      <c r="W16" s="133">
        <v>27921</v>
      </c>
      <c r="X16" s="133">
        <v>50965</v>
      </c>
      <c r="Y16" s="133">
        <v>7433</v>
      </c>
      <c r="Z16" s="133">
        <v>11951</v>
      </c>
      <c r="AA16" s="139"/>
      <c r="AB16" s="132">
        <f t="shared" si="2"/>
        <v>44531</v>
      </c>
      <c r="AC16" s="133">
        <v>10535</v>
      </c>
      <c r="AD16" s="133">
        <v>5083</v>
      </c>
      <c r="AE16" s="133">
        <v>5871</v>
      </c>
      <c r="AF16" s="133">
        <v>5833</v>
      </c>
      <c r="AG16" s="133">
        <v>7009</v>
      </c>
      <c r="AH16" s="133">
        <v>1477</v>
      </c>
      <c r="AI16" s="133">
        <v>1938</v>
      </c>
      <c r="AJ16" s="139"/>
      <c r="AK16" s="132">
        <f t="shared" si="3"/>
        <v>44531</v>
      </c>
      <c r="AL16" s="150"/>
      <c r="AM16" s="150"/>
      <c r="AN16" s="150"/>
      <c r="AO16" s="150"/>
      <c r="AP16" s="150"/>
      <c r="AQ16" s="150"/>
      <c r="AR16" s="150"/>
      <c r="AS16" s="139"/>
      <c r="AT16" s="132">
        <f t="shared" si="4"/>
        <v>44531</v>
      </c>
      <c r="AU16" s="150">
        <v>786.5</v>
      </c>
      <c r="AV16" s="150">
        <v>604.5</v>
      </c>
      <c r="AW16" s="150">
        <v>775</v>
      </c>
      <c r="AX16" s="150">
        <v>853.5</v>
      </c>
      <c r="AY16" s="150">
        <v>776</v>
      </c>
      <c r="AZ16" s="150">
        <v>1042</v>
      </c>
      <c r="BA16" s="150">
        <v>783</v>
      </c>
    </row>
    <row r="17" spans="1:53" x14ac:dyDescent="0.25">
      <c r="A17" s="132">
        <f t="shared" si="5"/>
        <v>44562</v>
      </c>
      <c r="B17" s="140"/>
      <c r="C17" s="140"/>
      <c r="D17" s="140"/>
      <c r="E17" s="140"/>
      <c r="F17" s="141"/>
      <c r="G17" s="141"/>
      <c r="H17" s="141"/>
      <c r="I17" s="139"/>
      <c r="J17" s="132">
        <f t="shared" si="0"/>
        <v>44562</v>
      </c>
      <c r="K17" s="140"/>
      <c r="L17" s="140"/>
      <c r="M17" s="140"/>
      <c r="N17" s="140"/>
      <c r="O17" s="141"/>
      <c r="P17" s="141"/>
      <c r="Q17" s="141"/>
      <c r="R17" s="139"/>
      <c r="S17" s="132">
        <f t="shared" si="1"/>
        <v>44562</v>
      </c>
      <c r="T17" s="133"/>
      <c r="U17" s="133"/>
      <c r="V17" s="133"/>
      <c r="W17" s="133"/>
      <c r="X17" s="133"/>
      <c r="Y17" s="133"/>
      <c r="Z17" s="133"/>
      <c r="AA17" s="139"/>
      <c r="AB17" s="132">
        <f t="shared" si="2"/>
        <v>44562</v>
      </c>
      <c r="AC17" s="133"/>
      <c r="AD17" s="133"/>
      <c r="AE17" s="133"/>
      <c r="AF17" s="133"/>
      <c r="AG17" s="133"/>
      <c r="AH17" s="133"/>
      <c r="AI17" s="133"/>
      <c r="AJ17" s="139"/>
      <c r="AK17" s="132">
        <f t="shared" si="3"/>
        <v>44562</v>
      </c>
      <c r="AL17" s="150"/>
      <c r="AM17" s="150"/>
      <c r="AN17" s="150"/>
      <c r="AO17" s="150"/>
      <c r="AP17" s="150"/>
      <c r="AQ17" s="150"/>
      <c r="AR17" s="150"/>
      <c r="AS17" s="139"/>
      <c r="AT17" s="132">
        <f t="shared" si="4"/>
        <v>44562</v>
      </c>
      <c r="AU17" s="150"/>
      <c r="AV17" s="150"/>
      <c r="AW17" s="150"/>
      <c r="AX17" s="150"/>
      <c r="AY17" s="150"/>
      <c r="AZ17" s="150"/>
      <c r="BA17" s="150"/>
    </row>
    <row r="18" spans="1:53" x14ac:dyDescent="0.25">
      <c r="A18" s="132">
        <f t="shared" si="5"/>
        <v>44593</v>
      </c>
      <c r="B18" s="140"/>
      <c r="C18" s="140"/>
      <c r="D18" s="140"/>
      <c r="E18" s="140"/>
      <c r="F18" s="141"/>
      <c r="G18" s="141"/>
      <c r="H18" s="141"/>
      <c r="I18" s="139"/>
      <c r="J18" s="132">
        <f t="shared" si="0"/>
        <v>44593</v>
      </c>
      <c r="K18" s="140"/>
      <c r="L18" s="140"/>
      <c r="M18" s="140"/>
      <c r="N18" s="140"/>
      <c r="O18" s="141"/>
      <c r="P18" s="141"/>
      <c r="Q18" s="141"/>
      <c r="R18" s="139"/>
      <c r="S18" s="132">
        <f t="shared" si="1"/>
        <v>44593</v>
      </c>
      <c r="T18" s="133"/>
      <c r="U18" s="133"/>
      <c r="V18" s="133"/>
      <c r="W18" s="133"/>
      <c r="X18" s="133"/>
      <c r="Y18" s="133"/>
      <c r="Z18" s="133"/>
      <c r="AA18" s="139"/>
      <c r="AB18" s="132">
        <f t="shared" si="2"/>
        <v>44593</v>
      </c>
      <c r="AC18" s="133"/>
      <c r="AD18" s="133"/>
      <c r="AE18" s="133"/>
      <c r="AF18" s="133"/>
      <c r="AG18" s="133"/>
      <c r="AH18" s="133"/>
      <c r="AI18" s="133"/>
      <c r="AJ18" s="139"/>
      <c r="AK18" s="132">
        <f t="shared" si="3"/>
        <v>44593</v>
      </c>
      <c r="AL18" s="150"/>
      <c r="AM18" s="150"/>
      <c r="AN18" s="150"/>
      <c r="AO18" s="150"/>
      <c r="AP18" s="150"/>
      <c r="AQ18" s="150"/>
      <c r="AR18" s="150"/>
      <c r="AS18" s="139"/>
      <c r="AT18" s="132">
        <f t="shared" si="4"/>
        <v>44593</v>
      </c>
      <c r="AU18" s="150"/>
      <c r="AV18" s="150"/>
      <c r="AW18" s="150"/>
      <c r="AX18" s="150"/>
      <c r="AY18" s="150"/>
      <c r="AZ18" s="150"/>
      <c r="BA18" s="150"/>
    </row>
    <row r="19" spans="1:53" x14ac:dyDescent="0.25">
      <c r="A19" s="132">
        <f t="shared" si="5"/>
        <v>44621</v>
      </c>
      <c r="B19" s="140"/>
      <c r="C19" s="140"/>
      <c r="D19" s="140"/>
      <c r="E19" s="140"/>
      <c r="F19" s="141"/>
      <c r="G19" s="141"/>
      <c r="H19" s="141"/>
      <c r="I19" s="139"/>
      <c r="J19" s="132">
        <f t="shared" si="0"/>
        <v>44621</v>
      </c>
      <c r="K19" s="140"/>
      <c r="L19" s="140"/>
      <c r="M19" s="140"/>
      <c r="N19" s="140"/>
      <c r="O19" s="141"/>
      <c r="P19" s="141"/>
      <c r="Q19" s="141"/>
      <c r="R19" s="139"/>
      <c r="S19" s="132">
        <f t="shared" si="1"/>
        <v>44621</v>
      </c>
      <c r="T19" s="133"/>
      <c r="U19" s="133"/>
      <c r="V19" s="133"/>
      <c r="W19" s="133"/>
      <c r="X19" s="133"/>
      <c r="Y19" s="133"/>
      <c r="Z19" s="133"/>
      <c r="AA19" s="139"/>
      <c r="AB19" s="132">
        <f t="shared" si="2"/>
        <v>44621</v>
      </c>
      <c r="AC19" s="133"/>
      <c r="AD19" s="133"/>
      <c r="AE19" s="133"/>
      <c r="AF19" s="133"/>
      <c r="AG19" s="133"/>
      <c r="AH19" s="133"/>
      <c r="AI19" s="133"/>
      <c r="AJ19" s="139"/>
      <c r="AK19" s="132">
        <f t="shared" si="3"/>
        <v>44621</v>
      </c>
      <c r="AL19" s="150"/>
      <c r="AM19" s="150"/>
      <c r="AN19" s="150"/>
      <c r="AO19" s="150"/>
      <c r="AP19" s="150"/>
      <c r="AQ19" s="150"/>
      <c r="AR19" s="150"/>
      <c r="AS19" s="139"/>
      <c r="AT19" s="132">
        <f t="shared" si="4"/>
        <v>44621</v>
      </c>
      <c r="AU19" s="150"/>
      <c r="AV19" s="150"/>
      <c r="AW19" s="150"/>
      <c r="AX19" s="150"/>
      <c r="AY19" s="150"/>
      <c r="AZ19" s="150"/>
      <c r="BA19" s="150"/>
    </row>
    <row r="20" spans="1:53" x14ac:dyDescent="0.25">
      <c r="I20" s="139"/>
      <c r="R20" s="139"/>
      <c r="AA20" s="139"/>
      <c r="AJ20" s="139"/>
      <c r="AS20" s="139"/>
    </row>
    <row r="21" spans="1:53" x14ac:dyDescent="0.25">
      <c r="I21" s="139"/>
      <c r="R21" s="139"/>
      <c r="AA21" s="139"/>
      <c r="AJ21" s="139"/>
      <c r="AS21" s="139"/>
    </row>
    <row r="22" spans="1:53" x14ac:dyDescent="0.25">
      <c r="I22" s="139"/>
      <c r="R22" s="139"/>
      <c r="AA22" s="139"/>
      <c r="AJ22" s="139"/>
      <c r="AS22" s="139"/>
    </row>
    <row r="23" spans="1:53" x14ac:dyDescent="0.25">
      <c r="I23" s="139"/>
      <c r="R23" s="139"/>
      <c r="AA23" s="139"/>
      <c r="AJ23" s="139"/>
      <c r="AS23" s="139"/>
    </row>
    <row r="24" spans="1:53" x14ac:dyDescent="0.25">
      <c r="I24" s="139"/>
      <c r="R24" s="139"/>
      <c r="AA24" s="139"/>
      <c r="AJ24" s="139"/>
      <c r="AS24" s="139"/>
    </row>
    <row r="25" spans="1:53" x14ac:dyDescent="0.25">
      <c r="I25" s="139"/>
      <c r="R25" s="139"/>
      <c r="AA25" s="139"/>
      <c r="AJ25" s="139"/>
      <c r="AS25" s="139"/>
    </row>
    <row r="26" spans="1:53" x14ac:dyDescent="0.25">
      <c r="I26" s="139"/>
      <c r="R26" s="139"/>
      <c r="AA26" s="139"/>
      <c r="AJ26" s="139"/>
      <c r="AS26" s="139"/>
    </row>
    <row r="27" spans="1:53" x14ac:dyDescent="0.25">
      <c r="I27" s="139"/>
      <c r="R27" s="139"/>
      <c r="AA27" s="139"/>
      <c r="AJ27" s="139"/>
      <c r="AS27" s="139"/>
    </row>
    <row r="28" spans="1:53" x14ac:dyDescent="0.25">
      <c r="I28" s="139"/>
      <c r="R28" s="139"/>
      <c r="AA28" s="139"/>
      <c r="AJ28" s="139"/>
      <c r="AS28" s="139"/>
    </row>
    <row r="29" spans="1:53" x14ac:dyDescent="0.25">
      <c r="I29" s="139"/>
      <c r="R29" s="139"/>
      <c r="AA29" s="139"/>
      <c r="AJ29" s="139"/>
      <c r="AS29" s="139"/>
    </row>
    <row r="30" spans="1:53" x14ac:dyDescent="0.25">
      <c r="I30" s="139"/>
      <c r="R30" s="139"/>
      <c r="AA30" s="139"/>
      <c r="AJ30" s="139"/>
      <c r="AS30" s="139"/>
    </row>
    <row r="31" spans="1:53" x14ac:dyDescent="0.25">
      <c r="I31" s="139"/>
      <c r="R31" s="139"/>
      <c r="AA31" s="139"/>
      <c r="AJ31" s="139"/>
      <c r="AS31" s="139"/>
    </row>
    <row r="32" spans="1:53" x14ac:dyDescent="0.25">
      <c r="I32" s="139"/>
      <c r="R32" s="139"/>
      <c r="AA32" s="139"/>
      <c r="AJ32" s="139"/>
      <c r="AS32" s="139"/>
    </row>
    <row r="33" spans="9:45" x14ac:dyDescent="0.25">
      <c r="I33" s="139"/>
      <c r="R33" s="139"/>
      <c r="AA33" s="139"/>
      <c r="AJ33" s="139"/>
      <c r="AS33" s="139"/>
    </row>
    <row r="34" spans="9:45" x14ac:dyDescent="0.25">
      <c r="I34" s="139"/>
      <c r="R34" s="139"/>
      <c r="AA34" s="139"/>
      <c r="AJ34" s="139"/>
      <c r="AS34" s="139"/>
    </row>
    <row r="35" spans="9:45" x14ac:dyDescent="0.25">
      <c r="I35" s="139"/>
      <c r="R35" s="139"/>
      <c r="AA35" s="139"/>
      <c r="AJ35" s="139"/>
      <c r="AS35" s="139"/>
    </row>
    <row r="36" spans="9:45" x14ac:dyDescent="0.25">
      <c r="I36" s="139"/>
      <c r="R36" s="139"/>
      <c r="AA36" s="139"/>
      <c r="AJ36" s="139"/>
      <c r="AS36" s="139"/>
    </row>
    <row r="37" spans="9:45" x14ac:dyDescent="0.25">
      <c r="I37" s="139"/>
      <c r="R37" s="139"/>
      <c r="AA37" s="139"/>
      <c r="AJ37" s="139"/>
      <c r="AS37" s="139"/>
    </row>
    <row r="38" spans="9:45" x14ac:dyDescent="0.25">
      <c r="I38" s="139"/>
      <c r="R38" s="139"/>
      <c r="AA38" s="139"/>
      <c r="AJ38" s="139"/>
      <c r="AS38" s="139"/>
    </row>
    <row r="39" spans="9:45" x14ac:dyDescent="0.25">
      <c r="I39" s="139"/>
      <c r="R39" s="139"/>
      <c r="AA39" s="139"/>
      <c r="AJ39" s="139"/>
      <c r="AS39" s="139"/>
    </row>
    <row r="40" spans="9:45" x14ac:dyDescent="0.25">
      <c r="I40" s="139"/>
      <c r="R40" s="139"/>
      <c r="AA40" s="139"/>
      <c r="AJ40" s="139"/>
      <c r="AS40" s="139"/>
    </row>
    <row r="41" spans="9:45" x14ac:dyDescent="0.25">
      <c r="I41" s="139"/>
      <c r="R41" s="139"/>
      <c r="AA41" s="139"/>
      <c r="AJ41" s="139"/>
      <c r="AS41" s="139"/>
    </row>
    <row r="42" spans="9:45" x14ac:dyDescent="0.25">
      <c r="I42" s="139"/>
      <c r="R42" s="139"/>
      <c r="AA42" s="139"/>
      <c r="AJ42" s="139"/>
      <c r="AS42" s="139"/>
    </row>
    <row r="43" spans="9:45" x14ac:dyDescent="0.25">
      <c r="I43" s="139"/>
      <c r="R43" s="139"/>
      <c r="AA43" s="139"/>
      <c r="AJ43" s="139"/>
      <c r="AS43" s="139"/>
    </row>
    <row r="44" spans="9:45" x14ac:dyDescent="0.25">
      <c r="I44" s="139"/>
      <c r="R44" s="139"/>
      <c r="AA44" s="139"/>
      <c r="AJ44" s="139"/>
      <c r="AS44" s="139"/>
    </row>
    <row r="45" spans="9:45" x14ac:dyDescent="0.25">
      <c r="I45" s="139"/>
      <c r="R45" s="139"/>
      <c r="AA45" s="139"/>
      <c r="AJ45" s="139"/>
      <c r="AS45" s="139"/>
    </row>
    <row r="46" spans="9:45" x14ac:dyDescent="0.25">
      <c r="I46" s="139"/>
      <c r="R46" s="139"/>
      <c r="AA46" s="139"/>
      <c r="AJ46" s="139"/>
      <c r="AS46" s="139"/>
    </row>
    <row r="47" spans="9:45" x14ac:dyDescent="0.25">
      <c r="I47" s="139"/>
      <c r="R47" s="139"/>
      <c r="AA47" s="139"/>
      <c r="AJ47" s="139"/>
      <c r="AS47" s="139"/>
    </row>
    <row r="48" spans="9:45" x14ac:dyDescent="0.25">
      <c r="I48" s="139"/>
      <c r="R48" s="139"/>
      <c r="AA48" s="139"/>
      <c r="AJ48" s="139"/>
      <c r="AS48" s="139"/>
    </row>
    <row r="49" spans="9:45" x14ac:dyDescent="0.25">
      <c r="I49" s="139"/>
      <c r="R49" s="139"/>
      <c r="AA49" s="139"/>
      <c r="AJ49" s="139"/>
      <c r="AS49" s="139"/>
    </row>
    <row r="50" spans="9:45" x14ac:dyDescent="0.25">
      <c r="I50" s="139"/>
      <c r="R50" s="139"/>
      <c r="AA50" s="139"/>
      <c r="AJ50" s="139"/>
      <c r="AS50" s="139"/>
    </row>
    <row r="51" spans="9:45" x14ac:dyDescent="0.25">
      <c r="I51" s="139"/>
      <c r="R51" s="139"/>
      <c r="AA51" s="139"/>
      <c r="AJ51" s="139"/>
      <c r="AS51" s="139"/>
    </row>
    <row r="52" spans="9:45" x14ac:dyDescent="0.25">
      <c r="I52" s="139"/>
      <c r="R52" s="139"/>
      <c r="AA52" s="139"/>
      <c r="AJ52" s="139"/>
      <c r="AS52" s="139"/>
    </row>
    <row r="53" spans="9:45" x14ac:dyDescent="0.25">
      <c r="I53" s="139"/>
      <c r="R53" s="139"/>
      <c r="AA53" s="139"/>
      <c r="AJ53" s="139"/>
      <c r="AS53" s="139"/>
    </row>
    <row r="54" spans="9:45" x14ac:dyDescent="0.25">
      <c r="I54" s="139"/>
      <c r="R54" s="139"/>
      <c r="AA54" s="139"/>
      <c r="AJ54" s="139"/>
      <c r="AS54" s="139"/>
    </row>
    <row r="55" spans="9:45" x14ac:dyDescent="0.25">
      <c r="I55" s="139"/>
      <c r="R55" s="139"/>
      <c r="AA55" s="139"/>
      <c r="AJ55" s="139"/>
      <c r="AS55" s="139"/>
    </row>
    <row r="56" spans="9:45" x14ac:dyDescent="0.25">
      <c r="I56" s="139"/>
      <c r="R56" s="139"/>
      <c r="AA56" s="139"/>
      <c r="AJ56" s="139"/>
      <c r="AS56" s="139"/>
    </row>
    <row r="57" spans="9:45" x14ac:dyDescent="0.25">
      <c r="I57" s="139"/>
      <c r="R57" s="139"/>
      <c r="AA57" s="139"/>
      <c r="AJ57" s="139"/>
      <c r="AS57" s="139"/>
    </row>
    <row r="58" spans="9:45" x14ac:dyDescent="0.25">
      <c r="I58" s="139"/>
      <c r="R58" s="139"/>
      <c r="AA58" s="139"/>
      <c r="AJ58" s="139"/>
      <c r="AS58" s="139"/>
    </row>
    <row r="59" spans="9:45" x14ac:dyDescent="0.25">
      <c r="I59" s="139"/>
      <c r="R59" s="139"/>
      <c r="AA59" s="139"/>
      <c r="AJ59" s="139"/>
      <c r="AS59" s="139"/>
    </row>
    <row r="60" spans="9:45" x14ac:dyDescent="0.25">
      <c r="I60" s="139"/>
      <c r="R60" s="139"/>
      <c r="AA60" s="139"/>
      <c r="AJ60" s="139"/>
      <c r="AS60" s="139"/>
    </row>
    <row r="61" spans="9:45" x14ac:dyDescent="0.25">
      <c r="I61" s="139"/>
      <c r="R61" s="139"/>
      <c r="AA61" s="139"/>
      <c r="AJ61" s="139"/>
      <c r="AS61" s="139"/>
    </row>
    <row r="62" spans="9:45" x14ac:dyDescent="0.25">
      <c r="I62" s="139"/>
      <c r="R62" s="139"/>
      <c r="AA62" s="139"/>
      <c r="AJ62" s="139"/>
      <c r="AS62" s="139"/>
    </row>
    <row r="63" spans="9:45" x14ac:dyDescent="0.25">
      <c r="I63" s="139"/>
      <c r="R63" s="139"/>
      <c r="AA63" s="139"/>
      <c r="AJ63" s="139"/>
      <c r="AS63" s="139"/>
    </row>
    <row r="64" spans="9:45" x14ac:dyDescent="0.25">
      <c r="I64" s="139"/>
      <c r="R64" s="139"/>
      <c r="AA64" s="139"/>
      <c r="AJ64" s="139"/>
      <c r="AS64" s="139"/>
    </row>
    <row r="65" spans="9:45" x14ac:dyDescent="0.25">
      <c r="I65" s="139"/>
      <c r="R65" s="139"/>
      <c r="AA65" s="139"/>
      <c r="AJ65" s="139"/>
      <c r="AS65" s="139"/>
    </row>
    <row r="66" spans="9:45" x14ac:dyDescent="0.25">
      <c r="I66" s="139"/>
      <c r="R66" s="139"/>
      <c r="AA66" s="139"/>
      <c r="AJ66" s="139"/>
      <c r="AS66" s="139"/>
    </row>
    <row r="67" spans="9:45" x14ac:dyDescent="0.25">
      <c r="I67" s="139"/>
      <c r="R67" s="139"/>
      <c r="AA67" s="139"/>
      <c r="AJ67" s="139"/>
      <c r="AS67" s="139"/>
    </row>
    <row r="68" spans="9:45" x14ac:dyDescent="0.25">
      <c r="I68" s="139"/>
      <c r="R68" s="139"/>
      <c r="AA68" s="139"/>
      <c r="AJ68" s="139"/>
      <c r="AS68" s="139"/>
    </row>
    <row r="69" spans="9:45" x14ac:dyDescent="0.25">
      <c r="I69" s="139"/>
      <c r="R69" s="139"/>
      <c r="AA69" s="139"/>
      <c r="AJ69" s="139"/>
      <c r="AS69" s="139"/>
    </row>
    <row r="70" spans="9:45" x14ac:dyDescent="0.25">
      <c r="I70" s="139"/>
      <c r="R70" s="139"/>
      <c r="AA70" s="139"/>
      <c r="AJ70" s="139"/>
      <c r="AS70" s="139"/>
    </row>
    <row r="71" spans="9:45" x14ac:dyDescent="0.25">
      <c r="I71" s="139"/>
      <c r="R71" s="139"/>
      <c r="AA71" s="139"/>
      <c r="AJ71" s="139"/>
      <c r="AS71" s="139"/>
    </row>
    <row r="72" spans="9:45" x14ac:dyDescent="0.25">
      <c r="I72" s="139"/>
      <c r="R72" s="139"/>
      <c r="AA72" s="139"/>
      <c r="AJ72" s="139"/>
      <c r="AS72" s="139"/>
    </row>
    <row r="73" spans="9:45" x14ac:dyDescent="0.25">
      <c r="I73" s="139"/>
      <c r="R73" s="139"/>
      <c r="AA73" s="139"/>
      <c r="AJ73" s="139"/>
      <c r="AS73" s="139"/>
    </row>
    <row r="74" spans="9:45" x14ac:dyDescent="0.25">
      <c r="I74" s="139"/>
      <c r="R74" s="139"/>
      <c r="AA74" s="139"/>
      <c r="AJ74" s="139"/>
      <c r="AS74" s="139"/>
    </row>
    <row r="75" spans="9:45" x14ac:dyDescent="0.25">
      <c r="I75" s="139"/>
      <c r="R75" s="139"/>
      <c r="AA75" s="139"/>
      <c r="AJ75" s="139"/>
      <c r="AS75" s="139"/>
    </row>
    <row r="76" spans="9:45" x14ac:dyDescent="0.25">
      <c r="I76" s="139"/>
      <c r="R76" s="139"/>
      <c r="AA76" s="139"/>
      <c r="AJ76" s="139"/>
      <c r="AS76" s="139"/>
    </row>
    <row r="77" spans="9:45" x14ac:dyDescent="0.25">
      <c r="I77" s="139"/>
      <c r="R77" s="139"/>
      <c r="AA77" s="139"/>
      <c r="AJ77" s="139"/>
      <c r="AS77" s="139"/>
    </row>
    <row r="78" spans="9:45" x14ac:dyDescent="0.25">
      <c r="I78" s="139"/>
      <c r="R78" s="139"/>
      <c r="AA78" s="139"/>
      <c r="AJ78" s="139"/>
      <c r="AS78" s="139"/>
    </row>
    <row r="79" spans="9:45" x14ac:dyDescent="0.25">
      <c r="I79" s="139"/>
      <c r="R79" s="139"/>
      <c r="AA79" s="139"/>
      <c r="AJ79" s="139"/>
      <c r="AS79" s="139"/>
    </row>
    <row r="80" spans="9:45" x14ac:dyDescent="0.25">
      <c r="I80" s="139"/>
      <c r="R80" s="139"/>
      <c r="AA80" s="139"/>
      <c r="AJ80" s="139"/>
      <c r="AS80" s="139"/>
    </row>
    <row r="81" spans="9:45" x14ac:dyDescent="0.25">
      <c r="I81" s="139"/>
      <c r="R81" s="139"/>
      <c r="AA81" s="139"/>
      <c r="AJ81" s="139"/>
      <c r="AS81" s="139"/>
    </row>
    <row r="82" spans="9:45" x14ac:dyDescent="0.25">
      <c r="I82" s="139"/>
      <c r="R82" s="139"/>
      <c r="AA82" s="139"/>
      <c r="AJ82" s="139"/>
      <c r="AS82" s="139"/>
    </row>
    <row r="83" spans="9:45" x14ac:dyDescent="0.25">
      <c r="I83" s="139"/>
      <c r="R83" s="139"/>
      <c r="AA83" s="139"/>
      <c r="AJ83" s="139"/>
      <c r="AS83" s="139"/>
    </row>
    <row r="84" spans="9:45" x14ac:dyDescent="0.25">
      <c r="I84" s="139"/>
      <c r="R84" s="139"/>
      <c r="AA84" s="139"/>
      <c r="AJ84" s="139"/>
      <c r="AS84" s="139"/>
    </row>
    <row r="85" spans="9:45" x14ac:dyDescent="0.25">
      <c r="I85" s="139"/>
      <c r="R85" s="139"/>
      <c r="AA85" s="139"/>
      <c r="AJ85" s="139"/>
      <c r="AS85" s="139"/>
    </row>
    <row r="86" spans="9:45" x14ac:dyDescent="0.25">
      <c r="I86" s="139"/>
      <c r="R86" s="139"/>
      <c r="AA86" s="139"/>
      <c r="AJ86" s="139"/>
      <c r="AS86" s="139"/>
    </row>
    <row r="87" spans="9:45" x14ac:dyDescent="0.25">
      <c r="I87" s="139"/>
      <c r="R87" s="139"/>
      <c r="AA87" s="139"/>
      <c r="AJ87" s="139"/>
      <c r="AS87" s="139"/>
    </row>
    <row r="88" spans="9:45" x14ac:dyDescent="0.25">
      <c r="I88" s="139"/>
      <c r="R88" s="139"/>
      <c r="AA88" s="139"/>
      <c r="AJ88" s="139"/>
      <c r="AS88" s="139"/>
    </row>
    <row r="89" spans="9:45" x14ac:dyDescent="0.25">
      <c r="I89" s="139"/>
      <c r="R89" s="139"/>
      <c r="AA89" s="139"/>
      <c r="AJ89" s="139"/>
      <c r="AS89" s="139"/>
    </row>
    <row r="90" spans="9:45" x14ac:dyDescent="0.25">
      <c r="I90" s="139"/>
      <c r="R90" s="139"/>
      <c r="AA90" s="139"/>
      <c r="AJ90" s="139"/>
      <c r="AS90" s="139"/>
    </row>
    <row r="91" spans="9:45" x14ac:dyDescent="0.25">
      <c r="I91" s="139"/>
      <c r="R91" s="139"/>
      <c r="AA91" s="139"/>
      <c r="AJ91" s="139"/>
      <c r="AS91" s="139"/>
    </row>
    <row r="92" spans="9:45" x14ac:dyDescent="0.25">
      <c r="I92" s="139"/>
      <c r="R92" s="139"/>
      <c r="AA92" s="139"/>
      <c r="AJ92" s="139"/>
      <c r="AS92" s="139"/>
    </row>
    <row r="93" spans="9:45" x14ac:dyDescent="0.25">
      <c r="I93" s="139"/>
      <c r="R93" s="139"/>
      <c r="AA93" s="139"/>
      <c r="AJ93" s="139"/>
      <c r="AS93" s="139"/>
    </row>
    <row r="94" spans="9:45" x14ac:dyDescent="0.25">
      <c r="I94" s="139"/>
      <c r="R94" s="139"/>
      <c r="AA94" s="139"/>
      <c r="AJ94" s="139"/>
      <c r="AS94" s="139"/>
    </row>
    <row r="95" spans="9:45" x14ac:dyDescent="0.25">
      <c r="I95" s="139"/>
      <c r="R95" s="139"/>
      <c r="AA95" s="139"/>
      <c r="AJ95" s="139"/>
      <c r="AS95" s="139"/>
    </row>
    <row r="96" spans="9:45" x14ac:dyDescent="0.25">
      <c r="I96" s="139"/>
      <c r="R96" s="139"/>
      <c r="AA96" s="139"/>
      <c r="AJ96" s="139"/>
      <c r="AS96" s="139"/>
    </row>
    <row r="97" spans="9:45" x14ac:dyDescent="0.25">
      <c r="I97" s="139"/>
      <c r="R97" s="139"/>
      <c r="AA97" s="139"/>
      <c r="AJ97" s="139"/>
      <c r="AS97" s="139"/>
    </row>
    <row r="98" spans="9:45" x14ac:dyDescent="0.25">
      <c r="I98" s="139"/>
      <c r="R98" s="139"/>
      <c r="AA98" s="139"/>
      <c r="AJ98" s="139"/>
      <c r="AS98" s="139"/>
    </row>
    <row r="99" spans="9:45" x14ac:dyDescent="0.25">
      <c r="I99" s="139"/>
      <c r="R99" s="139"/>
      <c r="AA99" s="139"/>
      <c r="AJ99" s="139"/>
      <c r="AS99" s="139"/>
    </row>
    <row r="100" spans="9:45" x14ac:dyDescent="0.25">
      <c r="I100" s="139"/>
      <c r="R100" s="139"/>
      <c r="AA100" s="139"/>
      <c r="AJ100" s="139"/>
      <c r="AS100" s="139"/>
    </row>
    <row r="101" spans="9:45" x14ac:dyDescent="0.25">
      <c r="I101" s="139"/>
      <c r="R101" s="139"/>
      <c r="AA101" s="139"/>
      <c r="AJ101" s="139"/>
      <c r="AS101" s="139"/>
    </row>
    <row r="102" spans="9:45" x14ac:dyDescent="0.25">
      <c r="I102" s="139"/>
      <c r="R102" s="139"/>
      <c r="AA102" s="139"/>
      <c r="AJ102" s="139"/>
      <c r="AS102" s="139"/>
    </row>
    <row r="103" spans="9:45" x14ac:dyDescent="0.25">
      <c r="I103" s="139"/>
      <c r="R103" s="139"/>
      <c r="AA103" s="139"/>
      <c r="AJ103" s="139"/>
      <c r="AS103" s="139"/>
    </row>
    <row r="104" spans="9:45" x14ac:dyDescent="0.25">
      <c r="I104" s="139"/>
      <c r="R104" s="139"/>
      <c r="AA104" s="139"/>
      <c r="AJ104" s="139"/>
      <c r="AS104" s="139"/>
    </row>
    <row r="105" spans="9:45" x14ac:dyDescent="0.25">
      <c r="I105" s="139"/>
      <c r="R105" s="139"/>
      <c r="AA105" s="139"/>
      <c r="AJ105" s="139"/>
      <c r="AS105" s="139"/>
    </row>
    <row r="106" spans="9:45" x14ac:dyDescent="0.25">
      <c r="I106" s="139"/>
      <c r="R106" s="139"/>
      <c r="AA106" s="139"/>
      <c r="AJ106" s="139"/>
      <c r="AS106" s="139"/>
    </row>
    <row r="107" spans="9:45" x14ac:dyDescent="0.25">
      <c r="I107" s="139"/>
      <c r="R107" s="139"/>
      <c r="AA107" s="139"/>
      <c r="AJ107" s="139"/>
      <c r="AS107" s="139"/>
    </row>
    <row r="108" spans="9:45" x14ac:dyDescent="0.25">
      <c r="I108" s="139"/>
      <c r="R108" s="139"/>
      <c r="AA108" s="139"/>
      <c r="AJ108" s="139"/>
      <c r="AS108" s="139"/>
    </row>
    <row r="109" spans="9:45" x14ac:dyDescent="0.25">
      <c r="I109" s="139"/>
      <c r="R109" s="139"/>
      <c r="AA109" s="139"/>
      <c r="AJ109" s="139"/>
      <c r="AS109" s="139"/>
    </row>
    <row r="110" spans="9:45" x14ac:dyDescent="0.25">
      <c r="I110" s="139"/>
      <c r="R110" s="139"/>
      <c r="AA110" s="139"/>
      <c r="AJ110" s="139"/>
      <c r="AS110" s="139"/>
    </row>
    <row r="111" spans="9:45" x14ac:dyDescent="0.25">
      <c r="I111" s="139"/>
      <c r="R111" s="139"/>
      <c r="AA111" s="139"/>
      <c r="AJ111" s="139"/>
      <c r="AS111" s="139"/>
    </row>
    <row r="112" spans="9:45" x14ac:dyDescent="0.25">
      <c r="I112" s="139"/>
      <c r="R112" s="139"/>
      <c r="AA112" s="139"/>
      <c r="AJ112" s="139"/>
      <c r="AS112" s="139"/>
    </row>
    <row r="113" spans="9:45" x14ac:dyDescent="0.25">
      <c r="I113" s="139"/>
      <c r="R113" s="139"/>
      <c r="AA113" s="139"/>
      <c r="AJ113" s="139"/>
      <c r="AS113" s="139"/>
    </row>
    <row r="114" spans="9:45" x14ac:dyDescent="0.25">
      <c r="I114" s="139"/>
      <c r="R114" s="139"/>
      <c r="AA114" s="139"/>
      <c r="AJ114" s="139"/>
      <c r="AS114" s="139"/>
    </row>
    <row r="115" spans="9:45" x14ac:dyDescent="0.25">
      <c r="I115" s="139"/>
      <c r="R115" s="139"/>
      <c r="AA115" s="139"/>
      <c r="AJ115" s="139"/>
      <c r="AS115" s="139"/>
    </row>
    <row r="116" spans="9:45" x14ac:dyDescent="0.25">
      <c r="I116" s="139"/>
      <c r="R116" s="139"/>
      <c r="AA116" s="139"/>
      <c r="AJ116" s="139"/>
      <c r="AS116" s="139"/>
    </row>
    <row r="117" spans="9:45" x14ac:dyDescent="0.25">
      <c r="I117" s="139"/>
      <c r="R117" s="139"/>
      <c r="AA117" s="139"/>
      <c r="AJ117" s="139"/>
      <c r="AS117" s="139"/>
    </row>
    <row r="118" spans="9:45" x14ac:dyDescent="0.25">
      <c r="I118" s="139"/>
      <c r="R118" s="139"/>
      <c r="AA118" s="139"/>
      <c r="AJ118" s="139"/>
      <c r="AS118" s="139"/>
    </row>
    <row r="119" spans="9:45" x14ac:dyDescent="0.25">
      <c r="I119" s="139"/>
      <c r="R119" s="139"/>
      <c r="AA119" s="139"/>
      <c r="AJ119" s="139"/>
      <c r="AS119" s="139"/>
    </row>
    <row r="120" spans="9:45" x14ac:dyDescent="0.25">
      <c r="I120" s="139"/>
      <c r="R120" s="139"/>
      <c r="AA120" s="139"/>
      <c r="AJ120" s="139"/>
      <c r="AS120" s="139"/>
    </row>
    <row r="121" spans="9:45" x14ac:dyDescent="0.25">
      <c r="I121" s="139"/>
      <c r="R121" s="139"/>
      <c r="AA121" s="139"/>
      <c r="AJ121" s="139"/>
      <c r="AS121" s="139"/>
    </row>
    <row r="122" spans="9:45" x14ac:dyDescent="0.25">
      <c r="I122" s="139"/>
      <c r="R122" s="139"/>
      <c r="AA122" s="139"/>
      <c r="AJ122" s="139"/>
      <c r="AS122" s="139"/>
    </row>
    <row r="123" spans="9:45" x14ac:dyDescent="0.25">
      <c r="I123" s="139"/>
      <c r="R123" s="139"/>
      <c r="AA123" s="139"/>
      <c r="AJ123" s="139"/>
      <c r="AS123" s="139"/>
    </row>
    <row r="124" spans="9:45" x14ac:dyDescent="0.25">
      <c r="I124" s="139"/>
      <c r="R124" s="139"/>
      <c r="AA124" s="139"/>
      <c r="AJ124" s="139"/>
      <c r="AS124" s="139"/>
    </row>
    <row r="125" spans="9:45" x14ac:dyDescent="0.25">
      <c r="I125" s="139"/>
      <c r="R125" s="139"/>
      <c r="AA125" s="139"/>
      <c r="AJ125" s="139"/>
      <c r="AS125" s="139"/>
    </row>
    <row r="126" spans="9:45" x14ac:dyDescent="0.25">
      <c r="I126" s="139"/>
      <c r="R126" s="139"/>
      <c r="AA126" s="139"/>
      <c r="AJ126" s="139"/>
      <c r="AS126" s="139"/>
    </row>
    <row r="127" spans="9:45" x14ac:dyDescent="0.25">
      <c r="I127" s="139"/>
      <c r="R127" s="139"/>
      <c r="AA127" s="139"/>
      <c r="AJ127" s="139"/>
      <c r="AS127" s="139"/>
    </row>
  </sheetData>
  <mergeCells count="7">
    <mergeCell ref="A1:D2"/>
    <mergeCell ref="AK3:AR3"/>
    <mergeCell ref="AT3:BA3"/>
    <mergeCell ref="S3:Z3"/>
    <mergeCell ref="AB3:AI3"/>
    <mergeCell ref="B3:H3"/>
    <mergeCell ref="K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workbookViewId="0">
      <selection activeCell="T34" sqref="T34"/>
    </sheetView>
  </sheetViews>
  <sheetFormatPr defaultRowHeight="15" x14ac:dyDescent="0.25"/>
  <cols>
    <col min="2" max="2" width="13.28515625" bestFit="1" customWidth="1"/>
    <col min="4" max="11" width="9.140625" customWidth="1"/>
    <col min="12" max="12" width="5.28515625" customWidth="1"/>
    <col min="21" max="21" width="6.28515625" customWidth="1"/>
  </cols>
  <sheetData>
    <row r="1" spans="1:20" x14ac:dyDescent="0.25">
      <c r="A1" t="s">
        <v>91</v>
      </c>
      <c r="B1" t="s">
        <v>92</v>
      </c>
      <c r="D1" s="168" t="s">
        <v>74</v>
      </c>
      <c r="E1" s="168"/>
      <c r="F1" s="168"/>
      <c r="G1" s="168"/>
      <c r="H1" s="168"/>
      <c r="I1" s="168"/>
      <c r="J1" s="168"/>
      <c r="K1" s="168"/>
      <c r="M1" s="168" t="s">
        <v>89</v>
      </c>
      <c r="N1" s="168"/>
      <c r="O1" s="168"/>
      <c r="P1" s="168"/>
      <c r="Q1" s="168"/>
      <c r="R1" s="168"/>
      <c r="S1" s="168"/>
      <c r="T1" s="168"/>
    </row>
    <row r="2" spans="1:20" x14ac:dyDescent="0.25">
      <c r="A2" t="s">
        <v>65</v>
      </c>
      <c r="B2" t="s">
        <v>90</v>
      </c>
      <c r="D2" t="s">
        <v>69</v>
      </c>
      <c r="E2" s="134" t="s">
        <v>65</v>
      </c>
      <c r="F2" s="134" t="s">
        <v>64</v>
      </c>
      <c r="G2" s="134" t="s">
        <v>63</v>
      </c>
      <c r="H2" s="134" t="s">
        <v>62</v>
      </c>
      <c r="I2" s="134" t="s">
        <v>67</v>
      </c>
      <c r="J2" s="134" t="s">
        <v>55</v>
      </c>
      <c r="K2" s="134" t="s">
        <v>66</v>
      </c>
      <c r="M2" t="s">
        <v>69</v>
      </c>
      <c r="N2" s="134" t="s">
        <v>65</v>
      </c>
      <c r="O2" s="134" t="s">
        <v>64</v>
      </c>
      <c r="P2" s="134" t="s">
        <v>63</v>
      </c>
      <c r="Q2" s="134" t="s">
        <v>62</v>
      </c>
      <c r="R2" s="134" t="s">
        <v>67</v>
      </c>
      <c r="S2" s="134" t="s">
        <v>55</v>
      </c>
      <c r="T2" s="134" t="s">
        <v>66</v>
      </c>
    </row>
    <row r="3" spans="1:20" x14ac:dyDescent="0.25">
      <c r="A3" t="s">
        <v>64</v>
      </c>
      <c r="B3" t="s">
        <v>93</v>
      </c>
      <c r="D3" s="135">
        <v>1</v>
      </c>
      <c r="E3">
        <v>1057</v>
      </c>
      <c r="F3">
        <v>914</v>
      </c>
      <c r="G3">
        <v>694</v>
      </c>
      <c r="H3">
        <v>799</v>
      </c>
      <c r="I3">
        <v>921</v>
      </c>
      <c r="J3">
        <v>999</v>
      </c>
      <c r="K3">
        <v>1240</v>
      </c>
      <c r="M3" s="135">
        <v>1</v>
      </c>
      <c r="N3">
        <v>1030.7</v>
      </c>
      <c r="O3">
        <v>889.7</v>
      </c>
      <c r="P3">
        <v>689.8</v>
      </c>
      <c r="Q3">
        <v>770.3</v>
      </c>
      <c r="R3">
        <v>934.6</v>
      </c>
      <c r="S3">
        <v>937.9</v>
      </c>
      <c r="T3">
        <v>1122.2</v>
      </c>
    </row>
    <row r="4" spans="1:20" x14ac:dyDescent="0.25">
      <c r="A4" t="s">
        <v>63</v>
      </c>
      <c r="B4" t="s">
        <v>94</v>
      </c>
      <c r="D4" s="135">
        <v>2</v>
      </c>
      <c r="E4">
        <v>809</v>
      </c>
      <c r="F4">
        <v>725</v>
      </c>
      <c r="G4">
        <v>599</v>
      </c>
      <c r="H4">
        <v>680</v>
      </c>
      <c r="I4">
        <v>742</v>
      </c>
      <c r="J4">
        <v>834</v>
      </c>
      <c r="K4">
        <v>995</v>
      </c>
      <c r="M4" s="135">
        <v>2</v>
      </c>
      <c r="N4">
        <v>793.8</v>
      </c>
      <c r="O4">
        <v>708.2</v>
      </c>
      <c r="P4">
        <v>599.20000000000005</v>
      </c>
      <c r="Q4">
        <v>652.4</v>
      </c>
      <c r="R4">
        <v>755.9</v>
      </c>
      <c r="S4">
        <v>793.7</v>
      </c>
      <c r="T4">
        <v>880.6</v>
      </c>
    </row>
    <row r="5" spans="1:20" x14ac:dyDescent="0.25">
      <c r="A5" t="s">
        <v>62</v>
      </c>
      <c r="B5" t="s">
        <v>95</v>
      </c>
      <c r="D5" s="135">
        <v>3</v>
      </c>
      <c r="E5">
        <v>676</v>
      </c>
      <c r="F5">
        <v>580</v>
      </c>
      <c r="G5">
        <v>589</v>
      </c>
      <c r="H5">
        <v>644</v>
      </c>
      <c r="I5">
        <v>617</v>
      </c>
      <c r="J5">
        <v>777</v>
      </c>
      <c r="K5">
        <v>849</v>
      </c>
      <c r="M5" s="135">
        <v>3</v>
      </c>
      <c r="N5">
        <v>669.7</v>
      </c>
      <c r="O5">
        <v>564.4</v>
      </c>
      <c r="P5">
        <v>596.79999999999995</v>
      </c>
      <c r="Q5">
        <v>615.4</v>
      </c>
      <c r="R5">
        <v>640.20000000000005</v>
      </c>
      <c r="S5">
        <v>734.8</v>
      </c>
      <c r="T5">
        <v>750.3</v>
      </c>
    </row>
    <row r="6" spans="1:20" x14ac:dyDescent="0.25">
      <c r="A6" t="s">
        <v>67</v>
      </c>
      <c r="B6" t="s">
        <v>96</v>
      </c>
      <c r="D6" s="135">
        <v>4</v>
      </c>
      <c r="E6">
        <v>477</v>
      </c>
      <c r="F6">
        <v>384</v>
      </c>
      <c r="G6">
        <v>488</v>
      </c>
      <c r="H6">
        <v>498</v>
      </c>
      <c r="I6">
        <v>432</v>
      </c>
      <c r="J6">
        <v>620</v>
      </c>
      <c r="K6">
        <v>646</v>
      </c>
      <c r="M6" s="135">
        <v>4</v>
      </c>
      <c r="N6">
        <v>452.4</v>
      </c>
      <c r="O6">
        <v>376.4</v>
      </c>
      <c r="P6">
        <v>487.7</v>
      </c>
      <c r="Q6">
        <v>460.5</v>
      </c>
      <c r="R6">
        <v>449.3</v>
      </c>
      <c r="S6">
        <v>586.6</v>
      </c>
      <c r="T6">
        <v>574.5</v>
      </c>
    </row>
    <row r="7" spans="1:20" x14ac:dyDescent="0.25">
      <c r="A7" t="s">
        <v>55</v>
      </c>
      <c r="B7" t="s">
        <v>97</v>
      </c>
      <c r="D7" s="135">
        <v>5</v>
      </c>
      <c r="E7">
        <v>261</v>
      </c>
      <c r="F7">
        <v>208</v>
      </c>
      <c r="G7">
        <v>374</v>
      </c>
      <c r="H7">
        <v>345</v>
      </c>
      <c r="I7">
        <v>246</v>
      </c>
      <c r="J7">
        <v>427</v>
      </c>
      <c r="K7">
        <v>435</v>
      </c>
      <c r="M7" s="135">
        <v>5</v>
      </c>
      <c r="N7">
        <v>219.4</v>
      </c>
      <c r="O7">
        <v>181.6</v>
      </c>
      <c r="P7">
        <v>362.5</v>
      </c>
      <c r="Q7">
        <v>296.8</v>
      </c>
      <c r="R7">
        <v>238.1</v>
      </c>
      <c r="S7">
        <v>365.2</v>
      </c>
      <c r="T7">
        <v>340.1</v>
      </c>
    </row>
    <row r="8" spans="1:20" x14ac:dyDescent="0.25">
      <c r="A8" t="s">
        <v>66</v>
      </c>
      <c r="B8" t="s">
        <v>98</v>
      </c>
      <c r="D8" s="135">
        <v>6</v>
      </c>
      <c r="E8">
        <v>98</v>
      </c>
      <c r="F8">
        <v>62</v>
      </c>
      <c r="G8">
        <v>247</v>
      </c>
      <c r="H8">
        <v>200</v>
      </c>
      <c r="I8">
        <v>83</v>
      </c>
      <c r="J8">
        <v>217</v>
      </c>
      <c r="K8">
        <v>225</v>
      </c>
      <c r="M8" s="135">
        <v>6</v>
      </c>
      <c r="N8">
        <v>82</v>
      </c>
      <c r="O8">
        <v>54</v>
      </c>
      <c r="P8">
        <v>239</v>
      </c>
      <c r="Q8">
        <v>164</v>
      </c>
      <c r="R8">
        <v>86.5</v>
      </c>
      <c r="S8">
        <v>182.6</v>
      </c>
      <c r="T8">
        <v>162.30000000000001</v>
      </c>
    </row>
    <row r="9" spans="1:20" x14ac:dyDescent="0.25">
      <c r="D9" s="135">
        <v>7</v>
      </c>
      <c r="E9">
        <v>19</v>
      </c>
      <c r="F9">
        <v>2</v>
      </c>
      <c r="G9">
        <v>165</v>
      </c>
      <c r="H9">
        <v>101</v>
      </c>
      <c r="I9">
        <v>7</v>
      </c>
      <c r="J9">
        <v>68</v>
      </c>
      <c r="K9">
        <v>67</v>
      </c>
      <c r="M9" s="135">
        <v>7</v>
      </c>
      <c r="N9">
        <v>13.6</v>
      </c>
      <c r="O9">
        <v>3.2</v>
      </c>
      <c r="P9">
        <v>150.4</v>
      </c>
      <c r="Q9">
        <v>67</v>
      </c>
      <c r="R9">
        <v>8.6999999999999993</v>
      </c>
      <c r="S9">
        <v>43.7</v>
      </c>
      <c r="T9">
        <v>31.6</v>
      </c>
    </row>
    <row r="10" spans="1:20" x14ac:dyDescent="0.25">
      <c r="D10" s="135">
        <v>8</v>
      </c>
      <c r="E10">
        <v>28</v>
      </c>
      <c r="F10">
        <v>4</v>
      </c>
      <c r="G10">
        <v>153</v>
      </c>
      <c r="H10">
        <v>95</v>
      </c>
      <c r="I10">
        <v>8</v>
      </c>
      <c r="J10">
        <v>81</v>
      </c>
      <c r="K10">
        <v>80</v>
      </c>
      <c r="M10" s="135">
        <v>8</v>
      </c>
      <c r="N10">
        <v>19.399999999999999</v>
      </c>
      <c r="O10">
        <v>5.2</v>
      </c>
      <c r="P10">
        <v>132.1</v>
      </c>
      <c r="Q10">
        <v>64.8</v>
      </c>
      <c r="R10">
        <v>12.1</v>
      </c>
      <c r="S10">
        <v>52.7</v>
      </c>
      <c r="T10">
        <v>40</v>
      </c>
    </row>
    <row r="11" spans="1:20" x14ac:dyDescent="0.25">
      <c r="D11" s="135">
        <v>9</v>
      </c>
      <c r="E11">
        <v>160</v>
      </c>
      <c r="F11">
        <v>86</v>
      </c>
      <c r="G11">
        <v>196</v>
      </c>
      <c r="H11">
        <v>235</v>
      </c>
      <c r="I11">
        <v>112</v>
      </c>
      <c r="J11">
        <v>250</v>
      </c>
      <c r="K11">
        <v>290</v>
      </c>
      <c r="M11" s="135">
        <v>9</v>
      </c>
      <c r="N11">
        <v>131.30000000000001</v>
      </c>
      <c r="O11">
        <v>67.900000000000006</v>
      </c>
      <c r="P11">
        <v>184.5</v>
      </c>
      <c r="Q11">
        <v>189</v>
      </c>
      <c r="R11">
        <v>107</v>
      </c>
      <c r="S11">
        <v>192.3</v>
      </c>
      <c r="T11">
        <v>203.3</v>
      </c>
    </row>
    <row r="12" spans="1:20" x14ac:dyDescent="0.25">
      <c r="D12" s="135">
        <v>10</v>
      </c>
      <c r="E12">
        <v>496</v>
      </c>
      <c r="F12">
        <v>367</v>
      </c>
      <c r="G12">
        <v>395</v>
      </c>
      <c r="H12">
        <v>471</v>
      </c>
      <c r="I12">
        <v>407</v>
      </c>
      <c r="J12">
        <v>547</v>
      </c>
      <c r="K12">
        <v>637</v>
      </c>
      <c r="M12" s="135">
        <v>10</v>
      </c>
      <c r="N12">
        <v>470.6</v>
      </c>
      <c r="O12">
        <v>357.9</v>
      </c>
      <c r="P12">
        <v>387.8</v>
      </c>
      <c r="Q12">
        <v>432.5</v>
      </c>
      <c r="R12">
        <v>422.7</v>
      </c>
      <c r="S12">
        <v>508.9</v>
      </c>
      <c r="T12">
        <v>556.6</v>
      </c>
    </row>
    <row r="13" spans="1:20" x14ac:dyDescent="0.25">
      <c r="D13" s="135">
        <v>11</v>
      </c>
      <c r="E13">
        <v>830</v>
      </c>
      <c r="F13">
        <v>694</v>
      </c>
      <c r="G13">
        <v>578</v>
      </c>
      <c r="H13">
        <v>654</v>
      </c>
      <c r="I13">
        <v>710</v>
      </c>
      <c r="J13">
        <v>829</v>
      </c>
      <c r="K13">
        <v>958</v>
      </c>
      <c r="M13" s="135">
        <v>11</v>
      </c>
      <c r="N13">
        <v>808.5</v>
      </c>
      <c r="O13">
        <v>678.2</v>
      </c>
      <c r="P13">
        <v>571.5</v>
      </c>
      <c r="Q13">
        <v>616.5</v>
      </c>
      <c r="R13">
        <v>729.1</v>
      </c>
      <c r="S13">
        <v>775.5</v>
      </c>
      <c r="T13">
        <v>864</v>
      </c>
    </row>
    <row r="14" spans="1:20" x14ac:dyDescent="0.25">
      <c r="D14" s="135">
        <v>12</v>
      </c>
      <c r="E14">
        <v>1128</v>
      </c>
      <c r="F14">
        <v>975</v>
      </c>
      <c r="G14">
        <v>730</v>
      </c>
      <c r="H14">
        <v>827</v>
      </c>
      <c r="I14">
        <v>986</v>
      </c>
      <c r="J14">
        <v>1068</v>
      </c>
      <c r="K14">
        <v>1246</v>
      </c>
      <c r="M14" s="135">
        <v>12</v>
      </c>
      <c r="N14">
        <v>1064.7</v>
      </c>
      <c r="O14">
        <v>911.1</v>
      </c>
      <c r="P14">
        <v>713</v>
      </c>
      <c r="Q14">
        <v>781.1</v>
      </c>
      <c r="R14">
        <v>956.2</v>
      </c>
      <c r="S14">
        <v>997.9</v>
      </c>
      <c r="T14">
        <v>1129.9000000000001</v>
      </c>
    </row>
    <row r="17" spans="4:20" x14ac:dyDescent="0.25">
      <c r="D17" t="s">
        <v>68</v>
      </c>
      <c r="E17" s="134" t="s">
        <v>65</v>
      </c>
      <c r="F17" s="134" t="s">
        <v>64</v>
      </c>
      <c r="G17" s="134" t="s">
        <v>63</v>
      </c>
      <c r="H17" s="134" t="s">
        <v>62</v>
      </c>
      <c r="I17" s="134" t="s">
        <v>67</v>
      </c>
      <c r="J17" s="134" t="s">
        <v>55</v>
      </c>
      <c r="K17" s="134" t="s">
        <v>66</v>
      </c>
      <c r="M17" t="s">
        <v>68</v>
      </c>
      <c r="N17" s="134" t="s">
        <v>65</v>
      </c>
      <c r="O17" s="134" t="s">
        <v>64</v>
      </c>
      <c r="P17" s="134" t="s">
        <v>63</v>
      </c>
      <c r="Q17" s="134" t="s">
        <v>62</v>
      </c>
      <c r="R17" s="134" t="s">
        <v>67</v>
      </c>
      <c r="S17" s="134" t="s">
        <v>55</v>
      </c>
      <c r="T17" s="134" t="s">
        <v>66</v>
      </c>
    </row>
    <row r="18" spans="4:20" x14ac:dyDescent="0.25">
      <c r="D18" s="135">
        <v>1</v>
      </c>
      <c r="E18">
        <v>900</v>
      </c>
      <c r="F18">
        <v>760</v>
      </c>
      <c r="G18">
        <v>589</v>
      </c>
      <c r="H18">
        <v>645</v>
      </c>
      <c r="I18">
        <v>766</v>
      </c>
      <c r="J18">
        <v>845</v>
      </c>
      <c r="K18">
        <v>1085</v>
      </c>
      <c r="M18" s="135">
        <v>1</v>
      </c>
      <c r="N18">
        <v>875.7</v>
      </c>
      <c r="O18">
        <v>734.8</v>
      </c>
      <c r="P18">
        <v>534.79999999999995</v>
      </c>
      <c r="Q18">
        <v>615.29999999999995</v>
      </c>
      <c r="R18">
        <v>779.6</v>
      </c>
      <c r="S18">
        <v>782.9</v>
      </c>
      <c r="T18">
        <v>967.1</v>
      </c>
    </row>
    <row r="19" spans="4:20" x14ac:dyDescent="0.25">
      <c r="D19" s="135">
        <v>2</v>
      </c>
      <c r="E19">
        <v>669</v>
      </c>
      <c r="F19">
        <v>585</v>
      </c>
      <c r="G19">
        <v>501</v>
      </c>
      <c r="H19">
        <v>539</v>
      </c>
      <c r="I19">
        <v>602</v>
      </c>
      <c r="J19">
        <v>694</v>
      </c>
      <c r="K19">
        <v>855</v>
      </c>
      <c r="M19" s="135">
        <v>2</v>
      </c>
      <c r="N19">
        <v>653.79999999999995</v>
      </c>
      <c r="O19">
        <v>568.5</v>
      </c>
      <c r="P19">
        <v>459.2</v>
      </c>
      <c r="Q19">
        <v>512.4</v>
      </c>
      <c r="R19">
        <v>616</v>
      </c>
      <c r="S19">
        <v>653.70000000000005</v>
      </c>
      <c r="T19">
        <v>740.5</v>
      </c>
    </row>
    <row r="20" spans="4:20" x14ac:dyDescent="0.25">
      <c r="D20" s="135">
        <v>3</v>
      </c>
      <c r="E20">
        <v>523</v>
      </c>
      <c r="F20">
        <v>426</v>
      </c>
      <c r="G20">
        <v>439</v>
      </c>
      <c r="H20">
        <v>488</v>
      </c>
      <c r="I20">
        <v>462</v>
      </c>
      <c r="J20">
        <v>622</v>
      </c>
      <c r="K20">
        <v>694</v>
      </c>
      <c r="M20" s="135">
        <v>3</v>
      </c>
      <c r="N20">
        <v>514.70000000000005</v>
      </c>
      <c r="O20">
        <v>410.3</v>
      </c>
      <c r="P20">
        <v>442</v>
      </c>
      <c r="Q20">
        <v>460.4</v>
      </c>
      <c r="R20">
        <v>485.3</v>
      </c>
      <c r="S20">
        <v>579.9</v>
      </c>
      <c r="T20">
        <v>595.5</v>
      </c>
    </row>
    <row r="21" spans="4:20" x14ac:dyDescent="0.25">
      <c r="D21" s="135">
        <v>4</v>
      </c>
      <c r="E21">
        <v>331</v>
      </c>
      <c r="F21">
        <v>243</v>
      </c>
      <c r="G21">
        <v>306</v>
      </c>
      <c r="H21">
        <v>348</v>
      </c>
      <c r="I21">
        <v>285</v>
      </c>
      <c r="J21">
        <v>471</v>
      </c>
      <c r="K21">
        <v>496</v>
      </c>
      <c r="M21" s="135">
        <v>4</v>
      </c>
      <c r="N21">
        <v>308.5</v>
      </c>
      <c r="O21">
        <v>235.9</v>
      </c>
      <c r="P21">
        <v>339.3</v>
      </c>
      <c r="Q21">
        <v>311.2</v>
      </c>
      <c r="R21">
        <v>303.7</v>
      </c>
      <c r="S21">
        <v>437.9</v>
      </c>
      <c r="T21">
        <v>425.7</v>
      </c>
    </row>
    <row r="22" spans="4:20" x14ac:dyDescent="0.25">
      <c r="D22" s="135">
        <v>5</v>
      </c>
      <c r="E22">
        <v>144</v>
      </c>
      <c r="F22">
        <v>101</v>
      </c>
      <c r="G22">
        <v>160</v>
      </c>
      <c r="H22">
        <v>197</v>
      </c>
      <c r="I22">
        <v>129</v>
      </c>
      <c r="J22">
        <v>288</v>
      </c>
      <c r="K22">
        <v>289</v>
      </c>
      <c r="M22" s="135">
        <v>5</v>
      </c>
      <c r="N22">
        <v>112.8</v>
      </c>
      <c r="O22">
        <v>83.2</v>
      </c>
      <c r="P22">
        <v>213.8</v>
      </c>
      <c r="Q22">
        <v>154</v>
      </c>
      <c r="R22">
        <v>122.4</v>
      </c>
      <c r="S22">
        <v>230.7</v>
      </c>
      <c r="T22">
        <v>207.9</v>
      </c>
    </row>
    <row r="23" spans="4:20" x14ac:dyDescent="0.25">
      <c r="D23" s="135">
        <v>6</v>
      </c>
      <c r="E23">
        <v>33</v>
      </c>
      <c r="F23">
        <v>15</v>
      </c>
      <c r="G23">
        <v>52</v>
      </c>
      <c r="H23">
        <v>75</v>
      </c>
      <c r="I23">
        <v>23</v>
      </c>
      <c r="J23">
        <v>112</v>
      </c>
      <c r="K23">
        <v>116</v>
      </c>
      <c r="M23" s="135">
        <v>6</v>
      </c>
      <c r="N23">
        <v>26.1</v>
      </c>
      <c r="O23">
        <v>13.5</v>
      </c>
      <c r="P23">
        <v>99.5</v>
      </c>
      <c r="Q23">
        <v>49.6</v>
      </c>
      <c r="R23">
        <v>24.8</v>
      </c>
      <c r="S23">
        <v>86.3</v>
      </c>
      <c r="T23">
        <v>70.7</v>
      </c>
    </row>
    <row r="24" spans="4:20" x14ac:dyDescent="0.25">
      <c r="D24" s="135">
        <v>7</v>
      </c>
      <c r="E24">
        <v>3</v>
      </c>
      <c r="F24">
        <v>1</v>
      </c>
      <c r="G24">
        <v>8</v>
      </c>
      <c r="H24">
        <v>16</v>
      </c>
      <c r="I24">
        <v>0</v>
      </c>
      <c r="J24">
        <v>20</v>
      </c>
      <c r="K24">
        <v>18</v>
      </c>
      <c r="M24" s="135">
        <v>7</v>
      </c>
      <c r="N24">
        <v>1.5</v>
      </c>
      <c r="O24">
        <v>0.3</v>
      </c>
      <c r="P24">
        <v>31.8</v>
      </c>
      <c r="Q24">
        <v>7.2</v>
      </c>
      <c r="R24">
        <v>0.8</v>
      </c>
      <c r="S24">
        <v>11.2</v>
      </c>
      <c r="T24">
        <v>6.7</v>
      </c>
    </row>
    <row r="25" spans="4:20" x14ac:dyDescent="0.25">
      <c r="D25" s="135">
        <v>8</v>
      </c>
      <c r="E25">
        <v>4</v>
      </c>
      <c r="F25">
        <v>1</v>
      </c>
      <c r="G25">
        <v>4</v>
      </c>
      <c r="H25">
        <v>14</v>
      </c>
      <c r="I25">
        <v>0</v>
      </c>
      <c r="J25">
        <v>22</v>
      </c>
      <c r="K25">
        <v>22</v>
      </c>
      <c r="M25" s="135">
        <v>8</v>
      </c>
      <c r="N25">
        <v>3.1</v>
      </c>
      <c r="O25">
        <v>0.7</v>
      </c>
      <c r="P25">
        <v>22.6</v>
      </c>
      <c r="Q25">
        <v>7.1</v>
      </c>
      <c r="R25">
        <v>1.7</v>
      </c>
      <c r="S25">
        <v>13.5</v>
      </c>
      <c r="T25">
        <v>10.8</v>
      </c>
    </row>
    <row r="26" spans="4:20" x14ac:dyDescent="0.25">
      <c r="D26" s="135">
        <v>9</v>
      </c>
      <c r="E26">
        <v>73</v>
      </c>
      <c r="F26">
        <v>30</v>
      </c>
      <c r="G26">
        <v>51</v>
      </c>
      <c r="H26">
        <v>104</v>
      </c>
      <c r="I26">
        <v>44</v>
      </c>
      <c r="J26">
        <v>141</v>
      </c>
      <c r="K26">
        <v>169</v>
      </c>
      <c r="M26" s="135">
        <v>9</v>
      </c>
      <c r="N26">
        <v>54.4</v>
      </c>
      <c r="O26">
        <v>20.2</v>
      </c>
      <c r="P26">
        <v>64.099999999999994</v>
      </c>
      <c r="Q26">
        <v>73</v>
      </c>
      <c r="R26">
        <v>39.799999999999997</v>
      </c>
      <c r="S26">
        <v>97.5</v>
      </c>
      <c r="T26">
        <v>103</v>
      </c>
    </row>
    <row r="27" spans="4:20" x14ac:dyDescent="0.25">
      <c r="D27" s="135">
        <v>10</v>
      </c>
      <c r="E27">
        <v>347</v>
      </c>
      <c r="F27">
        <v>230</v>
      </c>
      <c r="G27">
        <v>245</v>
      </c>
      <c r="H27">
        <v>319</v>
      </c>
      <c r="I27">
        <v>268</v>
      </c>
      <c r="J27">
        <v>394</v>
      </c>
      <c r="K27">
        <v>484</v>
      </c>
      <c r="M27" s="135">
        <v>10</v>
      </c>
      <c r="N27">
        <v>322.89999999999998</v>
      </c>
      <c r="O27">
        <v>221.8</v>
      </c>
      <c r="P27">
        <v>235.6</v>
      </c>
      <c r="Q27">
        <v>279.39999999999998</v>
      </c>
      <c r="R27">
        <v>279.2</v>
      </c>
      <c r="S27">
        <v>360.9</v>
      </c>
      <c r="T27">
        <v>405</v>
      </c>
    </row>
    <row r="28" spans="4:20" x14ac:dyDescent="0.25">
      <c r="D28" s="135">
        <v>11</v>
      </c>
      <c r="E28">
        <v>680</v>
      </c>
      <c r="F28">
        <v>546</v>
      </c>
      <c r="G28">
        <v>464</v>
      </c>
      <c r="H28">
        <v>504</v>
      </c>
      <c r="I28">
        <v>560</v>
      </c>
      <c r="J28">
        <v>679</v>
      </c>
      <c r="K28">
        <v>808</v>
      </c>
      <c r="M28" s="135">
        <v>11</v>
      </c>
      <c r="N28">
        <v>658.5</v>
      </c>
      <c r="O28">
        <v>529.1</v>
      </c>
      <c r="P28">
        <v>421.5</v>
      </c>
      <c r="Q28">
        <v>466.5</v>
      </c>
      <c r="R28">
        <v>579.5</v>
      </c>
      <c r="S28">
        <v>625.79999999999995</v>
      </c>
      <c r="T28">
        <v>714</v>
      </c>
    </row>
    <row r="29" spans="4:20" x14ac:dyDescent="0.25">
      <c r="D29" s="135">
        <v>12</v>
      </c>
      <c r="E29">
        <v>975</v>
      </c>
      <c r="F29">
        <v>823</v>
      </c>
      <c r="G29">
        <v>628</v>
      </c>
      <c r="H29">
        <v>679</v>
      </c>
      <c r="I29">
        <v>831</v>
      </c>
      <c r="J29">
        <v>913</v>
      </c>
      <c r="K29">
        <v>1091</v>
      </c>
      <c r="M29" s="135">
        <v>12</v>
      </c>
      <c r="N29">
        <v>909.7</v>
      </c>
      <c r="O29">
        <v>756.3</v>
      </c>
      <c r="P29">
        <v>558</v>
      </c>
      <c r="Q29">
        <v>626.1</v>
      </c>
      <c r="R29">
        <v>801.2</v>
      </c>
      <c r="S29">
        <v>842.9</v>
      </c>
      <c r="T29">
        <v>974.6</v>
      </c>
    </row>
    <row r="30" spans="4:20" x14ac:dyDescent="0.25">
      <c r="E30">
        <f>SUM(E18:E29)</f>
        <v>4682</v>
      </c>
      <c r="F30">
        <f t="shared" ref="F30:K30" si="0">SUM(F18:F29)</f>
        <v>3761</v>
      </c>
      <c r="G30">
        <f t="shared" si="0"/>
        <v>3447</v>
      </c>
      <c r="H30">
        <f t="shared" si="0"/>
        <v>3928</v>
      </c>
      <c r="I30">
        <f t="shared" si="0"/>
        <v>3970</v>
      </c>
      <c r="J30">
        <f t="shared" si="0"/>
        <v>5201</v>
      </c>
      <c r="K30">
        <f t="shared" si="0"/>
        <v>6127</v>
      </c>
      <c r="N30">
        <f>SUM(N18:N29)</f>
        <v>4441.7</v>
      </c>
      <c r="O30">
        <f t="shared" ref="O30:T30" si="1">SUM(O18:O29)</f>
        <v>3574.6000000000004</v>
      </c>
      <c r="P30">
        <f t="shared" si="1"/>
        <v>3422.2</v>
      </c>
      <c r="Q30">
        <f t="shared" si="1"/>
        <v>3562.2</v>
      </c>
      <c r="R30">
        <f t="shared" si="1"/>
        <v>4034</v>
      </c>
      <c r="S30">
        <f t="shared" si="1"/>
        <v>4723.2</v>
      </c>
      <c r="T30">
        <f t="shared" si="1"/>
        <v>5221.5</v>
      </c>
    </row>
    <row r="31" spans="4:20" x14ac:dyDescent="0.25">
      <c r="N31">
        <f>E30-N30</f>
        <v>240.30000000000018</v>
      </c>
      <c r="O31">
        <f t="shared" ref="O31:T31" si="2">F30-O30</f>
        <v>186.39999999999964</v>
      </c>
      <c r="P31">
        <f t="shared" si="2"/>
        <v>24.800000000000182</v>
      </c>
      <c r="Q31">
        <f t="shared" si="2"/>
        <v>365.80000000000018</v>
      </c>
      <c r="R31">
        <f t="shared" si="2"/>
        <v>-64</v>
      </c>
      <c r="S31">
        <f t="shared" si="2"/>
        <v>477.80000000000018</v>
      </c>
      <c r="T31">
        <f t="shared" si="2"/>
        <v>905.5</v>
      </c>
    </row>
  </sheetData>
  <mergeCells count="2">
    <mergeCell ref="D1:K1"/>
    <mergeCell ref="M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C33"/>
  <sheetViews>
    <sheetView topLeftCell="P1"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29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29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0.45</v>
      </c>
      <c r="E4" s="136" t="s">
        <v>72</v>
      </c>
      <c r="F4" s="137"/>
      <c r="G4" s="137">
        <v>0.4163</v>
      </c>
      <c r="I4" s="136" t="s">
        <v>72</v>
      </c>
      <c r="J4" s="137"/>
      <c r="K4" s="137">
        <v>0.57640000000000002</v>
      </c>
      <c r="M4" s="136" t="s">
        <v>72</v>
      </c>
      <c r="N4" s="137"/>
      <c r="O4" s="137">
        <v>0.29899999999999999</v>
      </c>
      <c r="Q4" s="4">
        <f>Data!A1</f>
        <v>44197</v>
      </c>
      <c r="R4">
        <f>MONTH(Q4)</f>
        <v>1</v>
      </c>
      <c r="S4" s="148" cm="1">
        <f t="array" ref="S4">HLOOKUP(S$3,Normals!$E$2:$K$14,_xlfn.SINGLE($R4)+1,FALSE)/VLOOKUP($R4,$C$20:$D$31,2,FALSE)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44197</v>
      </c>
      <c r="Y4">
        <f>MONTH(X4)</f>
        <v>1</v>
      </c>
      <c r="Z4" s="148" cm="1">
        <f t="array" ref="Z4">HLOOKUP(Z$3,Data!$AL$4:$AR$19,_xlfn.SINGLE(ROW())-2,FALSE)/VLOOKUP($Y4,$C$20:$D$31,2,FALSE)</f>
        <v>0</v>
      </c>
      <c r="AA4" s="148">
        <f>HLOOKUP(AA$3,Data!$AL$4:$AR$19,ROW()-2,FALSE)/VLOOKUP($Y4,$C$20:$D$31,2,FALSE)</f>
        <v>0</v>
      </c>
      <c r="AB4" s="148">
        <f>HLOOKUP(AB$3,Data!$AL$4:$AR$19,ROW()-2,FALSE)/VLOOKUP($Y4,$C$20:$D$31,2,FALSE)</f>
        <v>0</v>
      </c>
      <c r="AC4" s="148">
        <f>HLOOKUP(AC$3,Data!$AL$4:$AR$19,ROW()-2,FALSE)/VLOOKUP($Y4,$C$20:$D$31,2,FALSE)</f>
        <v>0</v>
      </c>
    </row>
    <row r="5" spans="1:29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-1.7160000000000001E-3</v>
      </c>
      <c r="I5" s="136" t="s">
        <v>87</v>
      </c>
      <c r="J5" s="137"/>
      <c r="K5" s="137">
        <v>-2.4260000000000002E-3</v>
      </c>
      <c r="M5" s="136" t="s">
        <v>87</v>
      </c>
      <c r="N5" s="137"/>
      <c r="O5" s="137">
        <v>1.209E-3</v>
      </c>
      <c r="Q5" s="4">
        <f>DATE(YEAR(Q4),MONTH(Q4)+1,1)</f>
        <v>44228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44228</v>
      </c>
      <c r="Y5">
        <f t="shared" ref="Y5:Y15" si="2">MONTH(X5)</f>
        <v>2</v>
      </c>
      <c r="Z5" s="148">
        <f>HLOOKUP(Z$3,Data!$AL$4:$AR$19,ROW()-2,FALSE)/VLOOKUP($Y5,$C$20:$D$31,2,FALSE)</f>
        <v>0</v>
      </c>
      <c r="AA5" s="148">
        <f>HLOOKUP(AA$3,Data!$AL$4:$AR$19,ROW()-2,FALSE)/VLOOKUP($Y5,$C$20:$D$31,2,FALSE)</f>
        <v>0</v>
      </c>
      <c r="AB5" s="148">
        <f>HLOOKUP(AB$3,Data!$AL$4:$AR$19,ROW()-2,FALSE)/VLOOKUP($Y5,$C$20:$D$31,2,FALSE)</f>
        <v>0</v>
      </c>
      <c r="AC5" s="148">
        <f>HLOOKUP(AC$3,Data!$AL$4:$AR$19,ROW()-2,FALSE)/VLOOKUP($Y5,$C$20:$D$31,2,FALSE)</f>
        <v>0</v>
      </c>
    </row>
    <row r="6" spans="1:29" x14ac:dyDescent="0.25">
      <c r="A6" s="136">
        <v>1</v>
      </c>
      <c r="B6" s="137"/>
      <c r="C6" s="137">
        <v>0.12089999999999999</v>
      </c>
      <c r="E6" s="136">
        <v>1</v>
      </c>
      <c r="F6" s="137"/>
      <c r="G6" s="137">
        <v>0.14249999999999999</v>
      </c>
      <c r="I6" s="136">
        <v>1</v>
      </c>
      <c r="J6" s="137"/>
      <c r="K6" s="137">
        <v>0.10340000000000001</v>
      </c>
      <c r="M6" s="136">
        <v>1</v>
      </c>
      <c r="N6" s="137"/>
      <c r="O6" s="137">
        <v>0.1062</v>
      </c>
      <c r="Q6" s="4">
        <f t="shared" ref="Q6:Q15" si="3">DATE(YEAR(Q5),MONTH(Q5)+1,1)</f>
        <v>44256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44256</v>
      </c>
      <c r="Y6">
        <f t="shared" si="2"/>
        <v>3</v>
      </c>
      <c r="Z6" s="148">
        <f>HLOOKUP(Z$3,Data!$AL$4:$AR$19,ROW()-2,FALSE)/VLOOKUP($Y6,$C$20:$D$31,2,FALSE)</f>
        <v>0</v>
      </c>
      <c r="AA6" s="148">
        <f>HLOOKUP(AA$3,Data!$AL$4:$AR$19,ROW()-2,FALSE)/VLOOKUP($Y6,$C$20:$D$31,2,FALSE)</f>
        <v>0</v>
      </c>
      <c r="AB6" s="148">
        <f>HLOOKUP(AB$3,Data!$AL$4:$AR$19,ROW()-2,FALSE)/VLOOKUP($Y6,$C$20:$D$31,2,FALSE)</f>
        <v>0</v>
      </c>
      <c r="AC6" s="148">
        <f>HLOOKUP(AC$3,Data!$AL$4:$AR$19,ROW()-2,FALSE)/VLOOKUP($Y6,$C$20:$D$31,2,FALSE)</f>
        <v>0</v>
      </c>
    </row>
    <row r="7" spans="1:29" x14ac:dyDescent="0.25">
      <c r="A7" s="136">
        <v>2</v>
      </c>
      <c r="B7" s="137"/>
      <c r="C7" s="137">
        <v>0.1094</v>
      </c>
      <c r="E7" s="136">
        <v>2</v>
      </c>
      <c r="F7" s="137"/>
      <c r="G7" s="137">
        <v>0.1246</v>
      </c>
      <c r="I7" s="136">
        <v>2</v>
      </c>
      <c r="J7" s="137"/>
      <c r="K7" s="137">
        <v>0.10009999999999999</v>
      </c>
      <c r="M7" s="136">
        <v>2</v>
      </c>
      <c r="N7" s="137"/>
      <c r="O7" s="137">
        <v>0.108</v>
      </c>
      <c r="Q7" s="4">
        <f t="shared" si="3"/>
        <v>44287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44287</v>
      </c>
      <c r="Y7">
        <f t="shared" si="2"/>
        <v>4</v>
      </c>
      <c r="Z7" s="148">
        <f>HLOOKUP(Z$3,Data!$AL$4:$AR$19,ROW()-2,FALSE)/VLOOKUP($Y7,$C$20:$D$31,2,FALSE)</f>
        <v>0</v>
      </c>
      <c r="AA7" s="148">
        <f>HLOOKUP(AA$3,Data!$AL$4:$AR$19,ROW()-2,FALSE)/VLOOKUP($Y7,$C$20:$D$31,2,FALSE)</f>
        <v>0</v>
      </c>
      <c r="AB7" s="148">
        <f>HLOOKUP(AB$3,Data!$AL$4:$AR$19,ROW()-2,FALSE)/VLOOKUP($Y7,$C$20:$D$31,2,FALSE)</f>
        <v>0</v>
      </c>
      <c r="AC7" s="148">
        <f>HLOOKUP(AC$3,Data!$AL$4:$AR$19,ROW()-2,FALSE)/VLOOKUP($Y7,$C$20:$D$31,2,FALSE)</f>
        <v>0</v>
      </c>
    </row>
    <row r="8" spans="1:29" x14ac:dyDescent="0.25">
      <c r="A8" s="136">
        <v>3</v>
      </c>
      <c r="B8" s="137"/>
      <c r="C8" s="137">
        <v>0.10150000000000001</v>
      </c>
      <c r="E8" s="136">
        <v>3</v>
      </c>
      <c r="F8" s="137"/>
      <c r="G8" s="137">
        <v>0.114</v>
      </c>
      <c r="I8" s="136">
        <v>3</v>
      </c>
      <c r="J8" s="137"/>
      <c r="K8" s="137">
        <v>9.1899999999999996E-2</v>
      </c>
      <c r="M8" s="136">
        <v>3</v>
      </c>
      <c r="N8" s="137"/>
      <c r="O8" s="137">
        <v>9.4E-2</v>
      </c>
      <c r="Q8" s="4">
        <f t="shared" si="3"/>
        <v>44317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44317</v>
      </c>
      <c r="Y8">
        <f t="shared" si="2"/>
        <v>5</v>
      </c>
      <c r="Z8" s="148">
        <f>HLOOKUP(Z$3,Data!$AL$4:$AR$19,ROW()-2,FALSE)/VLOOKUP($Y8,$C$20:$D$31,2,FALSE)</f>
        <v>0</v>
      </c>
      <c r="AA8" s="148">
        <f>HLOOKUP(AA$3,Data!$AL$4:$AR$19,ROW()-2,FALSE)/VLOOKUP($Y8,$C$20:$D$31,2,FALSE)</f>
        <v>0</v>
      </c>
      <c r="AB8" s="148">
        <f>HLOOKUP(AB$3,Data!$AL$4:$AR$19,ROW()-2,FALSE)/VLOOKUP($Y8,$C$20:$D$31,2,FALSE)</f>
        <v>0</v>
      </c>
      <c r="AC8" s="148">
        <f>HLOOKUP(AC$3,Data!$AL$4:$AR$19,ROW()-2,FALSE)/VLOOKUP($Y8,$C$20:$D$31,2,FALSE)</f>
        <v>0</v>
      </c>
    </row>
    <row r="9" spans="1:29" x14ac:dyDescent="0.25">
      <c r="A9" s="136">
        <v>4</v>
      </c>
      <c r="B9" s="137"/>
      <c r="C9" s="137">
        <v>8.2100000000000006E-2</v>
      </c>
      <c r="E9" s="136">
        <v>4</v>
      </c>
      <c r="F9" s="137"/>
      <c r="G9" s="137">
        <v>9.1800000000000007E-2</v>
      </c>
      <c r="I9" s="136">
        <v>4</v>
      </c>
      <c r="J9" s="137"/>
      <c r="K9" s="137">
        <v>6.3899999999999998E-2</v>
      </c>
      <c r="M9" s="136">
        <v>4</v>
      </c>
      <c r="N9" s="137"/>
      <c r="O9" s="137">
        <v>7.0999999999999994E-2</v>
      </c>
      <c r="Q9" s="4">
        <f t="shared" si="3"/>
        <v>44348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44348</v>
      </c>
      <c r="Y9">
        <f t="shared" si="2"/>
        <v>6</v>
      </c>
      <c r="Z9" s="148">
        <f>HLOOKUP(Z$3,Data!$AL$4:$AR$19,ROW()-2,FALSE)/VLOOKUP($Y9,$C$20:$D$31,2,FALSE)</f>
        <v>0</v>
      </c>
      <c r="AA9" s="148">
        <f>HLOOKUP(AA$3,Data!$AL$4:$AR$19,ROW()-2,FALSE)/VLOOKUP($Y9,$C$20:$D$31,2,FALSE)</f>
        <v>0</v>
      </c>
      <c r="AB9" s="148">
        <f>HLOOKUP(AB$3,Data!$AL$4:$AR$19,ROW()-2,FALSE)/VLOOKUP($Y9,$C$20:$D$31,2,FALSE)</f>
        <v>0</v>
      </c>
      <c r="AC9" s="148">
        <f>HLOOKUP(AC$3,Data!$AL$4:$AR$19,ROW()-2,FALSE)/VLOOKUP($Y9,$C$20:$D$31,2,FALSE)</f>
        <v>0</v>
      </c>
    </row>
    <row r="10" spans="1:29" x14ac:dyDescent="0.25">
      <c r="A10" s="136">
        <v>5</v>
      </c>
      <c r="B10" s="137"/>
      <c r="C10" s="137">
        <v>5.8599999999999999E-2</v>
      </c>
      <c r="E10" s="136">
        <v>5</v>
      </c>
      <c r="F10" s="137"/>
      <c r="G10" s="137">
        <v>6.4699999999999994E-2</v>
      </c>
      <c r="I10" s="136">
        <v>5</v>
      </c>
      <c r="J10" s="137"/>
      <c r="K10" s="137">
        <v>3.9399999999999998E-2</v>
      </c>
      <c r="M10" s="136">
        <v>5</v>
      </c>
      <c r="N10" s="137"/>
      <c r="O10" s="137">
        <v>5.4100000000000002E-2</v>
      </c>
      <c r="Q10" s="4">
        <f t="shared" si="3"/>
        <v>44378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44378</v>
      </c>
      <c r="Y10">
        <f t="shared" si="2"/>
        <v>7</v>
      </c>
      <c r="Z10" s="148">
        <f>HLOOKUP(Z$3,Data!$AL$4:$AR$19,ROW()-2,FALSE)/VLOOKUP($Y10,$C$20:$D$31,2,FALSE)</f>
        <v>0</v>
      </c>
      <c r="AA10" s="148">
        <f>HLOOKUP(AA$3,Data!$AL$4:$AR$19,ROW()-2,FALSE)/VLOOKUP($Y10,$C$20:$D$31,2,FALSE)</f>
        <v>0</v>
      </c>
      <c r="AB10" s="148">
        <f>HLOOKUP(AB$3,Data!$AL$4:$AR$19,ROW()-2,FALSE)/VLOOKUP($Y10,$C$20:$D$31,2,FALSE)</f>
        <v>0</v>
      </c>
      <c r="AC10" s="148">
        <f>HLOOKUP(AC$3,Data!$AL$4:$AR$19,ROW()-2,FALSE)/VLOOKUP($Y10,$C$20:$D$31,2,FALSE)</f>
        <v>0</v>
      </c>
    </row>
    <row r="11" spans="1:29" x14ac:dyDescent="0.25">
      <c r="A11" s="136">
        <v>6</v>
      </c>
      <c r="B11" s="137"/>
      <c r="C11" s="137">
        <v>5.0799999999999998E-2</v>
      </c>
      <c r="E11" s="136">
        <v>6</v>
      </c>
      <c r="F11" s="137"/>
      <c r="G11" s="137">
        <v>5.4399999999999997E-2</v>
      </c>
      <c r="I11" s="136">
        <v>6</v>
      </c>
      <c r="J11" s="137"/>
      <c r="K11" s="137">
        <v>0</v>
      </c>
      <c r="M11" s="136">
        <v>6</v>
      </c>
      <c r="N11" s="137"/>
      <c r="O11" s="137">
        <v>3.9600000000000003E-2</v>
      </c>
      <c r="Q11" s="4">
        <f t="shared" si="3"/>
        <v>44409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44409</v>
      </c>
      <c r="Y11">
        <f t="shared" si="2"/>
        <v>8</v>
      </c>
      <c r="Z11" s="148">
        <f>HLOOKUP(Z$3,Data!$AL$4:$AR$19,ROW()-2,FALSE)/VLOOKUP($Y11,$C$20:$D$31,2,FALSE)</f>
        <v>0</v>
      </c>
      <c r="AA11" s="148">
        <f>HLOOKUP(AA$3,Data!$AL$4:$AR$19,ROW()-2,FALSE)/VLOOKUP($Y11,$C$20:$D$31,2,FALSE)</f>
        <v>0</v>
      </c>
      <c r="AB11" s="148">
        <f>HLOOKUP(AB$3,Data!$AL$4:$AR$19,ROW()-2,FALSE)/VLOOKUP($Y11,$C$20:$D$31,2,FALSE)</f>
        <v>0</v>
      </c>
      <c r="AC11" s="148">
        <f>HLOOKUP(AC$3,Data!$AL$4:$AR$19,ROW()-2,FALSE)/VLOOKUP($Y11,$C$20:$D$31,2,FALSE)</f>
        <v>0</v>
      </c>
    </row>
    <row r="12" spans="1:29" x14ac:dyDescent="0.25">
      <c r="A12" s="136">
        <v>7</v>
      </c>
      <c r="B12" s="137"/>
      <c r="C12" s="137">
        <v>5.8500000000000003E-2</v>
      </c>
      <c r="E12" s="136">
        <v>7</v>
      </c>
      <c r="F12" s="137"/>
      <c r="G12" s="137">
        <v>4.6899999999999997E-2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44440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44440</v>
      </c>
      <c r="Y12">
        <f t="shared" si="2"/>
        <v>9</v>
      </c>
      <c r="Z12" s="148">
        <f>HLOOKUP(Z$3,Data!$AL$4:$AR$19,ROW()-2,FALSE)/VLOOKUP($Y12,$C$20:$D$31,2,FALSE)</f>
        <v>0</v>
      </c>
      <c r="AA12" s="148">
        <f>HLOOKUP(AA$3,Data!$AL$4:$AR$19,ROW()-2,FALSE)/VLOOKUP($Y12,$C$20:$D$31,2,FALSE)</f>
        <v>0</v>
      </c>
      <c r="AB12" s="148">
        <f>HLOOKUP(AB$3,Data!$AL$4:$AR$19,ROW()-2,FALSE)/VLOOKUP($Y12,$C$20:$D$31,2,FALSE)</f>
        <v>0</v>
      </c>
      <c r="AC12" s="148">
        <f>HLOOKUP(AC$3,Data!$AL$4:$AR$19,ROW()-2,FALSE)/VLOOKUP($Y12,$C$20:$D$31,2,FALSE)</f>
        <v>0</v>
      </c>
    </row>
    <row r="13" spans="1:29" x14ac:dyDescent="0.25">
      <c r="A13" s="136">
        <v>8</v>
      </c>
      <c r="B13" s="137"/>
      <c r="C13" s="137">
        <v>7.0300000000000001E-2</v>
      </c>
      <c r="E13" s="136">
        <v>8</v>
      </c>
      <c r="F13" s="137"/>
      <c r="G13" s="137">
        <v>6.6699999999999995E-2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44470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44470</v>
      </c>
      <c r="Y13">
        <f t="shared" si="2"/>
        <v>10</v>
      </c>
      <c r="Z13" s="148">
        <f>HLOOKUP(Z$3,Data!$AL$4:$AR$19,ROW()-2,FALSE)/VLOOKUP($Y13,$C$20:$D$31,2,FALSE)</f>
        <v>0</v>
      </c>
      <c r="AA13" s="148">
        <f>HLOOKUP(AA$3,Data!$AL$4:$AR$19,ROW()-2,FALSE)/VLOOKUP($Y13,$C$20:$D$31,2,FALSE)</f>
        <v>0</v>
      </c>
      <c r="AB13" s="148">
        <f>HLOOKUP(AB$3,Data!$AL$4:$AR$19,ROW()-2,FALSE)/VLOOKUP($Y13,$C$20:$D$31,2,FALSE)</f>
        <v>0</v>
      </c>
      <c r="AC13" s="148">
        <f>HLOOKUP(AC$3,Data!$AL$4:$AR$19,ROW()-2,FALSE)/VLOOKUP($Y13,$C$20:$D$31,2,FALSE)</f>
        <v>0</v>
      </c>
    </row>
    <row r="14" spans="1:29" x14ac:dyDescent="0.25">
      <c r="A14" s="136">
        <v>9</v>
      </c>
      <c r="B14" s="137"/>
      <c r="C14" s="137">
        <v>4.7300000000000002E-2</v>
      </c>
      <c r="E14" s="136">
        <v>9</v>
      </c>
      <c r="F14" s="137"/>
      <c r="G14" s="137">
        <v>6.5699999999999995E-2</v>
      </c>
      <c r="I14" s="136">
        <v>9</v>
      </c>
      <c r="J14" s="137"/>
      <c r="K14" s="137">
        <v>4.6800000000000001E-2</v>
      </c>
      <c r="M14" s="136">
        <v>9</v>
      </c>
      <c r="N14" s="137"/>
      <c r="O14" s="137">
        <v>3.0200000000000001E-2</v>
      </c>
      <c r="Q14" s="4">
        <f t="shared" si="3"/>
        <v>44501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44501</v>
      </c>
      <c r="Y14">
        <f t="shared" si="2"/>
        <v>11</v>
      </c>
      <c r="Z14" s="148">
        <f>HLOOKUP(Z$3,Data!$AL$4:$AR$19,ROW()-2,FALSE)/VLOOKUP($Y14,$C$20:$D$31,2,FALSE)</f>
        <v>0</v>
      </c>
      <c r="AA14" s="148">
        <f>HLOOKUP(AA$3,Data!$AL$4:$AR$19,ROW()-2,FALSE)/VLOOKUP($Y14,$C$20:$D$31,2,FALSE)</f>
        <v>0</v>
      </c>
      <c r="AB14" s="148">
        <f>HLOOKUP(AB$3,Data!$AL$4:$AR$19,ROW()-2,FALSE)/VLOOKUP($Y14,$C$20:$D$31,2,FALSE)</f>
        <v>0</v>
      </c>
      <c r="AC14" s="148">
        <f>HLOOKUP(AC$3,Data!$AL$4:$AR$19,ROW()-2,FALSE)/VLOOKUP($Y14,$C$20:$D$31,2,FALSE)</f>
        <v>0</v>
      </c>
    </row>
    <row r="15" spans="1:29" x14ac:dyDescent="0.25">
      <c r="A15" s="136">
        <v>10</v>
      </c>
      <c r="B15" s="137"/>
      <c r="C15" s="137">
        <v>8.5599999999999996E-2</v>
      </c>
      <c r="E15" s="136">
        <v>10</v>
      </c>
      <c r="F15" s="137"/>
      <c r="G15" s="137">
        <v>0.10580000000000001</v>
      </c>
      <c r="I15" s="136">
        <v>10</v>
      </c>
      <c r="J15" s="137"/>
      <c r="K15" s="137">
        <v>4.6300000000000001E-2</v>
      </c>
      <c r="M15" s="136">
        <v>10</v>
      </c>
      <c r="N15" s="137"/>
      <c r="O15" s="137">
        <v>4.1099999999999998E-2</v>
      </c>
      <c r="Q15" s="4">
        <f t="shared" si="3"/>
        <v>44531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44531</v>
      </c>
      <c r="Y15">
        <f t="shared" si="2"/>
        <v>12</v>
      </c>
      <c r="Z15" s="148">
        <f>HLOOKUP(Z$3,Data!$AL$4:$AR$19,ROW()-2,FALSE)/VLOOKUP($Y15,$C$20:$D$31,2,FALSE)</f>
        <v>0</v>
      </c>
      <c r="AA15" s="148">
        <f>HLOOKUP(AA$3,Data!$AL$4:$AR$19,ROW()-2,FALSE)/VLOOKUP($Y15,$C$20:$D$31,2,FALSE)</f>
        <v>0</v>
      </c>
      <c r="AB15" s="148">
        <f>HLOOKUP(AB$3,Data!$AL$4:$AR$19,ROW()-2,FALSE)/VLOOKUP($Y15,$C$20:$D$31,2,FALSE)</f>
        <v>0</v>
      </c>
      <c r="AC15" s="148">
        <f>HLOOKUP(AC$3,Data!$AL$4:$AR$19,ROW()-2,FALSE)/VLOOKUP($Y15,$C$20:$D$31,2,FALSE)</f>
        <v>0</v>
      </c>
    </row>
    <row r="16" spans="1:29" x14ac:dyDescent="0.25">
      <c r="A16" s="136">
        <v>11</v>
      </c>
      <c r="B16" s="137"/>
      <c r="C16" s="137">
        <v>0.12720000000000001</v>
      </c>
      <c r="E16" s="136">
        <v>11</v>
      </c>
      <c r="F16" s="137"/>
      <c r="G16" s="137">
        <v>0.14990000000000001</v>
      </c>
      <c r="I16" s="136">
        <v>11</v>
      </c>
      <c r="J16" s="137"/>
      <c r="K16" s="137">
        <v>7.4099999999999999E-2</v>
      </c>
      <c r="M16" s="136">
        <v>11</v>
      </c>
      <c r="N16" s="137"/>
      <c r="O16" s="137">
        <v>7.8299999999999995E-2</v>
      </c>
    </row>
    <row r="17" spans="1:29" x14ac:dyDescent="0.25">
      <c r="A17" s="136">
        <v>12</v>
      </c>
      <c r="B17" s="137"/>
      <c r="C17" s="137">
        <v>0.1263</v>
      </c>
      <c r="E17" s="136">
        <v>12</v>
      </c>
      <c r="F17" s="137"/>
      <c r="G17" s="137">
        <v>0.1462</v>
      </c>
      <c r="I17" s="136">
        <v>12</v>
      </c>
      <c r="J17" s="137"/>
      <c r="K17" s="137">
        <v>9.7699999999999995E-2</v>
      </c>
      <c r="M17" s="136">
        <v>12</v>
      </c>
      <c r="N17" s="137"/>
      <c r="O17" s="137">
        <v>9.8599999999999993E-2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29" x14ac:dyDescent="0.25">
      <c r="F18" s="137"/>
      <c r="G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44197</v>
      </c>
      <c r="R19">
        <f>MONTH(Q19)</f>
        <v>1</v>
      </c>
      <c r="S19" s="149">
        <f>(S4-Z4)*VLOOKUP($R19,$A$6:$C$17,3,FALSE)</f>
        <v>3.1160999999999999</v>
      </c>
      <c r="T19" s="149">
        <f>(T4-AA4)*VLOOKUP($R19,$E$6:$G$17,3,FALSE)</f>
        <v>3.1901612903225804</v>
      </c>
      <c r="U19" s="149">
        <f>(U4-AB4)*VLOOKUP($R19,$I$6:$K$17,3,FALSE)</f>
        <v>3.0486322580645164</v>
      </c>
      <c r="V19" s="149">
        <f>(V4-AC4)*VLOOKUP($R19,$M$6:$O$17,3,FALSE)</f>
        <v>3.6210774193548385</v>
      </c>
      <c r="X19" s="4">
        <f>Q4</f>
        <v>44197</v>
      </c>
      <c r="Y19">
        <f>MONTH(X19)</f>
        <v>1</v>
      </c>
      <c r="Z19" s="127">
        <f>HLOOKUP(Z$18,Data!$T$4:$Z$19,ROW()-17,FALSE)*VLOOKUP($Y19,$C$20:$D$31,2,FALSE)*S19</f>
        <v>8295737.5098000001</v>
      </c>
      <c r="AA19" s="127">
        <f>HLOOKUP(AA$18,Data!$T$4:$Z$19,ROW()-17,FALSE)*VLOOKUP($Y19,$C$20:$D$31,2,FALSE)*T19</f>
        <v>4039465.17</v>
      </c>
      <c r="AB19" s="127">
        <f>HLOOKUP(AB$18,Data!$T$4:$Z$19,ROW()-17,FALSE)*VLOOKUP($Y19,$C$20:$D$31,2,FALSE)*U19</f>
        <v>4100968.2868000004</v>
      </c>
      <c r="AC19" s="127">
        <f>HLOOKUP(AC$18,Data!$T$4:$Z$19,ROW()-17,FALSE)*VLOOKUP($Y19,$C$20:$D$31,2,FALSE)*V19</f>
        <v>3101561.4419999998</v>
      </c>
    </row>
    <row r="20" spans="1:29" x14ac:dyDescent="0.25">
      <c r="A20" s="4">
        <f>Data!A1</f>
        <v>44197</v>
      </c>
      <c r="C20">
        <f>MONTH(A20)</f>
        <v>1</v>
      </c>
      <c r="D20">
        <f>A21-A20</f>
        <v>31</v>
      </c>
      <c r="Q20" s="4">
        <f t="shared" ref="Q20:Q30" si="4">Q5</f>
        <v>44228</v>
      </c>
      <c r="R20">
        <f t="shared" ref="R20:R30" si="5">MONTH(Q20)</f>
        <v>2</v>
      </c>
      <c r="S20" s="149">
        <f t="shared" ref="S20:S30" si="6">(S5-Z5)*VLOOKUP($R20,$A$6:$C$17,3,FALSE)</f>
        <v>2.6568571428571426</v>
      </c>
      <c r="T20" s="149">
        <f t="shared" ref="T20:T30" si="7">(T5-AA5)*VLOOKUP($R20,$E$6:$G$17,3,FALSE)</f>
        <v>2.6655500000000001</v>
      </c>
      <c r="U20" s="149">
        <f t="shared" ref="U20:U30" si="8">(U5-AB5)*VLOOKUP($R20,$I$6:$K$17,3,FALSE)</f>
        <v>2.5918749999999999</v>
      </c>
      <c r="V20" s="149">
        <f t="shared" ref="V20:V30" si="9">(V5-AC5)*VLOOKUP($R20,$M$6:$O$17,3,FALSE)</f>
        <v>3.1204285714285716</v>
      </c>
      <c r="X20" s="4">
        <f t="shared" ref="X20:X30" si="10">Q5</f>
        <v>44228</v>
      </c>
      <c r="Y20">
        <f t="shared" ref="Y20:Y30" si="11">MONTH(X20)</f>
        <v>2</v>
      </c>
      <c r="Z20" s="127" cm="1">
        <f t="array" ref="Z20">HLOOKUP(Z$18,Data!$T$4:$Z$19,_xlfn.SINGLE(ROW())-17,FALSE)*VLOOKUP($Y20,$C$20:$D$31,2,FALSE)*S20</f>
        <v>6394289.9679999994</v>
      </c>
      <c r="AA20" s="127">
        <f>HLOOKUP(AA$18,Data!$T$4:$Z$19,ROW()-17,FALSE)*VLOOKUP($Y20,$C$20:$D$31,2,FALSE)*T20</f>
        <v>3053856.6617999999</v>
      </c>
      <c r="AB20" s="127">
        <f>HLOOKUP(AB$18,Data!$T$4:$Z$19,ROW()-17,FALSE)*VLOOKUP($Y20,$C$20:$D$31,2,FALSE)*U20</f>
        <v>3157411.7574999998</v>
      </c>
      <c r="AC20" s="127">
        <f>HLOOKUP(AC$18,Data!$T$4:$Z$19,ROW()-17,FALSE)*VLOOKUP($Y20,$C$20:$D$31,2,FALSE)*V20</f>
        <v>2417408.4960000003</v>
      </c>
    </row>
    <row r="21" spans="1:29" x14ac:dyDescent="0.25">
      <c r="A21" s="4">
        <f>DATE(YEAR(A20),MONTH(A20)+1,1)</f>
        <v>44228</v>
      </c>
      <c r="C21">
        <f t="shared" ref="C21:C31" si="12">MONTH(A21)</f>
        <v>2</v>
      </c>
      <c r="D21">
        <f>A22-A21</f>
        <v>28</v>
      </c>
      <c r="Q21" s="4">
        <f t="shared" si="4"/>
        <v>44256</v>
      </c>
      <c r="R21">
        <f t="shared" si="5"/>
        <v>3</v>
      </c>
      <c r="S21" s="149">
        <f t="shared" si="6"/>
        <v>2.1085806451612905</v>
      </c>
      <c r="T21" s="149">
        <f t="shared" si="7"/>
        <v>2.1659999999999999</v>
      </c>
      <c r="U21" s="149">
        <f t="shared" si="8"/>
        <v>1.7194193548387098</v>
      </c>
      <c r="V21" s="149">
        <f t="shared" si="9"/>
        <v>2.0498064516129029</v>
      </c>
      <c r="X21" s="4">
        <f t="shared" si="10"/>
        <v>44256</v>
      </c>
      <c r="Y21">
        <f t="shared" si="11"/>
        <v>3</v>
      </c>
      <c r="Z21" s="127">
        <f>HLOOKUP(Z$18,Data!$T$4:$Z$19,ROW()-17,FALSE)*VLOOKUP($Y21,$C$20:$D$31,2,FALSE)*S21</f>
        <v>5621998.9280000003</v>
      </c>
      <c r="AA21" s="127">
        <f>HLOOKUP(AA$18,Data!$T$4:$Z$19,ROW()-17,FALSE)*VLOOKUP($Y21,$C$20:$D$31,2,FALSE)*T21</f>
        <v>2750098.7220000001</v>
      </c>
      <c r="AB21" s="127">
        <f>HLOOKUP(AB$18,Data!$T$4:$Z$19,ROW()-17,FALSE)*VLOOKUP($Y21,$C$20:$D$31,2,FALSE)*U21</f>
        <v>2326525.696</v>
      </c>
      <c r="AC21" s="127">
        <f>HLOOKUP(AC$18,Data!$T$4:$Z$19,ROW()-17,FALSE)*VLOOKUP($Y21,$C$20:$D$31,2,FALSE)*V21</f>
        <v>1758071.8479999998</v>
      </c>
    </row>
    <row r="22" spans="1:29" x14ac:dyDescent="0.25">
      <c r="A22" s="4">
        <f t="shared" ref="A22:A32" si="13">DATE(YEAR(A21),MONTH(A21)+1,1)</f>
        <v>44256</v>
      </c>
      <c r="C22">
        <f t="shared" si="12"/>
        <v>3</v>
      </c>
      <c r="D22">
        <f t="shared" ref="D22:D31" si="14">A23-A22</f>
        <v>31</v>
      </c>
      <c r="Q22" s="4">
        <f t="shared" si="4"/>
        <v>44287</v>
      </c>
      <c r="R22">
        <f t="shared" si="5"/>
        <v>4</v>
      </c>
      <c r="S22" s="149">
        <f t="shared" si="6"/>
        <v>1.3628600000000002</v>
      </c>
      <c r="T22" s="149">
        <f t="shared" si="7"/>
        <v>1.4932799999999999</v>
      </c>
      <c r="U22" s="149">
        <f t="shared" si="8"/>
        <v>0.81791999999999998</v>
      </c>
      <c r="V22" s="149">
        <f t="shared" si="9"/>
        <v>1.1289</v>
      </c>
      <c r="X22" s="4">
        <f t="shared" si="10"/>
        <v>44287</v>
      </c>
      <c r="Y22">
        <f t="shared" si="11"/>
        <v>4</v>
      </c>
      <c r="Z22" s="127">
        <f>HLOOKUP(Z$18,Data!$T$4:$Z$19,ROW()-17,FALSE)*VLOOKUP($Y22,$C$20:$D$31,2,FALSE)*S22</f>
        <v>3517282.7166000004</v>
      </c>
      <c r="AA22" s="127">
        <f>HLOOKUP(AA$18,Data!$T$4:$Z$19,ROW()-17,FALSE)*VLOOKUP($Y22,$C$20:$D$31,2,FALSE)*T22</f>
        <v>1836331.2143999999</v>
      </c>
      <c r="AB22" s="127">
        <f>HLOOKUP(AB$18,Data!$T$4:$Z$19,ROW()-17,FALSE)*VLOOKUP($Y22,$C$20:$D$31,2,FALSE)*U22</f>
        <v>1072710.2592</v>
      </c>
      <c r="AC22" s="127">
        <f>HLOOKUP(AC$18,Data!$T$4:$Z$19,ROW()-17,FALSE)*VLOOKUP($Y22,$C$20:$D$31,2,FALSE)*V22</f>
        <v>934796.93400000001</v>
      </c>
    </row>
    <row r="23" spans="1:29" x14ac:dyDescent="0.25">
      <c r="A23" s="4">
        <f t="shared" si="13"/>
        <v>44287</v>
      </c>
      <c r="C23">
        <f t="shared" si="12"/>
        <v>4</v>
      </c>
      <c r="D23">
        <f t="shared" si="14"/>
        <v>30</v>
      </c>
      <c r="Q23" s="4">
        <f t="shared" si="4"/>
        <v>44317</v>
      </c>
      <c r="R23">
        <f t="shared" si="5"/>
        <v>5</v>
      </c>
      <c r="S23" s="149">
        <f t="shared" si="6"/>
        <v>0.65216129032258063</v>
      </c>
      <c r="T23" s="149">
        <f t="shared" si="7"/>
        <v>0.78057419354838697</v>
      </c>
      <c r="U23" s="149">
        <f t="shared" si="8"/>
        <v>0.26436129032258066</v>
      </c>
      <c r="V23" s="149">
        <f t="shared" si="9"/>
        <v>0.45548709677419358</v>
      </c>
      <c r="X23" s="4">
        <f t="shared" si="10"/>
        <v>44317</v>
      </c>
      <c r="Y23">
        <f t="shared" si="11"/>
        <v>5</v>
      </c>
      <c r="Z23" s="127">
        <f>HLOOKUP(Z$18,Data!$T$4:$Z$19,ROW()-17,FALSE)*VLOOKUP($Y23,$C$20:$D$31,2,FALSE)*S23</f>
        <v>1739895.237</v>
      </c>
      <c r="AA23" s="127">
        <f>HLOOKUP(AA$18,Data!$T$4:$Z$19,ROW()-17,FALSE)*VLOOKUP($Y23,$C$20:$D$31,2,FALSE)*T23</f>
        <v>992763.14059999981</v>
      </c>
      <c r="AB23" s="127">
        <f>HLOOKUP(AB$18,Data!$T$4:$Z$19,ROW()-17,FALSE)*VLOOKUP($Y23,$C$20:$D$31,2,FALSE)*U23</f>
        <v>358662.92800000001</v>
      </c>
      <c r="AC23" s="127">
        <f>HLOOKUP(AC$18,Data!$T$4:$Z$19,ROW()-17,FALSE)*VLOOKUP($Y23,$C$20:$D$31,2,FALSE)*V23</f>
        <v>388952.2746</v>
      </c>
    </row>
    <row r="24" spans="1:29" x14ac:dyDescent="0.25">
      <c r="A24" s="4">
        <f t="shared" si="13"/>
        <v>44317</v>
      </c>
      <c r="C24">
        <f t="shared" si="12"/>
        <v>5</v>
      </c>
      <c r="D24">
        <f t="shared" si="14"/>
        <v>31</v>
      </c>
      <c r="Q24" s="4">
        <f t="shared" si="4"/>
        <v>44348</v>
      </c>
      <c r="R24">
        <f t="shared" si="5"/>
        <v>6</v>
      </c>
      <c r="S24" s="149">
        <f t="shared" si="6"/>
        <v>0.33866666666666667</v>
      </c>
      <c r="T24" s="149">
        <f t="shared" si="7"/>
        <v>0.44789333333333325</v>
      </c>
      <c r="U24" s="149">
        <f t="shared" si="8"/>
        <v>0</v>
      </c>
      <c r="V24" s="149">
        <f t="shared" si="9"/>
        <v>0.12936</v>
      </c>
      <c r="X24" s="4">
        <f t="shared" si="10"/>
        <v>44348</v>
      </c>
      <c r="Y24">
        <f t="shared" si="11"/>
        <v>6</v>
      </c>
      <c r="Z24" s="127">
        <f>HLOOKUP(Z$18,Data!$T$4:$Z$19,ROW()-17,FALSE)*VLOOKUP($Y24,$C$20:$D$31,2,FALSE)*S24</f>
        <v>873739.68</v>
      </c>
      <c r="AA24" s="127">
        <f>HLOOKUP(AA$18,Data!$T$4:$Z$19,ROW()-17,FALSE)*VLOOKUP($Y24,$C$20:$D$31,2,FALSE)*T24</f>
        <v>551123.78879999986</v>
      </c>
      <c r="AB24" s="127">
        <f>HLOOKUP(AB$18,Data!$T$4:$Z$19,ROW()-17,FALSE)*VLOOKUP($Y24,$C$20:$D$31,2,FALSE)*U24</f>
        <v>0</v>
      </c>
      <c r="AC24" s="127">
        <f>HLOOKUP(AC$18,Data!$T$4:$Z$19,ROW()-17,FALSE)*VLOOKUP($Y24,$C$20:$D$31,2,FALSE)*V24</f>
        <v>106722</v>
      </c>
    </row>
    <row r="25" spans="1:29" x14ac:dyDescent="0.25">
      <c r="A25" s="4">
        <f t="shared" si="13"/>
        <v>44348</v>
      </c>
      <c r="C25">
        <f t="shared" si="12"/>
        <v>6</v>
      </c>
      <c r="D25">
        <f t="shared" si="14"/>
        <v>30</v>
      </c>
      <c r="Q25" s="4">
        <f t="shared" si="4"/>
        <v>44378</v>
      </c>
      <c r="R25">
        <f t="shared" si="5"/>
        <v>7</v>
      </c>
      <c r="S25" s="149">
        <f t="shared" si="6"/>
        <v>0.19059677419354842</v>
      </c>
      <c r="T25" s="149">
        <f t="shared" si="7"/>
        <v>0.24962903225806449</v>
      </c>
      <c r="U25" s="149">
        <f t="shared" si="8"/>
        <v>0</v>
      </c>
      <c r="V25" s="149">
        <f t="shared" si="9"/>
        <v>0</v>
      </c>
      <c r="X25" s="4">
        <f t="shared" si="10"/>
        <v>44378</v>
      </c>
      <c r="Y25">
        <f t="shared" si="11"/>
        <v>7</v>
      </c>
      <c r="Z25" s="127">
        <f>HLOOKUP(Z$18,Data!$T$4:$Z$19,ROW()-17,FALSE)*VLOOKUP($Y25,$C$20:$D$31,2,FALSE)*S25</f>
        <v>507983.28750000009</v>
      </c>
      <c r="AA25" s="127">
        <f>HLOOKUP(AA$18,Data!$T$4:$Z$19,ROW()-17,FALSE)*VLOOKUP($Y25,$C$20:$D$31,2,FALSE)*T25</f>
        <v>317564.82449999999</v>
      </c>
      <c r="AB25" s="127">
        <f>HLOOKUP(AB$18,Data!$T$4:$Z$19,ROW()-17,FALSE)*VLOOKUP($Y25,$C$20:$D$31,2,FALSE)*U25</f>
        <v>0</v>
      </c>
      <c r="AC25" s="127">
        <f>HLOOKUP(AC$18,Data!$T$4:$Z$19,ROW()-17,FALSE)*VLOOKUP($Y25,$C$20:$D$31,2,FALSE)*V25</f>
        <v>0</v>
      </c>
    </row>
    <row r="26" spans="1:29" x14ac:dyDescent="0.25">
      <c r="A26" s="4">
        <f t="shared" si="13"/>
        <v>44378</v>
      </c>
      <c r="C26">
        <f t="shared" si="12"/>
        <v>7</v>
      </c>
      <c r="D26">
        <f t="shared" si="14"/>
        <v>31</v>
      </c>
      <c r="Q26" s="4">
        <f t="shared" si="4"/>
        <v>44409</v>
      </c>
      <c r="R26">
        <f t="shared" si="5"/>
        <v>8</v>
      </c>
      <c r="S26" s="149">
        <f t="shared" si="6"/>
        <v>0.21543548387096775</v>
      </c>
      <c r="T26" s="149">
        <f t="shared" si="7"/>
        <v>0.32919677419354837</v>
      </c>
      <c r="U26" s="149">
        <f t="shared" si="8"/>
        <v>0</v>
      </c>
      <c r="V26" s="149">
        <f t="shared" si="9"/>
        <v>0</v>
      </c>
      <c r="X26" s="4">
        <f t="shared" si="10"/>
        <v>44409</v>
      </c>
      <c r="Y26">
        <f t="shared" si="11"/>
        <v>8</v>
      </c>
      <c r="Z26" s="127">
        <f>HLOOKUP(Z$18,Data!$T$4:$Z$19,ROW()-17,FALSE)*VLOOKUP($Y26,$C$20:$D$31,2,FALSE)*S26</f>
        <v>574344.32150000008</v>
      </c>
      <c r="AA26" s="127">
        <f>HLOOKUP(AA$18,Data!$T$4:$Z$19,ROW()-17,FALSE)*VLOOKUP($Y26,$C$20:$D$31,2,FALSE)*T26</f>
        <v>419552.07120000001</v>
      </c>
      <c r="AB26" s="127">
        <f>HLOOKUP(AB$18,Data!$T$4:$Z$19,ROW()-17,FALSE)*VLOOKUP($Y26,$C$20:$D$31,2,FALSE)*U26</f>
        <v>0</v>
      </c>
      <c r="AC26" s="127">
        <f>HLOOKUP(AC$18,Data!$T$4:$Z$19,ROW()-17,FALSE)*VLOOKUP($Y26,$C$20:$D$31,2,FALSE)*V26</f>
        <v>0</v>
      </c>
    </row>
    <row r="27" spans="1:29" x14ac:dyDescent="0.25">
      <c r="A27" s="4">
        <f t="shared" si="13"/>
        <v>44409</v>
      </c>
      <c r="C27">
        <f t="shared" si="12"/>
        <v>8</v>
      </c>
      <c r="D27">
        <f t="shared" si="14"/>
        <v>31</v>
      </c>
      <c r="Q27" s="4">
        <f t="shared" si="4"/>
        <v>44440</v>
      </c>
      <c r="R27">
        <f t="shared" si="5"/>
        <v>9</v>
      </c>
      <c r="S27" s="149">
        <f t="shared" si="6"/>
        <v>0.37051666666666666</v>
      </c>
      <c r="T27" s="149">
        <f t="shared" si="7"/>
        <v>0.42923999999999995</v>
      </c>
      <c r="U27" s="149">
        <f t="shared" si="8"/>
        <v>0.13416</v>
      </c>
      <c r="V27" s="149">
        <f t="shared" si="9"/>
        <v>0.16106666666666666</v>
      </c>
      <c r="X27" s="4">
        <f t="shared" si="10"/>
        <v>44440</v>
      </c>
      <c r="Y27">
        <f t="shared" si="11"/>
        <v>9</v>
      </c>
      <c r="Z27" s="127">
        <f>HLOOKUP(Z$18,Data!$T$4:$Z$19,ROW()-17,FALSE)*VLOOKUP($Y27,$C$20:$D$31,2,FALSE)*S27</f>
        <v>957266.86</v>
      </c>
      <c r="AA27" s="127">
        <f>HLOOKUP(AA$18,Data!$T$4:$Z$19,ROW()-17,FALSE)*VLOOKUP($Y27,$C$20:$D$31,2,FALSE)*T27</f>
        <v>530553.5172</v>
      </c>
      <c r="AB27" s="127">
        <f>HLOOKUP(AB$18,Data!$T$4:$Z$19,ROW()-17,FALSE)*VLOOKUP($Y27,$C$20:$D$31,2,FALSE)*U27</f>
        <v>177228.04320000001</v>
      </c>
      <c r="AC27" s="127">
        <f>HLOOKUP(AC$18,Data!$T$4:$Z$19,ROW()-17,FALSE)*VLOOKUP($Y27,$C$20:$D$31,2,FALSE)*V27</f>
        <v>132928.32000000001</v>
      </c>
    </row>
    <row r="28" spans="1:29" x14ac:dyDescent="0.25">
      <c r="A28" s="4">
        <f t="shared" si="13"/>
        <v>44440</v>
      </c>
      <c r="C28">
        <f t="shared" si="12"/>
        <v>9</v>
      </c>
      <c r="D28">
        <f t="shared" si="14"/>
        <v>30</v>
      </c>
      <c r="Q28" s="4">
        <f t="shared" si="4"/>
        <v>44470</v>
      </c>
      <c r="R28">
        <f t="shared" si="5"/>
        <v>10</v>
      </c>
      <c r="S28" s="149">
        <f t="shared" si="6"/>
        <v>1.3005677419354837</v>
      </c>
      <c r="T28" s="149">
        <f t="shared" si="7"/>
        <v>1.3480967741935486</v>
      </c>
      <c r="U28" s="149">
        <f t="shared" si="8"/>
        <v>0.54813225806451615</v>
      </c>
      <c r="V28" s="149">
        <f t="shared" si="9"/>
        <v>0.65759999999999996</v>
      </c>
      <c r="X28" s="4">
        <f t="shared" si="10"/>
        <v>44470</v>
      </c>
      <c r="Y28">
        <f t="shared" si="11"/>
        <v>10</v>
      </c>
      <c r="Z28" s="127">
        <f>HLOOKUP(Z$18,Data!$T$4:$Z$19,ROW()-17,FALSE)*VLOOKUP($Y28,$C$20:$D$31,2,FALSE)*S28</f>
        <v>3481505.3951999997</v>
      </c>
      <c r="AA28" s="127">
        <f>HLOOKUP(AA$18,Data!$T$4:$Z$19,ROW()-17,FALSE)*VLOOKUP($Y28,$C$20:$D$31,2,FALSE)*T28</f>
        <v>1727096.6570000001</v>
      </c>
      <c r="AB28" s="127">
        <f>HLOOKUP(AB$18,Data!$T$4:$Z$19,ROW()-17,FALSE)*VLOOKUP($Y28,$C$20:$D$31,2,FALSE)*U28</f>
        <v>751356.67780000006</v>
      </c>
      <c r="AC28" s="127">
        <f>HLOOKUP(AC$18,Data!$T$4:$Z$19,ROW()-17,FALSE)*VLOOKUP($Y28,$C$20:$D$31,2,FALSE)*V28</f>
        <v>565802.32799999998</v>
      </c>
    </row>
    <row r="29" spans="1:29" x14ac:dyDescent="0.25">
      <c r="A29" s="4">
        <f t="shared" si="13"/>
        <v>44470</v>
      </c>
      <c r="C29">
        <f t="shared" si="12"/>
        <v>10</v>
      </c>
      <c r="D29">
        <f t="shared" si="14"/>
        <v>31</v>
      </c>
      <c r="Q29" s="4">
        <f t="shared" si="4"/>
        <v>44501</v>
      </c>
      <c r="R29">
        <f t="shared" si="5"/>
        <v>11</v>
      </c>
      <c r="S29" s="149">
        <f t="shared" si="6"/>
        <v>2.7729600000000003</v>
      </c>
      <c r="T29" s="149">
        <f t="shared" si="7"/>
        <v>2.8880733333333333</v>
      </c>
      <c r="U29" s="149">
        <f t="shared" si="8"/>
        <v>1.71418</v>
      </c>
      <c r="V29" s="149">
        <f t="shared" si="9"/>
        <v>2.1663000000000001</v>
      </c>
      <c r="X29" s="4">
        <f t="shared" si="10"/>
        <v>44501</v>
      </c>
      <c r="Y29">
        <f t="shared" si="11"/>
        <v>11</v>
      </c>
      <c r="Z29" s="127">
        <f>HLOOKUP(Z$18,Data!$T$4:$Z$19,ROW()-17,FALSE)*VLOOKUP($Y29,$C$20:$D$31,2,FALSE)*S29</f>
        <v>7191089.4384000013</v>
      </c>
      <c r="AA29" s="127">
        <f>HLOOKUP(AA$18,Data!$T$4:$Z$19,ROW()-17,FALSE)*VLOOKUP($Y29,$C$20:$D$31,2,FALSE)*T29</f>
        <v>3587506.9331999999</v>
      </c>
      <c r="AB29" s="127">
        <f>HLOOKUP(AB$18,Data!$T$4:$Z$19,ROW()-17,FALSE)*VLOOKUP($Y29,$C$20:$D$31,2,FALSE)*U29</f>
        <v>2281899.2741999999</v>
      </c>
      <c r="AC29" s="127">
        <f>HLOOKUP(AC$18,Data!$T$4:$Z$19,ROW()-17,FALSE)*VLOOKUP($Y29,$C$20:$D$31,2,FALSE)*V29</f>
        <v>1810918.4850000001</v>
      </c>
    </row>
    <row r="30" spans="1:29" x14ac:dyDescent="0.25">
      <c r="A30" s="4">
        <f t="shared" si="13"/>
        <v>44501</v>
      </c>
      <c r="C30">
        <f t="shared" si="12"/>
        <v>11</v>
      </c>
      <c r="D30">
        <f t="shared" si="14"/>
        <v>30</v>
      </c>
      <c r="Q30" s="4">
        <f t="shared" si="4"/>
        <v>44531</v>
      </c>
      <c r="R30">
        <f t="shared" si="5"/>
        <v>12</v>
      </c>
      <c r="S30" s="149">
        <f t="shared" si="6"/>
        <v>3.3693580645161285</v>
      </c>
      <c r="T30" s="149">
        <f t="shared" si="7"/>
        <v>3.4427741935483867</v>
      </c>
      <c r="U30" s="149">
        <f t="shared" si="8"/>
        <v>3.0728225806451612</v>
      </c>
      <c r="V30" s="149">
        <f t="shared" si="9"/>
        <v>3.5877677419354841</v>
      </c>
      <c r="X30" s="4">
        <f t="shared" si="10"/>
        <v>44531</v>
      </c>
      <c r="Y30">
        <f t="shared" si="11"/>
        <v>12</v>
      </c>
      <c r="Z30" s="127">
        <f>HLOOKUP(Z$18,Data!$T$4:$Z$19,ROW()-17,FALSE)*VLOOKUP($Y30,$C$20:$D$31,2,FALSE)*S30</f>
        <v>9042036.2567999978</v>
      </c>
      <c r="AA30" s="127">
        <f>HLOOKUP(AA$18,Data!$T$4:$Z$19,ROW()-17,FALSE)*VLOOKUP($Y30,$C$20:$D$31,2,FALSE)*T30</f>
        <v>4434465.3</v>
      </c>
      <c r="AB30" s="127">
        <f>HLOOKUP(AB$18,Data!$T$4:$Z$19,ROW()-17,FALSE)*VLOOKUP($Y30,$C$20:$D$31,2,FALSE)*U30</f>
        <v>4236196.2824999997</v>
      </c>
      <c r="AC30" s="127">
        <f>HLOOKUP(AC$18,Data!$T$4:$Z$19,ROW()-17,FALSE)*VLOOKUP($Y30,$C$20:$D$31,2,FALSE)*V30</f>
        <v>3105395.9568000003</v>
      </c>
    </row>
    <row r="31" spans="1:29" x14ac:dyDescent="0.25">
      <c r="A31" s="4">
        <f t="shared" si="13"/>
        <v>44531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44562</v>
      </c>
      <c r="S32" s="127"/>
    </row>
    <row r="33" spans="19:19" x14ac:dyDescent="0.25">
      <c r="S33" s="127"/>
    </row>
  </sheetData>
  <mergeCells count="20">
    <mergeCell ref="N2:N3"/>
    <mergeCell ref="O2:O3"/>
    <mergeCell ref="S2:V2"/>
    <mergeCell ref="Z2:AC2"/>
    <mergeCell ref="S17:V17"/>
    <mergeCell ref="Z17:AC17"/>
    <mergeCell ref="A1:C1"/>
    <mergeCell ref="A2:A3"/>
    <mergeCell ref="B2:B3"/>
    <mergeCell ref="C2:C3"/>
    <mergeCell ref="E1:G1"/>
    <mergeCell ref="E2:E3"/>
    <mergeCell ref="F2:F3"/>
    <mergeCell ref="G2:G3"/>
    <mergeCell ref="I1:K1"/>
    <mergeCell ref="I2:I3"/>
    <mergeCell ref="J2:J3"/>
    <mergeCell ref="K2:K3"/>
    <mergeCell ref="M1:O1"/>
    <mergeCell ref="M2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ECA3-FFCA-4909-9E6C-C3FCBE3FC9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L33"/>
  <sheetViews>
    <sheetView workbookViewId="0">
      <selection sqref="A1:O18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</cols>
  <sheetData>
    <row r="1" spans="1:38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38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38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0.57163313793036397</v>
      </c>
      <c r="E4" s="136" t="s">
        <v>72</v>
      </c>
      <c r="F4" s="137"/>
      <c r="G4">
        <v>0.61391732022805401</v>
      </c>
      <c r="I4" s="136" t="s">
        <v>72</v>
      </c>
      <c r="J4" s="137"/>
      <c r="K4">
        <v>0.44559813073420601</v>
      </c>
      <c r="M4" s="136" t="s">
        <v>72</v>
      </c>
      <c r="N4" s="137"/>
      <c r="O4">
        <v>0.43952827106208298</v>
      </c>
      <c r="Q4" s="4">
        <f>Data!A1</f>
        <v>44197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44197</v>
      </c>
      <c r="Y4">
        <f>MONTH(X4)</f>
        <v>1</v>
      </c>
      <c r="Z4" s="148">
        <f>HLOOKUP(Z$3,Data!$AU$4:$BA$19,(ROW())-2,FALSE)/VLOOKUP($Y4,$C$21:$D$32,2,FALSE)</f>
        <v>17.032258064516128</v>
      </c>
      <c r="AA4" s="148">
        <f>HLOOKUP(AA$3,Data!$AU$4:$BA$19,ROW()-2,FALSE)/VLOOKUP($Y4,$C$21:$D$32,2,FALSE)</f>
        <v>16.661290322580644</v>
      </c>
      <c r="AB4" s="148">
        <f>HLOOKUP(AB$3,Data!$AU$4:$BA$19,ROW()-2,FALSE)/VLOOKUP($Y4,$C$21:$D$32,2,FALSE)</f>
        <v>20.193548387096776</v>
      </c>
      <c r="AC4" s="148">
        <f>HLOOKUP(AC$3,Data!$AU$4:$BA$19,ROW()-2,FALSE)/VLOOKUP($Y4,$C$21:$D$32,2,FALSE)</f>
        <v>23.93548387096774</v>
      </c>
      <c r="AE4" s="4">
        <f>X4</f>
        <v>44197</v>
      </c>
      <c r="AF4" s="127">
        <f>($C$4+($C6*$S4)+($C$5*AJ4))*HLOOKUP(Z$18,Data!$T$4:$Z$16,(ROW())-2,FALSE)*VLOOKUP($Y19,$C$21:$D$32,2,FALSE)</f>
        <v>9677873.1016631089</v>
      </c>
      <c r="AG4" s="127">
        <f>($G$4+($G6*$T4)+($G$5*AJ4))*HLOOKUP(AA$18,Data!$T$4:$Z$16,(ROW())-2,FALSE)*VLOOKUP($Y19,$C$21:$D$32,2,FALSE)</f>
        <v>4349404.4918157086</v>
      </c>
      <c r="AH4" s="127">
        <f>($K$4+($K6*$U4)+($K$5*AJ4))*HLOOKUP(AB$18,Data!$T$4:$Z$16,(ROW())-2,FALSE)*VLOOKUP($Y19,$C$21:$D$32,2,FALSE)</f>
        <v>4433761.7169481469</v>
      </c>
      <c r="AI4" s="127">
        <f>($O$4+($O6*$V4)+($O$5*AJ4))*HLOOKUP(AC$18,Data!$T$4:$Z$16,(ROW())-2,FALSE)*VLOOKUP($Y19,$C$21:$D$32,2,FALSE)</f>
        <v>3520705.7954252055</v>
      </c>
      <c r="AJ4">
        <v>109</v>
      </c>
      <c r="AL4" s="72">
        <f>SUM(AF4:AI4)</f>
        <v>21981745.105852172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44228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44228</v>
      </c>
      <c r="Y5">
        <f t="shared" ref="Y5:Y15" si="2">MONTH(X5)</f>
        <v>2</v>
      </c>
      <c r="Z5" s="148">
        <f>HLOOKUP(Z$3,Data!$AU$4:$BA$19,ROW()-2,FALSE)/VLOOKUP($Y5,$C$21:$D$32,2,FALSE)</f>
        <v>21.392857142857142</v>
      </c>
      <c r="AA5" s="148">
        <f>HLOOKUP(AA$3,Data!$AU$4:$BA$19,ROW()-2,FALSE)/VLOOKUP($Y5,$C$21:$D$32,2,FALSE)</f>
        <v>18.714285714285715</v>
      </c>
      <c r="AB5" s="148">
        <f>HLOOKUP(AB$3,Data!$AU$4:$BA$19,ROW()-2,FALSE)/VLOOKUP($Y5,$C$21:$D$32,2,FALSE)</f>
        <v>25.214285714285715</v>
      </c>
      <c r="AC5" s="148">
        <f>HLOOKUP(AC$3,Data!$AU$4:$BA$19,ROW()-2,FALSE)/VLOOKUP($Y5,$C$21:$D$32,2,FALSE)</f>
        <v>25.196428571428573</v>
      </c>
      <c r="AE5" s="4">
        <f t="shared" ref="AE5:AE15" si="3">X5</f>
        <v>44228</v>
      </c>
      <c r="AF5" s="127">
        <f>($C$4+($C7*$S5)+($C$5*AJ5))*HLOOKUP(Z$18,Data!$T$4:$Z$16,(ROW())-2,FALSE)*VLOOKUP($Y20,$C$21:$D$32,2,FALSE)</f>
        <v>7739580.6497166343</v>
      </c>
      <c r="AG5" s="127">
        <f>($G$4+($G7*$T5)+($G$5*AJ5))*HLOOKUP(AA$18,Data!$T$4:$Z$16,(ROW())-2,FALSE)*VLOOKUP($Y20,$C$21:$D$32,2,FALSE)</f>
        <v>3583847.5326101636</v>
      </c>
      <c r="AH5" s="127">
        <f>($K$4+($K7*$U5)+($K$5*AJ5))*HLOOKUP(AB$18,Data!$T$4:$Z$16,(ROW())-2,FALSE)*VLOOKUP($Y20,$C$21:$D$32,2,FALSE)</f>
        <v>3604399.2477024863</v>
      </c>
      <c r="AI5" s="127">
        <f>($O$4+($O7*$V5)+($O$5*AJ5))*HLOOKUP(AC$18,Data!$T$4:$Z$16,(ROW())-2,FALSE)*VLOOKUP($Y20,$C$21:$D$32,2,FALSE)</f>
        <v>2770783.4871340878</v>
      </c>
      <c r="AJ5">
        <v>110</v>
      </c>
      <c r="AL5" s="72">
        <f t="shared" ref="AL5:AL15" si="4">SUM(AF5:AI5)</f>
        <v>17698610.917163372</v>
      </c>
    </row>
    <row r="6" spans="1:38" x14ac:dyDescent="0.25">
      <c r="A6" s="136">
        <v>1</v>
      </c>
      <c r="B6" s="137"/>
      <c r="C6">
        <v>0.14724441563971699</v>
      </c>
      <c r="E6" s="136">
        <v>1</v>
      </c>
      <c r="F6" s="137"/>
      <c r="G6">
        <v>0.148474634946793</v>
      </c>
      <c r="I6" s="136">
        <v>1</v>
      </c>
      <c r="J6" s="137"/>
      <c r="K6">
        <v>0.116267560940969</v>
      </c>
      <c r="M6" s="136">
        <v>1</v>
      </c>
      <c r="N6" s="137"/>
      <c r="O6">
        <v>0.126442137990606</v>
      </c>
      <c r="Q6" s="4">
        <f t="shared" ref="Q6:Q15" si="5">DATE(YEAR(Q5),MONTH(Q5)+1,1)</f>
        <v>44256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44256</v>
      </c>
      <c r="Y6">
        <f t="shared" si="2"/>
        <v>3</v>
      </c>
      <c r="Z6" s="148">
        <f>HLOOKUP(Z$3,Data!$AU$4:$BA$19,ROW()-2,FALSE)/VLOOKUP($Y6,$C$21:$D$32,2,FALSE)</f>
        <v>15.17741935483871</v>
      </c>
      <c r="AA6" s="148">
        <f>HLOOKUP(AA$3,Data!$AU$4:$BA$19,ROW()-2,FALSE)/VLOOKUP($Y6,$C$21:$D$32,2,FALSE)</f>
        <v>16.403225806451612</v>
      </c>
      <c r="AB6" s="148">
        <f>HLOOKUP(AB$3,Data!$AU$4:$BA$19,ROW()-2,FALSE)/VLOOKUP($Y6,$C$21:$D$32,2,FALSE)</f>
        <v>14.258064516129032</v>
      </c>
      <c r="AC6" s="148">
        <f>HLOOKUP(AC$3,Data!$AU$4:$BA$19,ROW()-2,FALSE)/VLOOKUP($Y6,$C$21:$D$32,2,FALSE)</f>
        <v>16.112903225806452</v>
      </c>
      <c r="AE6" s="4">
        <f t="shared" si="3"/>
        <v>44256</v>
      </c>
      <c r="AF6" s="127">
        <f>($C$4+($C8*$S6)+($C$5*AJ6))*HLOOKUP(Z$18,Data!$T$4:$Z$16,(ROW())-2,FALSE)*VLOOKUP($Y21,$C$21:$D$32,2,FALSE)</f>
        <v>6836851.066527565</v>
      </c>
      <c r="AG6" s="127">
        <f>($G$4+($G8*$T6)+($G$5*AJ6))*HLOOKUP(AA$18,Data!$T$4:$Z$16,(ROW())-2,FALSE)*VLOOKUP($Y21,$C$21:$D$32,2,FALSE)</f>
        <v>3010341.4687669827</v>
      </c>
      <c r="AH6" s="127">
        <f>($K$4+($K8*$U6)+($K$5*AJ6))*HLOOKUP(AB$18,Data!$T$4:$Z$16,(ROW())-2,FALSE)*VLOOKUP($Y21,$C$21:$D$32,2,FALSE)</f>
        <v>2821126.5425831871</v>
      </c>
      <c r="AI6" s="127">
        <f>($O$4+($O8*$V6)+($O$5*AJ6))*HLOOKUP(AC$18,Data!$T$4:$Z$16,(ROW())-2,FALSE)*VLOOKUP($Y21,$C$21:$D$32,2,FALSE)</f>
        <v>2170857.4580233851</v>
      </c>
      <c r="AJ6">
        <v>111</v>
      </c>
      <c r="AL6" s="72">
        <f t="shared" si="4"/>
        <v>14839176.535901118</v>
      </c>
    </row>
    <row r="7" spans="1:38" x14ac:dyDescent="0.25">
      <c r="A7" s="136">
        <v>2</v>
      </c>
      <c r="B7" s="137"/>
      <c r="C7">
        <v>0.13736096226345801</v>
      </c>
      <c r="E7" s="136">
        <v>2</v>
      </c>
      <c r="F7" s="137"/>
      <c r="G7">
        <v>0.140516054326841</v>
      </c>
      <c r="I7" s="136">
        <v>2</v>
      </c>
      <c r="J7" s="137"/>
      <c r="K7">
        <v>0.120290040260133</v>
      </c>
      <c r="M7" s="136">
        <v>2</v>
      </c>
      <c r="N7" s="137"/>
      <c r="O7">
        <v>0.13129623757011699</v>
      </c>
      <c r="Q7" s="4">
        <f t="shared" si="5"/>
        <v>44287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44287</v>
      </c>
      <c r="Y7">
        <f t="shared" si="2"/>
        <v>4</v>
      </c>
      <c r="Z7" s="148">
        <f>HLOOKUP(Z$3,Data!$AU$4:$BA$19,ROW()-2,FALSE)/VLOOKUP($Y7,$C$21:$D$32,2,FALSE)</f>
        <v>9.3000000000000007</v>
      </c>
      <c r="AA7" s="148">
        <f>HLOOKUP(AA$3,Data!$AU$4:$BA$19,ROW()-2,FALSE)/VLOOKUP($Y7,$C$21:$D$32,2,FALSE)</f>
        <v>11.466666666666667</v>
      </c>
      <c r="AB7" s="148">
        <f>HLOOKUP(AB$3,Data!$AU$4:$BA$19,ROW()-2,FALSE)/VLOOKUP($Y7,$C$21:$D$32,2,FALSE)</f>
        <v>7.916666666666667</v>
      </c>
      <c r="AC7" s="148">
        <f>HLOOKUP(AC$3,Data!$AU$4:$BA$19,ROW()-2,FALSE)/VLOOKUP($Y7,$C$21:$D$32,2,FALSE)</f>
        <v>9.1333333333333329</v>
      </c>
      <c r="AE7" s="4">
        <f t="shared" si="3"/>
        <v>44287</v>
      </c>
      <c r="AF7" s="127">
        <f>($C$4+($C9*$S7)+($C$5*AJ7))*HLOOKUP(Z$18,Data!$T$4:$Z$16,(ROW())-2,FALSE)*VLOOKUP($Y22,$C$21:$D$32,2,FALSE)</f>
        <v>4633748.8400602676</v>
      </c>
      <c r="AG7" s="127">
        <f>($G$4+($G9*$T7)+($G$5*AJ7))*HLOOKUP(AA$18,Data!$T$4:$Z$16,(ROW())-2,FALSE)*VLOOKUP($Y22,$C$21:$D$32,2,FALSE)</f>
        <v>2100292.4023377122</v>
      </c>
      <c r="AH7" s="127">
        <f>($K$4+($K9*$U7)+($K$5*AJ7))*HLOOKUP(AB$18,Data!$T$4:$Z$16,(ROW())-2,FALSE)*VLOOKUP($Y22,$C$21:$D$32,2,FALSE)</f>
        <v>1603801.9699927755</v>
      </c>
      <c r="AI7" s="127">
        <f>($O$4+($O9*$V7)+($O$5*AJ7))*HLOOKUP(AC$18,Data!$T$4:$Z$16,(ROW())-2,FALSE)*VLOOKUP($Y22,$C$21:$D$32,2,FALSE)</f>
        <v>1369963.1956772038</v>
      </c>
      <c r="AJ7">
        <v>112</v>
      </c>
      <c r="AL7" s="72">
        <f t="shared" si="4"/>
        <v>9707806.4080679584</v>
      </c>
    </row>
    <row r="8" spans="1:38" x14ac:dyDescent="0.25">
      <c r="A8" s="136">
        <v>3</v>
      </c>
      <c r="B8" s="137"/>
      <c r="C8">
        <v>0.12657837385187501</v>
      </c>
      <c r="E8" s="136">
        <v>3</v>
      </c>
      <c r="F8" s="137"/>
      <c r="G8">
        <v>0.12407428506161999</v>
      </c>
      <c r="I8" s="136">
        <v>3</v>
      </c>
      <c r="J8" s="137"/>
      <c r="K8">
        <v>0.119295866024671</v>
      </c>
      <c r="M8" s="136">
        <v>3</v>
      </c>
      <c r="N8" s="137"/>
      <c r="O8">
        <v>0.123974006976557</v>
      </c>
      <c r="Q8" s="4">
        <f t="shared" si="5"/>
        <v>44317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44317</v>
      </c>
      <c r="Y8">
        <f t="shared" si="2"/>
        <v>5</v>
      </c>
      <c r="Z8" s="148">
        <f>HLOOKUP(Z$3,Data!$AU$4:$BA$19,ROW()-2,FALSE)/VLOOKUP($Y8,$C$21:$D$32,2,FALSE)</f>
        <v>5.112903225806452</v>
      </c>
      <c r="AA8" s="148">
        <f>HLOOKUP(AA$3,Data!$AU$4:$BA$19,ROW()-2,FALSE)/VLOOKUP($Y8,$C$21:$D$32,2,FALSE)</f>
        <v>7.82258064516129</v>
      </c>
      <c r="AB8" s="148">
        <f>HLOOKUP(AB$3,Data!$AU$4:$BA$19,ROW()-2,FALSE)/VLOOKUP($Y8,$C$21:$D$32,2,FALSE)</f>
        <v>2.370967741935484</v>
      </c>
      <c r="AC8" s="148">
        <f>HLOOKUP(AC$3,Data!$AU$4:$BA$19,ROW()-2,FALSE)/VLOOKUP($Y8,$C$21:$D$32,2,FALSE)</f>
        <v>2.903225806451613</v>
      </c>
      <c r="AE8" s="4">
        <f t="shared" si="3"/>
        <v>44317</v>
      </c>
      <c r="AF8" s="127">
        <f>($C$4+($C10*$S8)+($C$5*AJ8))*HLOOKUP(Z$18,Data!$T$4:$Z$16,(ROW())-2,FALSE)*VLOOKUP($Y23,$C$21:$D$32,2,FALSE)</f>
        <v>3199999.0917709135</v>
      </c>
      <c r="AG8" s="127">
        <f>($G$4+($G10*$T8)+($G$5*AJ8))*HLOOKUP(AA$18,Data!$T$4:$Z$16,(ROW())-2,FALSE)*VLOOKUP($Y23,$C$21:$D$32,2,FALSE)</f>
        <v>1275887.2674248058</v>
      </c>
      <c r="AH8" s="127">
        <f>($K$4+($K10*$U8)+($K$5*AJ8))*HLOOKUP(AB$18,Data!$T$4:$Z$16,(ROW())-2,FALSE)*VLOOKUP($Y23,$C$21:$D$32,2,FALSE)</f>
        <v>936331.34904188337</v>
      </c>
      <c r="AI8" s="127">
        <f>($O$4+($O10*$V8)+($O$5*AJ8))*HLOOKUP(AC$18,Data!$T$4:$Z$16,(ROW())-2,FALSE)*VLOOKUP($Y23,$C$21:$D$32,2,FALSE)</f>
        <v>787625.36259630462</v>
      </c>
      <c r="AJ8">
        <v>113</v>
      </c>
      <c r="AL8" s="72">
        <f t="shared" si="4"/>
        <v>6199843.0708339084</v>
      </c>
    </row>
    <row r="9" spans="1:38" x14ac:dyDescent="0.25">
      <c r="A9" s="136">
        <v>4</v>
      </c>
      <c r="B9" s="137"/>
      <c r="C9">
        <v>0.10550257348228299</v>
      </c>
      <c r="E9" s="136">
        <v>4</v>
      </c>
      <c r="F9" s="137"/>
      <c r="G9">
        <v>0.107256116649045</v>
      </c>
      <c r="I9" s="136">
        <v>4</v>
      </c>
      <c r="J9" s="137"/>
      <c r="K9">
        <v>9.5959088675898793E-2</v>
      </c>
      <c r="M9" s="136">
        <v>4</v>
      </c>
      <c r="N9" s="137"/>
      <c r="O9">
        <v>0.110111489309472</v>
      </c>
      <c r="Q9" s="4">
        <f t="shared" si="5"/>
        <v>44348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44348</v>
      </c>
      <c r="Y9">
        <f t="shared" si="2"/>
        <v>6</v>
      </c>
      <c r="Z9" s="148">
        <f>HLOOKUP(Z$3,Data!$AU$4:$BA$19,ROW()-2,FALSE)/VLOOKUP($Y9,$C$21:$D$32,2,FALSE)</f>
        <v>1.0833333333333333</v>
      </c>
      <c r="AA9" s="148">
        <f>HLOOKUP(AA$3,Data!$AU$4:$BA$19,ROW()-2,FALSE)/VLOOKUP($Y9,$C$21:$D$32,2,FALSE)</f>
        <v>1.4833333333333334</v>
      </c>
      <c r="AB9" s="148">
        <f>HLOOKUP(AB$3,Data!$AU$4:$BA$19,ROW()-2,FALSE)/VLOOKUP($Y9,$C$21:$D$32,2,FALSE)</f>
        <v>0.31666666666666665</v>
      </c>
      <c r="AC9" s="148">
        <f>HLOOKUP(AC$3,Data!$AU$4:$BA$19,ROW()-2,FALSE)/VLOOKUP($Y9,$C$21:$D$32,2,FALSE)</f>
        <v>0.48333333333333334</v>
      </c>
      <c r="AE9" s="4">
        <f t="shared" si="3"/>
        <v>44348</v>
      </c>
      <c r="AF9" s="127">
        <f>($C$4+($C11*$S9)+($C$5*AJ9))*HLOOKUP(Z$18,Data!$T$4:$Z$16,(ROW())-2,FALSE)*VLOOKUP($Y24,$C$21:$D$32,2,FALSE)</f>
        <v>1946382.9155954069</v>
      </c>
      <c r="AG9" s="127">
        <f>($G$4+($G11*$T9)+($G$5*AJ9))*HLOOKUP(AA$18,Data!$T$4:$Z$16,(ROW())-2,FALSE)*VLOOKUP($Y24,$C$21:$D$32,2,FALSE)</f>
        <v>755412.98419421585</v>
      </c>
      <c r="AH9" s="127">
        <f>($K$4+($K11*$U9)+($K$5*AJ9))*HLOOKUP(AB$18,Data!$T$4:$Z$16,(ROW())-2,FALSE)*VLOOKUP($Y24,$C$21:$D$32,2,FALSE)</f>
        <v>585756.56677534315</v>
      </c>
      <c r="AI9" s="127">
        <f>($O$4+($O11*$V9)+($O$5*AJ9))*HLOOKUP(AC$18,Data!$T$4:$Z$16,(ROW())-2,FALSE)*VLOOKUP($Y24,$C$21:$D$32,2,FALSE)</f>
        <v>362610.82362621848</v>
      </c>
      <c r="AJ9">
        <v>114</v>
      </c>
      <c r="AL9" s="72">
        <f t="shared" si="4"/>
        <v>3650163.2901911847</v>
      </c>
    </row>
    <row r="10" spans="1:38" x14ac:dyDescent="0.25">
      <c r="A10" s="136">
        <v>5</v>
      </c>
      <c r="B10" s="137"/>
      <c r="C10">
        <v>9.8793353090582403E-2</v>
      </c>
      <c r="E10" s="136">
        <v>5</v>
      </c>
      <c r="F10" s="137"/>
      <c r="G10">
        <v>7.5420531695273602E-2</v>
      </c>
      <c r="I10" s="136">
        <v>5</v>
      </c>
      <c r="J10" s="137"/>
      <c r="K10">
        <v>7.5059228598924499E-2</v>
      </c>
      <c r="M10" s="136">
        <v>5</v>
      </c>
      <c r="N10" s="137"/>
      <c r="O10">
        <v>0.10394248212115501</v>
      </c>
      <c r="Q10" s="4">
        <f t="shared" si="5"/>
        <v>44378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44378</v>
      </c>
      <c r="Y10">
        <f t="shared" si="2"/>
        <v>7</v>
      </c>
      <c r="Z10" s="148">
        <f>HLOOKUP(Z$3,Data!$AU$4:$BA$19,ROW()-2,FALSE)/VLOOKUP($Y10,$C$21:$D$32,2,FALSE)</f>
        <v>0</v>
      </c>
      <c r="AA10" s="148">
        <f>HLOOKUP(AA$3,Data!$AU$4:$BA$19,ROW()-2,FALSE)/VLOOKUP($Y10,$C$21:$D$32,2,FALSE)</f>
        <v>8.0645161290322578E-2</v>
      </c>
      <c r="AB10" s="148">
        <f>HLOOKUP(AB$3,Data!$AU$4:$BA$19,ROW()-2,FALSE)/VLOOKUP($Y10,$C$21:$D$32,2,FALSE)</f>
        <v>0</v>
      </c>
      <c r="AC10" s="148">
        <f>HLOOKUP(AC$3,Data!$AU$4:$BA$19,ROW()-2,FALSE)/VLOOKUP($Y10,$C$21:$D$32,2,FALSE)</f>
        <v>0</v>
      </c>
      <c r="AE10" s="4">
        <f t="shared" si="3"/>
        <v>44378</v>
      </c>
      <c r="AF10" s="127">
        <f>($C$4+($C12*$S10)+($C$5*AJ10))*HLOOKUP(Z$18,Data!$T$4:$Z$16,(ROW())-2,FALSE)*VLOOKUP($Y25,$C$21:$D$32,2,FALSE)</f>
        <v>1523530.9300404543</v>
      </c>
      <c r="AG10" s="127">
        <f>($G$4+($G12*$T10)+($G$5*AJ10))*HLOOKUP(AA$18,Data!$T$4:$Z$16,(ROW())-2,FALSE)*VLOOKUP($Y25,$C$21:$D$32,2,FALSE)</f>
        <v>780993.0771761582</v>
      </c>
      <c r="AH10" s="127">
        <f>($K$4+($K12*$U10)+($K$5*AJ10))*HLOOKUP(AB$18,Data!$T$4:$Z$16,(ROW())-2,FALSE)*VLOOKUP($Y25,$C$21:$D$32,2,FALSE)</f>
        <v>605779.07318175398</v>
      </c>
      <c r="AI10" s="127">
        <f>($O$4+($O12*$V10)+($O$5*AJ10))*HLOOKUP(AC$18,Data!$T$4:$Z$16,(ROW())-2,FALSE)*VLOOKUP($Y25,$C$21:$D$32,2,FALSE)</f>
        <v>373907.57924905611</v>
      </c>
      <c r="AJ10">
        <v>115</v>
      </c>
      <c r="AL10" s="72">
        <f t="shared" si="4"/>
        <v>3284210.6596474224</v>
      </c>
    </row>
    <row r="11" spans="1:38" x14ac:dyDescent="0.25">
      <c r="A11" s="136">
        <v>6</v>
      </c>
      <c r="B11" s="137"/>
      <c r="C11">
        <v>7.3118555892515896E-2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44409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44409</v>
      </c>
      <c r="Y11">
        <f t="shared" si="2"/>
        <v>8</v>
      </c>
      <c r="Z11" s="148">
        <f>HLOOKUP(Z$3,Data!$AU$4:$BA$19,ROW()-2,FALSE)/VLOOKUP($Y11,$C$21:$D$32,2,FALSE)</f>
        <v>0.29032258064516131</v>
      </c>
      <c r="AA11" s="148">
        <f>HLOOKUP(AA$3,Data!$AU$4:$BA$19,ROW()-2,FALSE)/VLOOKUP($Y11,$C$21:$D$32,2,FALSE)</f>
        <v>0.11290322580645161</v>
      </c>
      <c r="AB11" s="148">
        <f>HLOOKUP(AB$3,Data!$AU$4:$BA$19,ROW()-2,FALSE)/VLOOKUP($Y11,$C$21:$D$32,2,FALSE)</f>
        <v>0</v>
      </c>
      <c r="AC11" s="148">
        <f>HLOOKUP(AC$3,Data!$AU$4:$BA$19,ROW()-2,FALSE)/VLOOKUP($Y11,$C$21:$D$32,2,FALSE)</f>
        <v>1.6129032258064516E-2</v>
      </c>
      <c r="AE11" s="4">
        <f t="shared" si="3"/>
        <v>44409</v>
      </c>
      <c r="AF11" s="127">
        <f>($C$4+($C13*$S11)+($C$5*AJ11))*HLOOKUP(Z$18,Data!$T$4:$Z$16,(ROW())-2,FALSE)*VLOOKUP($Y26,$C$21:$D$32,2,FALSE)</f>
        <v>1523956.2250950744</v>
      </c>
      <c r="AG11" s="127">
        <f>($G$4+($G13*$T11)+($G$5*AJ11))*HLOOKUP(AA$18,Data!$T$4:$Z$16,(ROW())-2,FALSE)*VLOOKUP($Y26,$C$21:$D$32,2,FALSE)</f>
        <v>501502.93179639534</v>
      </c>
      <c r="AH11" s="127">
        <f>($K$4+($K13*$U11)+($K$5*AJ11))*HLOOKUP(AB$18,Data!$T$4:$Z$16,(ROW())-2,FALSE)*VLOOKUP($Y26,$C$21:$D$32,2,FALSE)</f>
        <v>606621.69924697245</v>
      </c>
      <c r="AI11" s="127">
        <f>($O$4+($O13*$V11)+($O$5*AJ11))*HLOOKUP(AC$18,Data!$T$4:$Z$16,(ROW())-2,FALSE)*VLOOKUP($Y26,$C$21:$D$32,2,FALSE)</f>
        <v>374084.70914229413</v>
      </c>
      <c r="AJ11">
        <v>116</v>
      </c>
      <c r="AL11" s="72">
        <f t="shared" si="4"/>
        <v>3006165.5652807364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44440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44440</v>
      </c>
      <c r="Y12">
        <f t="shared" si="2"/>
        <v>9</v>
      </c>
      <c r="Z12" s="148">
        <f>HLOOKUP(Z$3,Data!$AU$4:$BA$19,ROW()-2,FALSE)/VLOOKUP($Y12,$C$21:$D$32,2,FALSE)</f>
        <v>1.6666666666666667</v>
      </c>
      <c r="AA12" s="148">
        <f>HLOOKUP(AA$3,Data!$AU$4:$BA$19,ROW()-2,FALSE)/VLOOKUP($Y12,$C$21:$D$32,2,FALSE)</f>
        <v>0.91666666666666663</v>
      </c>
      <c r="AB12" s="148">
        <f>HLOOKUP(AB$3,Data!$AU$4:$BA$19,ROW()-2,FALSE)/VLOOKUP($Y12,$C$21:$D$32,2,FALSE)</f>
        <v>0.26666666666666666</v>
      </c>
      <c r="AC12" s="148">
        <f>HLOOKUP(AC$3,Data!$AU$4:$BA$19,ROW()-2,FALSE)/VLOOKUP($Y12,$C$21:$D$32,2,FALSE)</f>
        <v>1.35</v>
      </c>
      <c r="AE12" s="4">
        <f t="shared" si="3"/>
        <v>44440</v>
      </c>
      <c r="AF12" s="127">
        <f>($C$4+($C14*$S12)+($C$5*AJ12))*HLOOKUP(Z$18,Data!$T$4:$Z$16,(ROW())-2,FALSE)*VLOOKUP($Y27,$C$21:$D$32,2,FALSE)</f>
        <v>2176496.1878420576</v>
      </c>
      <c r="AG12" s="127">
        <f>($G$4+($G14*$T12)+($G$5*AJ12))*HLOOKUP(AA$18,Data!$T$4:$Z$16,(ROW())-2,FALSE)*VLOOKUP($Y27,$C$21:$D$32,2,FALSE)</f>
        <v>758820.22532148159</v>
      </c>
      <c r="AH12" s="127">
        <f>($K$4+($K14*$U12)+($K$5*AJ12))*HLOOKUP(AB$18,Data!$T$4:$Z$16,(ROW())-2,FALSE)*VLOOKUP($Y27,$C$21:$D$32,2,FALSE)</f>
        <v>588644.04266250087</v>
      </c>
      <c r="AI12" s="127">
        <f>($O$4+($O14*$V12)+($O$5*AJ12))*HLOOKUP(AC$18,Data!$T$4:$Z$16,(ROW())-2,FALSE)*VLOOKUP($Y27,$C$21:$D$32,2,FALSE)</f>
        <v>362742.68210753705</v>
      </c>
      <c r="AJ12">
        <v>117</v>
      </c>
      <c r="AL12" s="72">
        <f t="shared" si="4"/>
        <v>3886703.1379335769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-1.7082451787148101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44470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44470</v>
      </c>
      <c r="Y13">
        <f t="shared" si="2"/>
        <v>10</v>
      </c>
      <c r="Z13" s="148">
        <f>HLOOKUP(Z$3,Data!$AU$4:$BA$19,ROW()-2,FALSE)/VLOOKUP($Y13,$C$21:$D$32,2,FALSE)</f>
        <v>9.193548387096774</v>
      </c>
      <c r="AA13" s="148">
        <f>HLOOKUP(AA$3,Data!$AU$4:$BA$19,ROW()-2,FALSE)/VLOOKUP($Y13,$C$21:$D$32,2,FALSE)</f>
        <v>6.887096774193548</v>
      </c>
      <c r="AB13" s="148">
        <f>HLOOKUP(AB$3,Data!$AU$4:$BA$19,ROW()-2,FALSE)/VLOOKUP($Y13,$C$21:$D$32,2,FALSE)</f>
        <v>6.612903225806452</v>
      </c>
      <c r="AC13" s="148">
        <f>HLOOKUP(AC$3,Data!$AU$4:$BA$19,ROW()-2,FALSE)/VLOOKUP($Y13,$C$21:$D$32,2,FALSE)</f>
        <v>10.306451612903226</v>
      </c>
      <c r="AE13" s="4">
        <f t="shared" si="3"/>
        <v>44470</v>
      </c>
      <c r="AF13" s="127">
        <f>($C$4+($C15*$S13)+($C$5*AJ13))*HLOOKUP(Z$18,Data!$T$4:$Z$16,(ROW())-2,FALSE)*VLOOKUP($Y28,$C$21:$D$32,2,FALSE)</f>
        <v>4933413.4240177739</v>
      </c>
      <c r="AG13" s="127">
        <f>($G$4+($G15*$T13)+($G$5*AJ13))*HLOOKUP(AA$18,Data!$T$4:$Z$16,(ROW())-2,FALSE)*VLOOKUP($Y28,$C$21:$D$32,2,FALSE)</f>
        <v>2181116.538105147</v>
      </c>
      <c r="AH13" s="127">
        <f>($K$4+($K15*$U13)+($K$5*AJ13))*HLOOKUP(AB$18,Data!$T$4:$Z$16,(ROW())-2,FALSE)*VLOOKUP($Y28,$C$21:$D$32,2,FALSE)</f>
        <v>1341871.3502900461</v>
      </c>
      <c r="AI13" s="127">
        <f>($O$4+($O15*$V13)+($O$5*AJ13))*HLOOKUP(AC$18,Data!$T$4:$Z$16,(ROW())-2,FALSE)*VLOOKUP($Y28,$C$21:$D$32,2,FALSE)</f>
        <v>975320.22647917643</v>
      </c>
      <c r="AJ13">
        <v>118</v>
      </c>
      <c r="AL13" s="72">
        <f t="shared" si="4"/>
        <v>9431721.5388921425</v>
      </c>
    </row>
    <row r="14" spans="1:38" x14ac:dyDescent="0.25">
      <c r="A14" s="136">
        <v>9</v>
      </c>
      <c r="B14" s="137"/>
      <c r="C14">
        <v>7.8113813985535505E-2</v>
      </c>
      <c r="E14" s="136">
        <v>9</v>
      </c>
      <c r="F14" s="137"/>
      <c r="G14">
        <v>0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5"/>
        <v>44501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44501</v>
      </c>
      <c r="Y14">
        <f t="shared" si="2"/>
        <v>11</v>
      </c>
      <c r="Z14" s="148">
        <f>HLOOKUP(Z$3,Data!$AU$4:$BA$19,ROW()-2,FALSE)/VLOOKUP($Y14,$C$21:$D$32,2,FALSE)</f>
        <v>13.05</v>
      </c>
      <c r="AA14" s="148">
        <f>HLOOKUP(AA$3,Data!$AU$4:$BA$19,ROW()-2,FALSE)/VLOOKUP($Y14,$C$21:$D$32,2,FALSE)</f>
        <v>10.9</v>
      </c>
      <c r="AB14" s="148">
        <f>HLOOKUP(AB$3,Data!$AU$4:$BA$19,ROW()-2,FALSE)/VLOOKUP($Y14,$C$21:$D$32,2,FALSE)</f>
        <v>14.816666666666666</v>
      </c>
      <c r="AC14" s="148">
        <f>HLOOKUP(AC$3,Data!$AU$4:$BA$19,ROW()-2,FALSE)/VLOOKUP($Y14,$C$21:$D$32,2,FALSE)</f>
        <v>18.133333333333333</v>
      </c>
      <c r="AE14" s="4">
        <f t="shared" si="3"/>
        <v>44501</v>
      </c>
      <c r="AF14" s="127">
        <f>($C$4+($C16*$S14)+($C$5*AJ14))*HLOOKUP(Z$18,Data!$T$4:$Z$16,(ROW())-2,FALSE)*VLOOKUP($Y29,$C$21:$D$32,2,FALSE)</f>
        <v>8796995.4623757284</v>
      </c>
      <c r="AG14" s="127">
        <f>($G$4+($G16*$T14)+($G$5*AJ14))*HLOOKUP(AA$18,Data!$T$4:$Z$16,(ROW())-2,FALSE)*VLOOKUP($Y29,$C$21:$D$32,2,FALSE)</f>
        <v>4037584.0882686786</v>
      </c>
      <c r="AH14" s="127">
        <f>($K$4+($K16*$U14)+($K$5*AJ14))*HLOOKUP(AB$18,Data!$T$4:$Z$16,(ROW())-2,FALSE)*VLOOKUP($Y29,$C$21:$D$32,2,FALSE)</f>
        <v>2750223.4647253128</v>
      </c>
      <c r="AI14" s="127">
        <f>($O$4+($O16*$V14)+($O$5*AJ14))*HLOOKUP(AC$18,Data!$T$4:$Z$16,(ROW())-2,FALSE)*VLOOKUP($Y29,$C$21:$D$32,2,FALSE)</f>
        <v>2286100.784731294</v>
      </c>
      <c r="AJ14">
        <v>119</v>
      </c>
      <c r="AL14" s="72">
        <f t="shared" si="4"/>
        <v>17870903.800101016</v>
      </c>
    </row>
    <row r="15" spans="1:38" x14ac:dyDescent="0.25">
      <c r="A15" s="136">
        <v>10</v>
      </c>
      <c r="B15" s="137"/>
      <c r="C15">
        <v>0.123544842684224</v>
      </c>
      <c r="E15" s="136">
        <v>10</v>
      </c>
      <c r="F15" s="137"/>
      <c r="G15">
        <v>0.13773713624192299</v>
      </c>
      <c r="I15" s="136">
        <v>10</v>
      </c>
      <c r="J15" s="137"/>
      <c r="K15">
        <v>7.1883390769555494E-2</v>
      </c>
      <c r="M15" s="136">
        <v>10</v>
      </c>
      <c r="N15" s="137"/>
      <c r="O15">
        <v>6.2002786258726898E-2</v>
      </c>
      <c r="Q15" s="4">
        <f t="shared" si="5"/>
        <v>44531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44531</v>
      </c>
      <c r="Y15">
        <f t="shared" si="2"/>
        <v>12</v>
      </c>
      <c r="Z15" s="148">
        <f>HLOOKUP(Z$3,Data!$AU$4:$BA$19,ROW()-2,FALSE)/VLOOKUP($Y15,$C$21:$D$32,2,FALSE)</f>
        <v>25.370967741935484</v>
      </c>
      <c r="AA15" s="148">
        <f>HLOOKUP(AA$3,Data!$AU$4:$BA$19,ROW()-2,FALSE)/VLOOKUP($Y15,$C$21:$D$32,2,FALSE)</f>
        <v>19.5</v>
      </c>
      <c r="AB15" s="148">
        <f>HLOOKUP(AB$3,Data!$AU$4:$BA$19,ROW()-2,FALSE)/VLOOKUP($Y15,$C$21:$D$32,2,FALSE)</f>
        <v>25</v>
      </c>
      <c r="AC15" s="148">
        <f>HLOOKUP(AC$3,Data!$AU$4:$BA$19,ROW()-2,FALSE)/VLOOKUP($Y15,$C$21:$D$32,2,FALSE)</f>
        <v>27.532258064516128</v>
      </c>
      <c r="AE15" s="4">
        <f t="shared" si="3"/>
        <v>44531</v>
      </c>
      <c r="AF15" s="127">
        <f>($C$4+($C17*$S15)+($C$5*AJ15))*HLOOKUP(Z$18,Data!$T$4:$Z$16,(ROW())-2,FALSE)*VLOOKUP($Y30,$C$21:$D$32,2,FALSE)</f>
        <v>10237334.95093351</v>
      </c>
      <c r="AG15" s="127">
        <f>($G$4+($G17*$T15)+($G$5*AJ15))*HLOOKUP(AA$18,Data!$T$4:$Z$16,(ROW())-2,FALSE)*VLOOKUP($Y30,$C$21:$D$32,2,FALSE)</f>
        <v>4818934.4823807664</v>
      </c>
      <c r="AH15" s="127">
        <f>($K$4+($K17*$U15)+($K$5*AJ15))*HLOOKUP(AB$18,Data!$T$4:$Z$16,(ROW())-2,FALSE)*VLOOKUP($Y30,$C$21:$D$32,2,FALSE)</f>
        <v>4730307.5756598711</v>
      </c>
      <c r="AI15" s="127">
        <f>($O$4+($O17*$V15)+($O$5*AJ15))*HLOOKUP(AC$18,Data!$T$4:$Z$16,(ROW())-2,FALSE)*VLOOKUP($Y30,$C$21:$D$32,2,FALSE)</f>
        <v>3660859.7993977098</v>
      </c>
      <c r="AJ15">
        <v>120</v>
      </c>
      <c r="AL15" s="72">
        <f t="shared" si="4"/>
        <v>23447436.808371861</v>
      </c>
    </row>
    <row r="16" spans="1:38" x14ac:dyDescent="0.25">
      <c r="A16" s="136">
        <v>11</v>
      </c>
      <c r="B16" s="137"/>
      <c r="C16">
        <v>0.16789173676314401</v>
      </c>
      <c r="E16" s="136">
        <v>11</v>
      </c>
      <c r="F16" s="137"/>
      <c r="G16">
        <v>0.17046235758289</v>
      </c>
      <c r="I16" s="136">
        <v>11</v>
      </c>
      <c r="J16" s="137"/>
      <c r="K16">
        <v>8.9032447505790493E-2</v>
      </c>
      <c r="M16" s="136">
        <v>11</v>
      </c>
      <c r="N16" s="137"/>
      <c r="O16">
        <v>0.10125907086356201</v>
      </c>
    </row>
    <row r="17" spans="1:35" x14ac:dyDescent="0.25">
      <c r="A17" s="136">
        <v>12</v>
      </c>
      <c r="B17" s="137"/>
      <c r="C17">
        <v>0.14806642148187699</v>
      </c>
      <c r="E17" s="136">
        <v>12</v>
      </c>
      <c r="F17" s="137"/>
      <c r="G17">
        <v>0.15437536994262999</v>
      </c>
      <c r="I17" s="136">
        <v>12</v>
      </c>
      <c r="J17" s="137"/>
      <c r="K17">
        <v>0.112460295627324</v>
      </c>
      <c r="M17" s="136">
        <v>12</v>
      </c>
      <c r="N17" s="137"/>
      <c r="O17">
        <v>0.120502100334429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0.25482879791315799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44197</v>
      </c>
      <c r="R19">
        <f>MONTH(Q19)</f>
        <v>1</v>
      </c>
      <c r="S19" s="149">
        <f>(S4-Z4)*VLOOKUP($R19,$A$6:$C$17,3,FALSE)</f>
        <v>0.55572892354344794</v>
      </c>
      <c r="T19" s="149">
        <f>(T4-AA4)*VLOOKUP($R19,$E$6:$G$17,3,FALSE)</f>
        <v>0.34723906560137086</v>
      </c>
      <c r="U19" s="149">
        <f>(U4-AB4)*VLOOKUP($R19,$I$6:$K$17,3,FALSE)</f>
        <v>0.50257590858354317</v>
      </c>
      <c r="V19" s="149">
        <f>(V4-AC4)*VLOOKUP($R19,$M$6:$O$17,3,FALSE)</f>
        <v>0.64444702588760483</v>
      </c>
      <c r="X19" s="4">
        <f>Q4</f>
        <v>44197</v>
      </c>
      <c r="Y19">
        <f>MONTH(X19)</f>
        <v>1</v>
      </c>
      <c r="Z19" s="127">
        <f>HLOOKUP(Z$18,Data!$T$4:$Z$19,ROW()-17,FALSE)*VLOOKUP($Y19,$C$21:$D$32,2,FALSE)*S19</f>
        <v>1479471.5433779908</v>
      </c>
      <c r="AA19" s="127">
        <f>HLOOKUP(AA$18,Data!$T$4:$Z$19,ROW()-17,FALSE)*VLOOKUP($Y19,$C$21:$D$32,2,FALSE)*T19</f>
        <v>439683.13308016141</v>
      </c>
      <c r="AB19" s="127">
        <f>HLOOKUP(AB$18,Data!$T$4:$Z$19,ROW()-17,FALSE)*VLOOKUP($Y19,$C$21:$D$32,2,FALSE)*U19</f>
        <v>676056.56843613635</v>
      </c>
      <c r="AC19" s="127">
        <f>HLOOKUP(AC$18,Data!$T$4:$Z$19,ROW()-17,FALSE)*VLOOKUP($Y19,$C$21:$D$32,2,FALSE)*V19</f>
        <v>551988.21108351019</v>
      </c>
      <c r="AE19" s="4">
        <f>X19</f>
        <v>44197</v>
      </c>
      <c r="AF19" s="127">
        <f>Z19+Data!B5</f>
        <v>9898628.7974194959</v>
      </c>
      <c r="AG19" s="127">
        <f>AA19+Data!C5</f>
        <v>4275989.5724440236</v>
      </c>
      <c r="AH19" s="127">
        <f>AB19+Data!D5</f>
        <v>4541081.2619543802</v>
      </c>
      <c r="AI19" s="127">
        <f>AC19+Data!E5</f>
        <v>3563362.8241598979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6">Q5</f>
        <v>44228</v>
      </c>
      <c r="R20">
        <f t="shared" ref="R20:R30" si="7">MONTH(Q20)</f>
        <v>2</v>
      </c>
      <c r="S20" s="149">
        <f>(S5-Z5)*VLOOKUP($R20,$A$6:$C$17,3,FALSE)</f>
        <v>-0.29434491913598138</v>
      </c>
      <c r="T20" s="149">
        <f t="shared" ref="T20:T30" si="8">(T5-AA5)*VLOOKUP($R20,$E$6:$G$17,3,FALSE)</f>
        <v>-0.11542390176847675</v>
      </c>
      <c r="U20" s="149">
        <f t="shared" ref="U20:U30" si="9">(U5-AB5)*VLOOKUP($R20,$I$6:$K$17,3,FALSE)</f>
        <v>-0.51982481683843207</v>
      </c>
      <c r="V20" s="149">
        <f t="shared" ref="V20:V30" si="10">(V5-AC5)*VLOOKUP($R20,$M$6:$O$17,3,FALSE)</f>
        <v>-0.17115402397533133</v>
      </c>
      <c r="X20" s="4">
        <f t="shared" ref="X20:X30" si="11">Q5</f>
        <v>44228</v>
      </c>
      <c r="Y20">
        <f t="shared" ref="Y20:Y30" si="12">MONTH(X20)</f>
        <v>2</v>
      </c>
      <c r="Z20" s="127">
        <f>HLOOKUP(Z$18,Data!$T$4:$Z$19,ROW()-17,FALSE)*VLOOKUP($Y20,$C$21:$D$32,2,FALSE)*S20</f>
        <v>-708403.44902359601</v>
      </c>
      <c r="AA20" s="127">
        <f>HLOOKUP(AA$18,Data!$T$4:$Z$19,ROW()-17,FALSE)*VLOOKUP($Y20,$C$21:$D$32,2,FALSE)*T20</f>
        <v>-132238.39408250136</v>
      </c>
      <c r="AB20" s="127">
        <f>HLOOKUP(AB$18,Data!$T$4:$Z$19,ROW()-17,FALSE)*VLOOKUP($Y20,$C$21:$D$32,2,FALSE)*U20</f>
        <v>-633248.51257331064</v>
      </c>
      <c r="AC20" s="127">
        <f>HLOOKUP(AC$18,Data!$T$4:$Z$19,ROW()-17,FALSE)*VLOOKUP($Y20,$C$21:$D$32,2,FALSE)*V20</f>
        <v>-132593.70698978507</v>
      </c>
      <c r="AE20" s="4">
        <f t="shared" ref="AE20:AE30" si="13">X20</f>
        <v>44228</v>
      </c>
      <c r="AF20" s="127">
        <f>Z20+Data!B6</f>
        <v>8130266.7498486983</v>
      </c>
      <c r="AG20" s="127">
        <f>AA20+Data!C6</f>
        <v>3903441.02531935</v>
      </c>
      <c r="AH20" s="127">
        <f>AB20+Data!D6</f>
        <v>3311824.1271808897</v>
      </c>
      <c r="AI20" s="127">
        <f>AC20+Data!E6</f>
        <v>2673281.0349818687</v>
      </c>
    </row>
    <row r="21" spans="1:35" x14ac:dyDescent="0.25">
      <c r="A21" s="4">
        <f>Data!A1</f>
        <v>44197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6"/>
        <v>44256</v>
      </c>
      <c r="R21">
        <f t="shared" si="7"/>
        <v>3</v>
      </c>
      <c r="S21" s="149">
        <f>(S6-Z6)*VLOOKUP($R21,$A$6:$C$17,3,FALSE)</f>
        <v>7.1455533626058471E-2</v>
      </c>
      <c r="T21" s="149">
        <f t="shared" si="8"/>
        <v>-0.2781665423155672</v>
      </c>
      <c r="U21" s="149">
        <f t="shared" si="9"/>
        <v>-6.1572059883701111E-2</v>
      </c>
      <c r="V21" s="149">
        <f t="shared" si="10"/>
        <v>9.3980295611260922E-2</v>
      </c>
      <c r="X21" s="4">
        <f t="shared" si="11"/>
        <v>44256</v>
      </c>
      <c r="Y21">
        <f t="shared" si="12"/>
        <v>3</v>
      </c>
      <c r="Z21" s="127">
        <f>HLOOKUP(Z$18,Data!$T$4:$Z$19,ROW()-17,FALSE)*VLOOKUP($Y21,$C$21:$D$32,2,FALSE)*S21</f>
        <v>190518.17361941116</v>
      </c>
      <c r="AA21" s="127">
        <f>HLOOKUP(AA$18,Data!$T$4:$Z$19,ROW()-17,FALSE)*VLOOKUP($Y21,$C$21:$D$32,2,FALSE)*T21</f>
        <v>-353178.87928217929</v>
      </c>
      <c r="AB21" s="127">
        <f>HLOOKUP(AB$18,Data!$T$4:$Z$19,ROW()-17,FALSE)*VLOOKUP($Y21,$C$21:$D$32,2,FALSE)*U21</f>
        <v>-83312.415363917375</v>
      </c>
      <c r="AC21" s="127">
        <f>HLOOKUP(AC$18,Data!$T$4:$Z$19,ROW()-17,FALSE)*VLOOKUP($Y21,$C$21:$D$32,2,FALSE)*V21</f>
        <v>80604.737998979428</v>
      </c>
      <c r="AE21" s="4">
        <f t="shared" si="13"/>
        <v>44256</v>
      </c>
      <c r="AF21" s="127">
        <f>Z21+Data!B7</f>
        <v>6958308.9236251535</v>
      </c>
      <c r="AG21" s="127">
        <f>AA21+Data!C7</f>
        <v>2689512.6047924822</v>
      </c>
      <c r="AH21" s="127">
        <f>AB21+Data!D7</f>
        <v>2893859.6936625908</v>
      </c>
      <c r="AI21" s="127">
        <f>AC21+Data!E7</f>
        <v>2162545.3948920672</v>
      </c>
    </row>
    <row r="22" spans="1:35" x14ac:dyDescent="0.25">
      <c r="A22" s="4">
        <f>DATE(YEAR(A21),MONTH(A21)+1,1)</f>
        <v>44228</v>
      </c>
      <c r="C22">
        <f t="shared" ref="C22:C32" si="14">MONTH(A22)</f>
        <v>2</v>
      </c>
      <c r="D22">
        <f>A23-A22</f>
        <v>28</v>
      </c>
      <c r="G22" s="127"/>
      <c r="H22" s="127"/>
      <c r="I22" s="127"/>
      <c r="J22" s="127"/>
      <c r="Q22" s="4">
        <f t="shared" si="6"/>
        <v>44287</v>
      </c>
      <c r="R22">
        <f t="shared" si="7"/>
        <v>4</v>
      </c>
      <c r="S22" s="149">
        <f t="shared" ref="S22:S30" si="15">(S7-Z7)*VLOOKUP($R22,$A$6:$C$17,3,FALSE)</f>
        <v>0.24265591900925076</v>
      </c>
      <c r="T22" s="149">
        <f t="shared" si="8"/>
        <v>-0.13585774775545709</v>
      </c>
      <c r="U22" s="149">
        <f t="shared" si="9"/>
        <v>1.7592499590581383E-2</v>
      </c>
      <c r="V22" s="149">
        <f t="shared" si="10"/>
        <v>0.20921182968799684</v>
      </c>
      <c r="X22" s="4">
        <f t="shared" si="11"/>
        <v>44287</v>
      </c>
      <c r="Y22">
        <f t="shared" si="12"/>
        <v>4</v>
      </c>
      <c r="Z22" s="127">
        <f>HLOOKUP(Z$18,Data!$T$4:$Z$19,ROW()-17,FALSE)*VLOOKUP($Y22,$C$21:$D$32,2,FALSE)*S22</f>
        <v>626248.82233826444</v>
      </c>
      <c r="AA22" s="127">
        <f>HLOOKUP(AA$18,Data!$T$4:$Z$19,ROW()-17,FALSE)*VLOOKUP($Y22,$C$21:$D$32,2,FALSE)*T22</f>
        <v>-167068.34814731823</v>
      </c>
      <c r="AB22" s="127">
        <f>HLOOKUP(AB$18,Data!$T$4:$Z$19,ROW()-17,FALSE)*VLOOKUP($Y22,$C$21:$D$32,2,FALSE)*U22</f>
        <v>23072.739138043391</v>
      </c>
      <c r="AC22" s="127">
        <f>HLOOKUP(AC$18,Data!$T$4:$Z$19,ROW()-17,FALSE)*VLOOKUP($Y22,$C$21:$D$32,2,FALSE)*V22</f>
        <v>173239.94769144268</v>
      </c>
      <c r="AE22" s="4">
        <f t="shared" si="13"/>
        <v>44287</v>
      </c>
      <c r="AF22" s="127">
        <f>Z22+Data!B8</f>
        <v>4648888.7245206628</v>
      </c>
      <c r="AG22" s="127">
        <f>AA22+Data!C8</f>
        <v>1777349.2967846503</v>
      </c>
      <c r="AH22" s="127">
        <f>AB22+Data!D8</f>
        <v>1415442.8107855632</v>
      </c>
      <c r="AI22" s="127">
        <f>AC22+Data!E8</f>
        <v>1182596.3289295565</v>
      </c>
    </row>
    <row r="23" spans="1:35" x14ac:dyDescent="0.25">
      <c r="A23" s="4">
        <f t="shared" ref="A23:A33" si="16">DATE(YEAR(A22),MONTH(A22)+1,1)</f>
        <v>44256</v>
      </c>
      <c r="C23">
        <f t="shared" si="14"/>
        <v>3</v>
      </c>
      <c r="D23">
        <f t="shared" ref="D23:D32" si="17">A24-A23</f>
        <v>31</v>
      </c>
      <c r="G23" s="127"/>
      <c r="H23" s="127"/>
      <c r="I23" s="127"/>
      <c r="J23" s="127"/>
      <c r="Q23" s="4">
        <f t="shared" si="6"/>
        <v>44317</v>
      </c>
      <c r="R23">
        <f t="shared" si="7"/>
        <v>5</v>
      </c>
      <c r="S23" s="149">
        <f t="shared" si="15"/>
        <v>0.12269497077378776</v>
      </c>
      <c r="T23" s="149">
        <f t="shared" si="8"/>
        <v>-0.20071593112451844</v>
      </c>
      <c r="U23" s="149">
        <f t="shared" si="9"/>
        <v>6.6584799563562058E-2</v>
      </c>
      <c r="V23" s="149">
        <f t="shared" si="10"/>
        <v>0.18106109788846358</v>
      </c>
      <c r="X23" s="4">
        <f t="shared" si="11"/>
        <v>44317</v>
      </c>
      <c r="Y23">
        <f t="shared" si="12"/>
        <v>5</v>
      </c>
      <c r="Z23" s="127">
        <f>HLOOKUP(Z$18,Data!$T$4:$Z$19,ROW()-17,FALSE)*VLOOKUP($Y23,$C$21:$D$32,2,FALSE)*S23</f>
        <v>327336.8082726514</v>
      </c>
      <c r="AA23" s="127">
        <f>HLOOKUP(AA$18,Data!$T$4:$Z$19,ROW()-17,FALSE)*VLOOKUP($Y23,$C$21:$D$32,2,FALSE)*T23</f>
        <v>-255277.94769361414</v>
      </c>
      <c r="AB23" s="127">
        <f>HLOOKUP(AB$18,Data!$T$4:$Z$19,ROW()-17,FALSE)*VLOOKUP($Y23,$C$21:$D$32,2,FALSE)*U23</f>
        <v>90336.596339878102</v>
      </c>
      <c r="AC23" s="127">
        <f>HLOOKUP(AC$18,Data!$T$4:$Z$19,ROW()-17,FALSE)*VLOOKUP($Y23,$C$21:$D$32,2,FALSE)*V23</f>
        <v>154612.77907550416</v>
      </c>
      <c r="AE23" s="4">
        <f t="shared" si="13"/>
        <v>44317</v>
      </c>
      <c r="AF23" s="127">
        <f>Z23+Data!B9</f>
        <v>2995689.7032458102</v>
      </c>
      <c r="AG23" s="127">
        <f>AA23+Data!C9</f>
        <v>954195.91668693314</v>
      </c>
      <c r="AH23" s="127">
        <f>AB23+Data!D9</f>
        <v>925809.47491608211</v>
      </c>
      <c r="AI23" s="127">
        <f>AC23+Data!E9</f>
        <v>738194.14114559419</v>
      </c>
    </row>
    <row r="24" spans="1:35" x14ac:dyDescent="0.25">
      <c r="A24" s="4">
        <f t="shared" si="16"/>
        <v>44287</v>
      </c>
      <c r="C24">
        <f t="shared" si="14"/>
        <v>4</v>
      </c>
      <c r="D24">
        <f t="shared" si="17"/>
        <v>30</v>
      </c>
      <c r="G24" s="127"/>
      <c r="H24" s="127"/>
      <c r="I24" s="127"/>
      <c r="J24" s="127"/>
      <c r="Q24" s="4">
        <f t="shared" si="6"/>
        <v>44348</v>
      </c>
      <c r="R24">
        <f t="shared" si="7"/>
        <v>6</v>
      </c>
      <c r="S24" s="149">
        <f t="shared" si="15"/>
        <v>0.10358462084773086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44348</v>
      </c>
      <c r="Y24">
        <f t="shared" si="12"/>
        <v>6</v>
      </c>
      <c r="Z24" s="127">
        <f>HLOOKUP(Z$18,Data!$T$4:$Z$19,ROW()-17,FALSE)*VLOOKUP($Y24,$C$21:$D$32,2,FALSE)*S24</f>
        <v>267242.10670989478</v>
      </c>
      <c r="AA24" s="127">
        <f>HLOOKUP(AA$18,Data!$T$4:$Z$19,ROW()-17,FALSE)*VLOOKUP($Y24,$C$21:$D$32,2,FALSE)*T24</f>
        <v>0</v>
      </c>
      <c r="AB24" s="127">
        <f>HLOOKUP(AB$18,Data!$T$4:$Z$19,ROW()-17,FALSE)*VLOOKUP($Y24,$C$21:$D$32,2,FALSE)*U24</f>
        <v>0</v>
      </c>
      <c r="AC24" s="127">
        <f>HLOOKUP(AC$18,Data!$T$4:$Z$19,ROW()-17,FALSE)*VLOOKUP($Y24,$C$21:$D$32,2,FALSE)*V24</f>
        <v>0</v>
      </c>
      <c r="AE24" s="4">
        <f t="shared" si="13"/>
        <v>44348</v>
      </c>
      <c r="AF24" s="127">
        <f>Z24+Data!B10</f>
        <v>1895740.0349498512</v>
      </c>
      <c r="AG24" s="127">
        <f>AA24+Data!C10</f>
        <v>773770.32819210039</v>
      </c>
      <c r="AH24" s="127">
        <f>AB24+Data!D10</f>
        <v>459797.16189977789</v>
      </c>
      <c r="AI24" s="127">
        <f>AC24+Data!E10</f>
        <v>298432.18166816491</v>
      </c>
    </row>
    <row r="25" spans="1:35" x14ac:dyDescent="0.25">
      <c r="A25" s="4">
        <f t="shared" si="16"/>
        <v>44317</v>
      </c>
      <c r="C25">
        <f t="shared" si="14"/>
        <v>5</v>
      </c>
      <c r="D25">
        <f t="shared" si="17"/>
        <v>31</v>
      </c>
      <c r="G25" s="127"/>
      <c r="H25" s="127"/>
      <c r="I25" s="127"/>
      <c r="J25" s="127"/>
      <c r="Q25" s="4">
        <f t="shared" si="6"/>
        <v>44378</v>
      </c>
      <c r="R25">
        <f t="shared" si="7"/>
        <v>7</v>
      </c>
      <c r="S25" s="149">
        <f t="shared" si="15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44378</v>
      </c>
      <c r="Y25">
        <f t="shared" si="12"/>
        <v>7</v>
      </c>
      <c r="Z25" s="127">
        <f>HLOOKUP(Z$18,Data!$T$4:$Z$19,ROW()-17,FALSE)*VLOOKUP($Y25,$C$21:$D$32,2,FALSE)*S25</f>
        <v>0</v>
      </c>
      <c r="AA25" s="127">
        <f>HLOOKUP(AA$18,Data!$T$4:$Z$19,ROW()-17,FALSE)*VLOOKUP($Y25,$C$21:$D$32,2,FALSE)*T25</f>
        <v>0</v>
      </c>
      <c r="AB25" s="127">
        <f>HLOOKUP(AB$18,Data!$T$4:$Z$19,ROW()-17,FALSE)*VLOOKUP($Y25,$C$21:$D$32,2,FALSE)*U25</f>
        <v>0</v>
      </c>
      <c r="AC25" s="127">
        <f>HLOOKUP(AC$18,Data!$T$4:$Z$19,ROW()-17,FALSE)*VLOOKUP($Y25,$C$21:$D$32,2,FALSE)*V25</f>
        <v>0</v>
      </c>
      <c r="AE25" s="4">
        <f t="shared" si="13"/>
        <v>44378</v>
      </c>
      <c r="AF25" s="127">
        <f>Z25+Data!B11</f>
        <v>1991878.3302022084</v>
      </c>
      <c r="AG25" s="127">
        <f>AA25+Data!C11</f>
        <v>863300.81344371941</v>
      </c>
      <c r="AH25" s="127">
        <f>AB25+Data!D11</f>
        <v>693900.45960480871</v>
      </c>
      <c r="AI25" s="127">
        <f>AC25+Data!E11</f>
        <v>397938.39674926351</v>
      </c>
    </row>
    <row r="26" spans="1:35" x14ac:dyDescent="0.25">
      <c r="A26" s="4">
        <f t="shared" si="16"/>
        <v>44348</v>
      </c>
      <c r="C26">
        <f t="shared" si="14"/>
        <v>6</v>
      </c>
      <c r="D26">
        <f t="shared" si="17"/>
        <v>30</v>
      </c>
      <c r="G26" s="127"/>
      <c r="H26" s="127"/>
      <c r="I26" s="127"/>
      <c r="J26" s="127"/>
      <c r="Q26" s="4">
        <f t="shared" si="6"/>
        <v>44409</v>
      </c>
      <c r="R26">
        <f t="shared" si="7"/>
        <v>8</v>
      </c>
      <c r="S26" s="149">
        <f t="shared" si="15"/>
        <v>0</v>
      </c>
      <c r="T26" s="149">
        <f t="shared" si="8"/>
        <v>-2.7552341592174356E-2</v>
      </c>
      <c r="U26" s="149">
        <f t="shared" si="9"/>
        <v>0</v>
      </c>
      <c r="V26" s="149">
        <f t="shared" si="10"/>
        <v>0</v>
      </c>
      <c r="X26" s="4">
        <f t="shared" si="11"/>
        <v>44409</v>
      </c>
      <c r="Y26">
        <f t="shared" si="12"/>
        <v>8</v>
      </c>
      <c r="Z26" s="127">
        <f>HLOOKUP(Z$18,Data!$T$4:$Z$19,ROW()-17,FALSE)*VLOOKUP($Y26,$C$21:$D$32,2,FALSE)*S26</f>
        <v>0</v>
      </c>
      <c r="AA26" s="127">
        <f>HLOOKUP(AA$18,Data!$T$4:$Z$19,ROW()-17,FALSE)*VLOOKUP($Y26,$C$21:$D$32,2,FALSE)*T26</f>
        <v>-35114.687893661634</v>
      </c>
      <c r="AB26" s="127">
        <f>HLOOKUP(AB$18,Data!$T$4:$Z$19,ROW()-17,FALSE)*VLOOKUP($Y26,$C$21:$D$32,2,FALSE)*U26</f>
        <v>0</v>
      </c>
      <c r="AC26" s="127">
        <f>HLOOKUP(AC$18,Data!$T$4:$Z$19,ROW()-17,FALSE)*VLOOKUP($Y26,$C$21:$D$32,2,FALSE)*V26</f>
        <v>0</v>
      </c>
      <c r="AE26" s="4">
        <f t="shared" si="13"/>
        <v>44409</v>
      </c>
      <c r="AF26" s="127">
        <f>Z26+Data!B12</f>
        <v>1389658.6987336497</v>
      </c>
      <c r="AG26" s="127">
        <f>AA26+Data!C12</f>
        <v>552242.94823598838</v>
      </c>
      <c r="AH26" s="127">
        <f>AB26+Data!D12</f>
        <v>470907.14059317013</v>
      </c>
      <c r="AI26" s="127">
        <f>AC26+Data!E12</f>
        <v>287445.52454353013</v>
      </c>
    </row>
    <row r="27" spans="1:35" x14ac:dyDescent="0.25">
      <c r="A27" s="4">
        <f t="shared" si="16"/>
        <v>44378</v>
      </c>
      <c r="C27">
        <f t="shared" si="14"/>
        <v>7</v>
      </c>
      <c r="D27">
        <f t="shared" si="17"/>
        <v>31</v>
      </c>
      <c r="G27" s="127"/>
      <c r="H27" s="127"/>
      <c r="I27" s="127"/>
      <c r="J27" s="127"/>
      <c r="Q27" s="4">
        <f t="shared" si="6"/>
        <v>44440</v>
      </c>
      <c r="R27">
        <f t="shared" si="7"/>
        <v>9</v>
      </c>
      <c r="S27" s="149">
        <f t="shared" si="15"/>
        <v>0.14060486517396392</v>
      </c>
      <c r="T27" s="149">
        <f t="shared" si="8"/>
        <v>0</v>
      </c>
      <c r="U27" s="149">
        <f t="shared" si="9"/>
        <v>0</v>
      </c>
      <c r="V27" s="149">
        <f t="shared" si="10"/>
        <v>0</v>
      </c>
      <c r="X27" s="4">
        <f t="shared" si="11"/>
        <v>44440</v>
      </c>
      <c r="Y27">
        <f t="shared" si="12"/>
        <v>9</v>
      </c>
      <c r="Z27" s="127">
        <f>HLOOKUP(Z$18,Data!$T$4:$Z$19,ROW()-17,FALSE)*VLOOKUP($Y27,$C$21:$D$32,2,FALSE)*S27</f>
        <v>363266.72966345318</v>
      </c>
      <c r="AA27" s="127">
        <f>HLOOKUP(AA$18,Data!$T$4:$Z$19,ROW()-17,FALSE)*VLOOKUP($Y27,$C$21:$D$32,2,FALSE)*T27</f>
        <v>0</v>
      </c>
      <c r="AB27" s="127">
        <f>HLOOKUP(AB$18,Data!$T$4:$Z$19,ROW()-17,FALSE)*VLOOKUP($Y27,$C$21:$D$32,2,FALSE)*U27</f>
        <v>0</v>
      </c>
      <c r="AC27" s="127">
        <f>HLOOKUP(AC$18,Data!$T$4:$Z$19,ROW()-17,FALSE)*VLOOKUP($Y27,$C$21:$D$32,2,FALSE)*V27</f>
        <v>0</v>
      </c>
      <c r="AE27" s="4">
        <f t="shared" si="13"/>
        <v>44440</v>
      </c>
      <c r="AF27" s="127">
        <f>Z27+Data!B13</f>
        <v>2414587.0660136179</v>
      </c>
      <c r="AG27" s="127">
        <f>AA27+Data!C13</f>
        <v>867917.28710243315</v>
      </c>
      <c r="AH27" s="127">
        <f>AB27+Data!D13</f>
        <v>663514.2258438014</v>
      </c>
      <c r="AI27" s="127">
        <f>AC27+Data!E13</f>
        <v>415144.15070360043</v>
      </c>
    </row>
    <row r="28" spans="1:35" x14ac:dyDescent="0.25">
      <c r="A28" s="4">
        <f t="shared" si="16"/>
        <v>44409</v>
      </c>
      <c r="C28">
        <f t="shared" si="14"/>
        <v>8</v>
      </c>
      <c r="D28">
        <f t="shared" si="17"/>
        <v>31</v>
      </c>
      <c r="G28" s="127"/>
      <c r="H28" s="127"/>
      <c r="I28" s="127"/>
      <c r="J28" s="127"/>
      <c r="Q28" s="4">
        <f t="shared" si="6"/>
        <v>44470</v>
      </c>
      <c r="R28">
        <f t="shared" si="7"/>
        <v>10</v>
      </c>
      <c r="S28" s="149">
        <f t="shared" si="15"/>
        <v>0.13550079520205222</v>
      </c>
      <c r="T28" s="149">
        <f t="shared" si="8"/>
        <v>0.13995870295550245</v>
      </c>
      <c r="U28" s="149">
        <f t="shared" si="9"/>
        <v>5.7970476427060831E-2</v>
      </c>
      <c r="V28" s="149">
        <f t="shared" si="10"/>
        <v>5.5002471681128678E-2</v>
      </c>
      <c r="X28" s="4">
        <f t="shared" si="11"/>
        <v>44470</v>
      </c>
      <c r="Y28">
        <f t="shared" si="12"/>
        <v>10</v>
      </c>
      <c r="Z28" s="127">
        <f>HLOOKUP(Z$18,Data!$T$4:$Z$19,ROW()-17,FALSE)*VLOOKUP($Y28,$C$21:$D$32,2,FALSE)*S28</f>
        <v>362723.70468591602</v>
      </c>
      <c r="AA28" s="127">
        <f>HLOOKUP(AA$18,Data!$T$4:$Z$19,ROW()-17,FALSE)*VLOOKUP($Y28,$C$21:$D$32,2,FALSE)*T28</f>
        <v>179306.27282830354</v>
      </c>
      <c r="AB28" s="127">
        <f>HLOOKUP(AB$18,Data!$T$4:$Z$19,ROW()-17,FALSE)*VLOOKUP($Y28,$C$21:$D$32,2,FALSE)*U28</f>
        <v>79463.494326205051</v>
      </c>
      <c r="AC28" s="127">
        <f>HLOOKUP(AC$18,Data!$T$4:$Z$19,ROW()-17,FALSE)*VLOOKUP($Y28,$C$21:$D$32,2,FALSE)*V28</f>
        <v>47324.401646801518</v>
      </c>
      <c r="AE28" s="4">
        <f t="shared" si="13"/>
        <v>44470</v>
      </c>
      <c r="AF28" s="127">
        <f>Z28+Data!B14</f>
        <v>5135633.1993907113</v>
      </c>
      <c r="AG28" s="127">
        <f>AA28+Data!C14</f>
        <v>2338441.0754938028</v>
      </c>
      <c r="AH28" s="127">
        <f>AB28+Data!D14</f>
        <v>1290045.7531830715</v>
      </c>
      <c r="AI28" s="127">
        <f>AC28+Data!E14</f>
        <v>939907.84541964112</v>
      </c>
    </row>
    <row r="29" spans="1:35" x14ac:dyDescent="0.25">
      <c r="A29" s="4">
        <f t="shared" si="16"/>
        <v>44440</v>
      </c>
      <c r="C29">
        <f t="shared" si="14"/>
        <v>9</v>
      </c>
      <c r="D29">
        <f t="shared" si="17"/>
        <v>30</v>
      </c>
      <c r="G29" s="127"/>
      <c r="H29" s="127"/>
      <c r="I29" s="127"/>
      <c r="J29" s="127"/>
      <c r="Q29" s="4">
        <f t="shared" si="6"/>
        <v>44501</v>
      </c>
      <c r="R29">
        <f t="shared" si="7"/>
        <v>11</v>
      </c>
      <c r="S29" s="149">
        <f t="shared" si="15"/>
        <v>0.62959401286179006</v>
      </c>
      <c r="T29" s="149">
        <f t="shared" si="8"/>
        <v>0.77844476629519765</v>
      </c>
      <c r="U29" s="149">
        <f t="shared" si="9"/>
        <v>0.30122644739459115</v>
      </c>
      <c r="V29" s="149">
        <f t="shared" si="10"/>
        <v>0.45904112124814794</v>
      </c>
      <c r="X29" s="4">
        <f t="shared" si="11"/>
        <v>44501</v>
      </c>
      <c r="Y29">
        <f t="shared" si="12"/>
        <v>11</v>
      </c>
      <c r="Z29" s="127">
        <f>HLOOKUP(Z$18,Data!$T$4:$Z$19,ROW()-17,FALSE)*VLOOKUP($Y29,$C$21:$D$32,2,FALSE)*S29</f>
        <v>1632719.8576143517</v>
      </c>
      <c r="AA29" s="127">
        <f>HLOOKUP(AA$18,Data!$T$4:$Z$19,ROW()-17,FALSE)*VLOOKUP($Y29,$C$21:$D$32,2,FALSE)*T29</f>
        <v>966968.51979656867</v>
      </c>
      <c r="AB29" s="127">
        <f>HLOOKUP(AB$18,Data!$T$4:$Z$19,ROW()-17,FALSE)*VLOOKUP($Y29,$C$21:$D$32,2,FALSE)*U29</f>
        <v>400989.6345072058</v>
      </c>
      <c r="AC29" s="127">
        <f>HLOOKUP(AC$18,Data!$T$4:$Z$19,ROW()-17,FALSE)*VLOOKUP($Y29,$C$21:$D$32,2,FALSE)*V29</f>
        <v>383735.42530738929</v>
      </c>
      <c r="AE29" s="4">
        <f t="shared" si="13"/>
        <v>44501</v>
      </c>
      <c r="AF29" s="127">
        <f>Z29+Data!B15</f>
        <v>9025404.3189780451</v>
      </c>
      <c r="AG29" s="127">
        <f>AA29+Data!C15</f>
        <v>4481992.7060541743</v>
      </c>
      <c r="AH29" s="127">
        <f>AB29+Data!D15</f>
        <v>2625406.0856712828</v>
      </c>
      <c r="AI29" s="127">
        <f>AC29+Data!E15</f>
        <v>2264670.3265220127</v>
      </c>
    </row>
    <row r="30" spans="1:35" x14ac:dyDescent="0.25">
      <c r="A30" s="4">
        <f t="shared" si="16"/>
        <v>44470</v>
      </c>
      <c r="C30">
        <f t="shared" si="14"/>
        <v>10</v>
      </c>
      <c r="D30">
        <f t="shared" si="17"/>
        <v>31</v>
      </c>
      <c r="G30" s="127"/>
      <c r="H30" s="127"/>
      <c r="I30" s="127"/>
      <c r="J30" s="127"/>
      <c r="Q30" s="4">
        <f t="shared" si="6"/>
        <v>44531</v>
      </c>
      <c r="R30">
        <f t="shared" si="7"/>
        <v>12</v>
      </c>
      <c r="S30" s="149">
        <f t="shared" si="15"/>
        <v>-0.51345613900973486</v>
      </c>
      <c r="T30" s="149">
        <f t="shared" si="8"/>
        <v>0.11702649011780011</v>
      </c>
      <c r="U30" s="149">
        <f t="shared" si="9"/>
        <v>0.17413207064875957</v>
      </c>
      <c r="V30" s="149">
        <f t="shared" si="10"/>
        <v>0.47229049002042361</v>
      </c>
      <c r="X30" s="4">
        <f t="shared" si="11"/>
        <v>44531</v>
      </c>
      <c r="Y30">
        <f t="shared" si="12"/>
        <v>12</v>
      </c>
      <c r="Z30" s="127">
        <f>HLOOKUP(Z$18,Data!$T$4:$Z$19,ROW()-17,FALSE)*VLOOKUP($Y30,$C$21:$D$32,2,FALSE)*S30</f>
        <v>-1377915.0022956366</v>
      </c>
      <c r="AA30" s="127">
        <f>HLOOKUP(AA$18,Data!$T$4:$Z$19,ROW()-17,FALSE)*VLOOKUP($Y30,$C$21:$D$32,2,FALSE)*T30</f>
        <v>150735.97059623242</v>
      </c>
      <c r="AB30" s="127">
        <f>HLOOKUP(AB$18,Data!$T$4:$Z$19,ROW()-17,FALSE)*VLOOKUP($Y30,$C$21:$D$32,2,FALSE)*U30</f>
        <v>240058.64672845061</v>
      </c>
      <c r="AC30" s="127">
        <f>HLOOKUP(AC$18,Data!$T$4:$Z$19,ROW()-17,FALSE)*VLOOKUP($Y30,$C$21:$D$32,2,FALSE)*V30</f>
        <v>408791.50592766766</v>
      </c>
      <c r="AE30" s="4">
        <f t="shared" si="13"/>
        <v>44531</v>
      </c>
      <c r="AF30" s="127">
        <f>Z30+Data!B16</f>
        <v>9861909.8382943161</v>
      </c>
      <c r="AG30" s="127">
        <f>AA30+Data!C16</f>
        <v>5332854.4205012368</v>
      </c>
      <c r="AH30" s="127">
        <f>AB30+Data!D16</f>
        <v>4472936.6559141818</v>
      </c>
      <c r="AI30" s="127">
        <f>AC30+Data!E16</f>
        <v>3783830.2062469763</v>
      </c>
    </row>
    <row r="31" spans="1:35" x14ac:dyDescent="0.25">
      <c r="A31" s="4">
        <f t="shared" si="16"/>
        <v>44501</v>
      </c>
      <c r="C31">
        <f t="shared" si="14"/>
        <v>11</v>
      </c>
      <c r="D31">
        <f t="shared" si="17"/>
        <v>30</v>
      </c>
      <c r="G31" s="127"/>
      <c r="H31" s="127"/>
      <c r="I31" s="127"/>
      <c r="J31" s="127"/>
    </row>
    <row r="32" spans="1:35" x14ac:dyDescent="0.25">
      <c r="A32" s="4">
        <f t="shared" si="16"/>
        <v>44531</v>
      </c>
      <c r="C32">
        <f t="shared" si="14"/>
        <v>12</v>
      </c>
      <c r="D32">
        <f t="shared" si="17"/>
        <v>31</v>
      </c>
    </row>
    <row r="33" spans="1:1" x14ac:dyDescent="0.25">
      <c r="A33" s="4">
        <f t="shared" si="16"/>
        <v>44562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  <mergeCell ref="S2:V2"/>
    <mergeCell ref="Z2:AC2"/>
    <mergeCell ref="S17:V17"/>
    <mergeCell ref="Z17:AC17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C32"/>
  <sheetViews>
    <sheetView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29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29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3.9567000000000001</v>
      </c>
      <c r="E4" s="136" t="s">
        <v>72</v>
      </c>
      <c r="F4" s="137"/>
      <c r="G4" s="137">
        <v>5.6012000000000004</v>
      </c>
      <c r="I4" s="136" t="s">
        <v>72</v>
      </c>
      <c r="J4" s="137"/>
      <c r="K4" s="137">
        <v>4.8757000000000001</v>
      </c>
      <c r="M4" s="136" t="s">
        <v>72</v>
      </c>
      <c r="N4" s="137"/>
      <c r="O4" s="137">
        <v>3.0830000000000002</v>
      </c>
      <c r="Q4" s="4">
        <f>Data!A1</f>
        <v>44197</v>
      </c>
      <c r="R4">
        <f>MONTH(Q4)</f>
        <v>1</v>
      </c>
      <c r="S4" s="148">
        <f>HLOOKUP(S$3,Normals!$E$2:$K$14,$R4+1,FALSE)/VLOOKUP($R4,$C$20:$D$31,2,FALSE)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44197</v>
      </c>
      <c r="Y4">
        <f>MONTH(X4)</f>
        <v>1</v>
      </c>
      <c r="Z4" s="148">
        <f>HLOOKUP(Z$3,Data!$AL$4:$AR$19,ROW()-2,FALSE)/VLOOKUP($Y4,$C$20:$D$31,2,FALSE)</f>
        <v>0</v>
      </c>
      <c r="AA4" s="148">
        <f>HLOOKUP(AA$3,Data!$AL$4:$AR$19,ROW()-2,FALSE)/VLOOKUP($Y4,$C$20:$D$31,2,FALSE)</f>
        <v>0</v>
      </c>
      <c r="AB4" s="148">
        <f>HLOOKUP(AB$3,Data!$AL$4:$AR$19,ROW()-2,FALSE)/VLOOKUP($Y4,$C$20:$D$31,2,FALSE)</f>
        <v>0</v>
      </c>
      <c r="AC4" s="148">
        <f>HLOOKUP(AC$3,Data!$AL$4:$AR$19,ROW()-2,FALSE)/VLOOKUP($Y4,$C$20:$D$31,2,FALSE)</f>
        <v>0</v>
      </c>
    </row>
    <row r="5" spans="1:29" x14ac:dyDescent="0.25">
      <c r="A5" s="136" t="s">
        <v>87</v>
      </c>
      <c r="B5" s="137"/>
      <c r="C5" s="137">
        <v>-8.3219999999999995E-3</v>
      </c>
      <c r="E5" s="136" t="s">
        <v>87</v>
      </c>
      <c r="F5" s="137"/>
      <c r="G5" s="137">
        <v>-1.34E-2</v>
      </c>
      <c r="I5" s="136" t="s">
        <v>87</v>
      </c>
      <c r="J5" s="137"/>
      <c r="K5" s="137">
        <v>-2.2100000000000002E-2</v>
      </c>
      <c r="M5" s="136" t="s">
        <v>87</v>
      </c>
      <c r="N5" s="137"/>
      <c r="O5" s="137">
        <v>9.1900000000000003E-3</v>
      </c>
      <c r="Q5" s="4">
        <f>DATE(YEAR(Q4),MONTH(Q4)+1,1)</f>
        <v>44228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44228</v>
      </c>
      <c r="Y5">
        <f t="shared" ref="Y5:Y15" si="2">MONTH(X5)</f>
        <v>2</v>
      </c>
      <c r="Z5" s="148">
        <f>HLOOKUP(Z$3,Data!$AL$4:$AR$19,ROW()-2,FALSE)/VLOOKUP($Y5,$C$20:$D$31,2,FALSE)</f>
        <v>0</v>
      </c>
      <c r="AA5" s="148">
        <f>HLOOKUP(AA$3,Data!$AL$4:$AR$19,ROW()-2,FALSE)/VLOOKUP($Y5,$C$20:$D$31,2,FALSE)</f>
        <v>0</v>
      </c>
      <c r="AB5" s="148">
        <f>HLOOKUP(AB$3,Data!$AL$4:$AR$19,ROW()-2,FALSE)/VLOOKUP($Y5,$C$20:$D$31,2,FALSE)</f>
        <v>0</v>
      </c>
      <c r="AC5" s="148">
        <f>HLOOKUP(AC$3,Data!$AL$4:$AR$19,ROW()-2,FALSE)/VLOOKUP($Y5,$C$20:$D$31,2,FALSE)</f>
        <v>0</v>
      </c>
    </row>
    <row r="6" spans="1:29" x14ac:dyDescent="0.25">
      <c r="A6" s="136">
        <v>1</v>
      </c>
      <c r="B6" s="137"/>
      <c r="C6" s="137">
        <v>0.41020000000000001</v>
      </c>
      <c r="E6" s="136">
        <v>1</v>
      </c>
      <c r="F6" s="137"/>
      <c r="G6" s="137">
        <v>0.57010000000000005</v>
      </c>
      <c r="I6" s="136">
        <v>1</v>
      </c>
      <c r="J6" s="137"/>
      <c r="K6" s="137">
        <v>0.55110000000000003</v>
      </c>
      <c r="M6" s="136">
        <v>1</v>
      </c>
      <c r="N6" s="137"/>
      <c r="O6" s="137">
        <v>0.56779999999999997</v>
      </c>
      <c r="Q6" s="4">
        <f t="shared" ref="Q6:Q15" si="3">DATE(YEAR(Q5),MONTH(Q5)+1,1)</f>
        <v>44256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44256</v>
      </c>
      <c r="Y6">
        <f t="shared" si="2"/>
        <v>3</v>
      </c>
      <c r="Z6" s="148">
        <f>HLOOKUP(Z$3,Data!$AL$4:$AR$19,ROW()-2,FALSE)/VLOOKUP($Y6,$C$20:$D$31,2,FALSE)</f>
        <v>0</v>
      </c>
      <c r="AA6" s="148">
        <f>HLOOKUP(AA$3,Data!$AL$4:$AR$19,ROW()-2,FALSE)/VLOOKUP($Y6,$C$20:$D$31,2,FALSE)</f>
        <v>0</v>
      </c>
      <c r="AB6" s="148">
        <f>HLOOKUP(AB$3,Data!$AL$4:$AR$19,ROW()-2,FALSE)/VLOOKUP($Y6,$C$20:$D$31,2,FALSE)</f>
        <v>0</v>
      </c>
      <c r="AC6" s="148">
        <f>HLOOKUP(AC$3,Data!$AL$4:$AR$19,ROW()-2,FALSE)/VLOOKUP($Y6,$C$20:$D$31,2,FALSE)</f>
        <v>0</v>
      </c>
    </row>
    <row r="7" spans="1:29" x14ac:dyDescent="0.25">
      <c r="A7" s="136">
        <v>2</v>
      </c>
      <c r="B7" s="137"/>
      <c r="C7" s="137">
        <v>0.35949999999999999</v>
      </c>
      <c r="E7" s="136">
        <v>2</v>
      </c>
      <c r="F7" s="137"/>
      <c r="G7" s="137">
        <v>0.4698</v>
      </c>
      <c r="I7" s="136">
        <v>2</v>
      </c>
      <c r="J7" s="137"/>
      <c r="K7" s="137">
        <v>0.51459999999999995</v>
      </c>
      <c r="M7" s="136">
        <v>2</v>
      </c>
      <c r="N7" s="137"/>
      <c r="O7" s="137">
        <v>0.53669999999999995</v>
      </c>
      <c r="Q7" s="4">
        <f t="shared" si="3"/>
        <v>44287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44287</v>
      </c>
      <c r="Y7">
        <f t="shared" si="2"/>
        <v>4</v>
      </c>
      <c r="Z7" s="148">
        <f>HLOOKUP(Z$3,Data!$AL$4:$AR$19,ROW()-2,FALSE)/VLOOKUP($Y7,$C$20:$D$31,2,FALSE)</f>
        <v>0</v>
      </c>
      <c r="AA7" s="148">
        <f>HLOOKUP(AA$3,Data!$AL$4:$AR$19,ROW()-2,FALSE)/VLOOKUP($Y7,$C$20:$D$31,2,FALSE)</f>
        <v>0</v>
      </c>
      <c r="AB7" s="148">
        <f>HLOOKUP(AB$3,Data!$AL$4:$AR$19,ROW()-2,FALSE)/VLOOKUP($Y7,$C$20:$D$31,2,FALSE)</f>
        <v>0</v>
      </c>
      <c r="AC7" s="148">
        <f>HLOOKUP(AC$3,Data!$AL$4:$AR$19,ROW()-2,FALSE)/VLOOKUP($Y7,$C$20:$D$31,2,FALSE)</f>
        <v>0</v>
      </c>
    </row>
    <row r="8" spans="1:29" x14ac:dyDescent="0.25">
      <c r="A8" s="136">
        <v>3</v>
      </c>
      <c r="B8" s="137"/>
      <c r="C8" s="137">
        <v>0.29659999999999997</v>
      </c>
      <c r="E8" s="136">
        <v>3</v>
      </c>
      <c r="F8" s="137"/>
      <c r="G8" s="137">
        <v>0.38129999999999997</v>
      </c>
      <c r="I8" s="136">
        <v>3</v>
      </c>
      <c r="J8" s="137"/>
      <c r="K8" s="137">
        <v>0.43149999999999999</v>
      </c>
      <c r="M8" s="136">
        <v>3</v>
      </c>
      <c r="N8" s="137"/>
      <c r="O8" s="137">
        <v>0.4224</v>
      </c>
      <c r="Q8" s="4">
        <f t="shared" si="3"/>
        <v>44317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44317</v>
      </c>
      <c r="Y8">
        <f t="shared" si="2"/>
        <v>5</v>
      </c>
      <c r="Z8" s="148">
        <f>HLOOKUP(Z$3,Data!$AL$4:$AR$19,ROW()-2,FALSE)/VLOOKUP($Y8,$C$20:$D$31,2,FALSE)</f>
        <v>0</v>
      </c>
      <c r="AA8" s="148">
        <f>HLOOKUP(AA$3,Data!$AL$4:$AR$19,ROW()-2,FALSE)/VLOOKUP($Y8,$C$20:$D$31,2,FALSE)</f>
        <v>0</v>
      </c>
      <c r="AB8" s="148">
        <f>HLOOKUP(AB$3,Data!$AL$4:$AR$19,ROW()-2,FALSE)/VLOOKUP($Y8,$C$20:$D$31,2,FALSE)</f>
        <v>0</v>
      </c>
      <c r="AC8" s="148">
        <f>HLOOKUP(AC$3,Data!$AL$4:$AR$19,ROW()-2,FALSE)/VLOOKUP($Y8,$C$20:$D$31,2,FALSE)</f>
        <v>0</v>
      </c>
    </row>
    <row r="9" spans="1:29" x14ac:dyDescent="0.25">
      <c r="A9" s="136">
        <v>4</v>
      </c>
      <c r="B9" s="137"/>
      <c r="C9" s="137">
        <v>0.20039999999999999</v>
      </c>
      <c r="E9" s="136">
        <v>4</v>
      </c>
      <c r="F9" s="137"/>
      <c r="G9" s="137">
        <v>0.23730000000000001</v>
      </c>
      <c r="I9" s="136">
        <v>4</v>
      </c>
      <c r="J9" s="137"/>
      <c r="K9" s="137">
        <v>0.25580000000000003</v>
      </c>
      <c r="M9" s="136">
        <v>4</v>
      </c>
      <c r="N9" s="137"/>
      <c r="O9" s="137">
        <v>0.2757</v>
      </c>
      <c r="Q9" s="4">
        <f t="shared" si="3"/>
        <v>44348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44348</v>
      </c>
      <c r="Y9">
        <f t="shared" si="2"/>
        <v>6</v>
      </c>
      <c r="Z9" s="148">
        <f>HLOOKUP(Z$3,Data!$AL$4:$AR$19,ROW()-2,FALSE)/VLOOKUP($Y9,$C$20:$D$31,2,FALSE)</f>
        <v>0</v>
      </c>
      <c r="AA9" s="148">
        <f>HLOOKUP(AA$3,Data!$AL$4:$AR$19,ROW()-2,FALSE)/VLOOKUP($Y9,$C$20:$D$31,2,FALSE)</f>
        <v>0</v>
      </c>
      <c r="AB9" s="148">
        <f>HLOOKUP(AB$3,Data!$AL$4:$AR$19,ROW()-2,FALSE)/VLOOKUP($Y9,$C$20:$D$31,2,FALSE)</f>
        <v>0</v>
      </c>
      <c r="AC9" s="148">
        <f>HLOOKUP(AC$3,Data!$AL$4:$AR$19,ROW()-2,FALSE)/VLOOKUP($Y9,$C$20:$D$31,2,FALSE)</f>
        <v>0</v>
      </c>
    </row>
    <row r="10" spans="1:29" x14ac:dyDescent="0.25">
      <c r="A10" s="136">
        <v>5</v>
      </c>
      <c r="B10" s="137"/>
      <c r="C10" s="137">
        <v>0.1113</v>
      </c>
      <c r="E10" s="136">
        <v>5</v>
      </c>
      <c r="F10" s="137"/>
      <c r="G10" s="137">
        <v>0.11210000000000001</v>
      </c>
      <c r="I10" s="136">
        <v>5</v>
      </c>
      <c r="J10" s="137"/>
      <c r="K10" s="137">
        <v>0.13320000000000001</v>
      </c>
      <c r="M10" s="136">
        <v>5</v>
      </c>
      <c r="N10" s="137"/>
      <c r="O10" s="137">
        <v>0.17799999999999999</v>
      </c>
      <c r="Q10" s="4">
        <f t="shared" si="3"/>
        <v>44378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44378</v>
      </c>
      <c r="Y10">
        <f t="shared" si="2"/>
        <v>7</v>
      </c>
      <c r="Z10" s="148">
        <f>HLOOKUP(Z$3,Data!$AL$4:$AR$19,ROW()-2,FALSE)/VLOOKUP($Y10,$C$20:$D$31,2,FALSE)</f>
        <v>0</v>
      </c>
      <c r="AA10" s="148">
        <f>HLOOKUP(AA$3,Data!$AL$4:$AR$19,ROW()-2,FALSE)/VLOOKUP($Y10,$C$20:$D$31,2,FALSE)</f>
        <v>0</v>
      </c>
      <c r="AB10" s="148">
        <f>HLOOKUP(AB$3,Data!$AL$4:$AR$19,ROW()-2,FALSE)/VLOOKUP($Y10,$C$20:$D$31,2,FALSE)</f>
        <v>0</v>
      </c>
      <c r="AC10" s="148">
        <f>HLOOKUP(AC$3,Data!$AL$4:$AR$19,ROW()-2,FALSE)/VLOOKUP($Y10,$C$20:$D$31,2,FALSE)</f>
        <v>0</v>
      </c>
    </row>
    <row r="11" spans="1:29" x14ac:dyDescent="0.25">
      <c r="A11" s="136">
        <v>6</v>
      </c>
      <c r="B11" s="137"/>
      <c r="C11" s="137">
        <v>0</v>
      </c>
      <c r="E11" s="136">
        <v>6</v>
      </c>
      <c r="F11" s="137"/>
      <c r="G11" s="137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3"/>
        <v>44409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44409</v>
      </c>
      <c r="Y11">
        <f t="shared" si="2"/>
        <v>8</v>
      </c>
      <c r="Z11" s="148">
        <f>HLOOKUP(Z$3,Data!$AL$4:$AR$19,ROW()-2,FALSE)/VLOOKUP($Y11,$C$20:$D$31,2,FALSE)</f>
        <v>0</v>
      </c>
      <c r="AA11" s="148">
        <f>HLOOKUP(AA$3,Data!$AL$4:$AR$19,ROW()-2,FALSE)/VLOOKUP($Y11,$C$20:$D$31,2,FALSE)</f>
        <v>0</v>
      </c>
      <c r="AB11" s="148">
        <f>HLOOKUP(AB$3,Data!$AL$4:$AR$19,ROW()-2,FALSE)/VLOOKUP($Y11,$C$20:$D$31,2,FALSE)</f>
        <v>0</v>
      </c>
      <c r="AC11" s="148">
        <f>HLOOKUP(AC$3,Data!$AL$4:$AR$19,ROW()-2,FALSE)/VLOOKUP($Y11,$C$20:$D$31,2,FALSE)</f>
        <v>0</v>
      </c>
    </row>
    <row r="12" spans="1:29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44440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44440</v>
      </c>
      <c r="Y12">
        <f t="shared" si="2"/>
        <v>9</v>
      </c>
      <c r="Z12" s="148">
        <f>HLOOKUP(Z$3,Data!$AL$4:$AR$19,ROW()-2,FALSE)/VLOOKUP($Y12,$C$20:$D$31,2,FALSE)</f>
        <v>0</v>
      </c>
      <c r="AA12" s="148">
        <f>HLOOKUP(AA$3,Data!$AL$4:$AR$19,ROW()-2,FALSE)/VLOOKUP($Y12,$C$20:$D$31,2,FALSE)</f>
        <v>0</v>
      </c>
      <c r="AB12" s="148">
        <f>HLOOKUP(AB$3,Data!$AL$4:$AR$19,ROW()-2,FALSE)/VLOOKUP($Y12,$C$20:$D$31,2,FALSE)</f>
        <v>0</v>
      </c>
      <c r="AC12" s="148">
        <f>HLOOKUP(AC$3,Data!$AL$4:$AR$19,ROW()-2,FALSE)/VLOOKUP($Y12,$C$20:$D$31,2,FALSE)</f>
        <v>0</v>
      </c>
    </row>
    <row r="13" spans="1:29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44470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44470</v>
      </c>
      <c r="Y13">
        <f t="shared" si="2"/>
        <v>10</v>
      </c>
      <c r="Z13" s="148">
        <f>HLOOKUP(Z$3,Data!$AL$4:$AR$19,ROW()-2,FALSE)/VLOOKUP($Y13,$C$20:$D$31,2,FALSE)</f>
        <v>0</v>
      </c>
      <c r="AA13" s="148">
        <f>HLOOKUP(AA$3,Data!$AL$4:$AR$19,ROW()-2,FALSE)/VLOOKUP($Y13,$C$20:$D$31,2,FALSE)</f>
        <v>0</v>
      </c>
      <c r="AB13" s="148">
        <f>HLOOKUP(AB$3,Data!$AL$4:$AR$19,ROW()-2,FALSE)/VLOOKUP($Y13,$C$20:$D$31,2,FALSE)</f>
        <v>0</v>
      </c>
      <c r="AC13" s="148">
        <f>HLOOKUP(AC$3,Data!$AL$4:$AR$19,ROW()-2,FALSE)/VLOOKUP($Y13,$C$20:$D$31,2,FALSE)</f>
        <v>0</v>
      </c>
    </row>
    <row r="14" spans="1:29" x14ac:dyDescent="0.25">
      <c r="A14" s="136">
        <v>9</v>
      </c>
      <c r="B14" s="137"/>
      <c r="C14" s="137">
        <v>8.8999999999999996E-2</v>
      </c>
      <c r="E14" s="136">
        <v>9</v>
      </c>
      <c r="F14" s="137"/>
      <c r="G14" s="137">
        <v>0</v>
      </c>
      <c r="I14" s="136">
        <v>9</v>
      </c>
      <c r="J14" s="137"/>
      <c r="K14" s="137">
        <v>0.47360000000000002</v>
      </c>
      <c r="M14" s="136">
        <v>9</v>
      </c>
      <c r="N14" s="137"/>
      <c r="O14" s="137">
        <v>0.25990000000000002</v>
      </c>
      <c r="Q14" s="4">
        <f t="shared" si="3"/>
        <v>44501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44501</v>
      </c>
      <c r="Y14">
        <f t="shared" si="2"/>
        <v>11</v>
      </c>
      <c r="Z14" s="148">
        <f>HLOOKUP(Z$3,Data!$AL$4:$AR$19,ROW()-2,FALSE)/VLOOKUP($Y14,$C$20:$D$31,2,FALSE)</f>
        <v>0</v>
      </c>
      <c r="AA14" s="148">
        <f>HLOOKUP(AA$3,Data!$AL$4:$AR$19,ROW()-2,FALSE)/VLOOKUP($Y14,$C$20:$D$31,2,FALSE)</f>
        <v>0</v>
      </c>
      <c r="AB14" s="148">
        <f>HLOOKUP(AB$3,Data!$AL$4:$AR$19,ROW()-2,FALSE)/VLOOKUP($Y14,$C$20:$D$31,2,FALSE)</f>
        <v>0</v>
      </c>
      <c r="AC14" s="148">
        <f>HLOOKUP(AC$3,Data!$AL$4:$AR$19,ROW()-2,FALSE)/VLOOKUP($Y14,$C$20:$D$31,2,FALSE)</f>
        <v>0</v>
      </c>
    </row>
    <row r="15" spans="1:29" x14ac:dyDescent="0.25">
      <c r="A15" s="136">
        <v>10</v>
      </c>
      <c r="B15" s="137"/>
      <c r="C15" s="137">
        <v>0.2319</v>
      </c>
      <c r="E15" s="136">
        <v>10</v>
      </c>
      <c r="F15" s="137"/>
      <c r="G15" s="137">
        <v>0.32429999999999998</v>
      </c>
      <c r="I15" s="136">
        <v>10</v>
      </c>
      <c r="J15" s="137"/>
      <c r="K15" s="137">
        <v>0.27510000000000001</v>
      </c>
      <c r="M15" s="136">
        <v>10</v>
      </c>
      <c r="N15" s="137"/>
      <c r="O15" s="137">
        <v>0.32540000000000002</v>
      </c>
      <c r="Q15" s="4">
        <f t="shared" si="3"/>
        <v>44531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44531</v>
      </c>
      <c r="Y15">
        <f t="shared" si="2"/>
        <v>12</v>
      </c>
      <c r="Z15" s="148">
        <f>HLOOKUP(Z$3,Data!$AL$4:$AR$19,ROW()-2,FALSE)/VLOOKUP($Y15,$C$20:$D$31,2,FALSE)</f>
        <v>0</v>
      </c>
      <c r="AA15" s="148">
        <f>HLOOKUP(AA$3,Data!$AL$4:$AR$19,ROW()-2,FALSE)/VLOOKUP($Y15,$C$20:$D$31,2,FALSE)</f>
        <v>0</v>
      </c>
      <c r="AB15" s="148">
        <f>HLOOKUP(AB$3,Data!$AL$4:$AR$19,ROW()-2,FALSE)/VLOOKUP($Y15,$C$20:$D$31,2,FALSE)</f>
        <v>0</v>
      </c>
      <c r="AC15" s="148">
        <f>HLOOKUP(AC$3,Data!$AL$4:$AR$19,ROW()-2,FALSE)/VLOOKUP($Y15,$C$20:$D$31,2,FALSE)</f>
        <v>0</v>
      </c>
    </row>
    <row r="16" spans="1:29" x14ac:dyDescent="0.25">
      <c r="A16" s="136">
        <v>11</v>
      </c>
      <c r="B16" s="137"/>
      <c r="C16" s="137">
        <v>0.38090000000000002</v>
      </c>
      <c r="E16" s="136">
        <v>11</v>
      </c>
      <c r="F16" s="137"/>
      <c r="G16" s="137">
        <v>0.52039999999999997</v>
      </c>
      <c r="I16" s="136">
        <v>11</v>
      </c>
      <c r="J16" s="137"/>
      <c r="K16" s="137">
        <v>0.38369999999999999</v>
      </c>
      <c r="M16" s="136">
        <v>11</v>
      </c>
      <c r="N16" s="137"/>
      <c r="O16" s="137">
        <v>0.40229999999999999</v>
      </c>
    </row>
    <row r="17" spans="1:29" x14ac:dyDescent="0.25">
      <c r="A17" s="136">
        <v>12</v>
      </c>
      <c r="B17" s="137"/>
      <c r="C17" s="137">
        <v>0.40560000000000002</v>
      </c>
      <c r="E17" s="136">
        <v>12</v>
      </c>
      <c r="F17" s="137"/>
      <c r="G17" s="137">
        <v>0.53910000000000002</v>
      </c>
      <c r="I17" s="136">
        <v>12</v>
      </c>
      <c r="J17" s="137"/>
      <c r="K17" s="137">
        <v>0.48470000000000002</v>
      </c>
      <c r="M17" s="136">
        <v>12</v>
      </c>
      <c r="N17" s="137"/>
      <c r="O17" s="137">
        <v>0.48309999999999997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29" x14ac:dyDescent="0.25">
      <c r="F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44197</v>
      </c>
      <c r="R19">
        <f>MONTH(Q19)</f>
        <v>1</v>
      </c>
      <c r="S19" s="149">
        <f>(S4-Z4)*VLOOKUP($R19,$A$6:$C$17,3,FALSE)</f>
        <v>10.572574193548387</v>
      </c>
      <c r="T19" s="149">
        <f>(T4-AA4)*VLOOKUP($R19,$E$6:$G$17,3,FALSE)</f>
        <v>12.762883870967743</v>
      </c>
      <c r="U19" s="149">
        <f>(U4-AB4)*VLOOKUP($R19,$I$6:$K$17,3,FALSE)</f>
        <v>16.248561290322581</v>
      </c>
      <c r="V19" s="149">
        <f>(V4-AC4)*VLOOKUP($R19,$M$6:$O$17,3,FALSE)</f>
        <v>19.360148387096771</v>
      </c>
      <c r="X19" s="4">
        <f>Q4</f>
        <v>44197</v>
      </c>
      <c r="Y19">
        <f>MONTH(X19)</f>
        <v>1</v>
      </c>
      <c r="Z19" s="127">
        <f>HLOOKUP(Z$18,Data!$AC$4:$AI$19,ROW()-17,FALSE)*VLOOKUP($Y19,$C$20:$D$31,2,FALSE)*S19</f>
        <v>3401387.4243999999</v>
      </c>
      <c r="AA19" s="127">
        <f>HLOOKUP(AA$18,Data!$AC$4:$AI$19,ROW()-17,FALSE)*VLOOKUP($Y19,$C$20:$D$31,2,FALSE)*T19</f>
        <v>2003964.2110000001</v>
      </c>
      <c r="AB19" s="127">
        <f>HLOOKUP(AB$18,Data!$AC$4:$AI$19,ROW()-17,FALSE)*VLOOKUP($Y19,$C$20:$D$31,2,FALSE)*U19</f>
        <v>2914943.1497999998</v>
      </c>
      <c r="AC19" s="127">
        <f>HLOOKUP(AC$18,Data!$AC$4:$AI$19,ROW()-17,FALSE)*VLOOKUP($Y19,$C$20:$D$31,2,FALSE)*V19</f>
        <v>3488756.8197999992</v>
      </c>
    </row>
    <row r="20" spans="1:29" x14ac:dyDescent="0.25">
      <c r="A20" s="4">
        <f>Data!A1</f>
        <v>44197</v>
      </c>
      <c r="C20">
        <f>MONTH(A20)</f>
        <v>1</v>
      </c>
      <c r="D20">
        <f>A21-A20</f>
        <v>31</v>
      </c>
      <c r="Q20" s="4">
        <f t="shared" ref="Q20:Q30" si="4">Q5</f>
        <v>44228</v>
      </c>
      <c r="R20">
        <f t="shared" ref="R20:R30" si="5">MONTH(Q20)</f>
        <v>2</v>
      </c>
      <c r="S20" s="149">
        <f t="shared" ref="S20:S30" si="6">(S5-Z5)*VLOOKUP($R20,$A$6:$C$17,3,FALSE)</f>
        <v>8.730714285714285</v>
      </c>
      <c r="T20" s="149">
        <f t="shared" ref="T20:T30" si="7">(T5-AA5)*VLOOKUP($R20,$E$6:$G$17,3,FALSE)</f>
        <v>10.050364285714286</v>
      </c>
      <c r="U20" s="149">
        <f t="shared" ref="U20:U30" si="8">(U5-AB5)*VLOOKUP($R20,$I$6:$K$17,3,FALSE)</f>
        <v>13.324464285714283</v>
      </c>
      <c r="V20" s="149">
        <f t="shared" ref="V20:V30" si="9">(V5-AC5)*VLOOKUP($R20,$M$6:$O$17,3,FALSE)</f>
        <v>15.506796428571427</v>
      </c>
      <c r="X20" s="4">
        <f t="shared" ref="X20:X30" si="10">Q5</f>
        <v>44228</v>
      </c>
      <c r="Y20">
        <f t="shared" ref="Y20:Y30" si="11">MONTH(X20)</f>
        <v>2</v>
      </c>
      <c r="Z20" s="127">
        <f>HLOOKUP(Z$18,Data!$AC$4:$AI$19,ROW()-17,FALSE)*VLOOKUP($Y20,$C$20:$D$31,2,FALSE)*S20</f>
        <v>2539939.4</v>
      </c>
      <c r="AA20" s="127">
        <f>HLOOKUP(AA$18,Data!$AC$4:$AI$19,ROW()-17,FALSE)*VLOOKUP($Y20,$C$20:$D$31,2,FALSE)*T20</f>
        <v>1425342.6629999999</v>
      </c>
      <c r="AB20" s="127">
        <f>HLOOKUP(AB$18,Data!$AC$4:$AI$19,ROW()-17,FALSE)*VLOOKUP($Y20,$C$20:$D$31,2,FALSE)*U20</f>
        <v>2163146.8299999996</v>
      </c>
      <c r="AC20" s="127">
        <f>HLOOKUP(AC$18,Data!$AC$4:$AI$19,ROW()-17,FALSE)*VLOOKUP($Y20,$C$20:$D$31,2,FALSE)*V20</f>
        <v>2530461.0683999998</v>
      </c>
    </row>
    <row r="21" spans="1:29" x14ac:dyDescent="0.25">
      <c r="A21" s="4">
        <f>DATE(YEAR(A20),MONTH(A20)+1,1)</f>
        <v>44228</v>
      </c>
      <c r="C21">
        <f t="shared" ref="C21:C31" si="12">MONTH(A21)</f>
        <v>2</v>
      </c>
      <c r="D21">
        <f>A22-A21</f>
        <v>28</v>
      </c>
      <c r="Q21" s="4">
        <f t="shared" si="4"/>
        <v>44256</v>
      </c>
      <c r="R21">
        <f t="shared" si="5"/>
        <v>3</v>
      </c>
      <c r="S21" s="149">
        <f t="shared" si="6"/>
        <v>6.1616258064516121</v>
      </c>
      <c r="T21" s="149">
        <f t="shared" si="7"/>
        <v>7.2446999999999999</v>
      </c>
      <c r="U21" s="149">
        <f t="shared" si="8"/>
        <v>8.0732258064516138</v>
      </c>
      <c r="V21" s="149">
        <f t="shared" si="9"/>
        <v>9.2110451612903219</v>
      </c>
      <c r="X21" s="4">
        <f t="shared" si="10"/>
        <v>44256</v>
      </c>
      <c r="Y21">
        <f t="shared" si="11"/>
        <v>3</v>
      </c>
      <c r="Z21" s="127">
        <f>HLOOKUP(Z$18,Data!$AC$4:$AI$19,ROW()-17,FALSE)*VLOOKUP($Y21,$C$20:$D$31,2,FALSE)*S21</f>
        <v>1985362.0975999997</v>
      </c>
      <c r="AA21" s="127">
        <f>HLOOKUP(AA$18,Data!$AC$4:$AI$19,ROW()-17,FALSE)*VLOOKUP($Y21,$C$20:$D$31,2,FALSE)*T21</f>
        <v>1137526.5704999999</v>
      </c>
      <c r="AB21" s="127">
        <f>HLOOKUP(AB$18,Data!$AC$4:$AI$19,ROW()-17,FALSE)*VLOOKUP($Y21,$C$20:$D$31,2,FALSE)*U21</f>
        <v>1449814.11</v>
      </c>
      <c r="AC21" s="127">
        <f>HLOOKUP(AC$18,Data!$AC$4:$AI$19,ROW()-17,FALSE)*VLOOKUP($Y21,$C$20:$D$31,2,FALSE)*V21</f>
        <v>1658430.2592</v>
      </c>
    </row>
    <row r="22" spans="1:29" x14ac:dyDescent="0.25">
      <c r="A22" s="4">
        <f t="shared" ref="A22:A32" si="13">DATE(YEAR(A21),MONTH(A21)+1,1)</f>
        <v>44256</v>
      </c>
      <c r="C22">
        <f t="shared" si="12"/>
        <v>3</v>
      </c>
      <c r="D22">
        <f t="shared" ref="D22:D31" si="14">A23-A22</f>
        <v>31</v>
      </c>
      <c r="Q22" s="4">
        <f t="shared" si="4"/>
        <v>44287</v>
      </c>
      <c r="R22">
        <f t="shared" si="5"/>
        <v>4</v>
      </c>
      <c r="S22" s="149">
        <f t="shared" si="6"/>
        <v>3.3266400000000003</v>
      </c>
      <c r="T22" s="149">
        <f t="shared" si="7"/>
        <v>3.86008</v>
      </c>
      <c r="U22" s="149">
        <f t="shared" si="8"/>
        <v>3.2742400000000007</v>
      </c>
      <c r="V22" s="149">
        <f t="shared" si="9"/>
        <v>4.3836300000000001</v>
      </c>
      <c r="X22" s="4">
        <f t="shared" si="10"/>
        <v>44287</v>
      </c>
      <c r="Y22">
        <f t="shared" si="11"/>
        <v>4</v>
      </c>
      <c r="Z22" s="127">
        <f>HLOOKUP(Z$18,Data!$AC$4:$AI$19,ROW()-17,FALSE)*VLOOKUP($Y22,$C$20:$D$31,2,FALSE)*S22</f>
        <v>1037712.0816</v>
      </c>
      <c r="AA22" s="127">
        <f>HLOOKUP(AA$18,Data!$AC$4:$AI$19,ROW()-17,FALSE)*VLOOKUP($Y22,$C$20:$D$31,2,FALSE)*T22</f>
        <v>586191.74879999994</v>
      </c>
      <c r="AB22" s="127">
        <f>HLOOKUP(AB$18,Data!$AC$4:$AI$19,ROW()-17,FALSE)*VLOOKUP($Y22,$C$20:$D$31,2,FALSE)*U22</f>
        <v>568539.03360000008</v>
      </c>
      <c r="AC22" s="127">
        <f>HLOOKUP(AC$18,Data!$AC$4:$AI$19,ROW()-17,FALSE)*VLOOKUP($Y22,$C$20:$D$31,2,FALSE)*V22</f>
        <v>762094.07550000004</v>
      </c>
    </row>
    <row r="23" spans="1:29" x14ac:dyDescent="0.25">
      <c r="A23" s="4">
        <f t="shared" si="13"/>
        <v>44287</v>
      </c>
      <c r="C23">
        <f t="shared" si="12"/>
        <v>4</v>
      </c>
      <c r="D23">
        <f t="shared" si="14"/>
        <v>30</v>
      </c>
      <c r="Q23" s="4">
        <f t="shared" si="4"/>
        <v>44317</v>
      </c>
      <c r="R23">
        <f t="shared" si="5"/>
        <v>5</v>
      </c>
      <c r="S23" s="149">
        <f t="shared" si="6"/>
        <v>1.2386612903225807</v>
      </c>
      <c r="T23" s="149">
        <f t="shared" si="7"/>
        <v>1.3524322580645163</v>
      </c>
      <c r="U23" s="149">
        <f t="shared" si="8"/>
        <v>0.89372903225806466</v>
      </c>
      <c r="V23" s="149">
        <f t="shared" si="9"/>
        <v>1.4986451612903227</v>
      </c>
      <c r="X23" s="4">
        <f t="shared" si="10"/>
        <v>44317</v>
      </c>
      <c r="Y23">
        <f t="shared" si="11"/>
        <v>5</v>
      </c>
      <c r="Z23" s="127">
        <f>HLOOKUP(Z$18,Data!$AC$4:$AI$19,ROW()-17,FALSE)*VLOOKUP($Y23,$C$20:$D$31,2,FALSE)*S23</f>
        <v>400457.95650000003</v>
      </c>
      <c r="AA23" s="127">
        <f>HLOOKUP(AA$18,Data!$AC$4:$AI$19,ROW()-17,FALSE)*VLOOKUP($Y23,$C$20:$D$31,2,FALSE)*T23</f>
        <v>212184.44940000001</v>
      </c>
      <c r="AB23" s="127">
        <f>HLOOKUP(AB$18,Data!$AC$4:$AI$19,ROW()-17,FALSE)*VLOOKUP($Y23,$C$20:$D$31,2,FALSE)*U23</f>
        <v>160138.36800000002</v>
      </c>
      <c r="AC23" s="127">
        <f>HLOOKUP(AC$18,Data!$AC$4:$AI$19,ROW()-17,FALSE)*VLOOKUP($Y23,$C$20:$D$31,2,FALSE)*V23</f>
        <v>268248.49200000003</v>
      </c>
    </row>
    <row r="24" spans="1:29" x14ac:dyDescent="0.25">
      <c r="A24" s="4">
        <f t="shared" si="13"/>
        <v>44317</v>
      </c>
      <c r="C24">
        <f t="shared" si="12"/>
        <v>5</v>
      </c>
      <c r="D24">
        <f t="shared" si="14"/>
        <v>31</v>
      </c>
      <c r="Q24" s="4">
        <f t="shared" si="4"/>
        <v>44348</v>
      </c>
      <c r="R24">
        <f t="shared" si="5"/>
        <v>6</v>
      </c>
      <c r="S24" s="149">
        <f t="shared" si="6"/>
        <v>0</v>
      </c>
      <c r="T24" s="149">
        <f t="shared" si="7"/>
        <v>0</v>
      </c>
      <c r="U24" s="149">
        <f t="shared" si="8"/>
        <v>0</v>
      </c>
      <c r="V24" s="149">
        <f t="shared" si="9"/>
        <v>0</v>
      </c>
      <c r="X24" s="4">
        <f t="shared" si="10"/>
        <v>44348</v>
      </c>
      <c r="Y24">
        <f t="shared" si="11"/>
        <v>6</v>
      </c>
      <c r="Z24" s="127">
        <f>HLOOKUP(Z$18,Data!$AC$4:$AI$19,ROW()-17,FALSE)*VLOOKUP($Y24,$C$20:$D$31,2,FALSE)*S24</f>
        <v>0</v>
      </c>
      <c r="AA24" s="127">
        <f>HLOOKUP(AA$18,Data!$AC$4:$AI$19,ROW()-17,FALSE)*VLOOKUP($Y24,$C$20:$D$31,2,FALSE)*T24</f>
        <v>0</v>
      </c>
      <c r="AB24" s="127">
        <f>HLOOKUP(AB$18,Data!$AC$4:$AI$19,ROW()-17,FALSE)*VLOOKUP($Y24,$C$20:$D$31,2,FALSE)*U24</f>
        <v>0</v>
      </c>
      <c r="AC24" s="127">
        <f>HLOOKUP(AC$18,Data!$AC$4:$AI$19,ROW()-17,FALSE)*VLOOKUP($Y24,$C$20:$D$31,2,FALSE)*V24</f>
        <v>0</v>
      </c>
    </row>
    <row r="25" spans="1:29" x14ac:dyDescent="0.25">
      <c r="A25" s="4">
        <f t="shared" si="13"/>
        <v>44348</v>
      </c>
      <c r="C25">
        <f t="shared" si="12"/>
        <v>6</v>
      </c>
      <c r="D25">
        <f t="shared" si="14"/>
        <v>30</v>
      </c>
      <c r="Q25" s="4">
        <f t="shared" si="4"/>
        <v>44378</v>
      </c>
      <c r="R25">
        <f t="shared" si="5"/>
        <v>7</v>
      </c>
      <c r="S25" s="149">
        <f t="shared" si="6"/>
        <v>0</v>
      </c>
      <c r="T25" s="149">
        <f t="shared" si="7"/>
        <v>0</v>
      </c>
      <c r="U25" s="149">
        <f t="shared" si="8"/>
        <v>0</v>
      </c>
      <c r="V25" s="149">
        <f t="shared" si="9"/>
        <v>0</v>
      </c>
      <c r="X25" s="4">
        <f t="shared" si="10"/>
        <v>44378</v>
      </c>
      <c r="Y25">
        <f t="shared" si="11"/>
        <v>7</v>
      </c>
      <c r="Z25" s="127">
        <f>HLOOKUP(Z$18,Data!$AC$4:$AI$19,ROW()-17,FALSE)*VLOOKUP($Y25,$C$20:$D$31,2,FALSE)*S25</f>
        <v>0</v>
      </c>
      <c r="AA25" s="127">
        <f>HLOOKUP(AA$18,Data!$AC$4:$AI$19,ROW()-17,FALSE)*VLOOKUP($Y25,$C$20:$D$31,2,FALSE)*T25</f>
        <v>0</v>
      </c>
      <c r="AB25" s="127">
        <f>HLOOKUP(AB$18,Data!$AC$4:$AI$19,ROW()-17,FALSE)*VLOOKUP($Y25,$C$20:$D$31,2,FALSE)*U25</f>
        <v>0</v>
      </c>
      <c r="AC25" s="127">
        <f>HLOOKUP(AC$18,Data!$AC$4:$AI$19,ROW()-17,FALSE)*VLOOKUP($Y25,$C$20:$D$31,2,FALSE)*V25</f>
        <v>0</v>
      </c>
    </row>
    <row r="26" spans="1:29" x14ac:dyDescent="0.25">
      <c r="A26" s="4">
        <f t="shared" si="13"/>
        <v>44378</v>
      </c>
      <c r="C26">
        <f t="shared" si="12"/>
        <v>7</v>
      </c>
      <c r="D26">
        <f t="shared" si="14"/>
        <v>31</v>
      </c>
      <c r="Q26" s="4">
        <f t="shared" si="4"/>
        <v>44409</v>
      </c>
      <c r="R26">
        <f t="shared" si="5"/>
        <v>8</v>
      </c>
      <c r="S26" s="149">
        <f t="shared" si="6"/>
        <v>0</v>
      </c>
      <c r="T26" s="149">
        <f t="shared" si="7"/>
        <v>0</v>
      </c>
      <c r="U26" s="149">
        <f t="shared" si="8"/>
        <v>0</v>
      </c>
      <c r="V26" s="149">
        <f t="shared" si="9"/>
        <v>0</v>
      </c>
      <c r="X26" s="4">
        <f t="shared" si="10"/>
        <v>44409</v>
      </c>
      <c r="Y26">
        <f t="shared" si="11"/>
        <v>8</v>
      </c>
      <c r="Z26" s="127">
        <f>HLOOKUP(Z$18,Data!$AC$4:$AI$19,ROW()-17,FALSE)*VLOOKUP($Y26,$C$20:$D$31,2,FALSE)*S26</f>
        <v>0</v>
      </c>
      <c r="AA26" s="127">
        <f>HLOOKUP(AA$18,Data!$AC$4:$AI$19,ROW()-17,FALSE)*VLOOKUP($Y26,$C$20:$D$31,2,FALSE)*T26</f>
        <v>0</v>
      </c>
      <c r="AB26" s="127">
        <f>HLOOKUP(AB$18,Data!$AC$4:$AI$19,ROW()-17,FALSE)*VLOOKUP($Y26,$C$20:$D$31,2,FALSE)*U26</f>
        <v>0</v>
      </c>
      <c r="AC26" s="127">
        <f>HLOOKUP(AC$18,Data!$AC$4:$AI$19,ROW()-17,FALSE)*VLOOKUP($Y26,$C$20:$D$31,2,FALSE)*V26</f>
        <v>0</v>
      </c>
    </row>
    <row r="27" spans="1:29" x14ac:dyDescent="0.25">
      <c r="A27" s="4">
        <f t="shared" si="13"/>
        <v>44409</v>
      </c>
      <c r="C27">
        <f t="shared" si="12"/>
        <v>8</v>
      </c>
      <c r="D27">
        <f t="shared" si="14"/>
        <v>31</v>
      </c>
      <c r="Q27" s="4">
        <f t="shared" si="4"/>
        <v>44440</v>
      </c>
      <c r="R27">
        <f t="shared" si="5"/>
        <v>9</v>
      </c>
      <c r="S27" s="149">
        <f t="shared" si="6"/>
        <v>0.6971666666666666</v>
      </c>
      <c r="T27" s="149">
        <f t="shared" si="7"/>
        <v>0</v>
      </c>
      <c r="U27" s="149">
        <f t="shared" si="8"/>
        <v>1.3576533333333334</v>
      </c>
      <c r="V27" s="149">
        <f t="shared" si="9"/>
        <v>1.3861333333333334</v>
      </c>
      <c r="X27" s="4">
        <f t="shared" si="10"/>
        <v>44440</v>
      </c>
      <c r="Y27">
        <f t="shared" si="11"/>
        <v>9</v>
      </c>
      <c r="Z27" s="127">
        <f>HLOOKUP(Z$18,Data!$AC$4:$AI$19,ROW()-17,FALSE)*VLOOKUP($Y27,$C$20:$D$31,2,FALSE)*S27</f>
        <v>217850.63999999998</v>
      </c>
      <c r="AA27" s="127">
        <f>HLOOKUP(AA$18,Data!$AC$4:$AI$19,ROW()-17,FALSE)*VLOOKUP($Y27,$C$20:$D$31,2,FALSE)*T27</f>
        <v>0</v>
      </c>
      <c r="AB27" s="127">
        <f>HLOOKUP(AB$18,Data!$AC$4:$AI$19,ROW()-17,FALSE)*VLOOKUP($Y27,$C$20:$D$31,2,FALSE)*U27</f>
        <v>235824.38400000002</v>
      </c>
      <c r="AC27" s="127">
        <f>HLOOKUP(AC$18,Data!$AC$4:$AI$19,ROW()-17,FALSE)*VLOOKUP($Y27,$C$20:$D$31,2,FALSE)*V27</f>
        <v>239731.76</v>
      </c>
    </row>
    <row r="28" spans="1:29" x14ac:dyDescent="0.25">
      <c r="A28" s="4">
        <f t="shared" si="13"/>
        <v>44440</v>
      </c>
      <c r="C28">
        <f t="shared" si="12"/>
        <v>9</v>
      </c>
      <c r="D28">
        <f t="shared" si="14"/>
        <v>30</v>
      </c>
      <c r="Q28" s="4">
        <f t="shared" si="4"/>
        <v>44470</v>
      </c>
      <c r="R28">
        <f t="shared" si="5"/>
        <v>10</v>
      </c>
      <c r="S28" s="149">
        <f t="shared" si="6"/>
        <v>3.5233838709677419</v>
      </c>
      <c r="T28" s="149">
        <f t="shared" si="7"/>
        <v>4.1322096774193549</v>
      </c>
      <c r="U28" s="149">
        <f t="shared" si="8"/>
        <v>3.2568290322580644</v>
      </c>
      <c r="V28" s="149">
        <f t="shared" si="9"/>
        <v>5.2064000000000004</v>
      </c>
      <c r="X28" s="4">
        <f t="shared" si="10"/>
        <v>44470</v>
      </c>
      <c r="Y28">
        <f t="shared" si="11"/>
        <v>10</v>
      </c>
      <c r="Z28" s="127">
        <f>HLOOKUP(Z$18,Data!$AC$4:$AI$19,ROW()-17,FALSE)*VLOOKUP($Y28,$C$20:$D$31,2,FALSE)*S28</f>
        <v>1142929.3536</v>
      </c>
      <c r="AA28" s="127">
        <f>HLOOKUP(AA$18,Data!$AC$4:$AI$19,ROW()-17,FALSE)*VLOOKUP($Y28,$C$20:$D$31,2,FALSE)*T28</f>
        <v>648818.90249999997</v>
      </c>
      <c r="AB28" s="127">
        <f>HLOOKUP(AB$18,Data!$AC$4:$AI$19,ROW()-17,FALSE)*VLOOKUP($Y28,$C$20:$D$31,2,FALSE)*U28</f>
        <v>587193.24719999998</v>
      </c>
      <c r="AC28" s="127">
        <f>HLOOKUP(AC$18,Data!$AC$4:$AI$19,ROW()-17,FALSE)*VLOOKUP($Y28,$C$20:$D$31,2,FALSE)*V28</f>
        <v>934496.73600000003</v>
      </c>
    </row>
    <row r="29" spans="1:29" x14ac:dyDescent="0.25">
      <c r="A29" s="4">
        <f t="shared" si="13"/>
        <v>44470</v>
      </c>
      <c r="C29">
        <f t="shared" si="12"/>
        <v>10</v>
      </c>
      <c r="D29">
        <f t="shared" si="14"/>
        <v>31</v>
      </c>
      <c r="Q29" s="4">
        <f t="shared" si="4"/>
        <v>44501</v>
      </c>
      <c r="R29">
        <f t="shared" si="5"/>
        <v>11</v>
      </c>
      <c r="S29" s="149">
        <f t="shared" si="6"/>
        <v>8.3036200000000004</v>
      </c>
      <c r="T29" s="149">
        <f t="shared" si="7"/>
        <v>10.026373333333332</v>
      </c>
      <c r="U29" s="149">
        <f t="shared" si="8"/>
        <v>8.8762600000000003</v>
      </c>
      <c r="V29" s="149">
        <f t="shared" si="9"/>
        <v>11.1303</v>
      </c>
      <c r="X29" s="4">
        <f t="shared" si="10"/>
        <v>44501</v>
      </c>
      <c r="Y29">
        <f t="shared" si="11"/>
        <v>11</v>
      </c>
      <c r="Z29" s="127">
        <f>HLOOKUP(Z$18,Data!$AC$4:$AI$19,ROW()-17,FALSE)*VLOOKUP($Y29,$C$20:$D$31,2,FALSE)*S29</f>
        <v>2615640.3000000003</v>
      </c>
      <c r="AA29" s="127">
        <f>HLOOKUP(AA$18,Data!$AC$4:$AI$19,ROW()-17,FALSE)*VLOOKUP($Y29,$C$20:$D$31,2,FALSE)*T29</f>
        <v>1528921.6695999999</v>
      </c>
      <c r="AB29" s="127">
        <f>HLOOKUP(AB$18,Data!$AC$4:$AI$19,ROW()-17,FALSE)*VLOOKUP($Y29,$C$20:$D$31,2,FALSE)*U29</f>
        <v>1556452.1910000001</v>
      </c>
      <c r="AC29" s="127">
        <f>HLOOKUP(AC$18,Data!$AC$4:$AI$19,ROW()-17,FALSE)*VLOOKUP($Y29,$C$20:$D$31,2,FALSE)*V29</f>
        <v>1940679.108</v>
      </c>
    </row>
    <row r="30" spans="1:29" x14ac:dyDescent="0.25">
      <c r="A30" s="4">
        <f t="shared" si="13"/>
        <v>44501</v>
      </c>
      <c r="C30">
        <f t="shared" si="12"/>
        <v>11</v>
      </c>
      <c r="D30">
        <f t="shared" si="14"/>
        <v>30</v>
      </c>
      <c r="Q30" s="4">
        <f t="shared" si="4"/>
        <v>44531</v>
      </c>
      <c r="R30">
        <f t="shared" si="5"/>
        <v>12</v>
      </c>
      <c r="S30" s="149">
        <f t="shared" si="6"/>
        <v>10.82036129032258</v>
      </c>
      <c r="T30" s="149">
        <f t="shared" si="7"/>
        <v>12.694935483870967</v>
      </c>
      <c r="U30" s="149">
        <f t="shared" si="8"/>
        <v>15.24459677419355</v>
      </c>
      <c r="V30" s="149">
        <f t="shared" si="9"/>
        <v>17.578606451612902</v>
      </c>
      <c r="X30" s="4">
        <f t="shared" si="10"/>
        <v>44531</v>
      </c>
      <c r="Y30">
        <f t="shared" si="11"/>
        <v>12</v>
      </c>
      <c r="Z30" s="127">
        <f>HLOOKUP(Z$18,Data!$AC$4:$AI$19,ROW()-17,FALSE)*VLOOKUP($Y30,$C$20:$D$31,2,FALSE)*S30</f>
        <v>3533767.6919999998</v>
      </c>
      <c r="AA30" s="127">
        <f>HLOOKUP(AA$18,Data!$AC$4:$AI$19,ROW()-17,FALSE)*VLOOKUP($Y30,$C$20:$D$31,2,FALSE)*T30</f>
        <v>2000379.0689999999</v>
      </c>
      <c r="AB30" s="127">
        <f>HLOOKUP(AB$18,Data!$AC$4:$AI$19,ROW()-17,FALSE)*VLOOKUP($Y30,$C$20:$D$31,2,FALSE)*U30</f>
        <v>2774531.8575000004</v>
      </c>
      <c r="AC30" s="127">
        <f>HLOOKUP(AC$18,Data!$AC$4:$AI$19,ROW()-17,FALSE)*VLOOKUP($Y30,$C$20:$D$31,2,FALSE)*V30</f>
        <v>3178616.3544000001</v>
      </c>
    </row>
    <row r="31" spans="1:29" x14ac:dyDescent="0.25">
      <c r="A31" s="4">
        <f t="shared" si="13"/>
        <v>44531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44562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  <mergeCell ref="S2:V2"/>
    <mergeCell ref="Z2:AC2"/>
    <mergeCell ref="S17:V17"/>
    <mergeCell ref="Z17:AC17"/>
    <mergeCell ref="O2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L33"/>
  <sheetViews>
    <sheetView tabSelected="1" workbookViewId="0">
      <selection activeCell="O19" sqref="O19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1.5703125" bestFit="1" customWidth="1"/>
  </cols>
  <sheetData>
    <row r="1" spans="1:38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38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38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3.0715122773024999</v>
      </c>
      <c r="E4" s="136" t="s">
        <v>72</v>
      </c>
      <c r="F4" s="137"/>
      <c r="G4">
        <v>4.1547758803752499</v>
      </c>
      <c r="I4" s="136" t="s">
        <v>72</v>
      </c>
      <c r="J4" s="137"/>
      <c r="K4">
        <v>3.4356606613735701</v>
      </c>
      <c r="M4" s="136" t="s">
        <v>72</v>
      </c>
      <c r="N4" s="137"/>
      <c r="O4">
        <v>3.8034735505341399</v>
      </c>
      <c r="Q4" s="4">
        <f>Data!A1</f>
        <v>44197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44197</v>
      </c>
      <c r="Y4">
        <f>MONTH(X4)</f>
        <v>1</v>
      </c>
      <c r="Z4" s="148">
        <f>HLOOKUP(Z$3,Data!$AU$4:$BA$19,ROW()-2,FALSE)/VLOOKUP($Y4,$C$21:$D$32,2,FALSE)</f>
        <v>17.032258064516128</v>
      </c>
      <c r="AA4" s="148">
        <f>HLOOKUP(AA$3,Data!$AU$4:$BA$19,ROW()-2,FALSE)/VLOOKUP($Y4,$C$21:$D$32,2,FALSE)</f>
        <v>16.661290322580644</v>
      </c>
      <c r="AB4" s="148">
        <f>HLOOKUP(AB$3,Data!$AU$4:$BA$19,ROW()-2,FALSE)/VLOOKUP($Y4,$C$21:$D$32,2,FALSE)</f>
        <v>20.193548387096776</v>
      </c>
      <c r="AC4" s="148">
        <f>HLOOKUP(AC$3,Data!$AU$4:$BA$19,ROW()-2,FALSE)/VLOOKUP($Y4,$C$21:$D$32,2,FALSE)</f>
        <v>23.93548387096774</v>
      </c>
      <c r="AE4" s="4">
        <v>43466</v>
      </c>
      <c r="AF4" s="127">
        <f>($C$4+($C6*$S4)+($C$5*AJ4))*HLOOKUP(Z$18,Data!$AC$4:$AI$19,(ROW())-2,FALSE)*VLOOKUP($Y19,$C$21:$D$32,2,FALSE)</f>
        <v>4526716.9392654244</v>
      </c>
      <c r="AG4" s="127">
        <f>($G$4+($G6*$T4)+($G$5*AJ4))*HLOOKUP(AA$18,Data!$AC$4:$AI$19,(ROW())-2,FALSE)*VLOOKUP($Y19,$C$21:$D$32,2,FALSE)</f>
        <v>2680124.9098422285</v>
      </c>
      <c r="AH4" s="127">
        <f>($K$4+($K6*$U4)+($K$5*AJ4))*HLOOKUP(AB$18,Data!$AC$4:$AI$19,(ROW())-2,FALSE)*VLOOKUP($Y19,$C$21:$D$32,2,FALSE)</f>
        <v>3237666.9427155685</v>
      </c>
      <c r="AI4" s="127">
        <f>($O$4+($O6*$V4)+($O$5*AJ4))*HLOOKUP(AC$18,Data!$AC$4:$AI$19,(ROW())-2,FALSE)*VLOOKUP($Y19,$C$21:$D$32,2,FALSE)</f>
        <v>4244570.0432958202</v>
      </c>
      <c r="AJ4">
        <v>109</v>
      </c>
      <c r="AL4" s="72">
        <f>SUM(AF4:AI4)</f>
        <v>14689078.835119043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44228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44228</v>
      </c>
      <c r="Y5">
        <f t="shared" ref="Y5:Y15" si="2">MONTH(X5)</f>
        <v>2</v>
      </c>
      <c r="Z5" s="148">
        <f>HLOOKUP(Z$3,Data!$AU$4:$BA$19,ROW()-2,FALSE)/VLOOKUP($Y5,$C$21:$D$32,2,FALSE)</f>
        <v>21.392857142857142</v>
      </c>
      <c r="AA5" s="148">
        <f>HLOOKUP(AA$3,Data!$AU$4:$BA$19,ROW()-2,FALSE)/VLOOKUP($Y5,$C$21:$D$32,2,FALSE)</f>
        <v>18.714285714285715</v>
      </c>
      <c r="AB5" s="148">
        <f>HLOOKUP(AB$3,Data!$AU$4:$BA$19,ROW()-2,FALSE)/VLOOKUP($Y5,$C$21:$D$32,2,FALSE)</f>
        <v>25.214285714285715</v>
      </c>
      <c r="AC5" s="148">
        <f>HLOOKUP(AC$3,Data!$AU$4:$BA$19,ROW()-2,FALSE)/VLOOKUP($Y5,$C$21:$D$32,2,FALSE)</f>
        <v>25.196428571428573</v>
      </c>
      <c r="AE5" s="4">
        <v>43497</v>
      </c>
      <c r="AF5" s="127">
        <f>($C$4+($C7*$S5)+($C$5*AJ5))*HLOOKUP(Z$18,Data!$AC$4:$AI$19,(ROW())-2,FALSE)*VLOOKUP($Y20,$C$21:$D$32,2,FALSE)</f>
        <v>3722580.1208224078</v>
      </c>
      <c r="AG5" s="127">
        <f>($G$4+($G7*$T5)+($G$5*AJ5))*HLOOKUP(AA$18,Data!$AC$4:$AI$19,(ROW())-2,FALSE)*VLOOKUP($Y20,$C$21:$D$32,2,FALSE)</f>
        <v>2235370.8772790097</v>
      </c>
      <c r="AH5" s="127">
        <f>($K$4+($K7*$U5)+($K$5*AJ5))*HLOOKUP(AB$18,Data!$AC$4:$AI$19,(ROW())-2,FALSE)*VLOOKUP($Y20,$C$21:$D$32,2,FALSE)</f>
        <v>2629000.9881403688</v>
      </c>
      <c r="AI5" s="127">
        <f>($O$4+($O7*$V5)+($O$5*AJ5))*HLOOKUP(AC$18,Data!$AC$4:$AI$19,(ROW())-2,FALSE)*VLOOKUP($Y20,$C$21:$D$32,2,FALSE)</f>
        <v>3343237.7594562527</v>
      </c>
      <c r="AJ5">
        <v>110</v>
      </c>
      <c r="AL5" s="72">
        <f t="shared" ref="AL5:AL15" si="3">SUM(AF5:AI5)</f>
        <v>11930189.745698038</v>
      </c>
    </row>
    <row r="6" spans="1:38" x14ac:dyDescent="0.25">
      <c r="A6" s="136">
        <v>1</v>
      </c>
      <c r="B6" s="137"/>
      <c r="C6">
        <v>0.52863110133634195</v>
      </c>
      <c r="E6" s="136">
        <v>1</v>
      </c>
      <c r="F6" s="137"/>
      <c r="G6">
        <v>0.67970803157764303</v>
      </c>
      <c r="I6" s="136">
        <v>1</v>
      </c>
      <c r="J6" s="137"/>
      <c r="K6">
        <v>0.59600914187133003</v>
      </c>
      <c r="M6" s="136">
        <v>1</v>
      </c>
      <c r="N6" s="137"/>
      <c r="O6">
        <v>0.68030901983464598</v>
      </c>
      <c r="Q6" s="4">
        <f t="shared" ref="Q6:Q15" si="4">DATE(YEAR(Q5),MONTH(Q5)+1,1)</f>
        <v>44256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44256</v>
      </c>
      <c r="Y6">
        <f t="shared" si="2"/>
        <v>3</v>
      </c>
      <c r="Z6" s="148">
        <f>HLOOKUP(Z$3,Data!$AU$4:$BA$19,ROW()-2,FALSE)/VLOOKUP($Y6,$C$21:$D$32,2,FALSE)</f>
        <v>15.17741935483871</v>
      </c>
      <c r="AA6" s="148">
        <f>HLOOKUP(AA$3,Data!$AU$4:$BA$19,ROW()-2,FALSE)/VLOOKUP($Y6,$C$21:$D$32,2,FALSE)</f>
        <v>16.403225806451612</v>
      </c>
      <c r="AB6" s="148">
        <f>HLOOKUP(AB$3,Data!$AU$4:$BA$19,ROW()-2,FALSE)/VLOOKUP($Y6,$C$21:$D$32,2,FALSE)</f>
        <v>14.258064516129032</v>
      </c>
      <c r="AC6" s="148">
        <f>HLOOKUP(AC$3,Data!$AU$4:$BA$19,ROW()-2,FALSE)/VLOOKUP($Y6,$C$21:$D$32,2,FALSE)</f>
        <v>16.112903225806452</v>
      </c>
      <c r="AE6" s="4">
        <v>43525</v>
      </c>
      <c r="AF6" s="127">
        <f>($C$4+($C8*$S6)+($C$5*AJ6))*HLOOKUP(Z$18,Data!$AC$4:$AI$19,(ROW())-2,FALSE)*VLOOKUP($Y21,$C$21:$D$32,2,FALSE)</f>
        <v>3149256.3278361736</v>
      </c>
      <c r="AG6" s="127">
        <f>($G$4+($G8*$T6)+($G$5*AJ6))*HLOOKUP(AA$18,Data!$AC$4:$AI$19,(ROW())-2,FALSE)*VLOOKUP($Y21,$C$21:$D$32,2,FALSE)</f>
        <v>1817293.6131581634</v>
      </c>
      <c r="AH6" s="127">
        <f>($K$4+($K8*$U6)+($K$5*AJ6))*HLOOKUP(AB$18,Data!$AC$4:$AI$19,(ROW())-2,FALSE)*VLOOKUP($Y21,$C$21:$D$32,2,FALSE)</f>
        <v>2018021.0041388308</v>
      </c>
      <c r="AI6" s="127">
        <f>($O$4+($O8*$V6)+($O$5*AJ6))*HLOOKUP(AC$18,Data!$AC$4:$AI$19,(ROW())-2,FALSE)*VLOOKUP($Y21,$C$21:$D$32,2,FALSE)</f>
        <v>2504836.6555872499</v>
      </c>
      <c r="AJ6">
        <v>111</v>
      </c>
      <c r="AL6" s="72">
        <f t="shared" si="3"/>
        <v>9489407.6007204186</v>
      </c>
    </row>
    <row r="7" spans="1:38" x14ac:dyDescent="0.25">
      <c r="A7" s="136">
        <v>2</v>
      </c>
      <c r="B7" s="137"/>
      <c r="C7">
        <v>0.50516244374935304</v>
      </c>
      <c r="E7" s="136">
        <v>2</v>
      </c>
      <c r="F7" s="137"/>
      <c r="G7">
        <v>0.64870872743129404</v>
      </c>
      <c r="I7" s="136">
        <v>2</v>
      </c>
      <c r="J7" s="137"/>
      <c r="K7">
        <v>0.61065622207785697</v>
      </c>
      <c r="M7" s="136">
        <v>2</v>
      </c>
      <c r="N7" s="137"/>
      <c r="O7">
        <v>0.698286538874207</v>
      </c>
      <c r="Q7" s="4">
        <f t="shared" si="4"/>
        <v>44287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44287</v>
      </c>
      <c r="Y7">
        <f t="shared" si="2"/>
        <v>4</v>
      </c>
      <c r="Z7" s="148">
        <f>HLOOKUP(Z$3,Data!$AU$4:$BA$19,ROW()-2,FALSE)/VLOOKUP($Y7,$C$21:$D$32,2,FALSE)</f>
        <v>9.3000000000000007</v>
      </c>
      <c r="AA7" s="148">
        <f>HLOOKUP(AA$3,Data!$AU$4:$BA$19,ROW()-2,FALSE)/VLOOKUP($Y7,$C$21:$D$32,2,FALSE)</f>
        <v>11.466666666666667</v>
      </c>
      <c r="AB7" s="148">
        <f>HLOOKUP(AB$3,Data!$AU$4:$BA$19,ROW()-2,FALSE)/VLOOKUP($Y7,$C$21:$D$32,2,FALSE)</f>
        <v>7.916666666666667</v>
      </c>
      <c r="AC7" s="148">
        <f>HLOOKUP(AC$3,Data!$AU$4:$BA$19,ROW()-2,FALSE)/VLOOKUP($Y7,$C$21:$D$32,2,FALSE)</f>
        <v>9.1333333333333329</v>
      </c>
      <c r="AE7" s="4">
        <v>43556</v>
      </c>
      <c r="AF7" s="127">
        <f>($C$4+($C9*$S7)+($C$5*AJ7))*HLOOKUP(Z$18,Data!$AC$4:$AI$19,(ROW())-2,FALSE)*VLOOKUP($Y22,$C$21:$D$32,2,FALSE)</f>
        <v>2095319.8496780819</v>
      </c>
      <c r="AG7" s="127">
        <f>($G$4+($G9*$T7)+($G$5*AJ7))*HLOOKUP(AA$18,Data!$AC$4:$AI$19,(ROW())-2,FALSE)*VLOOKUP($Y22,$C$21:$D$32,2,FALSE)</f>
        <v>1235342.9125758468</v>
      </c>
      <c r="AH7" s="127">
        <f>($K$4+($K9*$U7)+($K$5*AJ7))*HLOOKUP(AB$18,Data!$AC$4:$AI$19,(ROW())-2,FALSE)*VLOOKUP($Y22,$C$21:$D$32,2,FALSE)</f>
        <v>1123693.2968198794</v>
      </c>
      <c r="AI7" s="127">
        <f>($O$4+($O9*$V7)+($O$5*AJ7))*HLOOKUP(AC$18,Data!$AC$4:$AI$19,(ROW())-2,FALSE)*VLOOKUP($Y22,$C$21:$D$32,2,FALSE)</f>
        <v>1514446.3154235822</v>
      </c>
      <c r="AJ7">
        <v>112</v>
      </c>
      <c r="AL7" s="72">
        <f t="shared" si="3"/>
        <v>5968802.3744973913</v>
      </c>
    </row>
    <row r="8" spans="1:38" x14ac:dyDescent="0.25">
      <c r="A8" s="136">
        <v>3</v>
      </c>
      <c r="B8" s="137"/>
      <c r="C8">
        <v>0.42576030443900198</v>
      </c>
      <c r="E8" s="136">
        <v>3</v>
      </c>
      <c r="F8" s="137"/>
      <c r="G8">
        <v>0.52390966560051599</v>
      </c>
      <c r="I8" s="136">
        <v>3</v>
      </c>
      <c r="J8" s="137"/>
      <c r="K8">
        <v>0.56772207496151705</v>
      </c>
      <c r="M8" s="136">
        <v>3</v>
      </c>
      <c r="N8" s="137"/>
      <c r="O8">
        <v>0.59916988295983897</v>
      </c>
      <c r="Q8" s="4">
        <f t="shared" si="4"/>
        <v>44317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44317</v>
      </c>
      <c r="Y8">
        <f t="shared" si="2"/>
        <v>5</v>
      </c>
      <c r="Z8" s="148">
        <f>HLOOKUP(Z$3,Data!$AU$4:$BA$19,ROW()-2,FALSE)/VLOOKUP($Y8,$C$21:$D$32,2,FALSE)</f>
        <v>5.112903225806452</v>
      </c>
      <c r="AA8" s="148">
        <f>HLOOKUP(AA$3,Data!$AU$4:$BA$19,ROW()-2,FALSE)/VLOOKUP($Y8,$C$21:$D$32,2,FALSE)</f>
        <v>7.82258064516129</v>
      </c>
      <c r="AB8" s="148">
        <f>HLOOKUP(AB$3,Data!$AU$4:$BA$19,ROW()-2,FALSE)/VLOOKUP($Y8,$C$21:$D$32,2,FALSE)</f>
        <v>2.370967741935484</v>
      </c>
      <c r="AC8" s="148">
        <f>HLOOKUP(AC$3,Data!$AU$4:$BA$19,ROW()-2,FALSE)/VLOOKUP($Y8,$C$21:$D$32,2,FALSE)</f>
        <v>2.903225806451613</v>
      </c>
      <c r="AE8" s="4">
        <v>43586</v>
      </c>
      <c r="AF8" s="127">
        <f>($C$4+($C10*$S8)+($C$5*AJ8))*HLOOKUP(Z$18,Data!$AC$4:$AI$19,(ROW())-2,FALSE)*VLOOKUP($Y23,$C$21:$D$32,2,FALSE)</f>
        <v>1595220.3072286365</v>
      </c>
      <c r="AG8" s="127">
        <f>($G$4+($G10*$T8)+($G$5*AJ8))*HLOOKUP(AA$18,Data!$AC$4:$AI$19,(ROW())-2,FALSE)*VLOOKUP($Y23,$C$21:$D$32,2,FALSE)</f>
        <v>892039.74910589552</v>
      </c>
      <c r="AH8" s="127">
        <f>($K$4+($K10*$U8)+($K$5*AJ8))*HLOOKUP(AB$18,Data!$AC$4:$AI$19,(ROW())-2,FALSE)*VLOOKUP($Y23,$C$21:$D$32,2,FALSE)</f>
        <v>615601.67730491632</v>
      </c>
      <c r="AI8" s="127">
        <f>($O$4+($O10*$V8)+($O$5*AJ8))*HLOOKUP(AC$18,Data!$AC$4:$AI$19,(ROW())-2,FALSE)*VLOOKUP($Y23,$C$21:$D$32,2,FALSE)</f>
        <v>680798.94470430783</v>
      </c>
      <c r="AJ8">
        <v>113</v>
      </c>
      <c r="AL8" s="72">
        <f t="shared" si="3"/>
        <v>3783660.6783437557</v>
      </c>
    </row>
    <row r="9" spans="1:38" x14ac:dyDescent="0.25">
      <c r="A9" s="136">
        <v>4</v>
      </c>
      <c r="B9" s="137"/>
      <c r="C9">
        <v>0.31427139776447399</v>
      </c>
      <c r="E9" s="136">
        <v>4</v>
      </c>
      <c r="F9" s="137"/>
      <c r="G9">
        <v>0.39019339754499199</v>
      </c>
      <c r="I9" s="136">
        <v>4</v>
      </c>
      <c r="J9" s="137"/>
      <c r="K9">
        <v>0.37478220838557202</v>
      </c>
      <c r="M9" s="136">
        <v>4</v>
      </c>
      <c r="N9" s="137"/>
      <c r="O9">
        <v>0.44481123098786701</v>
      </c>
      <c r="Q9" s="4">
        <f t="shared" si="4"/>
        <v>44348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44348</v>
      </c>
      <c r="Y9">
        <f t="shared" si="2"/>
        <v>6</v>
      </c>
      <c r="Z9" s="148">
        <f>HLOOKUP(Z$3,Data!$AU$4:$BA$19,ROW()-2,FALSE)/VLOOKUP($Y9,$C$21:$D$32,2,FALSE)</f>
        <v>1.0833333333333333</v>
      </c>
      <c r="AA9" s="148">
        <f>HLOOKUP(AA$3,Data!$AU$4:$BA$19,ROW()-2,FALSE)/VLOOKUP($Y9,$C$21:$D$32,2,FALSE)</f>
        <v>1.4833333333333334</v>
      </c>
      <c r="AB9" s="148">
        <f>HLOOKUP(AB$3,Data!$AU$4:$BA$19,ROW()-2,FALSE)/VLOOKUP($Y9,$C$21:$D$32,2,FALSE)</f>
        <v>0.31666666666666665</v>
      </c>
      <c r="AC9" s="148">
        <f>HLOOKUP(AC$3,Data!$AU$4:$BA$19,ROW()-2,FALSE)/VLOOKUP($Y9,$C$21:$D$32,2,FALSE)</f>
        <v>0.48333333333333334</v>
      </c>
      <c r="AE9" s="4">
        <v>43617</v>
      </c>
      <c r="AF9" s="127">
        <f>($C$4+($C11*$S9)+($C$5*AJ9))*HLOOKUP(Z$18,Data!$AC$4:$AI$19,(ROW())-2,FALSE)*VLOOKUP($Y24,$C$21:$D$32,2,FALSE)</f>
        <v>961260.4823045904</v>
      </c>
      <c r="AG9" s="127">
        <f>($G$4+($G11*$T9)+($G$5*AJ9))*HLOOKUP(AA$18,Data!$AC$4:$AI$19,(ROW())-2,FALSE)*VLOOKUP($Y24,$C$21:$D$32,2,FALSE)</f>
        <v>630944.26519378542</v>
      </c>
      <c r="AH9" s="127">
        <f>($K$4+($K11*$U9)+($K$5*AJ9))*HLOOKUP(AB$18,Data!$AC$4:$AI$19,(ROW())-2,FALSE)*VLOOKUP($Y24,$C$21:$D$32,2,FALSE)</f>
        <v>595846.62850201828</v>
      </c>
      <c r="AI9" s="127">
        <f>($O$4+($O11*$V9)+($O$5*AJ9))*HLOOKUP(AC$18,Data!$AC$4:$AI$19,(ROW())-2,FALSE)*VLOOKUP($Y24,$C$21:$D$32,2,FALSE)</f>
        <v>658153.06318442756</v>
      </c>
      <c r="AJ9">
        <v>114</v>
      </c>
      <c r="AL9" s="72">
        <f t="shared" si="3"/>
        <v>2846204.4391848217</v>
      </c>
    </row>
    <row r="10" spans="1:38" x14ac:dyDescent="0.25">
      <c r="A10" s="136">
        <v>5</v>
      </c>
      <c r="B10" s="137"/>
      <c r="C10">
        <v>0.293112508652423</v>
      </c>
      <c r="E10" s="136">
        <v>5</v>
      </c>
      <c r="F10" s="137"/>
      <c r="G10">
        <v>0.29662221702472602</v>
      </c>
      <c r="I10" s="136">
        <v>5</v>
      </c>
      <c r="J10" s="137"/>
      <c r="K10">
        <v>0</v>
      </c>
      <c r="M10" s="136">
        <v>5</v>
      </c>
      <c r="N10" s="137"/>
      <c r="O10">
        <v>0</v>
      </c>
      <c r="Q10" s="4">
        <f t="shared" si="4"/>
        <v>44378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44378</v>
      </c>
      <c r="Y10">
        <f t="shared" si="2"/>
        <v>7</v>
      </c>
      <c r="Z10" s="148">
        <f>HLOOKUP(Z$3,Data!$AU$4:$BA$19,ROW()-2,FALSE)/VLOOKUP($Y10,$C$21:$D$32,2,FALSE)</f>
        <v>0</v>
      </c>
      <c r="AA10" s="148">
        <f>HLOOKUP(AA$3,Data!$AU$4:$BA$19,ROW()-2,FALSE)/VLOOKUP($Y10,$C$21:$D$32,2,FALSE)</f>
        <v>8.0645161290322578E-2</v>
      </c>
      <c r="AB10" s="148">
        <f>HLOOKUP(AB$3,Data!$AU$4:$BA$19,ROW()-2,FALSE)/VLOOKUP($Y10,$C$21:$D$32,2,FALSE)</f>
        <v>0</v>
      </c>
      <c r="AC10" s="148">
        <f>HLOOKUP(AC$3,Data!$AU$4:$BA$19,ROW()-2,FALSE)/VLOOKUP($Y10,$C$21:$D$32,2,FALSE)</f>
        <v>0</v>
      </c>
      <c r="AE10" s="4">
        <v>43647</v>
      </c>
      <c r="AF10" s="127">
        <f>($C$4+($C12*$S10)+($C$5*AJ10))*HLOOKUP(Z$18,Data!$AC$4:$AI$19,(ROW())-2,FALSE)*VLOOKUP($Y25,$C$21:$D$32,2,FALSE)</f>
        <v>993778.58278439194</v>
      </c>
      <c r="AG10" s="127">
        <f>($G$4+($G12*$T10)+($G$5*AJ10))*HLOOKUP(AA$18,Data!$AC$4:$AI$19,(ROW())-2,FALSE)*VLOOKUP($Y25,$C$21:$D$32,2,FALSE)</f>
        <v>650816.55822962022</v>
      </c>
      <c r="AH10" s="127">
        <f>($K$4+($K12*$U10)+($K$5*AJ10))*HLOOKUP(AB$18,Data!$AC$4:$AI$19,(ROW())-2,FALSE)*VLOOKUP($Y25,$C$21:$D$32,2,FALSE)</f>
        <v>615921.19374642393</v>
      </c>
      <c r="AI10" s="127">
        <f>($O$4+($O12*$V10)+($O$5*AJ10))*HLOOKUP(AC$18,Data!$AC$4:$AI$19,(ROW())-2,FALSE)*VLOOKUP($Y25,$C$21:$D$32,2,FALSE)</f>
        <v>679501.9602235757</v>
      </c>
      <c r="AJ10">
        <v>115</v>
      </c>
      <c r="AL10" s="72">
        <f t="shared" si="3"/>
        <v>2940018.2949840114</v>
      </c>
    </row>
    <row r="11" spans="1:38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4"/>
        <v>44409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44409</v>
      </c>
      <c r="Y11">
        <f t="shared" si="2"/>
        <v>8</v>
      </c>
      <c r="Z11" s="148">
        <f>HLOOKUP(Z$3,Data!$AU$4:$BA$19,ROW()-2,FALSE)/VLOOKUP($Y11,$C$21:$D$32,2,FALSE)</f>
        <v>0.29032258064516131</v>
      </c>
      <c r="AA11" s="148">
        <f>HLOOKUP(AA$3,Data!$AU$4:$BA$19,ROW()-2,FALSE)/VLOOKUP($Y11,$C$21:$D$32,2,FALSE)</f>
        <v>0.11290322580645161</v>
      </c>
      <c r="AB11" s="148">
        <f>HLOOKUP(AB$3,Data!$AU$4:$BA$19,ROW()-2,FALSE)/VLOOKUP($Y11,$C$21:$D$32,2,FALSE)</f>
        <v>0</v>
      </c>
      <c r="AC11" s="148">
        <f>HLOOKUP(AC$3,Data!$AU$4:$BA$19,ROW()-2,FALSE)/VLOOKUP($Y11,$C$21:$D$32,2,FALSE)</f>
        <v>1.6129032258064516E-2</v>
      </c>
      <c r="AE11" s="4">
        <v>43678</v>
      </c>
      <c r="AF11" s="127">
        <f>($C$4+($C13*$S11)+($C$5*AJ11))*HLOOKUP(Z$18,Data!$AC$4:$AI$19,(ROW())-2,FALSE)*VLOOKUP($Y26,$C$21:$D$32,2,FALSE)</f>
        <v>993112.06462021731</v>
      </c>
      <c r="AG11" s="127">
        <f>($G$4+($G13*$T11)+($G$5*AJ11))*HLOOKUP(AA$18,Data!$AC$4:$AI$19,(ROW())-2,FALSE)*VLOOKUP($Y26,$C$21:$D$32,2,FALSE)</f>
        <v>650945.35628191184</v>
      </c>
      <c r="AH11" s="127">
        <f>($K$4+($K13*$U11)+($K$5*AJ11))*HLOOKUP(AB$18,Data!$AC$4:$AI$19,(ROW())-2,FALSE)*VLOOKUP($Y26,$C$21:$D$32,2,FALSE)</f>
        <v>616134.20470742916</v>
      </c>
      <c r="AI11" s="127">
        <f>($O$4+($O13*$V11)+($O$5*AJ11))*HLOOKUP(AC$18,Data!$AC$4:$AI$19,(ROW())-2,FALSE)*VLOOKUP($Y26,$C$21:$D$32,2,FALSE)</f>
        <v>679148.23718337598</v>
      </c>
      <c r="AJ11">
        <v>116</v>
      </c>
      <c r="AL11" s="72">
        <f t="shared" si="3"/>
        <v>2939339.8627929343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4"/>
        <v>44440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44440</v>
      </c>
      <c r="Y12">
        <f t="shared" si="2"/>
        <v>9</v>
      </c>
      <c r="Z12" s="148">
        <f>HLOOKUP(Z$3,Data!$AU$4:$BA$19,ROW()-2,FALSE)/VLOOKUP($Y12,$C$21:$D$32,2,FALSE)</f>
        <v>1.6666666666666667</v>
      </c>
      <c r="AA12" s="148">
        <f>HLOOKUP(AA$3,Data!$AU$4:$BA$19,ROW()-2,FALSE)/VLOOKUP($Y12,$C$21:$D$32,2,FALSE)</f>
        <v>0.91666666666666663</v>
      </c>
      <c r="AB12" s="148">
        <f>HLOOKUP(AB$3,Data!$AU$4:$BA$19,ROW()-2,FALSE)/VLOOKUP($Y12,$C$21:$D$32,2,FALSE)</f>
        <v>0.26666666666666666</v>
      </c>
      <c r="AC12" s="148">
        <f>HLOOKUP(AC$3,Data!$AU$4:$BA$19,ROW()-2,FALSE)/VLOOKUP($Y12,$C$21:$D$32,2,FALSE)</f>
        <v>1.35</v>
      </c>
      <c r="AE12" s="4">
        <v>43709</v>
      </c>
      <c r="AF12" s="127">
        <f>($C$4+($C14*$S12)+($C$5*AJ12))*HLOOKUP(Z$18,Data!$AC$4:$AI$19,(ROW())-2,FALSE)*VLOOKUP($Y27,$C$21:$D$32,2,FALSE)</f>
        <v>1375098.0674993598</v>
      </c>
      <c r="AG12" s="127">
        <f>($G$4+($G14*$T12)+($G$5*AJ12))*HLOOKUP(AA$18,Data!$AC$4:$AI$19,(ROW())-2,FALSE)*VLOOKUP($Y27,$C$21:$D$32,2,FALSE)</f>
        <v>845338.53601034021</v>
      </c>
      <c r="AH12" s="127">
        <f>($K$4+($K14*$U12)+($K$5*AJ12))*HLOOKUP(AB$18,Data!$AC$4:$AI$19,(ROW())-2,FALSE)*VLOOKUP($Y27,$C$21:$D$32,2,FALSE)</f>
        <v>802989.04537590942</v>
      </c>
      <c r="AI12" s="127">
        <f>($O$4+($O14*$V12)+($O$5*AJ12))*HLOOKUP(AC$18,Data!$AC$4:$AI$19,(ROW())-2,FALSE)*VLOOKUP($Y27,$C$21:$D$32,2,FALSE)</f>
        <v>1039923.7605766703</v>
      </c>
      <c r="AJ12">
        <v>117</v>
      </c>
      <c r="AL12" s="72">
        <f t="shared" si="3"/>
        <v>4063349.4094622796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4"/>
        <v>44470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44470</v>
      </c>
      <c r="Y13">
        <f t="shared" si="2"/>
        <v>10</v>
      </c>
      <c r="Z13" s="148">
        <f>HLOOKUP(Z$3,Data!$AU$4:$BA$19,ROW()-2,FALSE)/VLOOKUP($Y13,$C$21:$D$32,2,FALSE)</f>
        <v>9.193548387096774</v>
      </c>
      <c r="AA13" s="148">
        <f>HLOOKUP(AA$3,Data!$AU$4:$BA$19,ROW()-2,FALSE)/VLOOKUP($Y13,$C$21:$D$32,2,FALSE)</f>
        <v>6.887096774193548</v>
      </c>
      <c r="AB13" s="148">
        <f>HLOOKUP(AB$3,Data!$AU$4:$BA$19,ROW()-2,FALSE)/VLOOKUP($Y13,$C$21:$D$32,2,FALSE)</f>
        <v>6.612903225806452</v>
      </c>
      <c r="AC13" s="148">
        <f>HLOOKUP(AC$3,Data!$AU$4:$BA$19,ROW()-2,FALSE)/VLOOKUP($Y13,$C$21:$D$32,2,FALSE)</f>
        <v>10.306451612903226</v>
      </c>
      <c r="AE13" s="4">
        <v>43739</v>
      </c>
      <c r="AF13" s="127">
        <f>($C$4+($C15*$S13)+($C$5*AJ13))*HLOOKUP(Z$18,Data!$AC$4:$AI$19,(ROW())-2,FALSE)*VLOOKUP($Y28,$C$21:$D$32,2,FALSE)</f>
        <v>2491407.0027002939</v>
      </c>
      <c r="AG13" s="127">
        <f>($G$4+($G15*$T13)+($G$5*AJ13))*HLOOKUP(AA$18,Data!$AC$4:$AI$19,(ROW())-2,FALSE)*VLOOKUP($Y28,$C$21:$D$32,2,FALSE)</f>
        <v>1543158.1186166403</v>
      </c>
      <c r="AH13" s="127">
        <f>($K$4+($K15*$U13)+($K$5*AJ13))*HLOOKUP(AB$18,Data!$AC$4:$AI$19,(ROW())-2,FALSE)*VLOOKUP($Y28,$C$21:$D$32,2,FALSE)</f>
        <v>1272928.5401310709</v>
      </c>
      <c r="AI13" s="127">
        <f>($O$4+($O15*$V13)+($O$5*AJ13))*HLOOKUP(AC$18,Data!$AC$4:$AI$19,(ROW())-2,FALSE)*VLOOKUP($Y28,$C$21:$D$32,2,FALSE)</f>
        <v>1948075.6675018645</v>
      </c>
      <c r="AJ13">
        <v>118</v>
      </c>
      <c r="AL13" s="72">
        <f t="shared" si="3"/>
        <v>7255569.3289498687</v>
      </c>
    </row>
    <row r="14" spans="1:38" x14ac:dyDescent="0.25">
      <c r="A14" s="136">
        <v>9</v>
      </c>
      <c r="B14" s="137"/>
      <c r="C14" s="137">
        <v>0.38338937792437899</v>
      </c>
      <c r="E14" s="136">
        <v>9</v>
      </c>
      <c r="F14" s="137"/>
      <c r="G14">
        <v>0.83629628023056002</v>
      </c>
      <c r="I14" s="136">
        <v>9</v>
      </c>
      <c r="J14" s="137"/>
      <c r="K14" s="137">
        <v>1.18718934079056</v>
      </c>
      <c r="M14" s="136">
        <v>9</v>
      </c>
      <c r="N14" s="137"/>
      <c r="O14">
        <v>0.90796613958058403</v>
      </c>
      <c r="Q14" s="4">
        <f t="shared" si="4"/>
        <v>44501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44501</v>
      </c>
      <c r="Y14">
        <f t="shared" si="2"/>
        <v>11</v>
      </c>
      <c r="Z14" s="148">
        <f>HLOOKUP(Z$3,Data!$AU$4:$BA$19,ROW()-2,FALSE)/VLOOKUP($Y14,$C$21:$D$32,2,FALSE)</f>
        <v>13.05</v>
      </c>
      <c r="AA14" s="148">
        <f>HLOOKUP(AA$3,Data!$AU$4:$BA$19,ROW()-2,FALSE)/VLOOKUP($Y14,$C$21:$D$32,2,FALSE)</f>
        <v>10.9</v>
      </c>
      <c r="AB14" s="148">
        <f>HLOOKUP(AB$3,Data!$AU$4:$BA$19,ROW()-2,FALSE)/VLOOKUP($Y14,$C$21:$D$32,2,FALSE)</f>
        <v>14.816666666666666</v>
      </c>
      <c r="AC14" s="148">
        <f>HLOOKUP(AC$3,Data!$AU$4:$BA$19,ROW()-2,FALSE)/VLOOKUP($Y14,$C$21:$D$32,2,FALSE)</f>
        <v>18.133333333333333</v>
      </c>
      <c r="AE14" s="4">
        <v>43770</v>
      </c>
      <c r="AF14" s="127">
        <f>($C$4+($C16*$S14)+($C$5*AJ14))*HLOOKUP(Z$18,Data!$AC$4:$AI$19,(ROW())-2,FALSE)*VLOOKUP($Y29,$C$21:$D$32,2,FALSE)</f>
        <v>3883455.2927075531</v>
      </c>
      <c r="AG14" s="127">
        <f>($G$4+($G16*$T14)+($G$5*AJ14))*HLOOKUP(AA$18,Data!$AC$4:$AI$19,(ROW())-2,FALSE)*VLOOKUP($Y29,$C$21:$D$32,2,FALSE)</f>
        <v>2328617.1201420529</v>
      </c>
      <c r="AH14" s="127">
        <f>($K$4+($K16*$U14)+($K$5*AJ14))*HLOOKUP(AB$18,Data!$AC$4:$AI$19,(ROW())-2,FALSE)*VLOOKUP($Y29,$C$21:$D$32,2,FALSE)</f>
        <v>2080038.0357331871</v>
      </c>
      <c r="AI14" s="127">
        <f>($O$4+($O16*$V14)+($O$5*AJ14))*HLOOKUP(AC$18,Data!$AC$4:$AI$19,(ROW())-2,FALSE)*VLOOKUP($Y29,$C$21:$D$32,2,FALSE)</f>
        <v>2863074.1020971076</v>
      </c>
      <c r="AJ14">
        <v>119</v>
      </c>
      <c r="AL14" s="72">
        <f t="shared" si="3"/>
        <v>11155184.5506799</v>
      </c>
    </row>
    <row r="15" spans="1:38" x14ac:dyDescent="0.25">
      <c r="A15" s="136">
        <v>10</v>
      </c>
      <c r="B15" s="137"/>
      <c r="C15">
        <v>0.447888076072673</v>
      </c>
      <c r="E15" s="136">
        <v>10</v>
      </c>
      <c r="F15" s="137"/>
      <c r="G15">
        <v>0.71784836614583503</v>
      </c>
      <c r="I15" s="136">
        <v>10</v>
      </c>
      <c r="J15" s="137"/>
      <c r="K15">
        <v>0.48852690144732802</v>
      </c>
      <c r="M15" s="136">
        <v>10</v>
      </c>
      <c r="N15" s="137"/>
      <c r="O15">
        <v>0.62981997178703797</v>
      </c>
      <c r="Q15" s="4">
        <f t="shared" si="4"/>
        <v>44531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44531</v>
      </c>
      <c r="Y15">
        <f t="shared" si="2"/>
        <v>12</v>
      </c>
      <c r="Z15" s="148">
        <f>HLOOKUP(Z$3,Data!$AU$4:$BA$19,ROW()-2,FALSE)/VLOOKUP($Y15,$C$21:$D$32,2,FALSE)</f>
        <v>25.370967741935484</v>
      </c>
      <c r="AA15" s="148">
        <f>HLOOKUP(AA$3,Data!$AU$4:$BA$19,ROW()-2,FALSE)/VLOOKUP($Y15,$C$21:$D$32,2,FALSE)</f>
        <v>19.5</v>
      </c>
      <c r="AB15" s="148">
        <f>HLOOKUP(AB$3,Data!$AU$4:$BA$19,ROW()-2,FALSE)/VLOOKUP($Y15,$C$21:$D$32,2,FALSE)</f>
        <v>25</v>
      </c>
      <c r="AC15" s="148">
        <f>HLOOKUP(AC$3,Data!$AU$4:$BA$19,ROW()-2,FALSE)/VLOOKUP($Y15,$C$21:$D$32,2,FALSE)</f>
        <v>27.532258064516128</v>
      </c>
      <c r="AE15" s="4">
        <v>43800</v>
      </c>
      <c r="AF15" s="127">
        <f>($C$4+($C17*$S15)+($C$5*AJ15))*HLOOKUP(Z$18,Data!$AC$4:$AI$19,(ROW())-2,FALSE)*VLOOKUP($Y30,$C$21:$D$32,2,FALSE)</f>
        <v>4423388.9193971623</v>
      </c>
      <c r="AG15" s="127">
        <f>($G$4+($G17*$T15)+($G$5*AJ15))*HLOOKUP(AA$18,Data!$AC$4:$AI$19,(ROW())-2,FALSE)*VLOOKUP($Y30,$C$21:$D$32,2,FALSE)</f>
        <v>2789115.054437201</v>
      </c>
      <c r="AH15" s="127">
        <f>($K$4+($K17*$U15)+($K$5*AJ15))*HLOOKUP(AB$18,Data!$AC$4:$AI$19,(ROW())-2,FALSE)*VLOOKUP($Y30,$C$21:$D$32,2,FALSE)</f>
        <v>3265319.6310822279</v>
      </c>
      <c r="AI15" s="127">
        <f>($O$4+($O17*$V15)+($O$5*AJ15))*HLOOKUP(AC$18,Data!$AC$4:$AI$19,(ROW())-2,FALSE)*VLOOKUP($Y30,$C$21:$D$32,2,FALSE)</f>
        <v>4198951.6103146533</v>
      </c>
      <c r="AJ15">
        <v>120</v>
      </c>
      <c r="AL15" s="72">
        <f t="shared" si="3"/>
        <v>14676775.215231244</v>
      </c>
    </row>
    <row r="16" spans="1:38" x14ac:dyDescent="0.25">
      <c r="A16" s="136">
        <v>11</v>
      </c>
      <c r="B16" s="137"/>
      <c r="C16">
        <v>0.55100697758073802</v>
      </c>
      <c r="E16" s="136">
        <v>11</v>
      </c>
      <c r="F16" s="137"/>
      <c r="G16">
        <v>0.71869693524715195</v>
      </c>
      <c r="I16" s="136">
        <v>11</v>
      </c>
      <c r="J16" s="137"/>
      <c r="K16">
        <v>0.462997063568728</v>
      </c>
      <c r="M16" s="136">
        <v>11</v>
      </c>
      <c r="N16" s="137"/>
      <c r="O16">
        <v>0.55663243740789203</v>
      </c>
    </row>
    <row r="17" spans="1:35" x14ac:dyDescent="0.25">
      <c r="A17" s="136">
        <v>12</v>
      </c>
      <c r="B17" s="137"/>
      <c r="C17">
        <v>0.47814237027627599</v>
      </c>
      <c r="E17" s="136">
        <v>12</v>
      </c>
      <c r="F17" s="137"/>
      <c r="G17">
        <v>0.66865652920714602</v>
      </c>
      <c r="I17" s="136">
        <v>12</v>
      </c>
      <c r="J17" s="137"/>
      <c r="K17">
        <v>0.54638187103146496</v>
      </c>
      <c r="M17" s="136">
        <v>12</v>
      </c>
      <c r="N17" s="137"/>
      <c r="O17">
        <v>0.61738844197451603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44197</v>
      </c>
      <c r="R19">
        <f>MONTH(Q19)</f>
        <v>1</v>
      </c>
      <c r="S19" s="149">
        <f>(S4-Z4)*VLOOKUP($R19,$A$6:$C$17,3,FALSE)</f>
        <v>1.995156092140387</v>
      </c>
      <c r="T19" s="149">
        <f>(T4-AA4)*VLOOKUP($R19,$E$6:$G$17,3,FALSE)</f>
        <v>1.5896397512702949</v>
      </c>
      <c r="U19" s="149">
        <f>(U4-AB4)*VLOOKUP($R19,$I$6:$K$17,3,FALSE)</f>
        <v>2.5762975809921995</v>
      </c>
      <c r="V19" s="149">
        <f>(V4-AC4)*VLOOKUP($R19,$M$6:$O$17,3,FALSE)</f>
        <v>3.467381455931422</v>
      </c>
      <c r="X19" s="4">
        <f>Q4</f>
        <v>44197</v>
      </c>
      <c r="Y19">
        <f>MONTH(X19)</f>
        <v>1</v>
      </c>
      <c r="Z19" s="127">
        <f>HLOOKUP(Z$18,Data!$AC$4:$AI$19,(ROW())-17,FALSE)*VLOOKUP($Y19,$C$21:$D$32,2,FALSE)*S19</f>
        <v>641877.627651221</v>
      </c>
      <c r="AA19" s="127">
        <f>HLOOKUP(AA$18,Data!$AC$4:$AI$19,ROW()-17,FALSE)*VLOOKUP($Y19,$C$21:$D$32,2,FALSE)*T19</f>
        <v>249597.28554570535</v>
      </c>
      <c r="AB19" s="127">
        <f>HLOOKUP(AB$18,Data!$AC$4:$AI$19,ROW()-17,FALSE)*VLOOKUP($Y19,$C$21:$D$32,2,FALSE)*U19</f>
        <v>462180.05713725759</v>
      </c>
      <c r="AC19" s="127">
        <f>HLOOKUP(AC$18,Data!$AC$4:$AI$19,ROW()-17,FALSE)*VLOOKUP($Y19,$C$21:$D$32,2,FALSE)*V19</f>
        <v>624832.54050321004</v>
      </c>
      <c r="AE19" s="4">
        <v>43466</v>
      </c>
      <c r="AF19" s="127">
        <f>Z19+Data!K5</f>
        <v>4462654.8584307628</v>
      </c>
      <c r="AG19" s="127">
        <f>AA19+Data!L5</f>
        <v>2529429.0800726153</v>
      </c>
      <c r="AH19" s="127">
        <f>AB19+Data!M5</f>
        <v>3201562.7442453261</v>
      </c>
      <c r="AI19" s="127">
        <f>AC19+Data!N5</f>
        <v>4320193.8280886896</v>
      </c>
    </row>
    <row r="20" spans="1:35" x14ac:dyDescent="0.25">
      <c r="D20" t="s">
        <v>73</v>
      </c>
      <c r="Q20" s="4">
        <f t="shared" ref="Q20:Q30" si="5">Q5</f>
        <v>44228</v>
      </c>
      <c r="R20">
        <f t="shared" ref="R20:R30" si="6">MONTH(Q20)</f>
        <v>2</v>
      </c>
      <c r="S20" s="149">
        <f t="shared" ref="S20:S30" si="7">(S5-Z5)*VLOOKUP($R20,$A$6:$C$17,3,FALSE)</f>
        <v>-1.0824909508914706</v>
      </c>
      <c r="T20" s="149">
        <f t="shared" ref="T20:T30" si="8">(T5-AA5)*VLOOKUP($R20,$E$6:$G$17,3,FALSE)</f>
        <v>-0.53286788324713541</v>
      </c>
      <c r="U20" s="149">
        <f t="shared" ref="U20:U30" si="9">(U5-AB5)*VLOOKUP($R20,$I$6:$K$17,3,FALSE)</f>
        <v>-2.638907245407883</v>
      </c>
      <c r="V20" s="149">
        <f t="shared" ref="V20:V30" si="10">(V5-AC5)*VLOOKUP($R20,$M$6:$O$17,3,FALSE)</f>
        <v>-0.91026638103244983</v>
      </c>
      <c r="X20" s="4">
        <f t="shared" ref="X20:X30" si="11">Q5</f>
        <v>44228</v>
      </c>
      <c r="Y20">
        <f t="shared" ref="Y20:Y30" si="12">MONTH(X20)</f>
        <v>2</v>
      </c>
      <c r="Z20" s="127">
        <f>HLOOKUP(Z$18,Data!$AC$4:$AI$19,ROW()-17,FALSE)*VLOOKUP($Y20,$C$21:$D$32,2,FALSE)*S20</f>
        <v>-314918.26743334666</v>
      </c>
      <c r="AA20" s="127">
        <f>HLOOKUP(AA$18,Data!$AC$4:$AI$19,ROW()-17,FALSE)*VLOOKUP($Y20,$C$21:$D$32,2,FALSE)*T20</f>
        <v>-75571.323202108746</v>
      </c>
      <c r="AB20" s="127">
        <f>HLOOKUP(AB$18,Data!$AC$4:$AI$19,ROW()-17,FALSE)*VLOOKUP($Y20,$C$21:$D$32,2,FALSE)*U20</f>
        <v>-428410.75784849736</v>
      </c>
      <c r="AC20" s="127">
        <f>HLOOKUP(AC$18,Data!$AC$4:$AI$19,ROW()-17,FALSE)*VLOOKUP($Y20,$C$21:$D$32,2,FALSE)*V20</f>
        <v>-148540.90912239929</v>
      </c>
      <c r="AE20" s="4">
        <v>43497</v>
      </c>
      <c r="AF20" s="127">
        <f>Z20+Data!K6</f>
        <v>3756608.3416235456</v>
      </c>
      <c r="AG20" s="127">
        <f>AA20+Data!L6</f>
        <v>2312942.1380381784</v>
      </c>
      <c r="AH20" s="127">
        <f>AB20+Data!M6</f>
        <v>2385024.2944465964</v>
      </c>
      <c r="AI20" s="127">
        <f>AC20+Data!N6</f>
        <v>3298259.9682853268</v>
      </c>
    </row>
    <row r="21" spans="1:35" x14ac:dyDescent="0.25">
      <c r="A21" s="4">
        <f>Data!A1</f>
        <v>44197</v>
      </c>
      <c r="C21">
        <f>MONTH(A21)</f>
        <v>1</v>
      </c>
      <c r="D21">
        <f>A22-A21</f>
        <v>31</v>
      </c>
      <c r="Q21" s="4">
        <f t="shared" si="5"/>
        <v>44256</v>
      </c>
      <c r="R21">
        <f t="shared" si="6"/>
        <v>3</v>
      </c>
      <c r="S21" s="149">
        <f t="shared" si="7"/>
        <v>0.2403485589575011</v>
      </c>
      <c r="T21" s="149">
        <f t="shared" si="8"/>
        <v>-1.1745716696527688</v>
      </c>
      <c r="U21" s="149">
        <f t="shared" si="9"/>
        <v>-0.29301784514142792</v>
      </c>
      <c r="V21" s="149">
        <f t="shared" si="10"/>
        <v>0.45420942740503906</v>
      </c>
      <c r="X21" s="4">
        <f t="shared" si="11"/>
        <v>44256</v>
      </c>
      <c r="Y21">
        <f t="shared" si="12"/>
        <v>3</v>
      </c>
      <c r="Z21" s="127">
        <f>HLOOKUP(Z$18,Data!$AC$4:$AI$19,ROW()-17,FALSE)*VLOOKUP($Y21,$C$21:$D$32,2,FALSE)*S21</f>
        <v>77443.670575932265</v>
      </c>
      <c r="AA21" s="127">
        <f>HLOOKUP(AA$18,Data!$AC$4:$AI$19,ROW()-17,FALSE)*VLOOKUP($Y21,$C$21:$D$32,2,FALSE)*T21</f>
        <v>-184425.3707105295</v>
      </c>
      <c r="AB21" s="127">
        <f>HLOOKUP(AB$18,Data!$AC$4:$AI$19,ROW()-17,FALSE)*VLOOKUP($Y21,$C$21:$D$32,2,FALSE)*U21</f>
        <v>-52621.023684033054</v>
      </c>
      <c r="AC21" s="127">
        <f>HLOOKUP(AC$18,Data!$AC$4:$AI$19,ROW()-17,FALSE)*VLOOKUP($Y21,$C$21:$D$32,2,FALSE)*V21</f>
        <v>81779.49898542247</v>
      </c>
      <c r="AE21" s="4">
        <v>43525</v>
      </c>
      <c r="AF21" s="127">
        <f>Z21+Data!K7</f>
        <v>3366882.2841942557</v>
      </c>
      <c r="AG21" s="127">
        <f>AA21+Data!L7</f>
        <v>1735058.9092494613</v>
      </c>
      <c r="AH21" s="127">
        <f>AB21+Data!M7</f>
        <v>2102957.4533806597</v>
      </c>
      <c r="AI21" s="127">
        <f>AC21+Data!N7</f>
        <v>2599369.1283424147</v>
      </c>
    </row>
    <row r="22" spans="1:35" x14ac:dyDescent="0.25">
      <c r="A22" s="4">
        <f>DATE(YEAR(A21),MONTH(A21)+1,1)</f>
        <v>44228</v>
      </c>
      <c r="C22">
        <f t="shared" ref="C22:C32" si="13">MONTH(A22)</f>
        <v>2</v>
      </c>
      <c r="D22">
        <f>A23-A22</f>
        <v>28</v>
      </c>
      <c r="Q22" s="4">
        <f t="shared" si="5"/>
        <v>44287</v>
      </c>
      <c r="R22">
        <f t="shared" si="6"/>
        <v>4</v>
      </c>
      <c r="S22" s="149">
        <f t="shared" si="7"/>
        <v>0.72282421485828985</v>
      </c>
      <c r="T22" s="149">
        <f t="shared" si="8"/>
        <v>-0.49424497022365682</v>
      </c>
      <c r="U22" s="149">
        <f t="shared" si="9"/>
        <v>6.8710071537354631E-2</v>
      </c>
      <c r="V22" s="149">
        <f t="shared" si="10"/>
        <v>0.84514133887694753</v>
      </c>
      <c r="X22" s="4">
        <f t="shared" si="11"/>
        <v>44287</v>
      </c>
      <c r="Y22">
        <f t="shared" si="12"/>
        <v>4</v>
      </c>
      <c r="Z22" s="127">
        <f>HLOOKUP(Z$18,Data!$AC$4:$AI$19,ROW()-17,FALSE)*VLOOKUP($Y22,$C$21:$D$32,2,FALSE)*S22</f>
        <v>225477.78558289493</v>
      </c>
      <c r="AA22" s="127">
        <f>HLOOKUP(AA$18,Data!$AC$4:$AI$19,ROW()-17,FALSE)*VLOOKUP($Y22,$C$21:$D$32,2,FALSE)*T22</f>
        <v>-75056.041178164523</v>
      </c>
      <c r="AB22" s="127">
        <f>HLOOKUP(AB$18,Data!$AC$4:$AI$19,ROW()-17,FALSE)*VLOOKUP($Y22,$C$21:$D$32,2,FALSE)*U22</f>
        <v>11930.816821746259</v>
      </c>
      <c r="AC22" s="127">
        <f>HLOOKUP(AC$18,Data!$AC$4:$AI$19,ROW()-17,FALSE)*VLOOKUP($Y22,$C$21:$D$32,2,FALSE)*V22</f>
        <v>146927.82176375733</v>
      </c>
      <c r="AE22" s="4">
        <v>43556</v>
      </c>
      <c r="AF22" s="127">
        <f>Z22+Data!K8</f>
        <v>2139568.5465296959</v>
      </c>
      <c r="AG22" s="127">
        <f>AA22+Data!L8</f>
        <v>1124376.1480771685</v>
      </c>
      <c r="AH22" s="127">
        <f>AB22+Data!M8</f>
        <v>1004783.7699058782</v>
      </c>
      <c r="AI22" s="127">
        <f>AC22+Data!N8</f>
        <v>1374637.9184774912</v>
      </c>
    </row>
    <row r="23" spans="1:35" x14ac:dyDescent="0.25">
      <c r="A23" s="4">
        <f t="shared" ref="A23:A33" si="14">DATE(YEAR(A22),MONTH(A22)+1,1)</f>
        <v>44256</v>
      </c>
      <c r="C23">
        <f t="shared" si="13"/>
        <v>3</v>
      </c>
      <c r="D23">
        <f t="shared" ref="D23:D32" si="15">A24-A23</f>
        <v>31</v>
      </c>
      <c r="Q23" s="4">
        <f t="shared" si="5"/>
        <v>44317</v>
      </c>
      <c r="R23">
        <f t="shared" si="6"/>
        <v>5</v>
      </c>
      <c r="S23" s="149">
        <f t="shared" si="7"/>
        <v>0.36402682526187996</v>
      </c>
      <c r="T23" s="149">
        <f t="shared" si="8"/>
        <v>-0.78939783563031918</v>
      </c>
      <c r="U23" s="149">
        <f t="shared" si="9"/>
        <v>0</v>
      </c>
      <c r="V23" s="149">
        <f t="shared" si="10"/>
        <v>0</v>
      </c>
      <c r="X23" s="4">
        <f t="shared" si="11"/>
        <v>44317</v>
      </c>
      <c r="Y23">
        <f t="shared" si="12"/>
        <v>5</v>
      </c>
      <c r="Z23" s="127">
        <f>HLOOKUP(Z$18,Data!$AC$4:$AI$19,ROW()-17,FALSE)*VLOOKUP($Y23,$C$21:$D$32,2,FALSE)*S23</f>
        <v>117689.50858034052</v>
      </c>
      <c r="AA23" s="127">
        <f>HLOOKUP(AA$18,Data!$AC$4:$AI$19,ROW()-17,FALSE)*VLOOKUP($Y23,$C$21:$D$32,2,FALSE)*T23</f>
        <v>-123849.41582987641</v>
      </c>
      <c r="AB23" s="127">
        <f>HLOOKUP(AB$18,Data!$AC$4:$AI$19,ROW()-17,FALSE)*VLOOKUP($Y23,$C$21:$D$32,2,FALSE)*U23</f>
        <v>0</v>
      </c>
      <c r="AC23" s="127">
        <f>HLOOKUP(AC$18,Data!$AC$4:$AI$19,ROW()-17,FALSE)*VLOOKUP($Y23,$C$21:$D$32,2,FALSE)*V23</f>
        <v>0</v>
      </c>
      <c r="AE23" s="4">
        <v>43586</v>
      </c>
      <c r="AF23" s="127">
        <f>Z23+Data!K9</f>
        <v>1635983.0444167049</v>
      </c>
      <c r="AG23" s="127">
        <f>AA23+Data!L9</f>
        <v>776149.39956876333</v>
      </c>
      <c r="AH23" s="127">
        <f>AB23+Data!M9</f>
        <v>783841.9490147446</v>
      </c>
      <c r="AI23" s="127">
        <f>AC23+Data!N9</f>
        <v>915361.69975025125</v>
      </c>
    </row>
    <row r="24" spans="1:35" x14ac:dyDescent="0.25">
      <c r="A24" s="4">
        <f t="shared" si="14"/>
        <v>44287</v>
      </c>
      <c r="C24">
        <f t="shared" si="13"/>
        <v>4</v>
      </c>
      <c r="D24">
        <f t="shared" si="15"/>
        <v>30</v>
      </c>
      <c r="Q24" s="4">
        <f t="shared" si="5"/>
        <v>44348</v>
      </c>
      <c r="R24">
        <f t="shared" si="6"/>
        <v>6</v>
      </c>
      <c r="S24" s="149">
        <f t="shared" si="7"/>
        <v>0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44348</v>
      </c>
      <c r="Y24">
        <f t="shared" si="12"/>
        <v>6</v>
      </c>
      <c r="Z24" s="127">
        <f>HLOOKUP(Z$18,Data!$AC$4:$AI$19,ROW()-17,FALSE)*VLOOKUP($Y24,$C$21:$D$32,2,FALSE)*S24</f>
        <v>0</v>
      </c>
      <c r="AA24" s="127">
        <f>HLOOKUP(AA$18,Data!$AC$4:$AI$19,ROW()-17,FALSE)*VLOOKUP($Y24,$C$21:$D$32,2,FALSE)*T24</f>
        <v>0</v>
      </c>
      <c r="AB24" s="127">
        <f>HLOOKUP(AB$18,Data!$AC$4:$AI$19,ROW()-17,FALSE)*VLOOKUP($Y24,$C$21:$D$32,2,FALSE)*U24</f>
        <v>0</v>
      </c>
      <c r="AC24" s="127">
        <f>HLOOKUP(AC$18,Data!$AC$4:$AI$19,ROW()-17,FALSE)*VLOOKUP($Y24,$C$21:$D$32,2,FALSE)*V24</f>
        <v>0</v>
      </c>
      <c r="AE24" s="4">
        <v>43617</v>
      </c>
      <c r="AF24" s="127">
        <f>Z24+Data!K10</f>
        <v>845629.85965872125</v>
      </c>
      <c r="AG24" s="127">
        <f>AA24+Data!L10</f>
        <v>551529.32014960633</v>
      </c>
      <c r="AH24" s="127">
        <f>AB24+Data!M10</f>
        <v>443623.31549345131</v>
      </c>
      <c r="AI24" s="127">
        <f>AC24+Data!N10</f>
        <v>507223.50469822111</v>
      </c>
    </row>
    <row r="25" spans="1:35" x14ac:dyDescent="0.25">
      <c r="A25" s="4">
        <f t="shared" si="14"/>
        <v>44317</v>
      </c>
      <c r="C25">
        <f t="shared" si="13"/>
        <v>5</v>
      </c>
      <c r="D25">
        <f t="shared" si="15"/>
        <v>31</v>
      </c>
      <c r="Q25" s="4">
        <f t="shared" si="5"/>
        <v>44378</v>
      </c>
      <c r="R25">
        <f t="shared" si="6"/>
        <v>7</v>
      </c>
      <c r="S25" s="149">
        <f t="shared" si="7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44378</v>
      </c>
      <c r="Y25">
        <f t="shared" si="12"/>
        <v>7</v>
      </c>
      <c r="Z25" s="127">
        <f>HLOOKUP(Z$18,Data!$AC$4:$AI$19,ROW()-17,FALSE)*VLOOKUP($Y25,$C$21:$D$32,2,FALSE)*S25</f>
        <v>0</v>
      </c>
      <c r="AA25" s="127">
        <f>HLOOKUP(AA$18,Data!$AC$4:$AI$19,ROW()-17,FALSE)*VLOOKUP($Y25,$C$21:$D$32,2,FALSE)*T25</f>
        <v>0</v>
      </c>
      <c r="AB25" s="127">
        <f>HLOOKUP(AB$18,Data!$AC$4:$AI$19,ROW()-17,FALSE)*VLOOKUP($Y25,$C$21:$D$32,2,FALSE)*U25</f>
        <v>0</v>
      </c>
      <c r="AC25" s="127">
        <f>HLOOKUP(AC$18,Data!$AC$4:$AI$19,ROW()-17,FALSE)*VLOOKUP($Y25,$C$21:$D$32,2,FALSE)*V25</f>
        <v>0</v>
      </c>
      <c r="AE25" s="4">
        <v>43647</v>
      </c>
      <c r="AF25" s="127">
        <f>Z25+Data!K11</f>
        <v>1271176.8487893955</v>
      </c>
      <c r="AG25" s="127">
        <f>AA25+Data!L11</f>
        <v>842116.99160616333</v>
      </c>
      <c r="AH25" s="127">
        <f>AB25+Data!M11</f>
        <v>737863.3249682961</v>
      </c>
      <c r="AI25" s="127">
        <f>AC25+Data!N11</f>
        <v>832014.83463614504</v>
      </c>
    </row>
    <row r="26" spans="1:35" x14ac:dyDescent="0.25">
      <c r="A26" s="4">
        <f t="shared" si="14"/>
        <v>44348</v>
      </c>
      <c r="C26">
        <f t="shared" si="13"/>
        <v>6</v>
      </c>
      <c r="D26">
        <f t="shared" si="15"/>
        <v>30</v>
      </c>
      <c r="Q26" s="4">
        <f t="shared" si="5"/>
        <v>44409</v>
      </c>
      <c r="R26">
        <f t="shared" si="6"/>
        <v>8</v>
      </c>
      <c r="S26" s="149">
        <f t="shared" si="7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44409</v>
      </c>
      <c r="Y26">
        <f t="shared" si="12"/>
        <v>8</v>
      </c>
      <c r="Z26" s="127">
        <f>HLOOKUP(Z$18,Data!$AC$4:$AI$19,ROW()-17,FALSE)*VLOOKUP($Y26,$C$21:$D$32,2,FALSE)*S26</f>
        <v>0</v>
      </c>
      <c r="AA26" s="127">
        <f>HLOOKUP(AA$18,Data!$AC$4:$AI$19,ROW()-17,FALSE)*VLOOKUP($Y26,$C$21:$D$32,2,FALSE)*T26</f>
        <v>0</v>
      </c>
      <c r="AB26" s="127">
        <f>HLOOKUP(AB$18,Data!$AC$4:$AI$19,ROW()-17,FALSE)*VLOOKUP($Y26,$C$21:$D$32,2,FALSE)*U26</f>
        <v>0</v>
      </c>
      <c r="AC26" s="127">
        <f>HLOOKUP(AC$18,Data!$AC$4:$AI$19,ROW()-17,FALSE)*VLOOKUP($Y26,$C$21:$D$32,2,FALSE)*V26</f>
        <v>0</v>
      </c>
      <c r="AE26" s="4">
        <v>43678</v>
      </c>
      <c r="AF26" s="127">
        <f>Z26+Data!K12</f>
        <v>928732.44646688271</v>
      </c>
      <c r="AG26" s="127">
        <f>AA26+Data!L12</f>
        <v>617585.34037386428</v>
      </c>
      <c r="AH26" s="127">
        <f>AB26+Data!M12</f>
        <v>552616.09590844926</v>
      </c>
      <c r="AI26" s="127">
        <f>AC26+Data!N12</f>
        <v>637180.11725080374</v>
      </c>
    </row>
    <row r="27" spans="1:35" x14ac:dyDescent="0.25">
      <c r="A27" s="4">
        <f t="shared" si="14"/>
        <v>44378</v>
      </c>
      <c r="C27">
        <f t="shared" si="13"/>
        <v>7</v>
      </c>
      <c r="D27">
        <f t="shared" si="15"/>
        <v>31</v>
      </c>
      <c r="Q27" s="4">
        <f t="shared" si="5"/>
        <v>44440</v>
      </c>
      <c r="R27">
        <f t="shared" si="6"/>
        <v>9</v>
      </c>
      <c r="S27" s="149">
        <f t="shared" si="7"/>
        <v>0.69010088026388217</v>
      </c>
      <c r="T27" s="149">
        <f t="shared" si="8"/>
        <v>0.65509875284727204</v>
      </c>
      <c r="U27" s="149">
        <f t="shared" si="9"/>
        <v>0.87060551657974405</v>
      </c>
      <c r="V27" s="149">
        <f t="shared" si="10"/>
        <v>0.98362998454563244</v>
      </c>
      <c r="X27" s="4">
        <f t="shared" si="11"/>
        <v>44440</v>
      </c>
      <c r="Y27">
        <f t="shared" si="12"/>
        <v>9</v>
      </c>
      <c r="Z27" s="127">
        <f>HLOOKUP(Z$18,Data!$AC$4:$AI$19,ROW()-17,FALSE)*VLOOKUP($Y27,$C$21:$D$32,2,FALSE)*S27</f>
        <v>215642.72306485791</v>
      </c>
      <c r="AA27" s="127">
        <f>HLOOKUP(AA$18,Data!$AC$4:$AI$19,ROW()-17,FALSE)*VLOOKUP($Y27,$C$21:$D$32,2,FALSE)*T27</f>
        <v>99306.419944117966</v>
      </c>
      <c r="AB27" s="127">
        <f>HLOOKUP(AB$18,Data!$AC$4:$AI$19,ROW()-17,FALSE)*VLOOKUP($Y27,$C$21:$D$32,2,FALSE)*U27</f>
        <v>151224.17822990153</v>
      </c>
      <c r="AC27" s="127">
        <f>HLOOKUP(AC$18,Data!$AC$4:$AI$19,ROW()-17,FALSE)*VLOOKUP($Y27,$C$21:$D$32,2,FALSE)*V27</f>
        <v>170118.80582716712</v>
      </c>
      <c r="AE27" s="4">
        <v>43709</v>
      </c>
      <c r="AF27" s="127">
        <f>Z27+Data!K13</f>
        <v>1462193.0182980176</v>
      </c>
      <c r="AG27" s="127">
        <f>AA27+Data!L13</f>
        <v>899950.75154746999</v>
      </c>
      <c r="AH27" s="127">
        <f>AB27+Data!M13</f>
        <v>932195.9923285495</v>
      </c>
      <c r="AI27" s="127">
        <f>AC27+Data!N13</f>
        <v>1045076.3648920076</v>
      </c>
    </row>
    <row r="28" spans="1:35" x14ac:dyDescent="0.25">
      <c r="A28" s="4">
        <f t="shared" si="14"/>
        <v>44409</v>
      </c>
      <c r="C28">
        <f t="shared" si="13"/>
        <v>8</v>
      </c>
      <c r="D28">
        <f t="shared" si="15"/>
        <v>31</v>
      </c>
      <c r="Q28" s="4">
        <f t="shared" si="5"/>
        <v>44470</v>
      </c>
      <c r="R28">
        <f t="shared" si="6"/>
        <v>10</v>
      </c>
      <c r="S28" s="149">
        <f t="shared" si="7"/>
        <v>0.49123208343454494</v>
      </c>
      <c r="T28" s="149">
        <f t="shared" si="8"/>
        <v>0.72942656559980046</v>
      </c>
      <c r="U28" s="149">
        <f t="shared" si="9"/>
        <v>0.39397330761881255</v>
      </c>
      <c r="V28" s="149">
        <f t="shared" si="10"/>
        <v>0.55871126529495285</v>
      </c>
      <c r="X28" s="4">
        <f t="shared" si="11"/>
        <v>44470</v>
      </c>
      <c r="Y28">
        <f t="shared" si="12"/>
        <v>10</v>
      </c>
      <c r="Z28" s="127">
        <f>HLOOKUP(Z$18,Data!$AC$4:$AI$19,ROW()-17,FALSE)*VLOOKUP($Y28,$C$21:$D$32,2,FALSE)*S28</f>
        <v>159347.82815283144</v>
      </c>
      <c r="AA28" s="127">
        <f>HLOOKUP(AA$18,Data!$AC$4:$AI$19,ROW()-17,FALSE)*VLOOKUP($Y28,$C$21:$D$32,2,FALSE)*T28</f>
        <v>114530.91219765267</v>
      </c>
      <c r="AB28" s="127">
        <f>HLOOKUP(AB$18,Data!$AC$4:$AI$19,ROW()-17,FALSE)*VLOOKUP($Y28,$C$21:$D$32,2,FALSE)*U28</f>
        <v>71031.811470441433</v>
      </c>
      <c r="AC28" s="127">
        <f>HLOOKUP(AC$18,Data!$AC$4:$AI$19,ROW()-17,FALSE)*VLOOKUP($Y28,$C$21:$D$32,2,FALSE)*V28</f>
        <v>100283.08500779109</v>
      </c>
      <c r="AE28" s="4">
        <v>43739</v>
      </c>
      <c r="AF28" s="127">
        <f>Z28+Data!K14</f>
        <v>2460939.0744656962</v>
      </c>
      <c r="AG28" s="127">
        <f>AA28+Data!L14</f>
        <v>1552513.406324062</v>
      </c>
      <c r="AH28" s="127">
        <f>AB28+Data!M14</f>
        <v>1334722.7924693008</v>
      </c>
      <c r="AI28" s="127">
        <f>AC28+Data!N14</f>
        <v>1784630.363569658</v>
      </c>
    </row>
    <row r="29" spans="1:35" x14ac:dyDescent="0.25">
      <c r="A29" s="4">
        <f t="shared" si="14"/>
        <v>44440</v>
      </c>
      <c r="C29">
        <f t="shared" si="13"/>
        <v>9</v>
      </c>
      <c r="D29">
        <f t="shared" si="15"/>
        <v>30</v>
      </c>
      <c r="Q29" s="4">
        <f t="shared" si="5"/>
        <v>44501</v>
      </c>
      <c r="R29">
        <f t="shared" si="6"/>
        <v>11</v>
      </c>
      <c r="S29" s="149">
        <f t="shared" si="7"/>
        <v>2.0662761659277677</v>
      </c>
      <c r="T29" s="149">
        <f t="shared" si="8"/>
        <v>3.2820493376286604</v>
      </c>
      <c r="U29" s="149">
        <f t="shared" si="9"/>
        <v>1.5664733984075294</v>
      </c>
      <c r="V29" s="149">
        <f t="shared" si="10"/>
        <v>2.5234003829157783</v>
      </c>
      <c r="X29" s="4">
        <f t="shared" si="11"/>
        <v>44501</v>
      </c>
      <c r="Y29">
        <f t="shared" si="12"/>
        <v>11</v>
      </c>
      <c r="Z29" s="127">
        <f>HLOOKUP(Z$18,Data!$AC$4:$AI$19,ROW()-17,FALSE)*VLOOKUP($Y29,$C$21:$D$32,2,FALSE)*S29</f>
        <v>650876.99226724682</v>
      </c>
      <c r="AA29" s="127">
        <f>HLOOKUP(AA$18,Data!$AC$4:$AI$19,ROW()-17,FALSE)*VLOOKUP($Y29,$C$21:$D$32,2,FALSE)*T29</f>
        <v>500479.70349499444</v>
      </c>
      <c r="AB29" s="127">
        <f>HLOOKUP(AB$18,Data!$AC$4:$AI$19,ROW()-17,FALSE)*VLOOKUP($Y29,$C$21:$D$32,2,FALSE)*U29</f>
        <v>274681.11041076027</v>
      </c>
      <c r="AC29" s="127">
        <f>HLOOKUP(AC$18,Data!$AC$4:$AI$19,ROW()-17,FALSE)*VLOOKUP($Y29,$C$21:$D$32,2,FALSE)*V29</f>
        <v>439980.09076519508</v>
      </c>
      <c r="AE29" s="4">
        <v>43770</v>
      </c>
      <c r="AF29" s="127">
        <f>Z29+Data!K15</f>
        <v>3915723.7927731373</v>
      </c>
      <c r="AG29" s="127">
        <f>AA29+Data!L15</f>
        <v>2581984.1080717621</v>
      </c>
      <c r="AH29" s="127">
        <f>AB29+Data!M15</f>
        <v>2051876.2250808938</v>
      </c>
      <c r="AI29" s="127">
        <f>AC29+Data!N15</f>
        <v>2844315.7710124026</v>
      </c>
    </row>
    <row r="30" spans="1:35" x14ac:dyDescent="0.25">
      <c r="A30" s="4">
        <f t="shared" si="14"/>
        <v>44470</v>
      </c>
      <c r="C30">
        <f t="shared" si="13"/>
        <v>10</v>
      </c>
      <c r="D30">
        <f t="shared" si="15"/>
        <v>31</v>
      </c>
      <c r="Q30" s="4">
        <f t="shared" si="5"/>
        <v>44531</v>
      </c>
      <c r="R30">
        <f t="shared" si="6"/>
        <v>12</v>
      </c>
      <c r="S30" s="149">
        <f t="shared" si="7"/>
        <v>-1.6580743485386995</v>
      </c>
      <c r="T30" s="149">
        <f t="shared" si="8"/>
        <v>0.50688478826993311</v>
      </c>
      <c r="U30" s="149">
        <f t="shared" si="9"/>
        <v>0.84601063901646112</v>
      </c>
      <c r="V30" s="149">
        <f t="shared" si="10"/>
        <v>2.4197643774162496</v>
      </c>
      <c r="X30" s="4">
        <f t="shared" si="11"/>
        <v>44531</v>
      </c>
      <c r="Y30">
        <f t="shared" si="12"/>
        <v>12</v>
      </c>
      <c r="Z30" s="127">
        <f>HLOOKUP(Z$18,Data!$AC$4:$AI$19,ROW()-17,FALSE)*VLOOKUP($Y30,$C$21:$D$32,2,FALSE)*S30</f>
        <v>-541502.21111751115</v>
      </c>
      <c r="AA30" s="127">
        <f>HLOOKUP(AA$18,Data!$AC$4:$AI$19,ROW()-17,FALSE)*VLOOKUP($Y30,$C$21:$D$32,2,FALSE)*T30</f>
        <v>79871.356742058168</v>
      </c>
      <c r="AB30" s="127">
        <f>HLOOKUP(AB$18,Data!$AC$4:$AI$19,ROW()-17,FALSE)*VLOOKUP($Y30,$C$21:$D$32,2,FALSE)*U30</f>
        <v>153974.78231163495</v>
      </c>
      <c r="AC30" s="127">
        <f>HLOOKUP(AC$18,Data!$AC$4:$AI$19,ROW()-17,FALSE)*VLOOKUP($Y30,$C$21:$D$32,2,FALSE)*V30</f>
        <v>437549.0540175385</v>
      </c>
      <c r="AE30" s="4">
        <v>43800</v>
      </c>
      <c r="AF30" s="127">
        <f>Z30+Data!K16</f>
        <v>4929680.7069537789</v>
      </c>
      <c r="AG30" s="127">
        <f>AA30+Data!L16</f>
        <v>3343438.5028890111</v>
      </c>
      <c r="AH30" s="127">
        <f>AB30+Data!M16</f>
        <v>3367745.4923514239</v>
      </c>
      <c r="AI30" s="127">
        <f>AC30+Data!N16</f>
        <v>4785632.2797595076</v>
      </c>
    </row>
    <row r="31" spans="1:35" x14ac:dyDescent="0.25">
      <c r="A31" s="4">
        <f t="shared" si="14"/>
        <v>44501</v>
      </c>
      <c r="C31">
        <f t="shared" si="13"/>
        <v>11</v>
      </c>
      <c r="D31">
        <f t="shared" si="15"/>
        <v>30</v>
      </c>
    </row>
    <row r="32" spans="1:35" x14ac:dyDescent="0.25">
      <c r="A32" s="4">
        <f t="shared" si="14"/>
        <v>44531</v>
      </c>
      <c r="C32">
        <f t="shared" si="13"/>
        <v>12</v>
      </c>
      <c r="D32">
        <f t="shared" si="15"/>
        <v>31</v>
      </c>
    </row>
    <row r="33" spans="1:1" x14ac:dyDescent="0.25">
      <c r="A33" s="4">
        <f t="shared" si="14"/>
        <v>44562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  <mergeCell ref="S2:V2"/>
    <mergeCell ref="Z2:AC2"/>
    <mergeCell ref="S17:V17"/>
    <mergeCell ref="Z17:AC17"/>
    <mergeCell ref="O2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D0A2-6C19-4F77-A4F3-97B6484423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5052-FB93-450D-8FCB-99B38987A7D2}">
  <sheetPr>
    <tabColor theme="9" tint="0.59999389629810485"/>
  </sheetPr>
  <dimension ref="A1:AL33"/>
  <sheetViews>
    <sheetView workbookViewId="0">
      <selection sqref="A1:C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</cols>
  <sheetData>
    <row r="1" spans="1:38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38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38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0.57163313793036397</v>
      </c>
      <c r="E4" s="136" t="s">
        <v>72</v>
      </c>
      <c r="F4" s="137"/>
      <c r="G4">
        <v>0.61391732022805401</v>
      </c>
      <c r="I4" s="136" t="s">
        <v>72</v>
      </c>
      <c r="J4" s="137"/>
      <c r="K4">
        <v>0.44559813073420601</v>
      </c>
      <c r="M4" s="136" t="s">
        <v>72</v>
      </c>
      <c r="N4" s="137"/>
      <c r="O4">
        <v>0.43952827106208298</v>
      </c>
      <c r="Q4" s="4">
        <f>Data!A1</f>
        <v>44197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44197</v>
      </c>
      <c r="Y4">
        <f>MONTH(X4)</f>
        <v>1</v>
      </c>
      <c r="Z4" s="148">
        <f>HLOOKUP(Z$3,Data!$AU$4:$BA$19,(ROW())-2,FALSE)/VLOOKUP($Y4,$C$21:$D$32,2,FALSE)</f>
        <v>17.032258064516128</v>
      </c>
      <c r="AA4" s="148">
        <f>HLOOKUP(AA$3,Data!$AU$4:$BA$19,ROW()-2,FALSE)/VLOOKUP($Y4,$C$21:$D$32,2,FALSE)</f>
        <v>16.661290322580644</v>
      </c>
      <c r="AB4" s="148">
        <f>HLOOKUP(AB$3,Data!$AU$4:$BA$19,ROW()-2,FALSE)/VLOOKUP($Y4,$C$21:$D$32,2,FALSE)</f>
        <v>20.193548387096776</v>
      </c>
      <c r="AC4" s="148">
        <f>HLOOKUP(AC$3,Data!$AU$4:$BA$19,ROW()-2,FALSE)/VLOOKUP($Y4,$C$21:$D$32,2,FALSE)</f>
        <v>23.93548387096774</v>
      </c>
      <c r="AE4" s="4">
        <f>X4</f>
        <v>44197</v>
      </c>
      <c r="AF4" s="127">
        <f>($C$4+($C6*$S4)+($C$5*AJ4))*HLOOKUP(Z$18,Data!$T$4:$Z$16,(ROW())-2,FALSE)*VLOOKUP($Y19,$C$21:$D$32,2,FALSE)</f>
        <v>9302314.9406517725</v>
      </c>
      <c r="AG4" s="127">
        <f>($G$4+($G6*$T4)+($G$5*AJ4))*HLOOKUP(AA$18,Data!$T$4:$Z$16,(ROW())-2,FALSE)*VLOOKUP($Y19,$C$21:$D$32,2,FALSE)</f>
        <v>4020703.446119919</v>
      </c>
      <c r="AH4" s="127">
        <f>($K$4+($K6*$U4)+($K$5*AJ4))*HLOOKUP(AB$18,Data!$T$4:$Z$16,(ROW())-2,FALSE)*VLOOKUP($Y19,$C$21:$D$32,2,FALSE)</f>
        <v>4306622.7204959784</v>
      </c>
      <c r="AI4" s="127">
        <f>($O$4+($O6*$V4)+($O$5*AJ4))*HLOOKUP(AC$18,Data!$T$4:$Z$16,(ROW())-2,FALSE)*VLOOKUP($Y19,$C$21:$D$32,2,FALSE)</f>
        <v>3435811.4059990705</v>
      </c>
      <c r="AJ4">
        <v>109</v>
      </c>
      <c r="AL4" s="72">
        <f>SUM(AF4:AI4)</f>
        <v>21065452.513266742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44228</v>
      </c>
      <c r="R5">
        <f t="shared" ref="R5:R15" si="0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1">Q5</f>
        <v>44228</v>
      </c>
      <c r="Y5">
        <f t="shared" ref="Y5:Y15" si="2">MONTH(X5)</f>
        <v>2</v>
      </c>
      <c r="Z5" s="148">
        <f>HLOOKUP(Z$3,Data!$AU$4:$BA$19,ROW()-2,FALSE)/VLOOKUP($Y5,$C$21:$D$32,2,FALSE)</f>
        <v>21.392857142857142</v>
      </c>
      <c r="AA5" s="148">
        <f>HLOOKUP(AA$3,Data!$AU$4:$BA$19,ROW()-2,FALSE)/VLOOKUP($Y5,$C$21:$D$32,2,FALSE)</f>
        <v>18.714285714285715</v>
      </c>
      <c r="AB5" s="148">
        <f>HLOOKUP(AB$3,Data!$AU$4:$BA$19,ROW()-2,FALSE)/VLOOKUP($Y5,$C$21:$D$32,2,FALSE)</f>
        <v>25.214285714285715</v>
      </c>
      <c r="AC5" s="148">
        <f>HLOOKUP(AC$3,Data!$AU$4:$BA$19,ROW()-2,FALSE)/VLOOKUP($Y5,$C$21:$D$32,2,FALSE)</f>
        <v>25.196428571428573</v>
      </c>
      <c r="AE5" s="4">
        <f t="shared" ref="AE5:AE15" si="3">X5</f>
        <v>44228</v>
      </c>
      <c r="AF5" s="127">
        <f>($C$4+($C7*$S5)+($C$5*AJ5))*HLOOKUP(Z$18,Data!$T$4:$Z$16,(ROW())-2,FALSE)*VLOOKUP($Y20,$C$21:$D$32,2,FALSE)</f>
        <v>7425521.7873161733</v>
      </c>
      <c r="AG5" s="127">
        <f>($G$4+($G7*$T5)+($G$5*AJ5))*HLOOKUP(AA$18,Data!$T$4:$Z$16,(ROW())-2,FALSE)*VLOOKUP($Y20,$C$21:$D$32,2,FALSE)</f>
        <v>3343518.6251037051</v>
      </c>
      <c r="AH5" s="127">
        <f>($K$4+($K7*$U5)+($K$5*AJ5))*HLOOKUP(AB$18,Data!$T$4:$Z$16,(ROW())-2,FALSE)*VLOOKUP($Y20,$C$21:$D$32,2,FALSE)</f>
        <v>3518047.177806126</v>
      </c>
      <c r="AI5" s="127">
        <f>($O$4+($O7*$V5)+($O$5*AJ5))*HLOOKUP(AC$18,Data!$T$4:$Z$16,(ROW())-2,FALSE)*VLOOKUP($Y20,$C$21:$D$32,2,FALSE)</f>
        <v>2715566.3817575197</v>
      </c>
      <c r="AJ5">
        <v>110</v>
      </c>
      <c r="AL5" s="72">
        <f t="shared" ref="AL5:AL15" si="4">SUM(AF5:AI5)</f>
        <v>17002653.971983522</v>
      </c>
    </row>
    <row r="6" spans="1:38" x14ac:dyDescent="0.25">
      <c r="A6" s="136">
        <v>1</v>
      </c>
      <c r="B6" s="137"/>
      <c r="C6">
        <v>0.14724441563971699</v>
      </c>
      <c r="E6" s="136">
        <v>1</v>
      </c>
      <c r="F6" s="137"/>
      <c r="G6">
        <v>0.148474634946793</v>
      </c>
      <c r="I6" s="136">
        <v>1</v>
      </c>
      <c r="J6" s="137"/>
      <c r="K6">
        <v>0.116267560940969</v>
      </c>
      <c r="M6" s="136">
        <v>1</v>
      </c>
      <c r="N6" s="137"/>
      <c r="O6">
        <v>0.126442137990606</v>
      </c>
      <c r="Q6" s="4">
        <f t="shared" ref="Q6:Q15" si="5">DATE(YEAR(Q5),MONTH(Q5)+1,1)</f>
        <v>44256</v>
      </c>
      <c r="R6">
        <f t="shared" si="0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1"/>
        <v>44256</v>
      </c>
      <c r="Y6">
        <f t="shared" si="2"/>
        <v>3</v>
      </c>
      <c r="Z6" s="148">
        <f>HLOOKUP(Z$3,Data!$AU$4:$BA$19,ROW()-2,FALSE)/VLOOKUP($Y6,$C$21:$D$32,2,FALSE)</f>
        <v>15.17741935483871</v>
      </c>
      <c r="AA6" s="148">
        <f>HLOOKUP(AA$3,Data!$AU$4:$BA$19,ROW()-2,FALSE)/VLOOKUP($Y6,$C$21:$D$32,2,FALSE)</f>
        <v>16.403225806451612</v>
      </c>
      <c r="AB6" s="148">
        <f>HLOOKUP(AB$3,Data!$AU$4:$BA$19,ROW()-2,FALSE)/VLOOKUP($Y6,$C$21:$D$32,2,FALSE)</f>
        <v>14.258064516129032</v>
      </c>
      <c r="AC6" s="148">
        <f>HLOOKUP(AC$3,Data!$AU$4:$BA$19,ROW()-2,FALSE)/VLOOKUP($Y6,$C$21:$D$32,2,FALSE)</f>
        <v>16.112903225806452</v>
      </c>
      <c r="AE6" s="4">
        <f t="shared" si="3"/>
        <v>44256</v>
      </c>
      <c r="AF6" s="127">
        <f>($C$4+($C8*$S6)+($C$5*AJ6))*HLOOKUP(Z$18,Data!$T$4:$Z$16,(ROW())-2,FALSE)*VLOOKUP($Y21,$C$21:$D$32,2,FALSE)</f>
        <v>6536376.6898478083</v>
      </c>
      <c r="AG6" s="127">
        <f>($G$4+($G8*$T6)+($G$5*AJ6))*HLOOKUP(AA$18,Data!$T$4:$Z$16,(ROW())-2,FALSE)*VLOOKUP($Y21,$C$21:$D$32,2,FALSE)</f>
        <v>3025586.6002467885</v>
      </c>
      <c r="AH6" s="127">
        <f>($K$4+($K8*$U6)+($K$5*AJ6))*HLOOKUP(AB$18,Data!$T$4:$Z$16,(ROW())-2,FALSE)*VLOOKUP($Y21,$C$21:$D$32,2,FALSE)</f>
        <v>2739376.2350073429</v>
      </c>
      <c r="AI6" s="127">
        <f>($O$4+($O8*$V6)+($O$5*AJ6))*HLOOKUP(AC$18,Data!$T$4:$Z$16,(ROW())-2,FALSE)*VLOOKUP($Y21,$C$21:$D$32,2,FALSE)</f>
        <v>2142388.5505599161</v>
      </c>
      <c r="AJ6">
        <v>111</v>
      </c>
      <c r="AL6" s="72">
        <f t="shared" si="4"/>
        <v>14443728.075661857</v>
      </c>
    </row>
    <row r="7" spans="1:38" x14ac:dyDescent="0.25">
      <c r="A7" s="136">
        <v>2</v>
      </c>
      <c r="B7" s="137"/>
      <c r="C7">
        <v>0.13736096226345801</v>
      </c>
      <c r="E7" s="136">
        <v>2</v>
      </c>
      <c r="F7" s="137"/>
      <c r="G7">
        <v>0.140516054326841</v>
      </c>
      <c r="I7" s="136">
        <v>2</v>
      </c>
      <c r="J7" s="137"/>
      <c r="K7">
        <v>0.120290040260133</v>
      </c>
      <c r="M7" s="136">
        <v>2</v>
      </c>
      <c r="N7" s="137"/>
      <c r="O7">
        <v>0.13129623757011699</v>
      </c>
      <c r="Q7" s="4">
        <f t="shared" si="5"/>
        <v>44287</v>
      </c>
      <c r="R7">
        <f t="shared" si="0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1"/>
        <v>44287</v>
      </c>
      <c r="Y7">
        <f t="shared" si="2"/>
        <v>4</v>
      </c>
      <c r="Z7" s="148">
        <f>HLOOKUP(Z$3,Data!$AU$4:$BA$19,ROW()-2,FALSE)/VLOOKUP($Y7,$C$21:$D$32,2,FALSE)</f>
        <v>9.3000000000000007</v>
      </c>
      <c r="AA7" s="148">
        <f>HLOOKUP(AA$3,Data!$AU$4:$BA$19,ROW()-2,FALSE)/VLOOKUP($Y7,$C$21:$D$32,2,FALSE)</f>
        <v>11.466666666666667</v>
      </c>
      <c r="AB7" s="148">
        <f>HLOOKUP(AB$3,Data!$AU$4:$BA$19,ROW()-2,FALSE)/VLOOKUP($Y7,$C$21:$D$32,2,FALSE)</f>
        <v>7.916666666666667</v>
      </c>
      <c r="AC7" s="148">
        <f>HLOOKUP(AC$3,Data!$AU$4:$BA$19,ROW()-2,FALSE)/VLOOKUP($Y7,$C$21:$D$32,2,FALSE)</f>
        <v>9.1333333333333329</v>
      </c>
      <c r="AE7" s="4">
        <f t="shared" si="3"/>
        <v>44287</v>
      </c>
      <c r="AF7" s="127">
        <f>($C$4+($C9*$S7)+($C$5*AJ7))*HLOOKUP(Z$18,Data!$T$4:$Z$16,(ROW())-2,FALSE)*VLOOKUP($Y22,$C$21:$D$32,2,FALSE)</f>
        <v>4299749.4681465263</v>
      </c>
      <c r="AG7" s="127">
        <f>($G$4+($G9*$T7)+($G$5*AJ7))*HLOOKUP(AA$18,Data!$T$4:$Z$16,(ROW())-2,FALSE)*VLOOKUP($Y22,$C$21:$D$32,2,FALSE)</f>
        <v>2246697.033740493</v>
      </c>
      <c r="AH7" s="127">
        <f>($K$4+($K9*$U7)+($K$5*AJ7))*HLOOKUP(AB$18,Data!$T$4:$Z$16,(ROW())-2,FALSE)*VLOOKUP($Y22,$C$21:$D$32,2,FALSE)</f>
        <v>1574017.1612873015</v>
      </c>
      <c r="AI7" s="127">
        <f>($O$4+($O9*$V7)+($O$5*AJ7))*HLOOKUP(AC$18,Data!$T$4:$Z$16,(ROW())-2,FALSE)*VLOOKUP($Y22,$C$21:$D$32,2,FALSE)</f>
        <v>1301579.0057990025</v>
      </c>
      <c r="AJ7">
        <v>112</v>
      </c>
      <c r="AL7" s="72">
        <f t="shared" si="4"/>
        <v>9422042.668973323</v>
      </c>
    </row>
    <row r="8" spans="1:38" x14ac:dyDescent="0.25">
      <c r="A8" s="136">
        <v>3</v>
      </c>
      <c r="B8" s="137"/>
      <c r="C8">
        <v>0.12657837385187501</v>
      </c>
      <c r="E8" s="136">
        <v>3</v>
      </c>
      <c r="F8" s="137"/>
      <c r="G8">
        <v>0.12407428506161999</v>
      </c>
      <c r="I8" s="136">
        <v>3</v>
      </c>
      <c r="J8" s="137"/>
      <c r="K8">
        <v>0.119295866024671</v>
      </c>
      <c r="M8" s="136">
        <v>3</v>
      </c>
      <c r="N8" s="137"/>
      <c r="O8">
        <v>0.123974006976557</v>
      </c>
      <c r="Q8" s="4">
        <f t="shared" si="5"/>
        <v>44317</v>
      </c>
      <c r="R8">
        <f t="shared" si="0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1"/>
        <v>44317</v>
      </c>
      <c r="Y8">
        <f t="shared" si="2"/>
        <v>5</v>
      </c>
      <c r="Z8" s="148">
        <f>HLOOKUP(Z$3,Data!$AU$4:$BA$19,ROW()-2,FALSE)/VLOOKUP($Y8,$C$21:$D$32,2,FALSE)</f>
        <v>5.112903225806452</v>
      </c>
      <c r="AA8" s="148">
        <f>HLOOKUP(AA$3,Data!$AU$4:$BA$19,ROW()-2,FALSE)/VLOOKUP($Y8,$C$21:$D$32,2,FALSE)</f>
        <v>7.82258064516129</v>
      </c>
      <c r="AB8" s="148">
        <f>HLOOKUP(AB$3,Data!$AU$4:$BA$19,ROW()-2,FALSE)/VLOOKUP($Y8,$C$21:$D$32,2,FALSE)</f>
        <v>2.370967741935484</v>
      </c>
      <c r="AC8" s="148">
        <f>HLOOKUP(AC$3,Data!$AU$4:$BA$19,ROW()-2,FALSE)/VLOOKUP($Y8,$C$21:$D$32,2,FALSE)</f>
        <v>2.903225806451613</v>
      </c>
      <c r="AE8" s="4">
        <f t="shared" si="3"/>
        <v>44317</v>
      </c>
      <c r="AF8" s="127">
        <f>($C$4+($C10*$S8)+($C$5*AJ8))*HLOOKUP(Z$18,Data!$T$4:$Z$16,(ROW())-2,FALSE)*VLOOKUP($Y23,$C$21:$D$32,2,FALSE)</f>
        <v>2834402.1370767835</v>
      </c>
      <c r="AG8" s="127">
        <f>($G$4+($G10*$T8)+($G$5*AJ8))*HLOOKUP(AA$18,Data!$T$4:$Z$16,(ROW())-2,FALSE)*VLOOKUP($Y23,$C$21:$D$32,2,FALSE)</f>
        <v>1442359.432102581</v>
      </c>
      <c r="AH8" s="127">
        <f>($K$4+($K10*$U8)+($K$5*AJ8))*HLOOKUP(AB$18,Data!$T$4:$Z$16,(ROW())-2,FALSE)*VLOOKUP($Y23,$C$21:$D$32,2,FALSE)</f>
        <v>877858.93395643507</v>
      </c>
      <c r="AI8" s="127">
        <f>($O$4+($O10*$V8)+($O$5*AJ8))*HLOOKUP(AC$18,Data!$T$4:$Z$16,(ROW())-2,FALSE)*VLOOKUP($Y23,$C$21:$D$32,2,FALSE)</f>
        <v>698293.53468601324</v>
      </c>
      <c r="AJ8">
        <v>113</v>
      </c>
      <c r="AL8" s="72">
        <f t="shared" si="4"/>
        <v>5852914.0378218126</v>
      </c>
    </row>
    <row r="9" spans="1:38" x14ac:dyDescent="0.25">
      <c r="A9" s="136">
        <v>4</v>
      </c>
      <c r="B9" s="137"/>
      <c r="C9">
        <v>0.10550257348228299</v>
      </c>
      <c r="E9" s="136">
        <v>4</v>
      </c>
      <c r="F9" s="137"/>
      <c r="G9">
        <v>0.107256116649045</v>
      </c>
      <c r="I9" s="136">
        <v>4</v>
      </c>
      <c r="J9" s="137"/>
      <c r="K9">
        <v>9.5959088675898793E-2</v>
      </c>
      <c r="M9" s="136">
        <v>4</v>
      </c>
      <c r="N9" s="137"/>
      <c r="O9">
        <v>0.110111489309472</v>
      </c>
      <c r="Q9" s="4">
        <f t="shared" si="5"/>
        <v>44348</v>
      </c>
      <c r="R9">
        <f t="shared" si="0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1"/>
        <v>44348</v>
      </c>
      <c r="Y9">
        <f t="shared" si="2"/>
        <v>6</v>
      </c>
      <c r="Z9" s="148">
        <f>HLOOKUP(Z$3,Data!$AU$4:$BA$19,ROW()-2,FALSE)/VLOOKUP($Y9,$C$21:$D$32,2,FALSE)</f>
        <v>1.0833333333333333</v>
      </c>
      <c r="AA9" s="148">
        <f>HLOOKUP(AA$3,Data!$AU$4:$BA$19,ROW()-2,FALSE)/VLOOKUP($Y9,$C$21:$D$32,2,FALSE)</f>
        <v>1.4833333333333334</v>
      </c>
      <c r="AB9" s="148">
        <f>HLOOKUP(AB$3,Data!$AU$4:$BA$19,ROW()-2,FALSE)/VLOOKUP($Y9,$C$21:$D$32,2,FALSE)</f>
        <v>0.31666666666666665</v>
      </c>
      <c r="AC9" s="148">
        <f>HLOOKUP(AC$3,Data!$AU$4:$BA$19,ROW()-2,FALSE)/VLOOKUP($Y9,$C$21:$D$32,2,FALSE)</f>
        <v>0.48333333333333334</v>
      </c>
      <c r="AE9" s="4">
        <f t="shared" si="3"/>
        <v>44348</v>
      </c>
      <c r="AF9" s="127">
        <f>($C$4+($C11*$S9)+($C$5*AJ9))*HLOOKUP(Z$18,Data!$T$4:$Z$16,(ROW())-2,FALSE)*VLOOKUP($Y24,$C$21:$D$32,2,FALSE)</f>
        <v>1786666.4565264345</v>
      </c>
      <c r="AG9" s="127">
        <f>($G$4+($G11*$T9)+($G$5*AJ9))*HLOOKUP(AA$18,Data!$T$4:$Z$16,(ROW())-2,FALSE)*VLOOKUP($Y24,$C$21:$D$32,2,FALSE)</f>
        <v>755412.98419421585</v>
      </c>
      <c r="AH9" s="127">
        <f>($K$4+($K11*$U9)+($K$5*AJ9))*HLOOKUP(AB$18,Data!$T$4:$Z$16,(ROW())-2,FALSE)*VLOOKUP($Y24,$C$21:$D$32,2,FALSE)</f>
        <v>585756.56677534315</v>
      </c>
      <c r="AI9" s="127">
        <f>($O$4+($O11*$V9)+($O$5*AJ9))*HLOOKUP(AC$18,Data!$T$4:$Z$16,(ROW())-2,FALSE)*VLOOKUP($Y24,$C$21:$D$32,2,FALSE)</f>
        <v>362610.82362621848</v>
      </c>
      <c r="AJ9">
        <v>114</v>
      </c>
      <c r="AL9" s="72">
        <f t="shared" si="4"/>
        <v>3490446.8311222121</v>
      </c>
    </row>
    <row r="10" spans="1:38" x14ac:dyDescent="0.25">
      <c r="A10" s="136">
        <v>5</v>
      </c>
      <c r="B10" s="137"/>
      <c r="C10">
        <v>9.8793353090582403E-2</v>
      </c>
      <c r="E10" s="136">
        <v>5</v>
      </c>
      <c r="F10" s="137"/>
      <c r="G10">
        <v>7.5420531695273602E-2</v>
      </c>
      <c r="I10" s="136">
        <v>5</v>
      </c>
      <c r="J10" s="137"/>
      <c r="K10">
        <v>7.5059228598924499E-2</v>
      </c>
      <c r="M10" s="136">
        <v>5</v>
      </c>
      <c r="N10" s="137"/>
      <c r="O10">
        <v>0.10394248212115501</v>
      </c>
      <c r="Q10" s="4">
        <f t="shared" si="5"/>
        <v>44378</v>
      </c>
      <c r="R10">
        <f t="shared" si="0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1"/>
        <v>44378</v>
      </c>
      <c r="Y10">
        <f t="shared" si="2"/>
        <v>7</v>
      </c>
      <c r="Z10" s="148">
        <f>HLOOKUP(Z$3,Data!$AU$4:$BA$19,ROW()-2,FALSE)/VLOOKUP($Y10,$C$21:$D$32,2,FALSE)</f>
        <v>0</v>
      </c>
      <c r="AA10" s="148">
        <f>HLOOKUP(AA$3,Data!$AU$4:$BA$19,ROW()-2,FALSE)/VLOOKUP($Y10,$C$21:$D$32,2,FALSE)</f>
        <v>8.0645161290322578E-2</v>
      </c>
      <c r="AB10" s="148">
        <f>HLOOKUP(AB$3,Data!$AU$4:$BA$19,ROW()-2,FALSE)/VLOOKUP($Y10,$C$21:$D$32,2,FALSE)</f>
        <v>0</v>
      </c>
      <c r="AC10" s="148">
        <f>HLOOKUP(AC$3,Data!$AU$4:$BA$19,ROW()-2,FALSE)/VLOOKUP($Y10,$C$21:$D$32,2,FALSE)</f>
        <v>0</v>
      </c>
      <c r="AE10" s="4">
        <f t="shared" si="3"/>
        <v>44378</v>
      </c>
      <c r="AF10" s="127">
        <f>($C$4+($C12*$S10)+($C$5*AJ10))*HLOOKUP(Z$18,Data!$T$4:$Z$16,(ROW())-2,FALSE)*VLOOKUP($Y25,$C$21:$D$32,2,FALSE)</f>
        <v>1523530.9300404543</v>
      </c>
      <c r="AG10" s="127">
        <f>($G$4+($G12*$T10)+($G$5*AJ10))*HLOOKUP(AA$18,Data!$T$4:$Z$16,(ROW())-2,FALSE)*VLOOKUP($Y25,$C$21:$D$32,2,FALSE)</f>
        <v>780993.0771761582</v>
      </c>
      <c r="AH10" s="127">
        <f>($K$4+($K12*$U10)+($K$5*AJ10))*HLOOKUP(AB$18,Data!$T$4:$Z$16,(ROW())-2,FALSE)*VLOOKUP($Y25,$C$21:$D$32,2,FALSE)</f>
        <v>605779.07318175398</v>
      </c>
      <c r="AI10" s="127">
        <f>($O$4+($O12*$V10)+($O$5*AJ10))*HLOOKUP(AC$18,Data!$T$4:$Z$16,(ROW())-2,FALSE)*VLOOKUP($Y25,$C$21:$D$32,2,FALSE)</f>
        <v>373907.57924905611</v>
      </c>
      <c r="AJ10">
        <v>115</v>
      </c>
      <c r="AL10" s="72">
        <f t="shared" si="4"/>
        <v>3284210.6596474224</v>
      </c>
    </row>
    <row r="11" spans="1:38" x14ac:dyDescent="0.25">
      <c r="A11" s="136">
        <v>6</v>
      </c>
      <c r="B11" s="137"/>
      <c r="C11">
        <v>7.3118555892515896E-2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44409</v>
      </c>
      <c r="R11">
        <f t="shared" si="0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1"/>
        <v>44409</v>
      </c>
      <c r="Y11">
        <f t="shared" si="2"/>
        <v>8</v>
      </c>
      <c r="Z11" s="148">
        <f>HLOOKUP(Z$3,Data!$AU$4:$BA$19,ROW()-2,FALSE)/VLOOKUP($Y11,$C$21:$D$32,2,FALSE)</f>
        <v>0.29032258064516131</v>
      </c>
      <c r="AA11" s="148">
        <f>HLOOKUP(AA$3,Data!$AU$4:$BA$19,ROW()-2,FALSE)/VLOOKUP($Y11,$C$21:$D$32,2,FALSE)</f>
        <v>0.11290322580645161</v>
      </c>
      <c r="AB11" s="148">
        <f>HLOOKUP(AB$3,Data!$AU$4:$BA$19,ROW()-2,FALSE)/VLOOKUP($Y11,$C$21:$D$32,2,FALSE)</f>
        <v>0</v>
      </c>
      <c r="AC11" s="148">
        <f>HLOOKUP(AC$3,Data!$AU$4:$BA$19,ROW()-2,FALSE)/VLOOKUP($Y11,$C$21:$D$32,2,FALSE)</f>
        <v>1.6129032258064516E-2</v>
      </c>
      <c r="AE11" s="4">
        <f t="shared" si="3"/>
        <v>44409</v>
      </c>
      <c r="AF11" s="127">
        <f>($C$4+($C13*$S11)+($C$5*AJ11))*HLOOKUP(Z$18,Data!$T$4:$Z$16,(ROW())-2,FALSE)*VLOOKUP($Y26,$C$21:$D$32,2,FALSE)</f>
        <v>1523956.2250950744</v>
      </c>
      <c r="AG11" s="127">
        <f>($G$4+($G13*$T11)+($G$5*AJ11))*HLOOKUP(AA$18,Data!$T$4:$Z$16,(ROW())-2,FALSE)*VLOOKUP($Y26,$C$21:$D$32,2,FALSE)</f>
        <v>-804763.45784781768</v>
      </c>
      <c r="AH11" s="127">
        <f>($K$4+($K13*$U11)+($K$5*AJ11))*HLOOKUP(AB$18,Data!$T$4:$Z$16,(ROW())-2,FALSE)*VLOOKUP($Y26,$C$21:$D$32,2,FALSE)</f>
        <v>606621.69924697245</v>
      </c>
      <c r="AI11" s="127">
        <f>($O$4+($O13*$V11)+($O$5*AJ11))*HLOOKUP(AC$18,Data!$T$4:$Z$16,(ROW())-2,FALSE)*VLOOKUP($Y26,$C$21:$D$32,2,FALSE)</f>
        <v>374084.70914229413</v>
      </c>
      <c r="AJ11">
        <v>116</v>
      </c>
      <c r="AL11" s="72">
        <f t="shared" si="4"/>
        <v>1699899.1756365234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44440</v>
      </c>
      <c r="R12">
        <f t="shared" si="0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1"/>
        <v>44440</v>
      </c>
      <c r="Y12">
        <f t="shared" si="2"/>
        <v>9</v>
      </c>
      <c r="Z12" s="148">
        <f>HLOOKUP(Z$3,Data!$AU$4:$BA$19,ROW()-2,FALSE)/VLOOKUP($Y12,$C$21:$D$32,2,FALSE)</f>
        <v>1.6666666666666667</v>
      </c>
      <c r="AA12" s="148">
        <f>HLOOKUP(AA$3,Data!$AU$4:$BA$19,ROW()-2,FALSE)/VLOOKUP($Y12,$C$21:$D$32,2,FALSE)</f>
        <v>0.91666666666666663</v>
      </c>
      <c r="AB12" s="148">
        <f>HLOOKUP(AB$3,Data!$AU$4:$BA$19,ROW()-2,FALSE)/VLOOKUP($Y12,$C$21:$D$32,2,FALSE)</f>
        <v>0.26666666666666666</v>
      </c>
      <c r="AC12" s="148">
        <f>HLOOKUP(AC$3,Data!$AU$4:$BA$19,ROW()-2,FALSE)/VLOOKUP($Y12,$C$21:$D$32,2,FALSE)</f>
        <v>1.35</v>
      </c>
      <c r="AE12" s="4">
        <f t="shared" si="3"/>
        <v>44440</v>
      </c>
      <c r="AF12" s="127">
        <f>($C$4+($C14*$S12)+($C$5*AJ12))*HLOOKUP(Z$18,Data!$T$4:$Z$16,(ROW())-2,FALSE)*VLOOKUP($Y27,$C$21:$D$32,2,FALSE)</f>
        <v>1967954.1763685937</v>
      </c>
      <c r="AG12" s="127">
        <f>($G$4+($G14*$T12)+($G$5*AJ12))*HLOOKUP(AA$18,Data!$T$4:$Z$16,(ROW())-2,FALSE)*VLOOKUP($Y27,$C$21:$D$32,2,FALSE)</f>
        <v>758820.22532148159</v>
      </c>
      <c r="AH12" s="127">
        <f>($K$4+($K14*$U12)+($K$5*AJ12))*HLOOKUP(AB$18,Data!$T$4:$Z$16,(ROW())-2,FALSE)*VLOOKUP($Y27,$C$21:$D$32,2,FALSE)</f>
        <v>588644.04266250087</v>
      </c>
      <c r="AI12" s="127">
        <f>($O$4+($O14*$V12)+($O$5*AJ12))*HLOOKUP(AC$18,Data!$T$4:$Z$16,(ROW())-2,FALSE)*VLOOKUP($Y27,$C$21:$D$32,2,FALSE)</f>
        <v>362742.68210753705</v>
      </c>
      <c r="AJ12">
        <v>117</v>
      </c>
      <c r="AL12" s="72">
        <f t="shared" si="4"/>
        <v>3678161.1264601131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-1.7082451787148101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44470</v>
      </c>
      <c r="R13">
        <f t="shared" si="0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1"/>
        <v>44470</v>
      </c>
      <c r="Y13">
        <f t="shared" si="2"/>
        <v>10</v>
      </c>
      <c r="Z13" s="148">
        <f>HLOOKUP(Z$3,Data!$AU$4:$BA$19,ROW()-2,FALSE)/VLOOKUP($Y13,$C$21:$D$32,2,FALSE)</f>
        <v>9.193548387096774</v>
      </c>
      <c r="AA13" s="148">
        <f>HLOOKUP(AA$3,Data!$AU$4:$BA$19,ROW()-2,FALSE)/VLOOKUP($Y13,$C$21:$D$32,2,FALSE)</f>
        <v>6.887096774193548</v>
      </c>
      <c r="AB13" s="148">
        <f>HLOOKUP(AB$3,Data!$AU$4:$BA$19,ROW()-2,FALSE)/VLOOKUP($Y13,$C$21:$D$32,2,FALSE)</f>
        <v>6.612903225806452</v>
      </c>
      <c r="AC13" s="148">
        <f>HLOOKUP(AC$3,Data!$AU$4:$BA$19,ROW()-2,FALSE)/VLOOKUP($Y13,$C$21:$D$32,2,FALSE)</f>
        <v>10.306451612903226</v>
      </c>
      <c r="AE13" s="4">
        <f t="shared" si="3"/>
        <v>44470</v>
      </c>
      <c r="AF13" s="127">
        <f>($C$4+($C15*$S13)+($C$5*AJ13))*HLOOKUP(Z$18,Data!$T$4:$Z$16,(ROW())-2,FALSE)*VLOOKUP($Y28,$C$21:$D$32,2,FALSE)</f>
        <v>4510946.9915012363</v>
      </c>
      <c r="AG13" s="127">
        <f>($G$4+($G15*$T13)+($G$5*AJ13))*HLOOKUP(AA$18,Data!$T$4:$Z$16,(ROW())-2,FALSE)*VLOOKUP($Y28,$C$21:$D$32,2,FALSE)</f>
        <v>2127609.269388129</v>
      </c>
      <c r="AH13" s="127">
        <f>($K$4+($K15*$U13)+($K$5*AJ13))*HLOOKUP(AB$18,Data!$T$4:$Z$16,(ROW())-2,FALSE)*VLOOKUP($Y28,$C$21:$D$32,2,FALSE)</f>
        <v>1315807.3241510505</v>
      </c>
      <c r="AI13" s="127">
        <f>($O$4+($O15*$V13)+($O$5*AJ13))*HLOOKUP(AC$18,Data!$T$4:$Z$16,(ROW())-2,FALSE)*VLOOKUP($Y28,$C$21:$D$32,2,FALSE)</f>
        <v>933846.84176325204</v>
      </c>
      <c r="AJ13">
        <v>118</v>
      </c>
      <c r="AL13" s="72">
        <f t="shared" si="4"/>
        <v>8888210.4268036671</v>
      </c>
    </row>
    <row r="14" spans="1:38" x14ac:dyDescent="0.25">
      <c r="A14" s="136">
        <v>9</v>
      </c>
      <c r="B14" s="137"/>
      <c r="C14">
        <v>7.8113813985535505E-2</v>
      </c>
      <c r="E14" s="136">
        <v>9</v>
      </c>
      <c r="F14" s="137"/>
      <c r="G14">
        <v>0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5"/>
        <v>44501</v>
      </c>
      <c r="R14">
        <f t="shared" si="0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1"/>
        <v>44501</v>
      </c>
      <c r="Y14">
        <f t="shared" si="2"/>
        <v>11</v>
      </c>
      <c r="Z14" s="148">
        <f>HLOOKUP(Z$3,Data!$AU$4:$BA$19,ROW()-2,FALSE)/VLOOKUP($Y14,$C$21:$D$32,2,FALSE)</f>
        <v>13.05</v>
      </c>
      <c r="AA14" s="148">
        <f>HLOOKUP(AA$3,Data!$AU$4:$BA$19,ROW()-2,FALSE)/VLOOKUP($Y14,$C$21:$D$32,2,FALSE)</f>
        <v>10.9</v>
      </c>
      <c r="AB14" s="148">
        <f>HLOOKUP(AB$3,Data!$AU$4:$BA$19,ROW()-2,FALSE)/VLOOKUP($Y14,$C$21:$D$32,2,FALSE)</f>
        <v>14.816666666666666</v>
      </c>
      <c r="AC14" s="148">
        <f>HLOOKUP(AC$3,Data!$AU$4:$BA$19,ROW()-2,FALSE)/VLOOKUP($Y14,$C$21:$D$32,2,FALSE)</f>
        <v>18.133333333333333</v>
      </c>
      <c r="AE14" s="4">
        <f t="shared" si="3"/>
        <v>44501</v>
      </c>
      <c r="AF14" s="127">
        <f>($C$4+($C16*$S14)+($C$5*AJ14))*HLOOKUP(Z$18,Data!$T$4:$Z$16,(ROW())-2,FALSE)*VLOOKUP($Y29,$C$21:$D$32,2,FALSE)</f>
        <v>8252755.5098376106</v>
      </c>
      <c r="AG14" s="127">
        <f>($G$4+($G16*$T14)+($G$5*AJ14))*HLOOKUP(AA$18,Data!$T$4:$Z$16,(ROW())-2,FALSE)*VLOOKUP($Y29,$C$21:$D$32,2,FALSE)</f>
        <v>3737612.1022004005</v>
      </c>
      <c r="AH14" s="127">
        <f>($K$4+($K16*$U14)+($K$5*AJ14))*HLOOKUP(AB$18,Data!$T$4:$Z$16,(ROW())-2,FALSE)*VLOOKUP($Y29,$C$21:$D$32,2,FALSE)</f>
        <v>2683457.702920665</v>
      </c>
      <c r="AI14" s="127">
        <f>($O$4+($O16*$V14)+($O$5*AJ14))*HLOOKUP(AC$18,Data!$T$4:$Z$16,(ROW())-2,FALSE)*VLOOKUP($Y29,$C$21:$D$32,2,FALSE)</f>
        <v>2225436.7285246113</v>
      </c>
      <c r="AJ14">
        <v>119</v>
      </c>
      <c r="AL14" s="72">
        <f t="shared" si="4"/>
        <v>16899262.043483287</v>
      </c>
    </row>
    <row r="15" spans="1:38" x14ac:dyDescent="0.25">
      <c r="A15" s="136">
        <v>10</v>
      </c>
      <c r="B15" s="137"/>
      <c r="C15">
        <v>0.123544842684224</v>
      </c>
      <c r="E15" s="136">
        <v>10</v>
      </c>
      <c r="F15" s="137"/>
      <c r="G15">
        <v>0.13773713624192299</v>
      </c>
      <c r="I15" s="136">
        <v>10</v>
      </c>
      <c r="J15" s="137"/>
      <c r="K15">
        <v>7.1883390769555494E-2</v>
      </c>
      <c r="M15" s="136">
        <v>10</v>
      </c>
      <c r="N15" s="137"/>
      <c r="O15">
        <v>6.2002786258726898E-2</v>
      </c>
      <c r="Q15" s="4">
        <f t="shared" si="5"/>
        <v>44531</v>
      </c>
      <c r="R15">
        <f t="shared" si="0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1"/>
        <v>44531</v>
      </c>
      <c r="Y15">
        <f t="shared" si="2"/>
        <v>12</v>
      </c>
      <c r="Z15" s="148">
        <f>HLOOKUP(Z$3,Data!$AU$4:$BA$19,ROW()-2,FALSE)/VLOOKUP($Y15,$C$21:$D$32,2,FALSE)</f>
        <v>25.370967741935484</v>
      </c>
      <c r="AA15" s="148">
        <f>HLOOKUP(AA$3,Data!$AU$4:$BA$19,ROW()-2,FALSE)/VLOOKUP($Y15,$C$21:$D$32,2,FALSE)</f>
        <v>19.5</v>
      </c>
      <c r="AB15" s="148">
        <f>HLOOKUP(AB$3,Data!$AU$4:$BA$19,ROW()-2,FALSE)/VLOOKUP($Y15,$C$21:$D$32,2,FALSE)</f>
        <v>25</v>
      </c>
      <c r="AC15" s="148">
        <f>HLOOKUP(AC$3,Data!$AU$4:$BA$19,ROW()-2,FALSE)/VLOOKUP($Y15,$C$21:$D$32,2,FALSE)</f>
        <v>27.532258064516128</v>
      </c>
      <c r="AE15" s="4">
        <f t="shared" si="3"/>
        <v>44531</v>
      </c>
      <c r="AF15" s="127">
        <f>($C$4+($C17*$S15)+($C$5*AJ15))*HLOOKUP(Z$18,Data!$T$4:$Z$16,(ROW())-2,FALSE)*VLOOKUP($Y30,$C$21:$D$32,2,FALSE)</f>
        <v>9559272.5916643105</v>
      </c>
      <c r="AG15" s="127">
        <f>($G$4+($G17*$T15)+($G$5*AJ15))*HLOOKUP(AA$18,Data!$T$4:$Z$16,(ROW())-2,FALSE)*VLOOKUP($Y30,$C$21:$D$32,2,FALSE)</f>
        <v>4369933.718902627</v>
      </c>
      <c r="AH15" s="127">
        <f>($K$4+($K17*$U15)+($K$5*AJ15))*HLOOKUP(AB$18,Data!$T$4:$Z$16,(ROW())-2,FALSE)*VLOOKUP($Y30,$C$21:$D$32,2,FALSE)</f>
        <v>4396726.0811434612</v>
      </c>
      <c r="AI15" s="127">
        <f>($O$4+($O17*$V15)+($O$5*AJ15))*HLOOKUP(AC$18,Data!$T$4:$Z$16,(ROW())-2,FALSE)*VLOOKUP($Y30,$C$21:$D$32,2,FALSE)</f>
        <v>3441155.3933312348</v>
      </c>
      <c r="AJ15">
        <v>120</v>
      </c>
      <c r="AL15" s="72">
        <f t="shared" si="4"/>
        <v>21767087.785041634</v>
      </c>
    </row>
    <row r="16" spans="1:38" x14ac:dyDescent="0.25">
      <c r="A16" s="136">
        <v>11</v>
      </c>
      <c r="B16" s="137"/>
      <c r="C16">
        <v>0.16789173676314401</v>
      </c>
      <c r="E16" s="136">
        <v>11</v>
      </c>
      <c r="F16" s="137"/>
      <c r="G16">
        <v>0.17046235758289</v>
      </c>
      <c r="I16" s="136">
        <v>11</v>
      </c>
      <c r="J16" s="137"/>
      <c r="K16">
        <v>8.9032447505790493E-2</v>
      </c>
      <c r="M16" s="136">
        <v>11</v>
      </c>
      <c r="N16" s="137"/>
      <c r="O16">
        <v>0.10125907086356201</v>
      </c>
    </row>
    <row r="17" spans="1:35" x14ac:dyDescent="0.25">
      <c r="A17" s="136">
        <v>12</v>
      </c>
      <c r="B17" s="137"/>
      <c r="C17">
        <v>0.14806642148187699</v>
      </c>
      <c r="E17" s="136">
        <v>12</v>
      </c>
      <c r="F17" s="137"/>
      <c r="G17">
        <v>0.15437536994262999</v>
      </c>
      <c r="I17" s="136">
        <v>12</v>
      </c>
      <c r="J17" s="137"/>
      <c r="K17">
        <v>0.112460295627324</v>
      </c>
      <c r="M17" s="136">
        <v>12</v>
      </c>
      <c r="N17" s="137"/>
      <c r="O17">
        <v>0.120502100334429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0.25482879791315799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44197</v>
      </c>
      <c r="R19">
        <f>MONTH(Q19)</f>
        <v>1</v>
      </c>
      <c r="S19" s="149">
        <f>(S4-Z4)*VLOOKUP($R19,$A$6:$C$17,3,FALSE)</f>
        <v>0.41465927372088046</v>
      </c>
      <c r="T19" s="149">
        <f>(T4-AA4)*VLOOKUP($R19,$E$6:$G$17,3,FALSE)</f>
        <v>8.7647929662139024E-2</v>
      </c>
      <c r="U19" s="149">
        <f>(U4-AB4)*VLOOKUP($R19,$I$6:$K$17,3,FALSE)</f>
        <v>0.40806163323798134</v>
      </c>
      <c r="V19" s="149">
        <f>(V4-AC4)*VLOOKUP($R19,$M$6:$O$17,3,FALSE)</f>
        <v>0.54533270481754947</v>
      </c>
      <c r="X19" s="4">
        <f>Q4</f>
        <v>44197</v>
      </c>
      <c r="Y19">
        <f>MONTH(X19)</f>
        <v>1</v>
      </c>
      <c r="Z19" s="127">
        <f>HLOOKUP(Z$18,Data!$T$4:$Z$19,ROW()-17,FALSE)*VLOOKUP($Y19,$C$21:$D$32,2,FALSE)*S19</f>
        <v>1103913.3823666549</v>
      </c>
      <c r="AA19" s="127">
        <f>HLOOKUP(AA$18,Data!$T$4:$Z$19,ROW()-17,FALSE)*VLOOKUP($Y19,$C$21:$D$32,2,FALSE)*T19</f>
        <v>110982.08738437165</v>
      </c>
      <c r="AB19" s="127">
        <f>HLOOKUP(AB$18,Data!$T$4:$Z$19,ROW()-17,FALSE)*VLOOKUP($Y19,$C$21:$D$32,2,FALSE)*U19</f>
        <v>548917.57198396744</v>
      </c>
      <c r="AC19" s="127">
        <f>HLOOKUP(AC$18,Data!$T$4:$Z$19,ROW()-17,FALSE)*VLOOKUP($Y19,$C$21:$D$32,2,FALSE)*V19</f>
        <v>467093.82165737567</v>
      </c>
      <c r="AE19" s="4">
        <f>X19</f>
        <v>44197</v>
      </c>
      <c r="AF19" s="127">
        <f>Z19+Data!B5</f>
        <v>9523070.6364081614</v>
      </c>
      <c r="AG19" s="127">
        <f>AA19+Data!C5</f>
        <v>3947288.5267482339</v>
      </c>
      <c r="AH19" s="127">
        <f>AB19+Data!D5</f>
        <v>4413942.2655022116</v>
      </c>
      <c r="AI19" s="127">
        <f>AC19+Data!E5</f>
        <v>3478468.4347337633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6">Q5</f>
        <v>44228</v>
      </c>
      <c r="R20">
        <f t="shared" ref="R20:R30" si="7">MONTH(Q20)</f>
        <v>2</v>
      </c>
      <c r="S20" s="149">
        <f>(S5-Z5)*VLOOKUP($R20,$A$6:$C$17,3,FALSE)</f>
        <v>-0.4248378332862664</v>
      </c>
      <c r="T20" s="149">
        <f t="shared" ref="T20:T30" si="8">(T5-AA5)*VLOOKUP($R20,$E$6:$G$17,3,FALSE)</f>
        <v>-0.3251942971564038</v>
      </c>
      <c r="U20" s="149">
        <f t="shared" ref="U20:U30" si="9">(U5-AB5)*VLOOKUP($R20,$I$6:$K$17,3,FALSE)</f>
        <v>-0.59071001913458199</v>
      </c>
      <c r="V20" s="149">
        <f t="shared" ref="V20:V30" si="10">(V5-AC5)*VLOOKUP($R20,$M$6:$O$17,3,FALSE)</f>
        <v>-0.24242912437053793</v>
      </c>
      <c r="X20" s="4">
        <f t="shared" ref="X20:X30" si="11">Q5</f>
        <v>44228</v>
      </c>
      <c r="Y20">
        <f t="shared" ref="Y20:Y30" si="12">MONTH(X20)</f>
        <v>2</v>
      </c>
      <c r="Z20" s="127">
        <f>HLOOKUP(Z$18,Data!$T$4:$Z$19,ROW()-17,FALSE)*VLOOKUP($Y20,$C$21:$D$32,2,FALSE)*S20</f>
        <v>-1022462.3114240568</v>
      </c>
      <c r="AA20" s="127">
        <f>HLOOKUP(AA$18,Data!$T$4:$Z$19,ROW()-17,FALSE)*VLOOKUP($Y20,$C$21:$D$32,2,FALSE)*T20</f>
        <v>-372567.30158896011</v>
      </c>
      <c r="AB20" s="127">
        <f>HLOOKUP(AB$18,Data!$T$4:$Z$19,ROW()-17,FALSE)*VLOOKUP($Y20,$C$21:$D$32,2,FALSE)*U20</f>
        <v>-719600.58246967127</v>
      </c>
      <c r="AC20" s="127">
        <f>HLOOKUP(AC$18,Data!$T$4:$Z$19,ROW()-17,FALSE)*VLOOKUP($Y20,$C$21:$D$32,2,FALSE)*V20</f>
        <v>-187810.8123663532</v>
      </c>
      <c r="AE20" s="4">
        <f t="shared" ref="AE20:AE30" si="13">X20</f>
        <v>44228</v>
      </c>
      <c r="AF20" s="127">
        <f>Z20+Data!B6</f>
        <v>7816207.8874482373</v>
      </c>
      <c r="AG20" s="127">
        <f>AA20+Data!C6</f>
        <v>3663112.1178128915</v>
      </c>
      <c r="AH20" s="127">
        <f>AB20+Data!D6</f>
        <v>3225472.0572845293</v>
      </c>
      <c r="AI20" s="127">
        <f>AC20+Data!E6</f>
        <v>2618063.9296053005</v>
      </c>
    </row>
    <row r="21" spans="1:35" x14ac:dyDescent="0.25">
      <c r="A21" s="4">
        <f>Data!A1</f>
        <v>44197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6"/>
        <v>44256</v>
      </c>
      <c r="R21">
        <f t="shared" si="7"/>
        <v>3</v>
      </c>
      <c r="S21" s="149">
        <f>(S6-Z6)*VLOOKUP($R21,$A$6:$C$17,3,FALSE)</f>
        <v>-4.1240050835610935E-2</v>
      </c>
      <c r="T21" s="149">
        <f t="shared" si="8"/>
        <v>-0.26615935343863639</v>
      </c>
      <c r="U21" s="149">
        <f t="shared" si="9"/>
        <v>-0.12198964364458281</v>
      </c>
      <c r="V21" s="149">
        <f t="shared" si="10"/>
        <v>6.0787255033666866E-2</v>
      </c>
      <c r="X21" s="4">
        <f t="shared" si="11"/>
        <v>44256</v>
      </c>
      <c r="Y21">
        <f t="shared" si="12"/>
        <v>3</v>
      </c>
      <c r="Z21" s="127">
        <f>HLOOKUP(Z$18,Data!$T$4:$Z$19,ROW()-17,FALSE)*VLOOKUP($Y21,$C$21:$D$32,2,FALSE)*S21</f>
        <v>-109956.20306034599</v>
      </c>
      <c r="AA21" s="127">
        <f>HLOOKUP(AA$18,Data!$T$4:$Z$19,ROW()-17,FALSE)*VLOOKUP($Y21,$C$21:$D$32,2,FALSE)*T21</f>
        <v>-337933.74780237314</v>
      </c>
      <c r="AB21" s="127">
        <f>HLOOKUP(AB$18,Data!$T$4:$Z$19,ROW()-17,FALSE)*VLOOKUP($Y21,$C$21:$D$32,2,FALSE)*U21</f>
        <v>-165062.72293976127</v>
      </c>
      <c r="AC21" s="127">
        <f>HLOOKUP(AC$18,Data!$T$4:$Z$19,ROW()-17,FALSE)*VLOOKUP($Y21,$C$21:$D$32,2,FALSE)*V21</f>
        <v>52135.8305355103</v>
      </c>
      <c r="AE21" s="4">
        <f t="shared" si="13"/>
        <v>44256</v>
      </c>
      <c r="AF21" s="127">
        <f>Z21+Data!B7</f>
        <v>6657834.5469453968</v>
      </c>
      <c r="AG21" s="127">
        <f>AA21+Data!C7</f>
        <v>2704757.7362722885</v>
      </c>
      <c r="AH21" s="127">
        <f>AB21+Data!D7</f>
        <v>2812109.3860867471</v>
      </c>
      <c r="AI21" s="127">
        <f>AC21+Data!E7</f>
        <v>2134076.4874285976</v>
      </c>
    </row>
    <row r="22" spans="1:35" x14ac:dyDescent="0.25">
      <c r="A22" s="4">
        <f>DATE(YEAR(A21),MONTH(A21)+1,1)</f>
        <v>44228</v>
      </c>
      <c r="C22">
        <f t="shared" ref="C22:C32" si="14">MONTH(A22)</f>
        <v>2</v>
      </c>
      <c r="D22">
        <f>A23-A22</f>
        <v>28</v>
      </c>
      <c r="G22" s="127"/>
      <c r="H22" s="127"/>
      <c r="I22" s="127"/>
      <c r="J22" s="127"/>
      <c r="Q22" s="4">
        <f t="shared" si="6"/>
        <v>44287</v>
      </c>
      <c r="R22">
        <f t="shared" si="7"/>
        <v>4</v>
      </c>
      <c r="S22" s="149">
        <f t="shared" ref="S22:S30" si="15">(S7-Z7)*VLOOKUP($R22,$A$6:$C$17,3,FALSE)</f>
        <v>0.11323942887098365</v>
      </c>
      <c r="T22" s="149">
        <f t="shared" si="8"/>
        <v>-1.6803458275017009E-2</v>
      </c>
      <c r="U22" s="149">
        <f t="shared" si="9"/>
        <v>-5.1178180627146352E-3</v>
      </c>
      <c r="V22" s="149">
        <f t="shared" si="10"/>
        <v>0.12662821270589283</v>
      </c>
      <c r="X22" s="4">
        <f t="shared" si="11"/>
        <v>44287</v>
      </c>
      <c r="Y22">
        <f t="shared" si="12"/>
        <v>4</v>
      </c>
      <c r="Z22" s="127">
        <f>HLOOKUP(Z$18,Data!$T$4:$Z$19,ROW()-17,FALSE)*VLOOKUP($Y22,$C$21:$D$32,2,FALSE)*S22</f>
        <v>292249.45042452333</v>
      </c>
      <c r="AA22" s="127">
        <f>HLOOKUP(AA$18,Data!$T$4:$Z$19,ROW()-17,FALSE)*VLOOKUP($Y22,$C$21:$D$32,2,FALSE)*T22</f>
        <v>-20663.716744536669</v>
      </c>
      <c r="AB22" s="127">
        <f>HLOOKUP(AB$18,Data!$T$4:$Z$19,ROW()-17,FALSE)*VLOOKUP($Y22,$C$21:$D$32,2,FALSE)*U22</f>
        <v>-6712.0695674308708</v>
      </c>
      <c r="AC22" s="127">
        <f>HLOOKUP(AC$18,Data!$T$4:$Z$19,ROW()-17,FALSE)*VLOOKUP($Y22,$C$21:$D$32,2,FALSE)*V22</f>
        <v>104855.75781324162</v>
      </c>
      <c r="AE22" s="4">
        <f t="shared" si="13"/>
        <v>44287</v>
      </c>
      <c r="AF22" s="127">
        <f>Z22+Data!B8</f>
        <v>4314889.3526069215</v>
      </c>
      <c r="AG22" s="127">
        <f>AA22+Data!C8</f>
        <v>1923753.9281874318</v>
      </c>
      <c r="AH22" s="127">
        <f>AB22+Data!D8</f>
        <v>1385658.0020800889</v>
      </c>
      <c r="AI22" s="127">
        <f>AC22+Data!E8</f>
        <v>1114212.1390513554</v>
      </c>
    </row>
    <row r="23" spans="1:35" x14ac:dyDescent="0.25">
      <c r="A23" s="4">
        <f t="shared" ref="A23:A33" si="16">DATE(YEAR(A22),MONTH(A22)+1,1)</f>
        <v>44256</v>
      </c>
      <c r="C23">
        <f t="shared" si="14"/>
        <v>3</v>
      </c>
      <c r="D23">
        <f t="shared" ref="D23:D32" si="17">A24-A23</f>
        <v>31</v>
      </c>
      <c r="G23" s="127"/>
      <c r="H23" s="127"/>
      <c r="I23" s="127"/>
      <c r="J23" s="127"/>
      <c r="Q23" s="4">
        <f t="shared" si="6"/>
        <v>44317</v>
      </c>
      <c r="R23">
        <f t="shared" si="7"/>
        <v>5</v>
      </c>
      <c r="S23" s="149">
        <f t="shared" si="15"/>
        <v>-1.4340970609923284E-2</v>
      </c>
      <c r="T23" s="149">
        <f t="shared" si="8"/>
        <v>-6.9824814827559686E-2</v>
      </c>
      <c r="U23" s="149">
        <f t="shared" si="9"/>
        <v>2.3486274755147349E-2</v>
      </c>
      <c r="V23" s="149">
        <f t="shared" si="10"/>
        <v>7.6448019108462384E-2</v>
      </c>
      <c r="X23" s="4">
        <f t="shared" si="11"/>
        <v>44317</v>
      </c>
      <c r="Y23">
        <f t="shared" si="12"/>
        <v>5</v>
      </c>
      <c r="Z23" s="127">
        <f>HLOOKUP(Z$18,Data!$T$4:$Z$19,ROW()-17,FALSE)*VLOOKUP($Y23,$C$21:$D$32,2,FALSE)*S23</f>
        <v>-38260.146421478836</v>
      </c>
      <c r="AA23" s="127">
        <f>HLOOKUP(AA$18,Data!$T$4:$Z$19,ROW()-17,FALSE)*VLOOKUP($Y23,$C$21:$D$32,2,FALSE)*T23</f>
        <v>-88805.783015839028</v>
      </c>
      <c r="AB23" s="127">
        <f>HLOOKUP(AB$18,Data!$T$4:$Z$19,ROW()-17,FALSE)*VLOOKUP($Y23,$C$21:$D$32,2,FALSE)*U23</f>
        <v>31864.181254429735</v>
      </c>
      <c r="AC23" s="127">
        <f>HLOOKUP(AC$18,Data!$T$4:$Z$19,ROW()-17,FALSE)*VLOOKUP($Y23,$C$21:$D$32,2,FALSE)*V23</f>
        <v>65280.951165212849</v>
      </c>
      <c r="AE23" s="4">
        <f t="shared" si="13"/>
        <v>44317</v>
      </c>
      <c r="AF23" s="127">
        <f>Z23+Data!B9</f>
        <v>2630092.7485516798</v>
      </c>
      <c r="AG23" s="127">
        <f>AA23+Data!C9</f>
        <v>1120668.0813647083</v>
      </c>
      <c r="AH23" s="127">
        <f>AB23+Data!D9</f>
        <v>867337.05983063369</v>
      </c>
      <c r="AI23" s="127">
        <f>AC23+Data!E9</f>
        <v>648862.31323530292</v>
      </c>
    </row>
    <row r="24" spans="1:35" x14ac:dyDescent="0.25">
      <c r="A24" s="4">
        <f t="shared" si="16"/>
        <v>44287</v>
      </c>
      <c r="C24">
        <f t="shared" si="14"/>
        <v>4</v>
      </c>
      <c r="D24">
        <f t="shared" si="17"/>
        <v>30</v>
      </c>
      <c r="G24" s="127"/>
      <c r="H24" s="127"/>
      <c r="I24" s="127"/>
      <c r="J24" s="127"/>
      <c r="Q24" s="4">
        <f t="shared" si="6"/>
        <v>44348</v>
      </c>
      <c r="R24">
        <f t="shared" si="7"/>
        <v>6</v>
      </c>
      <c r="S24" s="149">
        <f t="shared" si="15"/>
        <v>4.1677576858734064E-2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44348</v>
      </c>
      <c r="Y24">
        <f t="shared" si="12"/>
        <v>6</v>
      </c>
      <c r="Z24" s="127">
        <f>HLOOKUP(Z$18,Data!$T$4:$Z$19,ROW()-17,FALSE)*VLOOKUP($Y24,$C$21:$D$32,2,FALSE)*S24</f>
        <v>107525.64764092235</v>
      </c>
      <c r="AA24" s="127">
        <f>HLOOKUP(AA$18,Data!$T$4:$Z$19,ROW()-17,FALSE)*VLOOKUP($Y24,$C$21:$D$32,2,FALSE)*T24</f>
        <v>0</v>
      </c>
      <c r="AB24" s="127">
        <f>HLOOKUP(AB$18,Data!$T$4:$Z$19,ROW()-17,FALSE)*VLOOKUP($Y24,$C$21:$D$32,2,FALSE)*U24</f>
        <v>0</v>
      </c>
      <c r="AC24" s="127">
        <f>HLOOKUP(AC$18,Data!$T$4:$Z$19,ROW()-17,FALSE)*VLOOKUP($Y24,$C$21:$D$32,2,FALSE)*V24</f>
        <v>0</v>
      </c>
      <c r="AE24" s="4">
        <f t="shared" si="13"/>
        <v>44348</v>
      </c>
      <c r="AF24" s="127">
        <f>Z24+Data!B10</f>
        <v>1736023.5758808788</v>
      </c>
      <c r="AG24" s="127">
        <f>AA24+Data!C10</f>
        <v>773770.32819210039</v>
      </c>
      <c r="AH24" s="127">
        <f>AB24+Data!D10</f>
        <v>459797.16189977789</v>
      </c>
      <c r="AI24" s="127">
        <f>AC24+Data!E10</f>
        <v>298432.18166816491</v>
      </c>
    </row>
    <row r="25" spans="1:35" x14ac:dyDescent="0.25">
      <c r="A25" s="4">
        <f t="shared" si="16"/>
        <v>44317</v>
      </c>
      <c r="C25">
        <f t="shared" si="14"/>
        <v>5</v>
      </c>
      <c r="D25">
        <f t="shared" si="17"/>
        <v>31</v>
      </c>
      <c r="G25" s="127"/>
      <c r="H25" s="127"/>
      <c r="I25" s="127"/>
      <c r="J25" s="127"/>
      <c r="Q25" s="4">
        <f t="shared" si="6"/>
        <v>44378</v>
      </c>
      <c r="R25">
        <f t="shared" si="7"/>
        <v>7</v>
      </c>
      <c r="S25" s="149">
        <f t="shared" si="15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44378</v>
      </c>
      <c r="Y25">
        <f t="shared" si="12"/>
        <v>7</v>
      </c>
      <c r="Z25" s="127">
        <f>HLOOKUP(Z$18,Data!$T$4:$Z$19,ROW()-17,FALSE)*VLOOKUP($Y25,$C$21:$D$32,2,FALSE)*S25</f>
        <v>0</v>
      </c>
      <c r="AA25" s="127">
        <f>HLOOKUP(AA$18,Data!$T$4:$Z$19,ROW()-17,FALSE)*VLOOKUP($Y25,$C$21:$D$32,2,FALSE)*T25</f>
        <v>0</v>
      </c>
      <c r="AB25" s="127">
        <f>HLOOKUP(AB$18,Data!$T$4:$Z$19,ROW()-17,FALSE)*VLOOKUP($Y25,$C$21:$D$32,2,FALSE)*U25</f>
        <v>0</v>
      </c>
      <c r="AC25" s="127">
        <f>HLOOKUP(AC$18,Data!$T$4:$Z$19,ROW()-17,FALSE)*VLOOKUP($Y25,$C$21:$D$32,2,FALSE)*V25</f>
        <v>0</v>
      </c>
      <c r="AE25" s="4">
        <f t="shared" si="13"/>
        <v>44378</v>
      </c>
      <c r="AF25" s="127">
        <f>Z25+Data!B11</f>
        <v>1991878.3302022084</v>
      </c>
      <c r="AG25" s="127">
        <f>AA25+Data!C11</f>
        <v>863300.81344371941</v>
      </c>
      <c r="AH25" s="127">
        <f>AB25+Data!D11</f>
        <v>693900.45960480871</v>
      </c>
      <c r="AI25" s="127">
        <f>AC25+Data!E11</f>
        <v>397938.39674926351</v>
      </c>
    </row>
    <row r="26" spans="1:35" x14ac:dyDescent="0.25">
      <c r="A26" s="4">
        <f t="shared" si="16"/>
        <v>44348</v>
      </c>
      <c r="C26">
        <f t="shared" si="14"/>
        <v>6</v>
      </c>
      <c r="D26">
        <f t="shared" si="17"/>
        <v>30</v>
      </c>
      <c r="G26" s="127"/>
      <c r="H26" s="127"/>
      <c r="I26" s="127"/>
      <c r="J26" s="127"/>
      <c r="Q26" s="4">
        <f t="shared" si="6"/>
        <v>44409</v>
      </c>
      <c r="R26">
        <f t="shared" si="7"/>
        <v>8</v>
      </c>
      <c r="S26" s="149">
        <f t="shared" si="15"/>
        <v>0</v>
      </c>
      <c r="T26" s="149">
        <f t="shared" si="8"/>
        <v>-1.0524994488210606</v>
      </c>
      <c r="U26" s="149">
        <f t="shared" si="9"/>
        <v>0</v>
      </c>
      <c r="V26" s="149">
        <f t="shared" si="10"/>
        <v>0</v>
      </c>
      <c r="X26" s="4">
        <f t="shared" si="11"/>
        <v>44409</v>
      </c>
      <c r="Y26">
        <f t="shared" si="12"/>
        <v>8</v>
      </c>
      <c r="Z26" s="127">
        <f>HLOOKUP(Z$18,Data!$T$4:$Z$19,ROW()-17,FALSE)*VLOOKUP($Y26,$C$21:$D$32,2,FALSE)*S26</f>
        <v>0</v>
      </c>
      <c r="AA26" s="127">
        <f>HLOOKUP(AA$18,Data!$T$4:$Z$19,ROW()-17,FALSE)*VLOOKUP($Y26,$C$21:$D$32,2,FALSE)*T26</f>
        <v>-1341381.0775378747</v>
      </c>
      <c r="AB26" s="127">
        <f>HLOOKUP(AB$18,Data!$T$4:$Z$19,ROW()-17,FALSE)*VLOOKUP($Y26,$C$21:$D$32,2,FALSE)*U26</f>
        <v>0</v>
      </c>
      <c r="AC26" s="127">
        <f>HLOOKUP(AC$18,Data!$T$4:$Z$19,ROW()-17,FALSE)*VLOOKUP($Y26,$C$21:$D$32,2,FALSE)*V26</f>
        <v>0</v>
      </c>
      <c r="AE26" s="4">
        <f t="shared" si="13"/>
        <v>44409</v>
      </c>
      <c r="AF26" s="127">
        <f>Z26+Data!B12</f>
        <v>1389658.6987336497</v>
      </c>
      <c r="AG26" s="127">
        <f>AA26+Data!C12</f>
        <v>-754023.44140822464</v>
      </c>
      <c r="AH26" s="127">
        <f>AB26+Data!D12</f>
        <v>470907.14059317013</v>
      </c>
      <c r="AI26" s="127">
        <f>AC26+Data!E12</f>
        <v>287445.52454353013</v>
      </c>
    </row>
    <row r="27" spans="1:35" x14ac:dyDescent="0.25">
      <c r="A27" s="4">
        <f t="shared" si="16"/>
        <v>44378</v>
      </c>
      <c r="C27">
        <f t="shared" si="14"/>
        <v>7</v>
      </c>
      <c r="D27">
        <f t="shared" si="17"/>
        <v>31</v>
      </c>
      <c r="G27" s="127"/>
      <c r="H27" s="127"/>
      <c r="I27" s="127"/>
      <c r="J27" s="127"/>
      <c r="Q27" s="4">
        <f t="shared" si="6"/>
        <v>44440</v>
      </c>
      <c r="R27">
        <f t="shared" si="7"/>
        <v>9</v>
      </c>
      <c r="S27" s="149">
        <f t="shared" si="15"/>
        <v>5.9887257388910535E-2</v>
      </c>
      <c r="T27" s="149">
        <f t="shared" si="8"/>
        <v>0</v>
      </c>
      <c r="U27" s="149">
        <f t="shared" si="9"/>
        <v>0</v>
      </c>
      <c r="V27" s="149">
        <f t="shared" si="10"/>
        <v>0</v>
      </c>
      <c r="X27" s="4">
        <f t="shared" si="11"/>
        <v>44440</v>
      </c>
      <c r="Y27">
        <f t="shared" si="12"/>
        <v>9</v>
      </c>
      <c r="Z27" s="127">
        <f>HLOOKUP(Z$18,Data!$T$4:$Z$19,ROW()-17,FALSE)*VLOOKUP($Y27,$C$21:$D$32,2,FALSE)*S27</f>
        <v>154724.71818998925</v>
      </c>
      <c r="AA27" s="127">
        <f>HLOOKUP(AA$18,Data!$T$4:$Z$19,ROW()-17,FALSE)*VLOOKUP($Y27,$C$21:$D$32,2,FALSE)*T27</f>
        <v>0</v>
      </c>
      <c r="AB27" s="127">
        <f>HLOOKUP(AB$18,Data!$T$4:$Z$19,ROW()-17,FALSE)*VLOOKUP($Y27,$C$21:$D$32,2,FALSE)*U27</f>
        <v>0</v>
      </c>
      <c r="AC27" s="127">
        <f>HLOOKUP(AC$18,Data!$T$4:$Z$19,ROW()-17,FALSE)*VLOOKUP($Y27,$C$21:$D$32,2,FALSE)*V27</f>
        <v>0</v>
      </c>
      <c r="AE27" s="4">
        <f t="shared" si="13"/>
        <v>44440</v>
      </c>
      <c r="AF27" s="127">
        <f>Z27+Data!B13</f>
        <v>2206045.0545401541</v>
      </c>
      <c r="AG27" s="127">
        <f>AA27+Data!C13</f>
        <v>867917.28710243315</v>
      </c>
      <c r="AH27" s="127">
        <f>AB27+Data!D13</f>
        <v>663514.2258438014</v>
      </c>
      <c r="AI27" s="127">
        <f>AC27+Data!E13</f>
        <v>415144.15070360043</v>
      </c>
    </row>
    <row r="28" spans="1:35" x14ac:dyDescent="0.25">
      <c r="A28" s="4">
        <f t="shared" si="16"/>
        <v>44409</v>
      </c>
      <c r="C28">
        <f t="shared" si="14"/>
        <v>8</v>
      </c>
      <c r="D28">
        <f t="shared" si="17"/>
        <v>31</v>
      </c>
      <c r="G28" s="127"/>
      <c r="H28" s="127"/>
      <c r="I28" s="127"/>
      <c r="J28" s="127"/>
      <c r="Q28" s="4">
        <f t="shared" si="6"/>
        <v>44470</v>
      </c>
      <c r="R28">
        <f t="shared" si="7"/>
        <v>10</v>
      </c>
      <c r="S28" s="149">
        <f t="shared" si="15"/>
        <v>-2.2317778033279285E-2</v>
      </c>
      <c r="T28" s="149">
        <f t="shared" si="8"/>
        <v>9.8193248740209613E-2</v>
      </c>
      <c r="U28" s="149">
        <f t="shared" si="9"/>
        <v>3.8956160158984919E-2</v>
      </c>
      <c r="V28" s="149">
        <f t="shared" si="10"/>
        <v>6.8003055896668036E-3</v>
      </c>
      <c r="X28" s="4">
        <f t="shared" si="11"/>
        <v>44470</v>
      </c>
      <c r="Y28">
        <f t="shared" si="12"/>
        <v>10</v>
      </c>
      <c r="Z28" s="127">
        <f>HLOOKUP(Z$18,Data!$T$4:$Z$19,ROW()-17,FALSE)*VLOOKUP($Y28,$C$21:$D$32,2,FALSE)*S28</f>
        <v>-59742.727830621719</v>
      </c>
      <c r="AA28" s="127">
        <f>HLOOKUP(AA$18,Data!$T$4:$Z$19,ROW()-17,FALSE)*VLOOKUP($Y28,$C$21:$D$32,2,FALSE)*T28</f>
        <v>125799.00411128592</v>
      </c>
      <c r="AB28" s="127">
        <f>HLOOKUP(AB$18,Data!$T$4:$Z$19,ROW()-17,FALSE)*VLOOKUP($Y28,$C$21:$D$32,2,FALSE)*U28</f>
        <v>53399.468187209852</v>
      </c>
      <c r="AC28" s="127">
        <f>HLOOKUP(AC$18,Data!$T$4:$Z$19,ROW()-17,FALSE)*VLOOKUP($Y28,$C$21:$D$32,2,FALSE)*V28</f>
        <v>5851.0169308772665</v>
      </c>
      <c r="AE28" s="4">
        <f t="shared" si="13"/>
        <v>44470</v>
      </c>
      <c r="AF28" s="127">
        <f>Z28+Data!B14</f>
        <v>4713166.7668741737</v>
      </c>
      <c r="AG28" s="127">
        <f>AA28+Data!C14</f>
        <v>2284933.8067767848</v>
      </c>
      <c r="AH28" s="127">
        <f>AB28+Data!D14</f>
        <v>1263981.7270440764</v>
      </c>
      <c r="AI28" s="127">
        <f>AC28+Data!E14</f>
        <v>898434.46070371685</v>
      </c>
    </row>
    <row r="29" spans="1:35" x14ac:dyDescent="0.25">
      <c r="A29" s="4">
        <f t="shared" si="16"/>
        <v>44440</v>
      </c>
      <c r="C29">
        <f t="shared" si="14"/>
        <v>9</v>
      </c>
      <c r="D29">
        <f t="shared" si="17"/>
        <v>30</v>
      </c>
      <c r="G29" s="127"/>
      <c r="H29" s="127"/>
      <c r="I29" s="127"/>
      <c r="J29" s="127"/>
      <c r="Q29" s="4">
        <f t="shared" si="6"/>
        <v>44501</v>
      </c>
      <c r="R29">
        <f t="shared" si="7"/>
        <v>11</v>
      </c>
      <c r="S29" s="149">
        <f t="shared" si="15"/>
        <v>0.41972934190786004</v>
      </c>
      <c r="T29" s="149">
        <f t="shared" si="8"/>
        <v>0.53695642638610352</v>
      </c>
      <c r="U29" s="149">
        <f t="shared" si="9"/>
        <v>0.25107150196632921</v>
      </c>
      <c r="V29" s="149">
        <f t="shared" si="10"/>
        <v>0.38647212046259499</v>
      </c>
      <c r="X29" s="4">
        <f t="shared" si="11"/>
        <v>44501</v>
      </c>
      <c r="Y29">
        <f t="shared" si="12"/>
        <v>11</v>
      </c>
      <c r="Z29" s="127">
        <f>HLOOKUP(Z$18,Data!$T$4:$Z$19,ROW()-17,FALSE)*VLOOKUP($Y29,$C$21:$D$32,2,FALSE)*S29</f>
        <v>1088479.9050762344</v>
      </c>
      <c r="AA29" s="127">
        <f>HLOOKUP(AA$18,Data!$T$4:$Z$19,ROW()-17,FALSE)*VLOOKUP($Y29,$C$21:$D$32,2,FALSE)*T29</f>
        <v>666996.53372829012</v>
      </c>
      <c r="AB29" s="127">
        <f>HLOOKUP(AB$18,Data!$T$4:$Z$19,ROW()-17,FALSE)*VLOOKUP($Y29,$C$21:$D$32,2,FALSE)*U29</f>
        <v>334223.87270255777</v>
      </c>
      <c r="AC29" s="127">
        <f>HLOOKUP(AC$18,Data!$T$4:$Z$19,ROW()-17,FALSE)*VLOOKUP($Y29,$C$21:$D$32,2,FALSE)*V29</f>
        <v>323071.3691007063</v>
      </c>
      <c r="AE29" s="4">
        <f t="shared" si="13"/>
        <v>44501</v>
      </c>
      <c r="AF29" s="127">
        <f>Z29+Data!B15</f>
        <v>8481164.3664399274</v>
      </c>
      <c r="AG29" s="127">
        <f>AA29+Data!C15</f>
        <v>4182020.7199858958</v>
      </c>
      <c r="AH29" s="127">
        <f>AB29+Data!D15</f>
        <v>2558640.3238666346</v>
      </c>
      <c r="AI29" s="127">
        <f>AC29+Data!E15</f>
        <v>2204006.2703153295</v>
      </c>
    </row>
    <row r="30" spans="1:35" x14ac:dyDescent="0.25">
      <c r="A30" s="4">
        <f t="shared" si="16"/>
        <v>44470</v>
      </c>
      <c r="C30">
        <f t="shared" si="14"/>
        <v>10</v>
      </c>
      <c r="D30">
        <f t="shared" si="17"/>
        <v>31</v>
      </c>
      <c r="G30" s="127"/>
      <c r="H30" s="127"/>
      <c r="I30" s="127"/>
      <c r="J30" s="127"/>
      <c r="Q30" s="4">
        <f t="shared" si="6"/>
        <v>44531</v>
      </c>
      <c r="R30">
        <f t="shared" si="7"/>
        <v>12</v>
      </c>
      <c r="S30" s="149">
        <f t="shared" si="15"/>
        <v>-0.76612432276429221</v>
      </c>
      <c r="T30" s="149">
        <f t="shared" si="8"/>
        <v>-0.23156305491394497</v>
      </c>
      <c r="U30" s="149">
        <f t="shared" si="9"/>
        <v>-6.7838952523579549E-2</v>
      </c>
      <c r="V30" s="149">
        <f t="shared" si="10"/>
        <v>0.2184586464127394</v>
      </c>
      <c r="X30" s="4">
        <f t="shared" si="11"/>
        <v>44531</v>
      </c>
      <c r="Y30">
        <f t="shared" si="12"/>
        <v>12</v>
      </c>
      <c r="Z30" s="127">
        <f>HLOOKUP(Z$18,Data!$T$4:$Z$19,ROW()-17,FALSE)*VLOOKUP($Y30,$C$21:$D$32,2,FALSE)*S30</f>
        <v>-2055977.3615648367</v>
      </c>
      <c r="AA30" s="127">
        <f>HLOOKUP(AA$18,Data!$T$4:$Z$19,ROW()-17,FALSE)*VLOOKUP($Y30,$C$21:$D$32,2,FALSE)*T30</f>
        <v>-298264.79288190679</v>
      </c>
      <c r="AB30" s="127">
        <f>HLOOKUP(AB$18,Data!$T$4:$Z$19,ROW()-17,FALSE)*VLOOKUP($Y30,$C$21:$D$32,2,FALSE)*U30</f>
        <v>-93522.847787959283</v>
      </c>
      <c r="AC30" s="127">
        <f>HLOOKUP(AC$18,Data!$T$4:$Z$19,ROW()-17,FALSE)*VLOOKUP($Y30,$C$21:$D$32,2,FALSE)*V30</f>
        <v>189087.09986119301</v>
      </c>
      <c r="AE30" s="4">
        <f t="shared" si="13"/>
        <v>44531</v>
      </c>
      <c r="AF30" s="127">
        <f>Z30+Data!B16</f>
        <v>9183847.4790251162</v>
      </c>
      <c r="AG30" s="127">
        <f>AA30+Data!C16</f>
        <v>4883853.6570230974</v>
      </c>
      <c r="AH30" s="127">
        <f>AB30+Data!D16</f>
        <v>4139355.1613977719</v>
      </c>
      <c r="AI30" s="127">
        <f>AC30+Data!E16</f>
        <v>3564125.8001805018</v>
      </c>
    </row>
    <row r="31" spans="1:35" x14ac:dyDescent="0.25">
      <c r="A31" s="4">
        <f t="shared" si="16"/>
        <v>44501</v>
      </c>
      <c r="C31">
        <f t="shared" si="14"/>
        <v>11</v>
      </c>
      <c r="D31">
        <f t="shared" si="17"/>
        <v>30</v>
      </c>
      <c r="G31" s="127"/>
      <c r="H31" s="127"/>
      <c r="I31" s="127"/>
      <c r="J31" s="127"/>
    </row>
    <row r="32" spans="1:35" x14ac:dyDescent="0.25">
      <c r="A32" s="4">
        <f t="shared" si="16"/>
        <v>44531</v>
      </c>
      <c r="C32">
        <f t="shared" si="14"/>
        <v>12</v>
      </c>
      <c r="D32">
        <f t="shared" si="17"/>
        <v>31</v>
      </c>
    </row>
    <row r="33" spans="1:1" x14ac:dyDescent="0.25">
      <c r="A33" s="4">
        <f t="shared" si="16"/>
        <v>44562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35A1-1223-45A0-886A-CC08F253898A}">
  <sheetPr>
    <tabColor theme="8" tint="0.59999389629810485"/>
  </sheetPr>
  <dimension ref="A1:AL33"/>
  <sheetViews>
    <sheetView topLeftCell="M1" workbookViewId="0">
      <selection activeCell="AL4" sqref="AL4:AL15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1.5703125" bestFit="1" customWidth="1"/>
  </cols>
  <sheetData>
    <row r="1" spans="1:38" x14ac:dyDescent="0.25">
      <c r="A1" s="169" t="s">
        <v>62</v>
      </c>
      <c r="B1" s="169"/>
      <c r="C1" s="169"/>
      <c r="E1" s="169" t="s">
        <v>63</v>
      </c>
      <c r="F1" s="169"/>
      <c r="G1" s="169"/>
      <c r="I1" s="169" t="s">
        <v>64</v>
      </c>
      <c r="J1" s="169"/>
      <c r="K1" s="169"/>
      <c r="M1" s="169" t="s">
        <v>65</v>
      </c>
      <c r="N1" s="169"/>
      <c r="O1" s="169"/>
    </row>
    <row r="2" spans="1:38" x14ac:dyDescent="0.25">
      <c r="A2" s="170" t="s">
        <v>70</v>
      </c>
      <c r="B2" s="171"/>
      <c r="C2" s="171" t="s">
        <v>71</v>
      </c>
      <c r="E2" s="170" t="s">
        <v>70</v>
      </c>
      <c r="F2" s="171"/>
      <c r="G2" s="171" t="s">
        <v>71</v>
      </c>
      <c r="I2" s="170" t="s">
        <v>70</v>
      </c>
      <c r="J2" s="171"/>
      <c r="K2" s="171" t="s">
        <v>71</v>
      </c>
      <c r="M2" s="170" t="s">
        <v>70</v>
      </c>
      <c r="N2" s="171"/>
      <c r="O2" s="171" t="s">
        <v>71</v>
      </c>
      <c r="Q2" s="147" t="s">
        <v>75</v>
      </c>
      <c r="S2" s="168" t="s">
        <v>76</v>
      </c>
      <c r="T2" s="168"/>
      <c r="U2" s="168"/>
      <c r="V2" s="168"/>
      <c r="X2" s="147" t="s">
        <v>77</v>
      </c>
      <c r="Z2" s="168" t="s">
        <v>78</v>
      </c>
      <c r="AA2" s="168"/>
      <c r="AB2" s="168"/>
      <c r="AC2" s="168"/>
    </row>
    <row r="3" spans="1:38" x14ac:dyDescent="0.25">
      <c r="A3" s="170"/>
      <c r="B3" s="171"/>
      <c r="C3" s="171"/>
      <c r="E3" s="170"/>
      <c r="F3" s="171"/>
      <c r="G3" s="171"/>
      <c r="I3" s="170"/>
      <c r="J3" s="171"/>
      <c r="K3" s="171"/>
      <c r="M3" s="170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3.1319734927987999</v>
      </c>
      <c r="E4" s="136" t="s">
        <v>72</v>
      </c>
      <c r="F4" s="137"/>
      <c r="G4">
        <v>4.18164598598909</v>
      </c>
      <c r="I4" s="136" t="s">
        <v>72</v>
      </c>
      <c r="J4" s="137"/>
      <c r="K4">
        <v>3.3394109406961601</v>
      </c>
      <c r="M4" s="136" t="s">
        <v>72</v>
      </c>
      <c r="N4" s="137"/>
      <c r="O4">
        <v>3.6501095879320502</v>
      </c>
      <c r="Q4" s="4">
        <f>Data!A1</f>
        <v>44197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44197</v>
      </c>
      <c r="Y4">
        <f>MONTH(X4)</f>
        <v>1</v>
      </c>
      <c r="Z4" s="148">
        <f>HLOOKUP(Z$3,Data!$AU$4:$BA$19,ROW()-2,FALSE)/VLOOKUP($Y4,$C$21:$D$32,2,FALSE)</f>
        <v>17.032258064516128</v>
      </c>
      <c r="AA4" s="148">
        <f>HLOOKUP(AA$3,Data!$AU$4:$BA$19,ROW()-2,FALSE)/VLOOKUP($Y4,$C$21:$D$32,2,FALSE)</f>
        <v>16.661290322580644</v>
      </c>
      <c r="AB4" s="148">
        <f>HLOOKUP(AB$3,Data!$AU$4:$BA$19,ROW()-2,FALSE)/VLOOKUP($Y4,$C$21:$D$32,2,FALSE)</f>
        <v>20.193548387096776</v>
      </c>
      <c r="AC4" s="148">
        <f>HLOOKUP(AC$3,Data!$AU$4:$BA$19,ROW()-2,FALSE)/VLOOKUP($Y4,$C$21:$D$32,2,FALSE)</f>
        <v>23.93548387096774</v>
      </c>
      <c r="AE4" s="4">
        <v>43466</v>
      </c>
      <c r="AF4" s="127">
        <f>($C$4+($C6*$S4)+($C$5*AJ4))*HLOOKUP(Z$18,Data!$AC$4:$AI$19,(ROW())-2,FALSE)*VLOOKUP($Y19,$C$21:$D$32,2,FALSE)</f>
        <v>4337054.4776885416</v>
      </c>
      <c r="AG4" s="127">
        <f>($G$4+($G6*$T4)+($G$5*AJ4))*HLOOKUP(AA$18,Data!$AC$4:$AI$19,(ROW())-2,FALSE)*VLOOKUP($Y19,$C$21:$D$32,2,FALSE)</f>
        <v>2486592.7150415359</v>
      </c>
      <c r="AH4" s="127">
        <f>($K$4+($K6*$U4)+($K$5*AJ4))*HLOOKUP(AB$18,Data!$AC$4:$AI$19,(ROW())-2,FALSE)*VLOOKUP($Y19,$C$21:$D$32,2,FALSE)</f>
        <v>3165922.1902007554</v>
      </c>
      <c r="AI4" s="127">
        <f>($O$4+($O6*$V4)+($O$5*AJ4))*HLOOKUP(AC$18,Data!$AC$4:$AI$19,(ROW())-2,FALSE)*VLOOKUP($Y19,$C$21:$D$32,2,FALSE)</f>
        <v>4149023.0351552004</v>
      </c>
      <c r="AJ4">
        <v>109</v>
      </c>
      <c r="AL4" s="72">
        <f>SUM(AF4:AI4)</f>
        <v>14138592.418086033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44228</v>
      </c>
      <c r="R5">
        <f t="shared" ref="R5:R15" si="0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1">Q5</f>
        <v>44228</v>
      </c>
      <c r="Y5">
        <f t="shared" ref="Y5:Y15" si="2">MONTH(X5)</f>
        <v>2</v>
      </c>
      <c r="Z5" s="148">
        <f>HLOOKUP(Z$3,Data!$AU$4:$BA$19,ROW()-2,FALSE)/VLOOKUP($Y5,$C$21:$D$32,2,FALSE)</f>
        <v>21.392857142857142</v>
      </c>
      <c r="AA5" s="148">
        <f>HLOOKUP(AA$3,Data!$AU$4:$BA$19,ROW()-2,FALSE)/VLOOKUP($Y5,$C$21:$D$32,2,FALSE)</f>
        <v>18.714285714285715</v>
      </c>
      <c r="AB5" s="148">
        <f>HLOOKUP(AB$3,Data!$AU$4:$BA$19,ROW()-2,FALSE)/VLOOKUP($Y5,$C$21:$D$32,2,FALSE)</f>
        <v>25.214285714285715</v>
      </c>
      <c r="AC5" s="148">
        <f>HLOOKUP(AC$3,Data!$AU$4:$BA$19,ROW()-2,FALSE)/VLOOKUP($Y5,$C$21:$D$32,2,FALSE)</f>
        <v>25.196428571428573</v>
      </c>
      <c r="AE5" s="4">
        <v>43497</v>
      </c>
      <c r="AF5" s="127">
        <f>($C$4+($C7*$S5)+($C$5*AJ5))*HLOOKUP(Z$18,Data!$AC$4:$AI$19,(ROW())-2,FALSE)*VLOOKUP($Y20,$C$21:$D$32,2,FALSE)</f>
        <v>3579160.3326750891</v>
      </c>
      <c r="AG5" s="127">
        <f>($G$4+($G7*$T5)+($G$5*AJ5))*HLOOKUP(AA$18,Data!$AC$4:$AI$19,(ROW())-2,FALSE)*VLOOKUP($Y20,$C$21:$D$32,2,FALSE)</f>
        <v>2081221.2740985216</v>
      </c>
      <c r="AH5" s="127">
        <f>($K$4+($K7*$U5)+($K$5*AJ5))*HLOOKUP(AB$18,Data!$AC$4:$AI$19,(ROW())-2,FALSE)*VLOOKUP($Y20,$C$21:$D$32,2,FALSE)</f>
        <v>2606957.464188017</v>
      </c>
      <c r="AI5" s="127">
        <f>($O$4+($O7*$V5)+($O$5*AJ5))*HLOOKUP(AC$18,Data!$AC$4:$AI$19,(ROW())-2,FALSE)*VLOOKUP($Y20,$C$21:$D$32,2,FALSE)</f>
        <v>3294881.6153250071</v>
      </c>
      <c r="AJ5">
        <v>110</v>
      </c>
      <c r="AL5" s="72">
        <f t="shared" ref="AL5:AL15" si="3">SUM(AF5:AI5)</f>
        <v>11562220.686286636</v>
      </c>
    </row>
    <row r="6" spans="1:38" x14ac:dyDescent="0.25">
      <c r="A6" s="136">
        <v>1</v>
      </c>
      <c r="B6" s="137"/>
      <c r="C6">
        <v>0.52139985040870296</v>
      </c>
      <c r="E6" s="136">
        <v>1</v>
      </c>
      <c r="F6" s="137"/>
      <c r="G6">
        <v>0.67558964964491497</v>
      </c>
      <c r="I6" s="136">
        <v>1</v>
      </c>
      <c r="J6" s="137"/>
      <c r="K6">
        <v>0.60363788321201195</v>
      </c>
      <c r="M6" s="136">
        <v>1</v>
      </c>
      <c r="N6" s="137"/>
      <c r="O6">
        <v>0.68584631684317698</v>
      </c>
      <c r="Q6" s="4">
        <f t="shared" ref="Q6:Q15" si="4">DATE(YEAR(Q5),MONTH(Q5)+1,1)</f>
        <v>44256</v>
      </c>
      <c r="R6">
        <f t="shared" si="0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1"/>
        <v>44256</v>
      </c>
      <c r="Y6">
        <f t="shared" si="2"/>
        <v>3</v>
      </c>
      <c r="Z6" s="148">
        <f>HLOOKUP(Z$3,Data!$AU$4:$BA$19,ROW()-2,FALSE)/VLOOKUP($Y6,$C$21:$D$32,2,FALSE)</f>
        <v>15.17741935483871</v>
      </c>
      <c r="AA6" s="148">
        <f>HLOOKUP(AA$3,Data!$AU$4:$BA$19,ROW()-2,FALSE)/VLOOKUP($Y6,$C$21:$D$32,2,FALSE)</f>
        <v>16.403225806451612</v>
      </c>
      <c r="AB6" s="148">
        <f>HLOOKUP(AB$3,Data!$AU$4:$BA$19,ROW()-2,FALSE)/VLOOKUP($Y6,$C$21:$D$32,2,FALSE)</f>
        <v>14.258064516129032</v>
      </c>
      <c r="AC6" s="148">
        <f>HLOOKUP(AC$3,Data!$AU$4:$BA$19,ROW()-2,FALSE)/VLOOKUP($Y6,$C$21:$D$32,2,FALSE)</f>
        <v>16.112903225806452</v>
      </c>
      <c r="AE6" s="4">
        <v>43525</v>
      </c>
      <c r="AF6" s="127">
        <f>($C$4+($C8*$S6)+($C$5*AJ6))*HLOOKUP(Z$18,Data!$AC$4:$AI$19,(ROW())-2,FALSE)*VLOOKUP($Y21,$C$21:$D$32,2,FALSE)</f>
        <v>3026720.0669442825</v>
      </c>
      <c r="AG6" s="127">
        <f>($G$4+($G8*$T6)+($G$5*AJ6))*HLOOKUP(AA$18,Data!$AC$4:$AI$19,(ROW())-2,FALSE)*VLOOKUP($Y21,$C$21:$D$32,2,FALSE)</f>
        <v>1834040.074388074</v>
      </c>
      <c r="AH6" s="127">
        <f>($K$4+($K8*$U6)+($K$5*AJ6))*HLOOKUP(AB$18,Data!$AC$4:$AI$19,(ROW())-2,FALSE)*VLOOKUP($Y21,$C$21:$D$32,2,FALSE)</f>
        <v>1954053.1925782296</v>
      </c>
      <c r="AI6" s="127">
        <f>($O$4+($O8*$V6)+($O$5*AJ6))*HLOOKUP(AC$18,Data!$AC$4:$AI$19,(ROW())-2,FALSE)*VLOOKUP($Y21,$C$21:$D$32,2,FALSE)</f>
        <v>2446001.686402</v>
      </c>
      <c r="AJ6">
        <v>111</v>
      </c>
      <c r="AL6" s="72">
        <f t="shared" si="3"/>
        <v>9260815.0203125868</v>
      </c>
    </row>
    <row r="7" spans="1:38" x14ac:dyDescent="0.25">
      <c r="A7" s="136">
        <v>2</v>
      </c>
      <c r="B7" s="137"/>
      <c r="C7">
        <v>0.50114364983257598</v>
      </c>
      <c r="E7" s="136">
        <v>2</v>
      </c>
      <c r="F7" s="137"/>
      <c r="G7">
        <v>0.63984415162364405</v>
      </c>
      <c r="I7" s="136">
        <v>2</v>
      </c>
      <c r="J7" s="137"/>
      <c r="K7">
        <v>0.62643265349184496</v>
      </c>
      <c r="M7" s="136">
        <v>2</v>
      </c>
      <c r="N7" s="137"/>
      <c r="O7">
        <v>0.70839809533534903</v>
      </c>
      <c r="Q7" s="4">
        <f t="shared" si="4"/>
        <v>44287</v>
      </c>
      <c r="R7">
        <f t="shared" si="0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1"/>
        <v>44287</v>
      </c>
      <c r="Y7">
        <f t="shared" si="2"/>
        <v>4</v>
      </c>
      <c r="Z7" s="148">
        <f>HLOOKUP(Z$3,Data!$AU$4:$BA$19,ROW()-2,FALSE)/VLOOKUP($Y7,$C$21:$D$32,2,FALSE)</f>
        <v>9.3000000000000007</v>
      </c>
      <c r="AA7" s="148">
        <f>HLOOKUP(AA$3,Data!$AU$4:$BA$19,ROW()-2,FALSE)/VLOOKUP($Y7,$C$21:$D$32,2,FALSE)</f>
        <v>11.466666666666667</v>
      </c>
      <c r="AB7" s="148">
        <f>HLOOKUP(AB$3,Data!$AU$4:$BA$19,ROW()-2,FALSE)/VLOOKUP($Y7,$C$21:$D$32,2,FALSE)</f>
        <v>7.916666666666667</v>
      </c>
      <c r="AC7" s="148">
        <f>HLOOKUP(AC$3,Data!$AU$4:$BA$19,ROW()-2,FALSE)/VLOOKUP($Y7,$C$21:$D$32,2,FALSE)</f>
        <v>9.1333333333333329</v>
      </c>
      <c r="AE7" s="4">
        <v>43556</v>
      </c>
      <c r="AF7" s="127">
        <f>($C$4+($C9*$S7)+($C$5*AJ7))*HLOOKUP(Z$18,Data!$AC$4:$AI$19,(ROW())-2,FALSE)*VLOOKUP($Y22,$C$21:$D$32,2,FALSE)</f>
        <v>1993269.956224734</v>
      </c>
      <c r="AG7" s="127">
        <f>($G$4+($G9*$T7)+($G$5*AJ7))*HLOOKUP(AA$18,Data!$AC$4:$AI$19,(ROW())-2,FALSE)*VLOOKUP($Y22,$C$21:$D$32,2,FALSE)</f>
        <v>1354082.271276765</v>
      </c>
      <c r="AH7" s="127">
        <f>($K$4+($K9*$U7)+($K$5*AJ7))*HLOOKUP(AB$18,Data!$AC$4:$AI$19,(ROW())-2,FALSE)*VLOOKUP($Y22,$C$21:$D$32,2,FALSE)</f>
        <v>1114827.0619349675</v>
      </c>
      <c r="AI7" s="127">
        <f>($O$4+($O9*$V7)+($O$5*AJ7))*HLOOKUP(AC$18,Data!$AC$4:$AI$19,(ROW())-2,FALSE)*VLOOKUP($Y22,$C$21:$D$32,2,FALSE)</f>
        <v>1469995.521536201</v>
      </c>
      <c r="AJ7">
        <v>112</v>
      </c>
      <c r="AL7" s="72">
        <f t="shared" si="3"/>
        <v>5932174.8109726682</v>
      </c>
    </row>
    <row r="8" spans="1:38" x14ac:dyDescent="0.25">
      <c r="A8" s="136">
        <v>3</v>
      </c>
      <c r="B8" s="137"/>
      <c r="C8">
        <v>0.42160642199001602</v>
      </c>
      <c r="E8" s="136">
        <v>3</v>
      </c>
      <c r="F8" s="137"/>
      <c r="G8">
        <v>0.52594950257422601</v>
      </c>
      <c r="I8" s="136">
        <v>3</v>
      </c>
      <c r="J8" s="137"/>
      <c r="K8">
        <v>0.56980522881191298</v>
      </c>
      <c r="M8" s="136">
        <v>3</v>
      </c>
      <c r="N8" s="137"/>
      <c r="O8">
        <v>0.59838768956923005</v>
      </c>
      <c r="Q8" s="4">
        <f t="shared" si="4"/>
        <v>44317</v>
      </c>
      <c r="R8">
        <f t="shared" si="0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1"/>
        <v>44317</v>
      </c>
      <c r="Y8">
        <f t="shared" si="2"/>
        <v>5</v>
      </c>
      <c r="Z8" s="148">
        <f>HLOOKUP(Z$3,Data!$AU$4:$BA$19,ROW()-2,FALSE)/VLOOKUP($Y8,$C$21:$D$32,2,FALSE)</f>
        <v>5.112903225806452</v>
      </c>
      <c r="AA8" s="148">
        <f>HLOOKUP(AA$3,Data!$AU$4:$BA$19,ROW()-2,FALSE)/VLOOKUP($Y8,$C$21:$D$32,2,FALSE)</f>
        <v>7.82258064516129</v>
      </c>
      <c r="AB8" s="148">
        <f>HLOOKUP(AB$3,Data!$AU$4:$BA$19,ROW()-2,FALSE)/VLOOKUP($Y8,$C$21:$D$32,2,FALSE)</f>
        <v>2.370967741935484</v>
      </c>
      <c r="AC8" s="148">
        <f>HLOOKUP(AC$3,Data!$AU$4:$BA$19,ROW()-2,FALSE)/VLOOKUP($Y8,$C$21:$D$32,2,FALSE)</f>
        <v>2.903225806451613</v>
      </c>
      <c r="AE8" s="4">
        <v>43586</v>
      </c>
      <c r="AF8" s="127">
        <f>($C$4+($C10*$S8)+($C$5*AJ8))*HLOOKUP(Z$18,Data!$AC$4:$AI$19,(ROW())-2,FALSE)*VLOOKUP($Y23,$C$21:$D$32,2,FALSE)</f>
        <v>1465587.2189540786</v>
      </c>
      <c r="AG8" s="127">
        <f>($G$4+($G10*$T8)+($G$5*AJ8))*HLOOKUP(AA$18,Data!$AC$4:$AI$19,(ROW())-2,FALSE)*VLOOKUP($Y23,$C$21:$D$32,2,FALSE)</f>
        <v>1023543.7598147943</v>
      </c>
      <c r="AH8" s="127">
        <f>($K$4+($K10*$U8)+($K$5*AJ8))*HLOOKUP(AB$18,Data!$AC$4:$AI$19,(ROW())-2,FALSE)*VLOOKUP($Y23,$C$21:$D$32,2,FALSE)</f>
        <v>727623.683886118</v>
      </c>
      <c r="AI8" s="127">
        <f>($O$4+($O10*$V8)+($O$5*AJ8))*HLOOKUP(AC$18,Data!$AC$4:$AI$19,(ROW())-2,FALSE)*VLOOKUP($Y23,$C$21:$D$32,2,FALSE)</f>
        <v>894559.5976961389</v>
      </c>
      <c r="AJ8">
        <v>113</v>
      </c>
      <c r="AL8" s="72">
        <f t="shared" si="3"/>
        <v>4111314.2603511303</v>
      </c>
    </row>
    <row r="9" spans="1:38" x14ac:dyDescent="0.25">
      <c r="A9" s="136">
        <v>4</v>
      </c>
      <c r="B9" s="137"/>
      <c r="C9">
        <v>0.31406887153534702</v>
      </c>
      <c r="E9" s="136">
        <v>4</v>
      </c>
      <c r="F9" s="137"/>
      <c r="G9">
        <v>0.41865629637497198</v>
      </c>
      <c r="I9" s="136">
        <v>4</v>
      </c>
      <c r="J9" s="137"/>
      <c r="K9">
        <v>0.39180897739083198</v>
      </c>
      <c r="M9" s="136">
        <v>4</v>
      </c>
      <c r="N9" s="137"/>
      <c r="O9">
        <v>0.46730273522791199</v>
      </c>
      <c r="Q9" s="4">
        <f t="shared" si="4"/>
        <v>44348</v>
      </c>
      <c r="R9">
        <f t="shared" si="0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1"/>
        <v>44348</v>
      </c>
      <c r="Y9">
        <f t="shared" si="2"/>
        <v>6</v>
      </c>
      <c r="Z9" s="148">
        <f>HLOOKUP(Z$3,Data!$AU$4:$BA$19,ROW()-2,FALSE)/VLOOKUP($Y9,$C$21:$D$32,2,FALSE)</f>
        <v>1.0833333333333333</v>
      </c>
      <c r="AA9" s="148">
        <f>HLOOKUP(AA$3,Data!$AU$4:$BA$19,ROW()-2,FALSE)/VLOOKUP($Y9,$C$21:$D$32,2,FALSE)</f>
        <v>1.4833333333333334</v>
      </c>
      <c r="AB9" s="148">
        <f>HLOOKUP(AB$3,Data!$AU$4:$BA$19,ROW()-2,FALSE)/VLOOKUP($Y9,$C$21:$D$32,2,FALSE)</f>
        <v>0.31666666666666665</v>
      </c>
      <c r="AC9" s="148">
        <f>HLOOKUP(AC$3,Data!$AU$4:$BA$19,ROW()-2,FALSE)/VLOOKUP($Y9,$C$21:$D$32,2,FALSE)</f>
        <v>0.48333333333333334</v>
      </c>
      <c r="AE9" s="4">
        <v>43617</v>
      </c>
      <c r="AF9" s="127">
        <f>($C$4+($C11*$S9)+($C$5*AJ9))*HLOOKUP(Z$18,Data!$AC$4:$AI$19,(ROW())-2,FALSE)*VLOOKUP($Y24,$C$21:$D$32,2,FALSE)</f>
        <v>980182.42430631246</v>
      </c>
      <c r="AG9" s="127">
        <f>($G$4+($G11*$T9)+($G$5*AJ9))*HLOOKUP(AA$18,Data!$AC$4:$AI$19,(ROW())-2,FALSE)*VLOOKUP($Y24,$C$21:$D$32,2,FALSE)</f>
        <v>635024.75943230325</v>
      </c>
      <c r="AH9" s="127">
        <f>($K$4+($K11*$U9)+($K$5*AJ9))*HLOOKUP(AB$18,Data!$AC$4:$AI$19,(ROW())-2,FALSE)*VLOOKUP($Y24,$C$21:$D$32,2,FALSE)</f>
        <v>579154.03944493504</v>
      </c>
      <c r="AI9" s="127">
        <f>($O$4+($O11*$V9)+($O$5*AJ9))*HLOOKUP(AC$18,Data!$AC$4:$AI$19,(ROW())-2,FALSE)*VLOOKUP($Y24,$C$21:$D$32,2,FALSE)</f>
        <v>631614.96309576195</v>
      </c>
      <c r="AJ9">
        <v>114</v>
      </c>
      <c r="AL9" s="72">
        <f t="shared" si="3"/>
        <v>2825976.1862793127</v>
      </c>
    </row>
    <row r="10" spans="1:38" x14ac:dyDescent="0.25">
      <c r="A10" s="136">
        <v>5</v>
      </c>
      <c r="B10" s="137"/>
      <c r="C10">
        <v>0.28207017688296698</v>
      </c>
      <c r="E10" s="136">
        <v>5</v>
      </c>
      <c r="F10" s="137"/>
      <c r="G10">
        <v>0.33961824712037902</v>
      </c>
      <c r="I10" s="136">
        <v>5</v>
      </c>
      <c r="J10" s="137"/>
      <c r="K10">
        <v>0.268806626655618</v>
      </c>
      <c r="M10" s="136">
        <v>5</v>
      </c>
      <c r="N10" s="137"/>
      <c r="O10">
        <v>0.370350400108934</v>
      </c>
      <c r="Q10" s="4">
        <f t="shared" si="4"/>
        <v>44378</v>
      </c>
      <c r="R10">
        <f t="shared" si="0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1"/>
        <v>44378</v>
      </c>
      <c r="Y10">
        <f t="shared" si="2"/>
        <v>7</v>
      </c>
      <c r="Z10" s="148">
        <f>HLOOKUP(Z$3,Data!$AU$4:$BA$19,ROW()-2,FALSE)/VLOOKUP($Y10,$C$21:$D$32,2,FALSE)</f>
        <v>0</v>
      </c>
      <c r="AA10" s="148">
        <f>HLOOKUP(AA$3,Data!$AU$4:$BA$19,ROW()-2,FALSE)/VLOOKUP($Y10,$C$21:$D$32,2,FALSE)</f>
        <v>8.0645161290322578E-2</v>
      </c>
      <c r="AB10" s="148">
        <f>HLOOKUP(AB$3,Data!$AU$4:$BA$19,ROW()-2,FALSE)/VLOOKUP($Y10,$C$21:$D$32,2,FALSE)</f>
        <v>0</v>
      </c>
      <c r="AC10" s="148">
        <f>HLOOKUP(AC$3,Data!$AU$4:$BA$19,ROW()-2,FALSE)/VLOOKUP($Y10,$C$21:$D$32,2,FALSE)</f>
        <v>0</v>
      </c>
      <c r="AE10" s="4">
        <v>43647</v>
      </c>
      <c r="AF10" s="127">
        <f>($C$4+($C12*$S10)+($C$5*AJ10))*HLOOKUP(Z$18,Data!$AC$4:$AI$19,(ROW())-2,FALSE)*VLOOKUP($Y25,$C$21:$D$32,2,FALSE)</f>
        <v>1013340.6276745733</v>
      </c>
      <c r="AG10" s="127">
        <f>($G$4+($G12*$T10)+($G$5*AJ10))*HLOOKUP(AA$18,Data!$AC$4:$AI$19,(ROW())-2,FALSE)*VLOOKUP($Y25,$C$21:$D$32,2,FALSE)</f>
        <v>655025.57218328898</v>
      </c>
      <c r="AH10" s="127">
        <f>($K$4+($K12*$U10)+($K$5*AJ10))*HLOOKUP(AB$18,Data!$AC$4:$AI$19,(ROW())-2,FALSE)*VLOOKUP($Y25,$C$21:$D$32,2,FALSE)</f>
        <v>598666.21757142269</v>
      </c>
      <c r="AI10" s="127">
        <f>($O$4+($O12*$V10)+($O$5*AJ10))*HLOOKUP(AC$18,Data!$AC$4:$AI$19,(ROW())-2,FALSE)*VLOOKUP($Y25,$C$21:$D$32,2,FALSE)</f>
        <v>652103.02821282449</v>
      </c>
      <c r="AJ10">
        <v>115</v>
      </c>
      <c r="AL10" s="72">
        <f t="shared" si="3"/>
        <v>2919135.4456421095</v>
      </c>
    </row>
    <row r="11" spans="1:38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4"/>
        <v>44409</v>
      </c>
      <c r="R11">
        <f t="shared" si="0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1"/>
        <v>44409</v>
      </c>
      <c r="Y11">
        <f t="shared" si="2"/>
        <v>8</v>
      </c>
      <c r="Z11" s="148">
        <f>HLOOKUP(Z$3,Data!$AU$4:$BA$19,ROW()-2,FALSE)/VLOOKUP($Y11,$C$21:$D$32,2,FALSE)</f>
        <v>0.29032258064516131</v>
      </c>
      <c r="AA11" s="148">
        <f>HLOOKUP(AA$3,Data!$AU$4:$BA$19,ROW()-2,FALSE)/VLOOKUP($Y11,$C$21:$D$32,2,FALSE)</f>
        <v>0.11290322580645161</v>
      </c>
      <c r="AB11" s="148">
        <f>HLOOKUP(AB$3,Data!$AU$4:$BA$19,ROW()-2,FALSE)/VLOOKUP($Y11,$C$21:$D$32,2,FALSE)</f>
        <v>0</v>
      </c>
      <c r="AC11" s="148">
        <f>HLOOKUP(AC$3,Data!$AU$4:$BA$19,ROW()-2,FALSE)/VLOOKUP($Y11,$C$21:$D$32,2,FALSE)</f>
        <v>1.6129032258064516E-2</v>
      </c>
      <c r="AE11" s="4">
        <v>43678</v>
      </c>
      <c r="AF11" s="127">
        <f>($C$4+($C13*$S11)+($C$5*AJ11))*HLOOKUP(Z$18,Data!$AC$4:$AI$19,(ROW())-2,FALSE)*VLOOKUP($Y26,$C$21:$D$32,2,FALSE)</f>
        <v>1012660.989426636</v>
      </c>
      <c r="AG11" s="127">
        <f>($G$4+($G13*$T11)+($G$5*AJ11))*HLOOKUP(AA$18,Data!$AC$4:$AI$19,(ROW())-2,FALSE)*VLOOKUP($Y26,$C$21:$D$32,2,FALSE)</f>
        <v>655155.20320885465</v>
      </c>
      <c r="AH11" s="127">
        <f>($K$4+($K13*$U11)+($K$5*AJ11))*HLOOKUP(AB$18,Data!$AC$4:$AI$19,(ROW())-2,FALSE)*VLOOKUP($Y26,$C$21:$D$32,2,FALSE)</f>
        <v>598873.26104974584</v>
      </c>
      <c r="AI11" s="127">
        <f>($O$4+($O13*$V11)+($O$5*AJ11))*HLOOKUP(AC$18,Data!$AC$4:$AI$19,(ROW())-2,FALSE)*VLOOKUP($Y26,$C$21:$D$32,2,FALSE)</f>
        <v>651763.56802114681</v>
      </c>
      <c r="AJ11">
        <v>116</v>
      </c>
      <c r="AL11" s="72">
        <f t="shared" si="3"/>
        <v>2918453.0217063827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4"/>
        <v>44440</v>
      </c>
      <c r="R12">
        <f t="shared" si="0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1"/>
        <v>44440</v>
      </c>
      <c r="Y12">
        <f t="shared" si="2"/>
        <v>9</v>
      </c>
      <c r="Z12" s="148">
        <f>HLOOKUP(Z$3,Data!$AU$4:$BA$19,ROW()-2,FALSE)/VLOOKUP($Y12,$C$21:$D$32,2,FALSE)</f>
        <v>1.6666666666666667</v>
      </c>
      <c r="AA12" s="148">
        <f>HLOOKUP(AA$3,Data!$AU$4:$BA$19,ROW()-2,FALSE)/VLOOKUP($Y12,$C$21:$D$32,2,FALSE)</f>
        <v>0.91666666666666663</v>
      </c>
      <c r="AB12" s="148">
        <f>HLOOKUP(AB$3,Data!$AU$4:$BA$19,ROW()-2,FALSE)/VLOOKUP($Y12,$C$21:$D$32,2,FALSE)</f>
        <v>0.26666666666666666</v>
      </c>
      <c r="AC12" s="148">
        <f>HLOOKUP(AC$3,Data!$AU$4:$BA$19,ROW()-2,FALSE)/VLOOKUP($Y12,$C$21:$D$32,2,FALSE)</f>
        <v>1.35</v>
      </c>
      <c r="AE12" s="4">
        <v>43709</v>
      </c>
      <c r="AF12" s="127">
        <f>($C$4+($C14*$S12)+($C$5*AJ12))*HLOOKUP(Z$18,Data!$AC$4:$AI$19,(ROW())-2,FALSE)*VLOOKUP($Y27,$C$21:$D$32,2,FALSE)</f>
        <v>1239409.1611080365</v>
      </c>
      <c r="AG12" s="127">
        <f>($G$4+($G14*$T12)+($G$5*AJ12))*HLOOKUP(AA$18,Data!$AC$4:$AI$19,(ROW())-2,FALSE)*VLOOKUP($Y27,$C$21:$D$32,2,FALSE)</f>
        <v>889957.35987517168</v>
      </c>
      <c r="AH12" s="127">
        <f>($K$4+($K14*$U12)+($K$5*AJ12))*HLOOKUP(AB$18,Data!$AC$4:$AI$19,(ROW())-2,FALSE)*VLOOKUP($Y27,$C$21:$D$32,2,FALSE)</f>
        <v>725215.49501652957</v>
      </c>
      <c r="AI12" s="127">
        <f>($O$4+($O14*$V12)+($O$5*AJ12))*HLOOKUP(AC$18,Data!$AC$4:$AI$19,(ROW())-2,FALSE)*VLOOKUP($Y27,$C$21:$D$32,2,FALSE)</f>
        <v>924135.25732544484</v>
      </c>
      <c r="AJ12">
        <v>117</v>
      </c>
      <c r="AL12" s="72">
        <f t="shared" si="3"/>
        <v>3778717.2733251825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4"/>
        <v>44470</v>
      </c>
      <c r="R13">
        <f t="shared" si="0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1"/>
        <v>44470</v>
      </c>
      <c r="Y13">
        <f t="shared" si="2"/>
        <v>10</v>
      </c>
      <c r="Z13" s="148">
        <f>HLOOKUP(Z$3,Data!$AU$4:$BA$19,ROW()-2,FALSE)/VLOOKUP($Y13,$C$21:$D$32,2,FALSE)</f>
        <v>9.193548387096774</v>
      </c>
      <c r="AA13" s="148">
        <f>HLOOKUP(AA$3,Data!$AU$4:$BA$19,ROW()-2,FALSE)/VLOOKUP($Y13,$C$21:$D$32,2,FALSE)</f>
        <v>6.887096774193548</v>
      </c>
      <c r="AB13" s="148">
        <f>HLOOKUP(AB$3,Data!$AU$4:$BA$19,ROW()-2,FALSE)/VLOOKUP($Y13,$C$21:$D$32,2,FALSE)</f>
        <v>6.612903225806452</v>
      </c>
      <c r="AC13" s="148">
        <f>HLOOKUP(AC$3,Data!$AU$4:$BA$19,ROW()-2,FALSE)/VLOOKUP($Y13,$C$21:$D$32,2,FALSE)</f>
        <v>10.306451612903226</v>
      </c>
      <c r="AE13" s="4">
        <v>43739</v>
      </c>
      <c r="AF13" s="127">
        <f>($C$4+($C15*$S13)+($C$5*AJ13))*HLOOKUP(Z$18,Data!$AC$4:$AI$19,(ROW())-2,FALSE)*VLOOKUP($Y28,$C$21:$D$32,2,FALSE)</f>
        <v>2300672.7953816568</v>
      </c>
      <c r="AG13" s="127">
        <f>($G$4+($G15*$T13)+($G$5*AJ13))*HLOOKUP(AA$18,Data!$AC$4:$AI$19,(ROW())-2,FALSE)*VLOOKUP($Y28,$C$21:$D$32,2,FALSE)</f>
        <v>1501352.6350720231</v>
      </c>
      <c r="AH13" s="127">
        <f>($K$4+($K15*$U13)+($K$5*AJ13))*HLOOKUP(AB$18,Data!$AC$4:$AI$19,(ROW())-2,FALSE)*VLOOKUP($Y28,$C$21:$D$32,2,FALSE)</f>
        <v>1249002.6563352221</v>
      </c>
      <c r="AI13" s="127">
        <f>($O$4+($O15*$V13)+($O$5*AJ13))*HLOOKUP(AC$18,Data!$AC$4:$AI$19,(ROW())-2,FALSE)*VLOOKUP($Y28,$C$21:$D$32,2,FALSE)</f>
        <v>1853392.8684451918</v>
      </c>
      <c r="AJ13">
        <v>118</v>
      </c>
      <c r="AL13" s="72">
        <f t="shared" si="3"/>
        <v>6904420.9552340936</v>
      </c>
    </row>
    <row r="14" spans="1:38" x14ac:dyDescent="0.25">
      <c r="A14" s="136">
        <v>9</v>
      </c>
      <c r="B14" s="137"/>
      <c r="C14" s="137">
        <v>0.34289986437917902</v>
      </c>
      <c r="E14" s="136">
        <v>9</v>
      </c>
      <c r="F14" s="137"/>
      <c r="G14">
        <v>0.79056430806643196</v>
      </c>
      <c r="I14" s="136">
        <v>9</v>
      </c>
      <c r="J14" s="137"/>
      <c r="K14" s="137">
        <v>1.24112770924269</v>
      </c>
      <c r="M14" s="136">
        <v>9</v>
      </c>
      <c r="N14" s="137"/>
      <c r="O14">
        <v>0.93378145277216995</v>
      </c>
      <c r="Q14" s="4">
        <f t="shared" si="4"/>
        <v>44501</v>
      </c>
      <c r="R14">
        <f t="shared" si="0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1"/>
        <v>44501</v>
      </c>
      <c r="Y14">
        <f t="shared" si="2"/>
        <v>11</v>
      </c>
      <c r="Z14" s="148">
        <f>HLOOKUP(Z$3,Data!$AU$4:$BA$19,ROW()-2,FALSE)/VLOOKUP($Y14,$C$21:$D$32,2,FALSE)</f>
        <v>13.05</v>
      </c>
      <c r="AA14" s="148">
        <f>HLOOKUP(AA$3,Data!$AU$4:$BA$19,ROW()-2,FALSE)/VLOOKUP($Y14,$C$21:$D$32,2,FALSE)</f>
        <v>10.9</v>
      </c>
      <c r="AB14" s="148">
        <f>HLOOKUP(AB$3,Data!$AU$4:$BA$19,ROW()-2,FALSE)/VLOOKUP($Y14,$C$21:$D$32,2,FALSE)</f>
        <v>14.816666666666666</v>
      </c>
      <c r="AC14" s="148">
        <f>HLOOKUP(AC$3,Data!$AU$4:$BA$19,ROW()-2,FALSE)/VLOOKUP($Y14,$C$21:$D$32,2,FALSE)</f>
        <v>18.133333333333333</v>
      </c>
      <c r="AE14" s="4">
        <v>43770</v>
      </c>
      <c r="AF14" s="127">
        <f>($C$4+($C16*$S14)+($C$5*AJ14))*HLOOKUP(Z$18,Data!$AC$4:$AI$19,(ROW())-2,FALSE)*VLOOKUP($Y29,$C$21:$D$32,2,FALSE)</f>
        <v>3617651.5390407443</v>
      </c>
      <c r="AG14" s="127">
        <f>($G$4+($G16*$T14)+($G$5*AJ14))*HLOOKUP(AA$18,Data!$AC$4:$AI$19,(ROW())-2,FALSE)*VLOOKUP($Y29,$C$21:$D$32,2,FALSE)</f>
        <v>2111421.4758208459</v>
      </c>
      <c r="AH14" s="127">
        <f>($K$4+($K16*$U14)+($K$5*AJ14))*HLOOKUP(AB$18,Data!$AC$4:$AI$19,(ROW())-2,FALSE)*VLOOKUP($Y29,$C$21:$D$32,2,FALSE)</f>
        <v>2039480.9440983566</v>
      </c>
      <c r="AI14" s="127">
        <f>($O$4+($O16*$V14)+($O$5*AJ14))*HLOOKUP(AC$18,Data!$AC$4:$AI$19,(ROW())-2,FALSE)*VLOOKUP($Y29,$C$21:$D$32,2,FALSE)</f>
        <v>2755226.6152323396</v>
      </c>
      <c r="AJ14">
        <v>119</v>
      </c>
      <c r="AL14" s="72">
        <f t="shared" si="3"/>
        <v>10523780.574192286</v>
      </c>
    </row>
    <row r="15" spans="1:38" x14ac:dyDescent="0.25">
      <c r="A15" s="136">
        <v>10</v>
      </c>
      <c r="B15" s="137"/>
      <c r="C15">
        <v>0.43942140715661299</v>
      </c>
      <c r="E15" s="136">
        <v>10</v>
      </c>
      <c r="F15" s="137"/>
      <c r="G15">
        <v>0.70792053942377797</v>
      </c>
      <c r="I15" s="136">
        <v>10</v>
      </c>
      <c r="J15" s="137"/>
      <c r="K15">
        <v>0.50149289774567596</v>
      </c>
      <c r="M15" s="136">
        <v>10</v>
      </c>
      <c r="N15" s="137"/>
      <c r="O15">
        <v>0.64090739552515397</v>
      </c>
      <c r="Q15" s="4">
        <f t="shared" si="4"/>
        <v>44531</v>
      </c>
      <c r="R15">
        <f t="shared" si="0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1"/>
        <v>44531</v>
      </c>
      <c r="Y15">
        <f t="shared" si="2"/>
        <v>12</v>
      </c>
      <c r="Z15" s="148">
        <f>HLOOKUP(Z$3,Data!$AU$4:$BA$19,ROW()-2,FALSE)/VLOOKUP($Y15,$C$21:$D$32,2,FALSE)</f>
        <v>25.370967741935484</v>
      </c>
      <c r="AA15" s="148">
        <f>HLOOKUP(AA$3,Data!$AU$4:$BA$19,ROW()-2,FALSE)/VLOOKUP($Y15,$C$21:$D$32,2,FALSE)</f>
        <v>19.5</v>
      </c>
      <c r="AB15" s="148">
        <f>HLOOKUP(AB$3,Data!$AU$4:$BA$19,ROW()-2,FALSE)/VLOOKUP($Y15,$C$21:$D$32,2,FALSE)</f>
        <v>25</v>
      </c>
      <c r="AC15" s="148">
        <f>HLOOKUP(AC$3,Data!$AU$4:$BA$19,ROW()-2,FALSE)/VLOOKUP($Y15,$C$21:$D$32,2,FALSE)</f>
        <v>27.532258064516128</v>
      </c>
      <c r="AE15" s="4">
        <v>43800</v>
      </c>
      <c r="AF15" s="127">
        <f>($C$4+($C17*$S15)+($C$5*AJ15))*HLOOKUP(Z$18,Data!$AC$4:$AI$19,(ROW())-2,FALSE)*VLOOKUP($Y30,$C$21:$D$32,2,FALSE)</f>
        <v>4158024.4989067568</v>
      </c>
      <c r="AG15" s="127">
        <f>($G$4+($G17*$T15)+($G$5*AJ15))*HLOOKUP(AA$18,Data!$AC$4:$AI$19,(ROW())-2,FALSE)*VLOOKUP($Y30,$C$21:$D$32,2,FALSE)</f>
        <v>2510766.4757153573</v>
      </c>
      <c r="AH15" s="127">
        <f>($K$4+($K17*$U15)+($K$5*AJ15))*HLOOKUP(AB$18,Data!$AC$4:$AI$19,(ROW())-2,FALSE)*VLOOKUP($Y30,$C$21:$D$32,2,FALSE)</f>
        <v>3027733.2930802833</v>
      </c>
      <c r="AI15" s="127">
        <f>($O$4+($O17*$V15)+($O$5*AJ15))*HLOOKUP(AC$18,Data!$AC$4:$AI$19,(ROW())-2,FALSE)*VLOOKUP($Y30,$C$21:$D$32,2,FALSE)</f>
        <v>3886658.9626156543</v>
      </c>
      <c r="AJ15">
        <v>120</v>
      </c>
      <c r="AL15" s="72">
        <f t="shared" si="3"/>
        <v>13583183.230318051</v>
      </c>
    </row>
    <row r="16" spans="1:38" x14ac:dyDescent="0.25">
      <c r="A16" s="136">
        <v>11</v>
      </c>
      <c r="B16" s="137"/>
      <c r="C16">
        <v>0.53714691753363397</v>
      </c>
      <c r="E16" s="136">
        <v>11</v>
      </c>
      <c r="F16" s="137"/>
      <c r="G16">
        <v>0.68787535191847105</v>
      </c>
      <c r="I16" s="136">
        <v>11</v>
      </c>
      <c r="J16" s="137"/>
      <c r="K16">
        <v>0.47012874991888998</v>
      </c>
      <c r="M16" s="136">
        <v>11</v>
      </c>
      <c r="N16" s="137"/>
      <c r="O16">
        <v>0.55361423501568696</v>
      </c>
    </row>
    <row r="17" spans="1:35" x14ac:dyDescent="0.25">
      <c r="A17" s="136">
        <v>12</v>
      </c>
      <c r="B17" s="137"/>
      <c r="C17">
        <v>0.47531629545267501</v>
      </c>
      <c r="E17" s="136">
        <v>12</v>
      </c>
      <c r="F17" s="137"/>
      <c r="G17">
        <v>0.65290795474869801</v>
      </c>
      <c r="I17" s="136">
        <v>12</v>
      </c>
      <c r="J17" s="137"/>
      <c r="K17">
        <v>0.54500626857547496</v>
      </c>
      <c r="M17" s="136">
        <v>12</v>
      </c>
      <c r="N17" s="137"/>
      <c r="O17">
        <v>0.60807856648898295</v>
      </c>
      <c r="Q17" s="147" t="s">
        <v>79</v>
      </c>
      <c r="S17" s="168" t="s">
        <v>80</v>
      </c>
      <c r="T17" s="168"/>
      <c r="U17" s="168"/>
      <c r="V17" s="168"/>
      <c r="X17" s="147" t="s">
        <v>81</v>
      </c>
      <c r="Z17" s="168" t="s">
        <v>82</v>
      </c>
      <c r="AA17" s="168"/>
      <c r="AB17" s="168"/>
      <c r="AC17" s="168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44197</v>
      </c>
      <c r="R19">
        <f>MONTH(Q19)</f>
        <v>1</v>
      </c>
      <c r="S19" s="149">
        <f>(S4-Z4)*VLOOKUP($R19,$A$6:$C$17,3,FALSE)</f>
        <v>1.4683292561509604</v>
      </c>
      <c r="T19" s="149">
        <f>(T4-AA4)*VLOOKUP($R19,$E$6:$G$17,3,FALSE)</f>
        <v>0.39881582543554628</v>
      </c>
      <c r="U19" s="149">
        <f>(U4-AB4)*VLOOKUP($R19,$I$6:$K$17,3,FALSE)</f>
        <v>2.1185742481763508</v>
      </c>
      <c r="V19" s="149">
        <f>(V4-AC4)*VLOOKUP($R19,$M$6:$O$17,3,FALSE)</f>
        <v>2.957988792320414</v>
      </c>
      <c r="X19" s="4">
        <f>Q4</f>
        <v>44197</v>
      </c>
      <c r="Y19">
        <f>MONTH(X19)</f>
        <v>1</v>
      </c>
      <c r="Z19" s="127">
        <f>HLOOKUP(Z$18,Data!$AC$4:$AI$19,(ROW())-17,FALSE)*VLOOKUP($Y19,$C$21:$D$32,2,FALSE)*S19</f>
        <v>472387.95163037471</v>
      </c>
      <c r="AA19" s="127">
        <f>HLOOKUP(AA$18,Data!$AC$4:$AI$19,ROW()-17,FALSE)*VLOOKUP($Y19,$C$21:$D$32,2,FALSE)*T19</f>
        <v>62620.066830762298</v>
      </c>
      <c r="AB19" s="127">
        <f>HLOOKUP(AB$18,Data!$AC$4:$AI$19,ROW()-17,FALSE)*VLOOKUP($Y19,$C$21:$D$32,2,FALSE)*U19</f>
        <v>380065.8644000928</v>
      </c>
      <c r="AC19" s="127">
        <f>HLOOKUP(AC$18,Data!$AC$4:$AI$19,ROW()-17,FALSE)*VLOOKUP($Y19,$C$21:$D$32,2,FALSE)*V19</f>
        <v>533038.45434251556</v>
      </c>
      <c r="AE19" s="4">
        <v>43466</v>
      </c>
      <c r="AF19" s="127">
        <f>Z19+Data!K5</f>
        <v>4293165.1824099161</v>
      </c>
      <c r="AG19" s="127">
        <f>AA19+Data!L5</f>
        <v>2342451.8613576721</v>
      </c>
      <c r="AH19" s="127">
        <f>AB19+Data!M5</f>
        <v>3119448.5515081617</v>
      </c>
      <c r="AI19" s="127">
        <f>AC19+Data!N5</f>
        <v>4228399.7419279953</v>
      </c>
    </row>
    <row r="20" spans="1:35" x14ac:dyDescent="0.25">
      <c r="D20" t="s">
        <v>73</v>
      </c>
      <c r="Q20" s="4">
        <f t="shared" ref="Q20:Q30" si="5">Q5</f>
        <v>44228</v>
      </c>
      <c r="R20">
        <f t="shared" ref="R20:R30" si="6">MONTH(Q20)</f>
        <v>2</v>
      </c>
      <c r="S20" s="149">
        <f t="shared" ref="S20:S30" si="7">(S5-Z5)*VLOOKUP($R20,$A$6:$C$17,3,FALSE)</f>
        <v>-1.5499657169821808</v>
      </c>
      <c r="T20" s="149">
        <f t="shared" ref="T20:T30" si="8">(T5-AA5)*VLOOKUP($R20,$E$6:$G$17,3,FALSE)</f>
        <v>-1.4807821794718634</v>
      </c>
      <c r="U20" s="149">
        <f t="shared" ref="U20:U30" si="9">(U5-AB5)*VLOOKUP($R20,$I$6:$K$17,3,FALSE)</f>
        <v>-3.0762317805403119</v>
      </c>
      <c r="V20" s="149">
        <f t="shared" ref="V20:V30" si="10">(V5-AC5)*VLOOKUP($R20,$M$6:$O$17,3,FALSE)</f>
        <v>-1.308006483172772</v>
      </c>
      <c r="X20" s="4">
        <f t="shared" ref="X20:X30" si="11">Q5</f>
        <v>44228</v>
      </c>
      <c r="Y20">
        <f t="shared" ref="Y20:Y30" si="12">MONTH(X20)</f>
        <v>2</v>
      </c>
      <c r="Z20" s="127">
        <f>HLOOKUP(Z$18,Data!$AC$4:$AI$19,ROW()-17,FALSE)*VLOOKUP($Y20,$C$21:$D$32,2,FALSE)*S20</f>
        <v>-450916.02638445602</v>
      </c>
      <c r="AA20" s="127">
        <f>HLOOKUP(AA$18,Data!$AC$4:$AI$19,ROW()-17,FALSE)*VLOOKUP($Y20,$C$21:$D$32,2,FALSE)*T20</f>
        <v>-210004.52869269968</v>
      </c>
      <c r="AB20" s="127">
        <f>HLOOKUP(AB$18,Data!$AC$4:$AI$19,ROW()-17,FALSE)*VLOOKUP($Y20,$C$21:$D$32,2,FALSE)*U20</f>
        <v>-499407.77218003641</v>
      </c>
      <c r="AC20" s="127">
        <f>HLOOKUP(AC$18,Data!$AC$4:$AI$19,ROW()-17,FALSE)*VLOOKUP($Y20,$C$21:$D$32,2,FALSE)*V20</f>
        <v>-213445.72995006564</v>
      </c>
      <c r="AE20" s="4">
        <v>43497</v>
      </c>
      <c r="AF20" s="127">
        <f>Z20+Data!K6</f>
        <v>3620610.5826724363</v>
      </c>
      <c r="AG20" s="127">
        <f>AA20+Data!L6</f>
        <v>2178508.9325475879</v>
      </c>
      <c r="AH20" s="127">
        <f>AB20+Data!M6</f>
        <v>2314027.2801150577</v>
      </c>
      <c r="AI20" s="127">
        <f>AC20+Data!N6</f>
        <v>3233355.1474576602</v>
      </c>
    </row>
    <row r="21" spans="1:35" x14ac:dyDescent="0.25">
      <c r="A21" s="4">
        <f>Data!A1</f>
        <v>44197</v>
      </c>
      <c r="C21">
        <f>MONTH(A21)</f>
        <v>1</v>
      </c>
      <c r="D21">
        <f>A22-A21</f>
        <v>31</v>
      </c>
      <c r="Q21" s="4">
        <f t="shared" si="5"/>
        <v>44256</v>
      </c>
      <c r="R21">
        <f t="shared" si="6"/>
        <v>3</v>
      </c>
      <c r="S21" s="149">
        <f t="shared" si="7"/>
        <v>-0.13736209232577956</v>
      </c>
      <c r="T21" s="149">
        <f t="shared" si="8"/>
        <v>-1.1282465135866457</v>
      </c>
      <c r="U21" s="149">
        <f t="shared" si="9"/>
        <v>-0.58267179849476203</v>
      </c>
      <c r="V21" s="149">
        <f t="shared" si="10"/>
        <v>0.29340299617588156</v>
      </c>
      <c r="X21" s="4">
        <f t="shared" si="11"/>
        <v>44256</v>
      </c>
      <c r="Y21">
        <f t="shared" si="12"/>
        <v>3</v>
      </c>
      <c r="Z21" s="127">
        <f>HLOOKUP(Z$18,Data!$AC$4:$AI$19,ROW()-17,FALSE)*VLOOKUP($Y21,$C$21:$D$32,2,FALSE)*S21</f>
        <v>-44259.989216658738</v>
      </c>
      <c r="AA21" s="127">
        <f>HLOOKUP(AA$18,Data!$AC$4:$AI$19,ROW()-17,FALSE)*VLOOKUP($Y21,$C$21:$D$32,2,FALSE)*T21</f>
        <v>-177151.62633080719</v>
      </c>
      <c r="AB21" s="127">
        <f>HLOOKUP(AB$18,Data!$AC$4:$AI$19,ROW()-17,FALSE)*VLOOKUP($Y21,$C$21:$D$32,2,FALSE)*U21</f>
        <v>-104637.94958908485</v>
      </c>
      <c r="AC21" s="127">
        <f>HLOOKUP(AC$18,Data!$AC$4:$AI$19,ROW()-17,FALSE)*VLOOKUP($Y21,$C$21:$D$32,2,FALSE)*V21</f>
        <v>52826.622655475119</v>
      </c>
      <c r="AE21" s="4">
        <v>43525</v>
      </c>
      <c r="AF21" s="127">
        <f>Z21+Data!K7</f>
        <v>3245178.6244016648</v>
      </c>
      <c r="AG21" s="127">
        <f>AA21+Data!L7</f>
        <v>1742332.6536291838</v>
      </c>
      <c r="AH21" s="127">
        <f>AB21+Data!M7</f>
        <v>2050940.527475608</v>
      </c>
      <c r="AI21" s="127">
        <f>AC21+Data!N7</f>
        <v>2570416.2520124675</v>
      </c>
    </row>
    <row r="22" spans="1:35" x14ac:dyDescent="0.25">
      <c r="A22" s="4">
        <f>DATE(YEAR(A21),MONTH(A21)+1,1)</f>
        <v>44228</v>
      </c>
      <c r="C22">
        <f t="shared" ref="C22:C32" si="13">MONTH(A22)</f>
        <v>2</v>
      </c>
      <c r="D22">
        <f>A23-A22</f>
        <v>28</v>
      </c>
      <c r="Q22" s="4">
        <f t="shared" si="5"/>
        <v>44287</v>
      </c>
      <c r="R22">
        <f t="shared" si="6"/>
        <v>4</v>
      </c>
      <c r="S22" s="149">
        <f t="shared" si="7"/>
        <v>0.33710058878127214</v>
      </c>
      <c r="T22" s="149">
        <f t="shared" si="8"/>
        <v>-6.5589486432078792E-2</v>
      </c>
      <c r="U22" s="149">
        <f t="shared" si="9"/>
        <v>-2.0896478794177841E-2</v>
      </c>
      <c r="V22" s="149">
        <f t="shared" si="10"/>
        <v>0.53739814551209897</v>
      </c>
      <c r="X22" s="4">
        <f t="shared" si="11"/>
        <v>44287</v>
      </c>
      <c r="Y22">
        <f t="shared" si="12"/>
        <v>4</v>
      </c>
      <c r="Z22" s="127">
        <f>HLOOKUP(Z$18,Data!$AC$4:$AI$19,ROW()-17,FALSE)*VLOOKUP($Y22,$C$21:$D$32,2,FALSE)*S22</f>
        <v>105155.15766443004</v>
      </c>
      <c r="AA22" s="127">
        <f>HLOOKUP(AA$18,Data!$AC$4:$AI$19,ROW()-17,FALSE)*VLOOKUP($Y22,$C$21:$D$32,2,FALSE)*T22</f>
        <v>-9960.4194095754847</v>
      </c>
      <c r="AB22" s="127">
        <f>HLOOKUP(AB$18,Data!$AC$4:$AI$19,ROW()-17,FALSE)*VLOOKUP($Y22,$C$21:$D$32,2,FALSE)*U22</f>
        <v>-3628.4645778210402</v>
      </c>
      <c r="AC22" s="127">
        <f>HLOOKUP(AC$18,Data!$AC$4:$AI$19,ROW()-17,FALSE)*VLOOKUP($Y22,$C$21:$D$32,2,FALSE)*V22</f>
        <v>93426.6675972784</v>
      </c>
      <c r="AE22" s="4">
        <v>43556</v>
      </c>
      <c r="AF22" s="127">
        <f>Z22+Data!K8</f>
        <v>2019245.918611231</v>
      </c>
      <c r="AG22" s="127">
        <f>AA22+Data!L8</f>
        <v>1189471.7698457576</v>
      </c>
      <c r="AH22" s="127">
        <f>AB22+Data!M8</f>
        <v>989224.48850631085</v>
      </c>
      <c r="AI22" s="127">
        <f>AC22+Data!N8</f>
        <v>1321136.7643110123</v>
      </c>
    </row>
    <row r="23" spans="1:35" x14ac:dyDescent="0.25">
      <c r="A23" s="4">
        <f t="shared" ref="A23:A33" si="14">DATE(YEAR(A22),MONTH(A22)+1,1)</f>
        <v>44256</v>
      </c>
      <c r="C23">
        <f t="shared" si="13"/>
        <v>3</v>
      </c>
      <c r="D23">
        <f t="shared" ref="D23:D32" si="15">A24-A23</f>
        <v>31</v>
      </c>
      <c r="Q23" s="4">
        <f t="shared" si="5"/>
        <v>44317</v>
      </c>
      <c r="R23">
        <f t="shared" si="6"/>
        <v>5</v>
      </c>
      <c r="S23" s="149">
        <f t="shared" si="7"/>
        <v>-4.0945670837850133E-2</v>
      </c>
      <c r="T23" s="149">
        <f t="shared" si="8"/>
        <v>-0.31442076426951188</v>
      </c>
      <c r="U23" s="149">
        <f t="shared" si="9"/>
        <v>8.4110460598693398E-2</v>
      </c>
      <c r="V23" s="149">
        <f t="shared" si="10"/>
        <v>0.27238674588657075</v>
      </c>
      <c r="X23" s="4">
        <f t="shared" si="11"/>
        <v>44317</v>
      </c>
      <c r="Y23">
        <f t="shared" si="12"/>
        <v>5</v>
      </c>
      <c r="Z23" s="127">
        <f>HLOOKUP(Z$18,Data!$AC$4:$AI$19,ROW()-17,FALSE)*VLOOKUP($Y23,$C$21:$D$32,2,FALSE)*S23</f>
        <v>-13237.694436206109</v>
      </c>
      <c r="AA23" s="127">
        <f>HLOOKUP(AA$18,Data!$AC$4:$AI$19,ROW()-17,FALSE)*VLOOKUP($Y23,$C$21:$D$32,2,FALSE)*T23</f>
        <v>-49329.788127007989</v>
      </c>
      <c r="AB23" s="127">
        <f>HLOOKUP(AB$18,Data!$AC$4:$AI$19,ROW()-17,FALSE)*VLOOKUP($Y23,$C$21:$D$32,2,FALSE)*U23</f>
        <v>15070.912330073883</v>
      </c>
      <c r="AC23" s="127">
        <f>HLOOKUP(AC$18,Data!$AC$4:$AI$19,ROW()-17,FALSE)*VLOOKUP($Y23,$C$21:$D$32,2,FALSE)*V23</f>
        <v>48755.593193220848</v>
      </c>
      <c r="AE23" s="4">
        <v>43586</v>
      </c>
      <c r="AF23" s="127">
        <f>Z23+Data!K9</f>
        <v>1505055.8414001584</v>
      </c>
      <c r="AG23" s="127">
        <f>AA23+Data!L9</f>
        <v>850669.02727163176</v>
      </c>
      <c r="AH23" s="127">
        <f>AB23+Data!M9</f>
        <v>798912.86134481849</v>
      </c>
      <c r="AI23" s="127">
        <f>AC23+Data!N9</f>
        <v>964117.29294347204</v>
      </c>
    </row>
    <row r="24" spans="1:35" x14ac:dyDescent="0.25">
      <c r="A24" s="4">
        <f t="shared" si="14"/>
        <v>44287</v>
      </c>
      <c r="C24">
        <f t="shared" si="13"/>
        <v>4</v>
      </c>
      <c r="D24">
        <f t="shared" si="15"/>
        <v>30</v>
      </c>
      <c r="Q24" s="4">
        <f t="shared" si="5"/>
        <v>44348</v>
      </c>
      <c r="R24">
        <f t="shared" si="6"/>
        <v>6</v>
      </c>
      <c r="S24" s="149">
        <f t="shared" si="7"/>
        <v>0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44348</v>
      </c>
      <c r="Y24">
        <f t="shared" si="12"/>
        <v>6</v>
      </c>
      <c r="Z24" s="127">
        <f>HLOOKUP(Z$18,Data!$AC$4:$AI$19,ROW()-17,FALSE)*VLOOKUP($Y24,$C$21:$D$32,2,FALSE)*S24</f>
        <v>0</v>
      </c>
      <c r="AA24" s="127">
        <f>HLOOKUP(AA$18,Data!$AC$4:$AI$19,ROW()-17,FALSE)*VLOOKUP($Y24,$C$21:$D$32,2,FALSE)*T24</f>
        <v>0</v>
      </c>
      <c r="AB24" s="127">
        <f>HLOOKUP(AB$18,Data!$AC$4:$AI$19,ROW()-17,FALSE)*VLOOKUP($Y24,$C$21:$D$32,2,FALSE)*U24</f>
        <v>0</v>
      </c>
      <c r="AC24" s="127">
        <f>HLOOKUP(AC$18,Data!$AC$4:$AI$19,ROW()-17,FALSE)*VLOOKUP($Y24,$C$21:$D$32,2,FALSE)*V24</f>
        <v>0</v>
      </c>
      <c r="AE24" s="4">
        <v>43617</v>
      </c>
      <c r="AF24" s="127">
        <f>Z24+Data!K10</f>
        <v>845629.85965872125</v>
      </c>
      <c r="AG24" s="127">
        <f>AA24+Data!L10</f>
        <v>551529.32014960633</v>
      </c>
      <c r="AH24" s="127">
        <f>AB24+Data!M10</f>
        <v>443623.31549345131</v>
      </c>
      <c r="AI24" s="127">
        <f>AC24+Data!N10</f>
        <v>507223.50469822111</v>
      </c>
    </row>
    <row r="25" spans="1:35" x14ac:dyDescent="0.25">
      <c r="A25" s="4">
        <f t="shared" si="14"/>
        <v>44317</v>
      </c>
      <c r="C25">
        <f t="shared" si="13"/>
        <v>5</v>
      </c>
      <c r="D25">
        <f t="shared" si="15"/>
        <v>31</v>
      </c>
      <c r="Q25" s="4">
        <f t="shared" si="5"/>
        <v>44378</v>
      </c>
      <c r="R25">
        <f t="shared" si="6"/>
        <v>7</v>
      </c>
      <c r="S25" s="149">
        <f t="shared" si="7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44378</v>
      </c>
      <c r="Y25">
        <f t="shared" si="12"/>
        <v>7</v>
      </c>
      <c r="Z25" s="127">
        <f>HLOOKUP(Z$18,Data!$AC$4:$AI$19,ROW()-17,FALSE)*VLOOKUP($Y25,$C$21:$D$32,2,FALSE)*S25</f>
        <v>0</v>
      </c>
      <c r="AA25" s="127">
        <f>HLOOKUP(AA$18,Data!$AC$4:$AI$19,ROW()-17,FALSE)*VLOOKUP($Y25,$C$21:$D$32,2,FALSE)*T25</f>
        <v>0</v>
      </c>
      <c r="AB25" s="127">
        <f>HLOOKUP(AB$18,Data!$AC$4:$AI$19,ROW()-17,FALSE)*VLOOKUP($Y25,$C$21:$D$32,2,FALSE)*U25</f>
        <v>0</v>
      </c>
      <c r="AC25" s="127">
        <f>HLOOKUP(AC$18,Data!$AC$4:$AI$19,ROW()-17,FALSE)*VLOOKUP($Y25,$C$21:$D$32,2,FALSE)*V25</f>
        <v>0</v>
      </c>
      <c r="AE25" s="4">
        <v>43647</v>
      </c>
      <c r="AF25" s="127">
        <f>Z25+Data!K11</f>
        <v>1271176.8487893955</v>
      </c>
      <c r="AG25" s="127">
        <f>AA25+Data!L11</f>
        <v>842116.99160616333</v>
      </c>
      <c r="AH25" s="127">
        <f>AB25+Data!M11</f>
        <v>737863.3249682961</v>
      </c>
      <c r="AI25" s="127">
        <f>AC25+Data!N11</f>
        <v>832014.83463614504</v>
      </c>
    </row>
    <row r="26" spans="1:35" x14ac:dyDescent="0.25">
      <c r="A26" s="4">
        <f t="shared" si="14"/>
        <v>44348</v>
      </c>
      <c r="C26">
        <f t="shared" si="13"/>
        <v>6</v>
      </c>
      <c r="D26">
        <f t="shared" si="15"/>
        <v>30</v>
      </c>
      <c r="Q26" s="4">
        <f t="shared" si="5"/>
        <v>44409</v>
      </c>
      <c r="R26">
        <f t="shared" si="6"/>
        <v>8</v>
      </c>
      <c r="S26" s="149">
        <f t="shared" si="7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44409</v>
      </c>
      <c r="Y26">
        <f t="shared" si="12"/>
        <v>8</v>
      </c>
      <c r="Z26" s="127">
        <f>HLOOKUP(Z$18,Data!$AC$4:$AI$19,ROW()-17,FALSE)*VLOOKUP($Y26,$C$21:$D$32,2,FALSE)*S26</f>
        <v>0</v>
      </c>
      <c r="AA26" s="127">
        <f>HLOOKUP(AA$18,Data!$AC$4:$AI$19,ROW()-17,FALSE)*VLOOKUP($Y26,$C$21:$D$32,2,FALSE)*T26</f>
        <v>0</v>
      </c>
      <c r="AB26" s="127">
        <f>HLOOKUP(AB$18,Data!$AC$4:$AI$19,ROW()-17,FALSE)*VLOOKUP($Y26,$C$21:$D$32,2,FALSE)*U26</f>
        <v>0</v>
      </c>
      <c r="AC26" s="127">
        <f>HLOOKUP(AC$18,Data!$AC$4:$AI$19,ROW()-17,FALSE)*VLOOKUP($Y26,$C$21:$D$32,2,FALSE)*V26</f>
        <v>0</v>
      </c>
      <c r="AE26" s="4">
        <v>43678</v>
      </c>
      <c r="AF26" s="127">
        <f>Z26+Data!K12</f>
        <v>928732.44646688271</v>
      </c>
      <c r="AG26" s="127">
        <f>AA26+Data!L12</f>
        <v>617585.34037386428</v>
      </c>
      <c r="AH26" s="127">
        <f>AB26+Data!M12</f>
        <v>552616.09590844926</v>
      </c>
      <c r="AI26" s="127">
        <f>AC26+Data!N12</f>
        <v>637180.11725080374</v>
      </c>
    </row>
    <row r="27" spans="1:35" x14ac:dyDescent="0.25">
      <c r="A27" s="4">
        <f t="shared" si="14"/>
        <v>44378</v>
      </c>
      <c r="C27">
        <f t="shared" si="13"/>
        <v>7</v>
      </c>
      <c r="D27">
        <f t="shared" si="15"/>
        <v>31</v>
      </c>
      <c r="Q27" s="4">
        <f t="shared" si="5"/>
        <v>44440</v>
      </c>
      <c r="R27">
        <f t="shared" si="6"/>
        <v>9</v>
      </c>
      <c r="S27" s="149">
        <f t="shared" si="7"/>
        <v>0.26288989602403717</v>
      </c>
      <c r="T27" s="149">
        <f t="shared" si="8"/>
        <v>0.96448845584104681</v>
      </c>
      <c r="U27" s="149">
        <f t="shared" si="9"/>
        <v>0.50472526842536058</v>
      </c>
      <c r="V27" s="149">
        <f t="shared" si="10"/>
        <v>0.43265207311777193</v>
      </c>
      <c r="X27" s="4">
        <f t="shared" si="11"/>
        <v>44440</v>
      </c>
      <c r="Y27">
        <f t="shared" si="12"/>
        <v>9</v>
      </c>
      <c r="Z27" s="127">
        <f>HLOOKUP(Z$18,Data!$AC$4:$AI$19,ROW()-17,FALSE)*VLOOKUP($Y27,$C$21:$D$32,2,FALSE)*S27</f>
        <v>82147.83470959113</v>
      </c>
      <c r="AA27" s="127">
        <f>HLOOKUP(AA$18,Data!$AC$4:$AI$19,ROW()-17,FALSE)*VLOOKUP($Y27,$C$21:$D$32,2,FALSE)*T27</f>
        <v>146206.80502094427</v>
      </c>
      <c r="AB27" s="127">
        <f>HLOOKUP(AB$18,Data!$AC$4:$AI$19,ROW()-17,FALSE)*VLOOKUP($Y27,$C$21:$D$32,2,FALSE)*U27</f>
        <v>87670.779125485133</v>
      </c>
      <c r="AC27" s="127">
        <f>HLOOKUP(AC$18,Data!$AC$4:$AI$19,ROW()-17,FALSE)*VLOOKUP($Y27,$C$21:$D$32,2,FALSE)*V27</f>
        <v>74827.176045718661</v>
      </c>
      <c r="AE27" s="4">
        <v>43709</v>
      </c>
      <c r="AF27" s="127">
        <f>Z27+Data!K13</f>
        <v>1328698.1299427508</v>
      </c>
      <c r="AG27" s="127">
        <f>AA27+Data!L13</f>
        <v>946851.1366242962</v>
      </c>
      <c r="AH27" s="127">
        <f>AB27+Data!M13</f>
        <v>868642.59322413313</v>
      </c>
      <c r="AI27" s="127">
        <f>AC27+Data!N13</f>
        <v>949784.73511055904</v>
      </c>
    </row>
    <row r="28" spans="1:35" x14ac:dyDescent="0.25">
      <c r="A28" s="4">
        <f t="shared" si="14"/>
        <v>44409</v>
      </c>
      <c r="C28">
        <f t="shared" si="13"/>
        <v>8</v>
      </c>
      <c r="D28">
        <f t="shared" si="15"/>
        <v>31</v>
      </c>
      <c r="Q28" s="4">
        <f t="shared" si="5"/>
        <v>44470</v>
      </c>
      <c r="R28">
        <f t="shared" si="6"/>
        <v>10</v>
      </c>
      <c r="S28" s="149">
        <f t="shared" si="7"/>
        <v>-7.9379350970227261E-2</v>
      </c>
      <c r="T28" s="149">
        <f t="shared" si="8"/>
        <v>0.50467883616985465</v>
      </c>
      <c r="U28" s="149">
        <f t="shared" si="9"/>
        <v>0.27177679619765666</v>
      </c>
      <c r="V28" s="149">
        <f t="shared" si="10"/>
        <v>7.0293069186629614E-2</v>
      </c>
      <c r="X28" s="4">
        <f t="shared" si="11"/>
        <v>44470</v>
      </c>
      <c r="Y28">
        <f t="shared" si="12"/>
        <v>10</v>
      </c>
      <c r="Z28" s="127">
        <f>HLOOKUP(Z$18,Data!$AC$4:$AI$19,ROW()-17,FALSE)*VLOOKUP($Y28,$C$21:$D$32,2,FALSE)*S28</f>
        <v>-25749.3913851262</v>
      </c>
      <c r="AA28" s="127">
        <f>HLOOKUP(AA$18,Data!$AC$4:$AI$19,ROW()-17,FALSE)*VLOOKUP($Y28,$C$21:$D$32,2,FALSE)*T28</f>
        <v>79242.147461209723</v>
      </c>
      <c r="AB28" s="127">
        <f>HLOOKUP(AB$18,Data!$AC$4:$AI$19,ROW()-17,FALSE)*VLOOKUP($Y28,$C$21:$D$32,2,FALSE)*U28</f>
        <v>49000.269247252705</v>
      </c>
      <c r="AC28" s="127">
        <f>HLOOKUP(AC$18,Data!$AC$4:$AI$19,ROW()-17,FALSE)*VLOOKUP($Y28,$C$21:$D$32,2,FALSE)*V28</f>
        <v>12616.902988308149</v>
      </c>
      <c r="AE28" s="4">
        <v>43739</v>
      </c>
      <c r="AF28" s="127">
        <f>Z28+Data!K14</f>
        <v>2275841.8549277382</v>
      </c>
      <c r="AG28" s="127">
        <f>AA28+Data!L14</f>
        <v>1517224.641587619</v>
      </c>
      <c r="AH28" s="127">
        <f>AB28+Data!M14</f>
        <v>1312691.250246112</v>
      </c>
      <c r="AI28" s="127">
        <f>AC28+Data!N14</f>
        <v>1696964.181550175</v>
      </c>
    </row>
    <row r="29" spans="1:35" x14ac:dyDescent="0.25">
      <c r="A29" s="4">
        <f t="shared" si="14"/>
        <v>44440</v>
      </c>
      <c r="C29">
        <f t="shared" si="13"/>
        <v>9</v>
      </c>
      <c r="D29">
        <f t="shared" si="15"/>
        <v>30</v>
      </c>
      <c r="Q29" s="4">
        <f t="shared" si="5"/>
        <v>44501</v>
      </c>
      <c r="R29">
        <f t="shared" si="6"/>
        <v>11</v>
      </c>
      <c r="S29" s="149">
        <f t="shared" si="7"/>
        <v>1.3428672938340849</v>
      </c>
      <c r="T29" s="149">
        <f t="shared" si="8"/>
        <v>2.166807358543184</v>
      </c>
      <c r="U29" s="149">
        <f t="shared" si="9"/>
        <v>1.3257630747712699</v>
      </c>
      <c r="V29" s="149">
        <f t="shared" si="10"/>
        <v>2.1129609969765384</v>
      </c>
      <c r="X29" s="4">
        <f t="shared" si="11"/>
        <v>44501</v>
      </c>
      <c r="Y29">
        <f t="shared" si="12"/>
        <v>11</v>
      </c>
      <c r="Z29" s="127">
        <f>HLOOKUP(Z$18,Data!$AC$4:$AI$19,ROW()-17,FALSE)*VLOOKUP($Y29,$C$21:$D$32,2,FALSE)*S29</f>
        <v>423003.19755773671</v>
      </c>
      <c r="AA29" s="127">
        <f>HLOOKUP(AA$18,Data!$AC$4:$AI$19,ROW()-17,FALSE)*VLOOKUP($Y29,$C$21:$D$32,2,FALSE)*T29</f>
        <v>330416.45410425012</v>
      </c>
      <c r="AB29" s="127">
        <f>HLOOKUP(AB$18,Data!$AC$4:$AI$19,ROW()-17,FALSE)*VLOOKUP($Y29,$C$21:$D$32,2,FALSE)*U29</f>
        <v>232472.55516114217</v>
      </c>
      <c r="AC29" s="127">
        <f>HLOOKUP(AC$18,Data!$AC$4:$AI$19,ROW()-17,FALSE)*VLOOKUP($Y29,$C$21:$D$32,2,FALSE)*V29</f>
        <v>368415.87943282921</v>
      </c>
      <c r="AE29" s="4">
        <v>43770</v>
      </c>
      <c r="AF29" s="127">
        <f>Z29+Data!K15</f>
        <v>3687849.9980636272</v>
      </c>
      <c r="AG29" s="127">
        <f>AA29+Data!L15</f>
        <v>2411920.858681018</v>
      </c>
      <c r="AH29" s="127">
        <f>AB29+Data!M15</f>
        <v>2009667.6698312759</v>
      </c>
      <c r="AI29" s="127">
        <f>AC29+Data!N15</f>
        <v>2772751.5596800367</v>
      </c>
    </row>
    <row r="30" spans="1:35" x14ac:dyDescent="0.25">
      <c r="A30" s="4">
        <f t="shared" si="14"/>
        <v>44470</v>
      </c>
      <c r="C30">
        <f t="shared" si="13"/>
        <v>10</v>
      </c>
      <c r="D30">
        <f t="shared" si="15"/>
        <v>31</v>
      </c>
      <c r="Q30" s="4">
        <f t="shared" si="5"/>
        <v>44531</v>
      </c>
      <c r="R30">
        <f t="shared" si="6"/>
        <v>12</v>
      </c>
      <c r="S30" s="149">
        <f t="shared" si="7"/>
        <v>-2.4593785093744853</v>
      </c>
      <c r="T30" s="149">
        <f t="shared" si="8"/>
        <v>-0.97936193212304701</v>
      </c>
      <c r="U30" s="149">
        <f t="shared" si="9"/>
        <v>-0.32876184588262636</v>
      </c>
      <c r="V30" s="149">
        <f t="shared" si="10"/>
        <v>1.1023875947316419</v>
      </c>
      <c r="X30" s="4">
        <f t="shared" si="11"/>
        <v>44531</v>
      </c>
      <c r="Y30">
        <f t="shared" si="12"/>
        <v>12</v>
      </c>
      <c r="Z30" s="127">
        <f>HLOOKUP(Z$18,Data!$AC$4:$AI$19,ROW()-17,FALSE)*VLOOKUP($Y30,$C$21:$D$32,2,FALSE)*S30</f>
        <v>-803196.13048406632</v>
      </c>
      <c r="AA30" s="127">
        <f>HLOOKUP(AA$18,Data!$AC$4:$AI$19,ROW()-17,FALSE)*VLOOKUP($Y30,$C$21:$D$32,2,FALSE)*T30</f>
        <v>-154320.99773042489</v>
      </c>
      <c r="AB30" s="127">
        <f>HLOOKUP(AB$18,Data!$AC$4:$AI$19,ROW()-17,FALSE)*VLOOKUP($Y30,$C$21:$D$32,2,FALSE)*U30</f>
        <v>-59834.984712483878</v>
      </c>
      <c r="AC30" s="127">
        <f>HLOOKUP(AC$18,Data!$AC$4:$AI$19,ROW()-17,FALSE)*VLOOKUP($Y30,$C$21:$D$32,2,FALSE)*V30</f>
        <v>199337.0320421597</v>
      </c>
      <c r="AE30" s="4">
        <v>43800</v>
      </c>
      <c r="AF30" s="127">
        <f>Z30+Data!K16</f>
        <v>4667986.7875872236</v>
      </c>
      <c r="AG30" s="127">
        <f>AA30+Data!L16</f>
        <v>3109246.148416528</v>
      </c>
      <c r="AH30" s="127">
        <f>AB30+Data!M16</f>
        <v>3153935.725327305</v>
      </c>
      <c r="AI30" s="127">
        <f>AC30+Data!N16</f>
        <v>4547420.2577841291</v>
      </c>
    </row>
    <row r="31" spans="1:35" x14ac:dyDescent="0.25">
      <c r="A31" s="4">
        <f t="shared" si="14"/>
        <v>44501</v>
      </c>
      <c r="C31">
        <f t="shared" si="13"/>
        <v>11</v>
      </c>
      <c r="D31">
        <f t="shared" si="15"/>
        <v>30</v>
      </c>
    </row>
    <row r="32" spans="1:35" x14ac:dyDescent="0.25">
      <c r="A32" s="4">
        <f t="shared" si="14"/>
        <v>44531</v>
      </c>
      <c r="C32">
        <f t="shared" si="13"/>
        <v>12</v>
      </c>
      <c r="D32">
        <f t="shared" si="15"/>
        <v>31</v>
      </c>
    </row>
    <row r="33" spans="1:1" x14ac:dyDescent="0.25">
      <c r="A33" s="4">
        <f t="shared" si="14"/>
        <v>44562</v>
      </c>
    </row>
  </sheetData>
  <mergeCells count="20"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F9185-F0B0-40E3-BB89-BCFD985729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1CEFF-8B09-4BEA-B2D1-FD9D8077AA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B34B3-A008-4D8E-BDFA-B2DA3637C79A}"/>
</file>

<file path=customXml/itemProps4.xml><?xml version="1.0" encoding="utf-8"?>
<ds:datastoreItem xmlns:ds="http://schemas.openxmlformats.org/officeDocument/2006/customXml" ds:itemID="{7B79B92D-133E-46EF-BAEA-D746CEB92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 - 65</vt:lpstr>
      <vt:lpstr>Summary - 60</vt:lpstr>
      <vt:lpstr>Data</vt:lpstr>
      <vt:lpstr>Normals</vt:lpstr>
      <vt:lpstr>503 - 65</vt:lpstr>
      <vt:lpstr>1981-2010 Normals --&gt;</vt:lpstr>
      <vt:lpstr>503 - 60a</vt:lpstr>
      <vt:lpstr>504 - 65</vt:lpstr>
      <vt:lpstr>504 - 60a</vt:lpstr>
      <vt:lpstr>1991-2020 Normals --&gt;</vt:lpstr>
      <vt:lpstr>503 - 60b</vt:lpstr>
      <vt:lpstr>504 - 60b</vt:lpstr>
      <vt:lpstr>101 - 65</vt:lpstr>
      <vt:lpstr>101 - 60</vt:lpstr>
      <vt:lpstr>104 - 65</vt:lpstr>
      <vt:lpstr>104 - 60</vt:lpstr>
      <vt:lpstr>'Summary - 60'!Print_Area</vt:lpstr>
      <vt:lpstr>'Summary - 65'!Print_Area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